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vbaProject.bin" ContentType="application/vnd.ms-office.vbaProject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  <Override PartName="/xl/activeX/activeX4.bin" ContentType="application/vnd.ms-office.activeX"/>
  <Override PartName="/xl/activeX/activeX5.bin" ContentType="application/vnd.ms-office.activeX"/>
  <Override PartName="/xl/activeX/activeX6.bin" ContentType="application/vnd.ms-office.activeX"/>
  <Override PartName="/xl/activeX/activeX7.bin" ContentType="application/vnd.ms-office.activeX"/>
  <Override PartName="/xl/activeX/activeX8.bin" ContentType="application/vnd.ms-office.activeX"/>
  <Override PartName="/xl/activeX/activeX9.bin" ContentType="application/vnd.ms-office.activeX"/>
  <Override PartName="/xl/activeX/activeX10.bin" ContentType="application/vnd.ms-office.activeX"/>
  <Override PartName="/xl/activeX/activeX11.bin" ContentType="application/vnd.ms-office.activeX"/>
  <Override PartName="/xl/activeX/activeX12.bin" ContentType="application/vnd.ms-office.activeX"/>
  <Override PartName="/xl/activeX/activeX13.bin" ContentType="application/vnd.ms-office.activeX"/>
  <Override PartName="/xl/activeX/activeX14.bin" ContentType="application/vnd.ms-office.activeX"/>
  <Override PartName="/xl/activeX/activeX15.bin" ContentType="application/vnd.ms-office.activeX"/>
  <Override PartName="/xl/activeX/activeX16.bin" ContentType="application/vnd.ms-office.activeX"/>
  <Override PartName="/xl/activeX/activeX17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 codeName="{00000000-0000-0000-0000-000000000000}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kuoenergy.sharepoint.com/sites/akuobalkans/Documents partages/General/Balkan Projects Overview/Lead/CROATIA/Tibor Mikuš_North Central Cro/SE OBOROVO/Financial analysis/BP/"/>
    </mc:Choice>
  </mc:AlternateContent>
  <xr:revisionPtr revIDLastSave="0" documentId="8_{6788113D-BBA8-4F2F-AC53-9B23CB69986E}" xr6:coauthVersionLast="47" xr6:coauthVersionMax="47" xr10:uidLastSave="{00000000-0000-0000-0000-000000000000}"/>
  <bookViews>
    <workbookView xWindow="-120" yWindow="-120" windowWidth="29040" windowHeight="15720" tabRatio="837" firstSheet="4" activeTab="4" xr2:uid="{00000000-000D-0000-FFFF-FFFF00000000}"/>
  </bookViews>
  <sheets>
    <sheet name="FID deck outputs" sheetId="61" r:id="rId1"/>
    <sheet name="Discount rate NPV" sheetId="60" r:id="rId2"/>
    <sheet name="Outputs" sheetId="29" r:id="rId3"/>
    <sheet name="Inputs" sheetId="32" r:id="rId4"/>
    <sheet name="Scenarios" sheetId="59" r:id="rId5"/>
    <sheet name="CapEx" sheetId="51" r:id="rId6"/>
    <sheet name="OpEx" sheetId="50" r:id="rId7"/>
    <sheet name="IDC" sheetId="43" r:id="rId8"/>
    <sheet name="CF" sheetId="5" r:id="rId9"/>
    <sheet name="P&amp;L" sheetId="6" r:id="rId10"/>
    <sheet name="BS" sheetId="7" r:id="rId11"/>
    <sheet name="Dep" sheetId="2" r:id="rId12"/>
    <sheet name="DS" sheetId="47" r:id="rId13"/>
    <sheet name="Eq" sheetId="42" r:id="rId14"/>
    <sheet name="Macro" sheetId="54" r:id="rId15"/>
    <sheet name="Flags" sheetId="55" r:id="rId16"/>
    <sheet name="Sheet1" sheetId="62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</externalReferences>
  <definedNames>
    <definedName name="\A">#REF!</definedName>
    <definedName name="\B">#REF!</definedName>
    <definedName name="\c">#N/A</definedName>
    <definedName name="\E">#REF!</definedName>
    <definedName name="\I">#REF!</definedName>
    <definedName name="\m">#N/A</definedName>
    <definedName name="\R">#REF!</definedName>
    <definedName name="\s">#N/A</definedName>
    <definedName name="\V">#REF!</definedName>
    <definedName name="_">#REF!</definedName>
    <definedName name="______a1" hidden="1">{"mgmt forecast",#N/A,FALSE,"Mgmt Forecast";"dcf table",#N/A,FALSE,"Mgmt Forecast";"sensitivity",#N/A,FALSE,"Mgmt Forecast";"table inputs",#N/A,FALSE,"Mgmt Forecast";"calculations",#N/A,FALSE,"Mgmt Forecast"}</definedName>
    <definedName name="______a2" hidden="1">{"mgmt forecast",#N/A,FALSE,"Mgmt Forecast";"dcf table",#N/A,FALSE,"Mgmt Forecast";"sensitivity",#N/A,FALSE,"Mgmt Forecast";"table inputs",#N/A,FALSE,"Mgmt Forecast";"calculations",#N/A,FALSE,"Mgmt Forecast"}</definedName>
    <definedName name="____SB1" hidden="1">{#N/A,#N/A,FALSE,"1.5";#N/A,#N/A,FALSE,"1.6";#N/A,#N/A,FALSE,"1.7";#N/A,#N/A,FALSE,"3.2";#N/A,#N/A,FALSE,"5.7";#N/A,#N/A,FALSE,"6.2";#N/A,#N/A,FALSE,"6.5";#N/A,#N/A,FALSE,"7.3";#N/A,#N/A,FALSE,"7.6";#N/A,#N/A,FALSE,"8.1"}</definedName>
    <definedName name="___thinkcell01_l.y8hk0yLLJAjQg6EXA" hidden="1">#REF!</definedName>
    <definedName name="___thinkcell1PEZqL7bIEiS1qwer.7sPQ" hidden="1">#REF!</definedName>
    <definedName name="___thinkcell1sgUrJZNUkaIJdlSQBsmOw" hidden="1">#REF!</definedName>
    <definedName name="___thinkcell1UGVCDPrV0agi4KOOTkS_A" hidden="1">#REF!</definedName>
    <definedName name="___thinkcell2fWpDaMK.EmRv12Sf4WJDQ" hidden="1">#REF!</definedName>
    <definedName name="___thinkcell3Nbw4ZDK8kyrF5T7.7LjDg" hidden="1">#REF!</definedName>
    <definedName name="___thinkcell3OPtp6kMp02nb5qAV7N5ow" hidden="1">#REF!</definedName>
    <definedName name="___thinkcell5klTlf75SU6X.EuVQGS_Kg" hidden="1">#REF!</definedName>
    <definedName name="___thinkcell8j5Vm5QcekqhD_D26RYapQ" hidden="1">#REF!</definedName>
    <definedName name="___thinkcell9kRge_a2PU6NxtigTXZGaA" hidden="1">#REF!</definedName>
    <definedName name="___thinkcell9Lu6P.3gl02CiKsDIINFQg" hidden="1">#REF!</definedName>
    <definedName name="___thinkcellA6AOSv0a4k6iiYgzHMdETA" hidden="1">#REF!</definedName>
    <definedName name="___thinkcellAe702645p0KbhI_0h2_iUQ" hidden="1">#REF!</definedName>
    <definedName name="___thinkcellbtylOPwlqEq7SH_0t1AguQ" hidden="1">#REF!</definedName>
    <definedName name="___thinkcellCA1LU4GePEa.bVBtIcrA4g" hidden="1">#REF!</definedName>
    <definedName name="___thinkcellcbLhFQZjM0WYzIIYTwJ0Ww" hidden="1">#REF!</definedName>
    <definedName name="___thinkcelld.SMrgIP7Umouu3esHXd9Q" hidden="1">#REF!</definedName>
    <definedName name="___thinkcelle2xtt2bOhUKmkM2MtPo0qA" hidden="1">#REF!</definedName>
    <definedName name="___thinkcellEfZtnV7ftU.jAp5dRTgR6g" hidden="1">#REF!</definedName>
    <definedName name="___thinkcellgdviV2OTWkidL0E9JeEOtg" hidden="1">#REF!</definedName>
    <definedName name="___thinkcellgSw7DKN8wUG9.VqSdJA86w" hidden="1">#REF!</definedName>
    <definedName name="___thinkcellgvuVNPWZs0C42ir2J8wHbA" hidden="1">#REF!</definedName>
    <definedName name="___thinkcellIK1Tu6OrYUG2tWYcqfbyvA" hidden="1">#REF!</definedName>
    <definedName name="___thinkcellJrKZLy2tIEieIxt4KSCCbg" hidden="1">#REF!</definedName>
    <definedName name="___thinkcellLdyMVTPzTEW6h7Abaxr23g" hidden="1">#REF!</definedName>
    <definedName name="___thinkcellmamtyDcLe06gODmQwSJItQ" hidden="1">#REF!</definedName>
    <definedName name="___thinkcelln3fxSsqTw0u3b0RXWL8VwQ" hidden="1">#REF!</definedName>
    <definedName name="___thinkcellnJwe0G3.pkWuLIvk1wl6Kg" hidden="1">#REF!</definedName>
    <definedName name="___thinkcellOop8k2aMQk2KeHQuz_Z_rQ" hidden="1">#REF!</definedName>
    <definedName name="___thinkcellQTe0zh_ufEO31WZCpcd3Lw" hidden="1">#REF!</definedName>
    <definedName name="___thinkcellr10KMykpj0CfSgeHCHnh6A" hidden="1">#REF!</definedName>
    <definedName name="___thinkcellraxaA5k.pE.dJj.ZXgzqGg" hidden="1">#REF!</definedName>
    <definedName name="___thinkcellRRZjyhyY5kyKnNqMKDf8Pw" hidden="1">#REF!</definedName>
    <definedName name="___thinkcellTizxU0TguUa5g8RtMvk0Mw" hidden="1">#REF!</definedName>
    <definedName name="___thinkcelltYvRwsCO20SeNypUlC4gEA" hidden="1">#REF!</definedName>
    <definedName name="___thinkcellUL3vCk4qFEGesJriscGD.w" hidden="1">#REF!</definedName>
    <definedName name="___thinkcellUoAVHKILtEKh_qNaBpJ5jA" hidden="1">#REF!</definedName>
    <definedName name="___thinkcellv_umtbdh2EmPjDxxIiCeqw" hidden="1">#REF!</definedName>
    <definedName name="___thinkcellvyFj_84BWkKm.UV9AOeVSg" hidden="1">#REF!</definedName>
    <definedName name="___thinkcellWL1Dq.usWk2u4KS9KzWbmg" hidden="1">#REF!</definedName>
    <definedName name="___thinkcellxtbZ5bMwXE6nt7MrZ9eHew" hidden="1">#REF!</definedName>
    <definedName name="___thinkcellyoN6DLzyZEu4Q48Zfb6Aag" hidden="1">#REF!</definedName>
    <definedName name="___thinkcellz8avMr_Tq0qdkopL.Dbt9g" hidden="1">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 hidden="1">#REF!</definedName>
    <definedName name="__123Graph_ACEREAL" hidden="1">'[1]TAB CA'!#REF!</definedName>
    <definedName name="__123Graph_ACEREALCUM" hidden="1">'[1]TAB CA'!#REF!</definedName>
    <definedName name="__123Graph_ACurrent" hidden="1">#REF!</definedName>
    <definedName name="__123Graph_AEXPORT" hidden="1">'[1]TAB CA'!#REF!</definedName>
    <definedName name="__123Graph_AEXPORTCUM" hidden="1">'[1]TAB CA'!#REF!</definedName>
    <definedName name="__123Graph_AFRANCE" hidden="1">'[1]TAB CA'!#REF!</definedName>
    <definedName name="__123Graph_AFRANCECUM" hidden="1">'[1]TAB CA'!#REF!</definedName>
    <definedName name="__123Graph_AGERBLE" hidden="1">'[1]TAB CA'!#REF!</definedName>
    <definedName name="__123Graph_AGERBLECUM" hidden="1">'[1]TAB CA'!#REF!</definedName>
    <definedName name="__123Graph_AISO" hidden="1">'[1]TAB CA'!#REF!</definedName>
    <definedName name="__123Graph_AISOCUM" hidden="1">'[1]TAB CA'!#REF!</definedName>
    <definedName name="__123Graph_AMILICAL" hidden="1">'[1]TAB CA'!#REF!</definedName>
    <definedName name="__123Graph_AMILICALCUM" hidden="1">'[1]TAB CA'!#REF!</definedName>
    <definedName name="__123Graph_AOCT" hidden="1">'[1]TAB CA'!#REF!</definedName>
    <definedName name="__123Graph_AOVOB" hidden="1">'[1]TAB CA'!#REF!</definedName>
    <definedName name="__123Graph_AOVOBCUM" hidden="1">'[1]TAB CA'!#REF!</definedName>
    <definedName name="__123Graph_AOVOP" hidden="1">'[1]TAB CA'!#REF!</definedName>
    <definedName name="__123Graph_AOVOPCUM" hidden="1">'[1]TAB CA'!#REF!</definedName>
    <definedName name="__123Graph_ASTMENTHALPY" hidden="1">#REF!</definedName>
    <definedName name="__123Graph_ATCE390" hidden="1">'[2]96BP'!#REF!</definedName>
    <definedName name="__123Graph_ATOTAL" hidden="1">'[1]TAB CA'!#REF!</definedName>
    <definedName name="__123Graph_ATOTALCUM" hidden="1">'[1]TAB CA'!#REF!</definedName>
    <definedName name="__123Graph_ATRANSFCUM" hidden="1">'[1]TAB CA'!#REF!</definedName>
    <definedName name="__123Graph_ATRANSFERT" hidden="1">'[1]TAB CA'!#REF!</definedName>
    <definedName name="__123Graph_AWASA" hidden="1">'[1]TAB CA'!#REF!</definedName>
    <definedName name="__123Graph_AWASACUM" hidden="1">'[1]TAB CA'!#REF!</definedName>
    <definedName name="__123Graph_B" hidden="1">#REF!</definedName>
    <definedName name="__123Graph_BCEREAL" hidden="1">'[1]TAB CA'!#REF!</definedName>
    <definedName name="__123Graph_BCEREALCUM" hidden="1">'[1]TAB CA'!#REF!</definedName>
    <definedName name="__123Graph_BCurrent" hidden="1">#REF!</definedName>
    <definedName name="__123Graph_BEXPORT" hidden="1">'[1]TAB CA'!#REF!</definedName>
    <definedName name="__123Graph_BEXPORTCUM" hidden="1">'[1]TAB CA'!#REF!</definedName>
    <definedName name="__123Graph_BFRANCE" hidden="1">'[1]TAB CA'!#REF!</definedName>
    <definedName name="__123Graph_BFRANCECUM" hidden="1">'[1]TAB CA'!#REF!</definedName>
    <definedName name="__123Graph_BGERBLE" hidden="1">'[1]TAB CA'!#REF!</definedName>
    <definedName name="__123Graph_BGERBLECUM" hidden="1">'[1]TAB CA'!#REF!</definedName>
    <definedName name="__123Graph_BISO" hidden="1">'[1]TAB CA'!#REF!</definedName>
    <definedName name="__123Graph_BISOCUM" hidden="1">'[1]TAB CA'!#REF!</definedName>
    <definedName name="__123Graph_BMILICAL" hidden="1">'[1]TAB CA'!#REF!</definedName>
    <definedName name="__123Graph_BMILICALCUM" hidden="1">'[1]TAB CA'!#REF!</definedName>
    <definedName name="__123Graph_BOVOB" hidden="1">'[1]TAB CA'!#REF!</definedName>
    <definedName name="__123Graph_BOVOBCUM" hidden="1">'[1]TAB CA'!#REF!</definedName>
    <definedName name="__123Graph_BOVOP" hidden="1">'[1]TAB CA'!#REF!</definedName>
    <definedName name="__123Graph_BOVOPCUM" hidden="1">'[1]TAB CA'!#REF!</definedName>
    <definedName name="__123Graph_BTCE390" hidden="1">'[2]96BP'!#REF!</definedName>
    <definedName name="__123Graph_BTOTAL" hidden="1">'[1]TAB CA'!#REF!</definedName>
    <definedName name="__123Graph_BTOTALCUM" hidden="1">'[1]TAB CA'!#REF!</definedName>
    <definedName name="__123Graph_BTRANSFCUM" hidden="1">'[1]TAB CA'!#REF!</definedName>
    <definedName name="__123Graph_BTRANSFERT" hidden="1">'[1]TAB CA'!#REF!</definedName>
    <definedName name="__123Graph_BWASA" hidden="1">'[1]TAB CA'!#REF!</definedName>
    <definedName name="__123Graph_BWASACUM" hidden="1">'[1]TAB CA'!#REF!</definedName>
    <definedName name="__123Graph_C" hidden="1">#REF!</definedName>
    <definedName name="__123Graph_CCEREAL" hidden="1">'[1]TAB CA'!#REF!</definedName>
    <definedName name="__123Graph_CCEREALCUM" hidden="1">'[1]TAB CA'!#REF!</definedName>
    <definedName name="__123Graph_CCurrent" hidden="1">#REF!</definedName>
    <definedName name="__123Graph_CEXPORT" hidden="1">'[1]TAB CA'!#REF!</definedName>
    <definedName name="__123Graph_CEXPORTCUM" hidden="1">'[1]TAB CA'!#REF!</definedName>
    <definedName name="__123Graph_CFRANCE" hidden="1">'[1]TAB CA'!#REF!</definedName>
    <definedName name="__123Graph_CFRANCECUM" hidden="1">'[1]TAB CA'!#REF!</definedName>
    <definedName name="__123Graph_CGERBLE" hidden="1">'[1]TAB CA'!#REF!</definedName>
    <definedName name="__123Graph_CGERBLECUM" hidden="1">'[1]TAB CA'!#REF!</definedName>
    <definedName name="__123Graph_CISO" hidden="1">'[1]TAB CA'!#REF!</definedName>
    <definedName name="__123Graph_CISOCUM" hidden="1">'[1]TAB CA'!#REF!</definedName>
    <definedName name="__123Graph_CMILICAL" hidden="1">'[1]TAB CA'!#REF!</definedName>
    <definedName name="__123Graph_CMILICALCUM" hidden="1">'[1]TAB CA'!#REF!</definedName>
    <definedName name="__123Graph_COVOB" hidden="1">'[1]TAB CA'!#REF!</definedName>
    <definedName name="__123Graph_COVOBCUM" hidden="1">'[1]TAB CA'!#REF!</definedName>
    <definedName name="__123Graph_COVOP" hidden="1">'[1]TAB CA'!#REF!</definedName>
    <definedName name="__123Graph_COVOPCUM" hidden="1">'[1]TAB CA'!#REF!</definedName>
    <definedName name="__123Graph_CTCE390" hidden="1">'[2]96BP'!#REF!</definedName>
    <definedName name="__123Graph_CTOTAL" hidden="1">'[1]TAB CA'!#REF!</definedName>
    <definedName name="__123Graph_CTOTALCUM" hidden="1">'[1]TAB CA'!#REF!</definedName>
    <definedName name="__123Graph_CTRANSFCUM" hidden="1">'[1]TAB CA'!#REF!</definedName>
    <definedName name="__123Graph_CTRANSFERT" hidden="1">'[1]TAB CA'!#REF!</definedName>
    <definedName name="__123Graph_CWASA" hidden="1">'[1]TAB CA'!#REF!</definedName>
    <definedName name="__123Graph_CWASACUM" hidden="1">'[1]TAB CA'!#REF!</definedName>
    <definedName name="__123Graph_D" hidden="1">#REF!</definedName>
    <definedName name="__123Graph_DCurrent" hidden="1">#REF!</definedName>
    <definedName name="__123Graph_DTCE390" hidden="1">'[2]96BP'!#REF!</definedName>
    <definedName name="__123Graph_E" hidden="1">#REF!</definedName>
    <definedName name="__123Graph_ECurrent" hidden="1">#REF!</definedName>
    <definedName name="__123Graph_ETCE390" hidden="1">'[2]96BP'!#REF!</definedName>
    <definedName name="__123Graph_F" hidden="1">'[2]96BP'!#REF!</definedName>
    <definedName name="__123Graph_FTCE390" hidden="1">'[2]96BP'!#REF!</definedName>
    <definedName name="__123Graph_X" hidden="1">#REF!</definedName>
    <definedName name="__123Graph_XBARLEDU" hidden="1">'[3]données météo'!#REF!</definedName>
    <definedName name="__123Graph_XCEREAL" hidden="1">'[1]TAB CA'!#REF!</definedName>
    <definedName name="__123Graph_XCEREALCUM" hidden="1">'[1]TAB CA'!#REF!</definedName>
    <definedName name="__123Graph_XCurrent" hidden="1">#REF!</definedName>
    <definedName name="__123Graph_XEXPORT" hidden="1">'[1]TAB CA'!#REF!</definedName>
    <definedName name="__123Graph_XEXPORTCUM" hidden="1">'[1]TAB CA'!#REF!</definedName>
    <definedName name="__123Graph_XFRANCE" hidden="1">'[1]TAB CA'!#REF!</definedName>
    <definedName name="__123Graph_XFRANCECUM" hidden="1">'[1]TAB CA'!#REF!</definedName>
    <definedName name="__123Graph_XGERBLE" hidden="1">'[1]TAB CA'!#REF!</definedName>
    <definedName name="__123Graph_XGERBLECUM" hidden="1">'[1]TAB CA'!#REF!</definedName>
    <definedName name="__123Graph_XISO" hidden="1">'[1]TAB CA'!#REF!</definedName>
    <definedName name="__123Graph_XISOCUM" hidden="1">'[1]TAB CA'!#REF!</definedName>
    <definedName name="__123Graph_XMILICAL" hidden="1">'[1]TAB CA'!#REF!</definedName>
    <definedName name="__123Graph_XMILICALCUM" hidden="1">'[1]TAB CA'!#REF!</definedName>
    <definedName name="__123Graph_XOCT" hidden="1">'[1]TAB CA'!#REF!</definedName>
    <definedName name="__123Graph_XOVOB" hidden="1">'[1]TAB CA'!#REF!</definedName>
    <definedName name="__123Graph_XOVOBCUM" hidden="1">'[1]TAB CA'!#REF!</definedName>
    <definedName name="__123Graph_XOVOP" hidden="1">'[1]TAB CA'!#REF!</definedName>
    <definedName name="__123Graph_XOVOPCUM" hidden="1">'[1]TAB CA'!#REF!</definedName>
    <definedName name="__123Graph_XTCE390" hidden="1">'[2]96BP'!#REF!</definedName>
    <definedName name="__123Graph_XTOTAL" hidden="1">'[1]TAB CA'!#REF!</definedName>
    <definedName name="__123Graph_XTOTALCUM" hidden="1">'[1]TAB CA'!#REF!</definedName>
    <definedName name="__123Graph_XTRANSFCUM" hidden="1">'[1]TAB CA'!#REF!</definedName>
    <definedName name="__123Graph_XTRANSFERT" hidden="1">'[1]TAB CA'!#REF!</definedName>
    <definedName name="__123Graph_XWASA" hidden="1">'[1]TAB CA'!#REF!</definedName>
    <definedName name="__123Graph_XWASACUM" hidden="1">'[1]TAB CA'!#REF!</definedName>
    <definedName name="__a1" hidden="1">14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caj" hidden="1">[4]MPR!#REF!</definedName>
    <definedName name="__CAP2000">[5]AVP!#REF!</definedName>
    <definedName name="__cas2">[6]Assumptions!#REF!</definedName>
    <definedName name="__cle1" hidden="1">[7]A!#REF!</definedName>
    <definedName name="__DCF2">{"Client Name or Project Name"}</definedName>
    <definedName name="__DEP1">#REF!</definedName>
    <definedName name="__emb06">[8]SRC2001!$B$6:$H$36</definedName>
    <definedName name="__FDS_HYPERLINK_TOGGLE_STATE__" hidden="1">"ON"</definedName>
    <definedName name="__IMP2">[5]AVP!$A$27</definedName>
    <definedName name="__IntlFixup" hidden="1">TRUE</definedName>
    <definedName name="__IntlFixupTable" hidden="1">'[9]Int. Data Table'!$A$3:$AB$10</definedName>
    <definedName name="__net95">'[5]Consensus Kesa'!$AL$122</definedName>
    <definedName name="__net96">'[5]Consensus Kesa'!$AM$122</definedName>
    <definedName name="__net97">'[5]Consensus Kesa'!$AN$122</definedName>
    <definedName name="__pl2" hidden="1">18</definedName>
    <definedName name="__pl3" hidden="1">"256C2H5ZWA4XTT88GBDIVOGRC"</definedName>
    <definedName name="__rev1">[10]revenue!$A$2:$O$92</definedName>
    <definedName name="__rev2">[10]revenue!#REF!</definedName>
    <definedName name="__rev3">[10]revenue!#REF!</definedName>
    <definedName name="__rev4">[10]revenue!#REF!</definedName>
    <definedName name="__SAL1">#REF!</definedName>
    <definedName name="__SB1" hidden="1">{#N/A,#N/A,FALSE,"1.5";#N/A,#N/A,FALSE,"1.6";#N/A,#N/A,FALSE,"1.7";#N/A,#N/A,FALSE,"3.2";#N/A,#N/A,FALSE,"5.7";#N/A,#N/A,FALSE,"6.2";#N/A,#N/A,FALSE,"6.5";#N/A,#N/A,FALSE,"7.3";#N/A,#N/A,FALSE,"7.6";#N/A,#N/A,FALSE,"8.1"}</definedName>
    <definedName name="__SC1">#REF!</definedName>
    <definedName name="__SIT1">#REF!</definedName>
    <definedName name="__SIT2">#REF!</definedName>
    <definedName name="__SV1">#REF!</definedName>
    <definedName name="__tab1">[11]Sits!$A$47:$H$69</definedName>
    <definedName name="__tab2">[11]Sits!$A$72:$H$95</definedName>
    <definedName name="__Tab3">[5]AVP!$A$2:$AD$66</definedName>
    <definedName name="__Tab4">[5]AVP!$A$3:$R$54</definedName>
    <definedName name="__Tab5">[5]AVP!$A$2:$AK$79</definedName>
    <definedName name="__Tab6">[5]AVP!$B$2:$G$111</definedName>
    <definedName name="__Tab7">[5]AVP!$D$2:$AX$153</definedName>
    <definedName name="__vol1">'[12]TT Lines'!$A$8:$T$93</definedName>
    <definedName name="__vol2">'[12]TT Lines'!$A$94:$T$200</definedName>
    <definedName name="__vol3">'[12]TT Lines'!$A$201:$T$226</definedName>
    <definedName name="__x2" hidden="1">{42,42,FALSE,"3";42,42,FALSE,"5";42,42,FALSE,"6";42,42,FALSE,"8";42,42,FALSE,"10";42,42,FALSE,"13";42,42,FALSE,"14";42,42,FALSE,"15";42,42,FALSE,"16"}</definedName>
    <definedName name="_0_sept_2002">#REF!</definedName>
    <definedName name="_1">#REF!</definedName>
    <definedName name="_1__123Graph_A_Chart_1A" hidden="1">#N/A</definedName>
    <definedName name="_1__FDSAUDITLINK__" hidden="1">{"fdsup://directions/FAT Viewer?action=UPDATE&amp;creator=factSet&amp;DYN_ARGS=true&amp;DOC_NAME=FAT:RGQ_ENTRPR_VAL_EV_SOURCE_WINDOW.FAT&amp;VAR:ID1=PNR&amp;VAR:SDATE=20110107&amp;VAR:FDATE=20100930&amp;VAR:FREQ=WEEKLY&amp;VAR:RELITEM=&amp;VAR:CURRENCY=&amp;VAR:DB_TYPE=&amp;VAR:UNITS=M&amp;window=popup&amp;w","idth=535&amp;height=425&amp;START_MAXIMIZED=FALSE&amp;Y=120&amp;display_string=audit"}</definedName>
    <definedName name="_10__123Graph_AChart_5" hidden="1">#REF!</definedName>
    <definedName name="_10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00__123Graph_CSS6_B" hidden="1">#N/A</definedName>
    <definedName name="_100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000__FDSAUDITLINK__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1001__FDSAUDITLINK__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1002__FDSAUDITLINK__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1003__FDSAUDITLINK__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1004__FDSAUDITLINK__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1005__FDSAUDITLINK__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1006__FDSAUDITLINK__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1007__FDSAUDITLINK__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1008__FDSAUDITLINK__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1009__FDSAUDITLINK__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101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010__FDSAUDITLINK__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1011__FDSAUDITLINK__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1012__FDSAUDITLINK__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1013__FDSAUDITLINK__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1014__FDSAUDITLINK__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1015__FDSAUDITLINK__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1016__FDSAUDITLINK__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1017__FDSAUDITLINK__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1018__FDSAUDITLINK__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1019__FDSAUDITLINK__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102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020__FDSAUDITLINK__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1021__FDSAUDITLINK__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1022__FDSAUDITLINK__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1023__FDSAUDITLINK__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1024__FDSAUDITLINK__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1025__FDSAUDITLINK__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1026__FDSAUDITLINK__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1027__FDSAUDITLINK__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1028__FDSAUDITLINK__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1029__FDSAUDITLINK__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103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030__FDSAUDITLINK__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1031__FDSAUDITLINK__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1032__FDSAUDITLINK__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1033__FDSAUDITLINK__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1034__FDSAUDITLINK__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1035__FDSAUDITLINK__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1036__FDSAUDITLINK__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1037__FDSAUDITLINK__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1038__FDSAUDITLINK__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1039__FDSAUDITLINK__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104__123Graph_CSS7_A" hidden="1">#N/A</definedName>
    <definedName name="_104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040__FDSAUDITLINK__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1041__FDSAUDITLINK__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1042__FDSAUDITLINK__" hidden="1">{"fdsup://directions/FAT Viewer?action=UPDATE&amp;creator=factSet&amp;DYN_ARGS=true&amp;DOC_NAME=FAT:RGQ_ENTRPR_VAL_EV_SOURCE_WINDOW.FAT&amp;VAR:ID1=ITT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043__FDSAUDITLINK__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044__FDSAUDITLINK__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045__FDSAUDITLINK__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046__FDSAUDITLINK__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047__FDSAUDITLINK__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048__FDSAUDITLINK__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049__FDSAUDITLINK__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05__123Graph_D_Chart_1A" hidden="1">#N/A</definedName>
    <definedName name="_105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050__FDSAUDITLINK__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051__FDSAUDITLINK__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052__FDSAUDITLINK__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053__FDSAUDITLINK__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054__FDSAUDITLINK__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055__FDSAUDITLINK__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056__FDSAUDITLINK__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057__FDSAUDITLINK__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058__FDSAUDITLINK__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059__FDSAUDITLINK__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06__123Graph_DCHART_10" hidden="1">#REF!</definedName>
    <definedName name="_106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060__FDSAUDITLINK__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061__FDSAUDITLINK__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062__FDSAUDITLINK__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063__FDSAUDITLINK__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064__FDSAUDITLINK__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065__FDSAUDITLINK__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066__FDSAUDITLINK__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067__FDSAUDITLINK__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068__FDSAUDITLINK__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069__FDSAUDITLINK__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07__123Graph_DCHART_11" hidden="1">#REF!</definedName>
    <definedName name="_107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070__FDSAUDITLINK__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071__FDSAUDITLINK__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072__FDSAUDITLINK__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073__FDSAUDITLINK__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074__FDSAUDITLINK__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075__FDSAUDITLINK__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076__FDSAUDITLINK__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077__FDSAUDITLINK__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078__FDSAUDITLINK__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079__FDSAUDITLINK__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08__123Graph_DCHART_12" hidden="1">#REF!</definedName>
    <definedName name="_108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080__FDSAUDITLINK__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081__FDSAUDITLINK__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082__FDSAUDITLINK__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083__FDSAUDITLINK__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084__FDSAUDITLINK__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085__FDSAUDITLINK__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086__FDSAUDITLINK__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087__FDSAUDITLINK__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088__FDSAUDITLINK__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089__FDSAUDITLINK__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09__123Graph_DCHART_13" hidden="1">#REF!</definedName>
    <definedName name="_109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090__FDSAUDITLINK__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091__FDSAUDITLINK__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092__FDSAUDITLINK__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092107__IMPOT_SOCIETE">[5]WACC!#REF!</definedName>
    <definedName name="_1093__FDSAUDITLINK__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094__FDSAUDITLINK__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095__FDSAUDITLINK__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096__FDSAUDITLINK__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097__FDSAUDITLINK__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098__FDSAUDITLINK__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099__FDSAUDITLINK__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1__123Graph_AChart_6" hidden="1">#REF!</definedName>
    <definedName name="_11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10__123Graph_DCHART_14" hidden="1">#REF!</definedName>
    <definedName name="_110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100__FDSAUDITLINK__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101__FDSAUDITLINK__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102__FDSAUDITLINK__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103__FDSAUDITLINK__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104__FDSAUDITLINK__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105__FDSAUDITLINK__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106__FDSAUDITLINK__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107__FDSAUDITLINK__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108__FDSAUDITLINK__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109__FDSAUDITLINK__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11__123Graph_DCHART_15" hidden="1">#REF!</definedName>
    <definedName name="_111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110__FDSAUDITLINK__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111__FDSAUDITLINK__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112__FDSAUDITLINK__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113__FDSAUDITLINK__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114__FDSAUDITLINK__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115__FDSAUDITLINK__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116__FDSAUDITLINK__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117__FDSAUDITLINK__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118__FDSAUDITLINK__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119__FDSAUDITLINK__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12__123Graph_DCHART_16" hidden="1">#REF!</definedName>
    <definedName name="_112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120__FDSAUDITLINK__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121__FDSAUDITLINK__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122__FDSAUDITLINK__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123__FDSAUDITLINK__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124__FDSAUDITLINK__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125__FDSAUDITLINK__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126__FDSAUDITLINK__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127__FDSAUDITLINK__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128__FDSAUDITLINK__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129__FDSAUDITLINK__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13__123Graph_DCHART_17" hidden="1">#REF!</definedName>
    <definedName name="_113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130__FDSAUDITLINK__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131__FDSAUDITLINK__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132__FDSAUDITLINK__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133__FDSAUDITLINK__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134__FDSAUDITLINK__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135__FDSAUDITLINK__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136__FDSAUDITLINK__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137__FDSAUDITLINK__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138__FDSAUDITLINK__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139__FDSAUDITLINK__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14__123Graph_DCHART_18" hidden="1">#REF!</definedName>
    <definedName name="_114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140__FDSAUDITLINK__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141__FDSAUDITLINK__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142__FDSAUDITLINK__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143__FDSAUDITLINK__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144__FDSAUDITLINK__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145__FDSAUDITLINK__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146__FDSAUDITLINK__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147__FDSAUDITLINK__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148__FDSAUDITLINK__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149__FDSAUDITLINK__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15__123Graph_DCHART_4" hidden="1">#REF!</definedName>
    <definedName name="_115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150__FDSAUDITLINK__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151__FDSAUDITLINK__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152__FDSAUDITLINK__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153__FDSAUDITLINK__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154__FDSAUDITLINK__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155__FDSAUDITLINK__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156__FDSAUDITLINK__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157__FDSAUDITLINK__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158__FDSAUDITLINK__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159__FDSAUDITLINK__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16__123Graph_DCHART_6" hidden="1">#REF!</definedName>
    <definedName name="_116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160__FDSAUDITLINK__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161__FDSAUDITLINK__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162__FDSAUDITLINK__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163__FDSAUDITLINK__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164__FDSAUDITLINK__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165__FDSAUDITLINK__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166__FDSAUDITLINK__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167__FDSAUDITLINK__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168__FDSAUDITLINK__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169__FDSAUDITLINK__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17__123Graph_DCHART_7" hidden="1">#REF!</definedName>
    <definedName name="_117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170__FDSAUDITLINK__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171__FDSAUDITLINK__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172__FDSAUDITLINK__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173__FDSAUDITLINK__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174__FDSAUDITLINK__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175__FDSAUDITLINK__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176__FDSAUDITLINK__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177__FDSAUDITLINK__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178__FDSAUDITLINK__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179__FDSAUDITLINK__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18__123Graph_DCHART_8" hidden="1">#REF!</definedName>
    <definedName name="_118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180__FDSAUDITLINK__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181__FDSAUDITLINK__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182__FDSAUDITLINK__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183__FDSAUDITLINK__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184__FDSAUDITLINK__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185__FDSAUDITLINK__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186__FDSAUDITLINK__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187__FDSAUDITLINK__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188__FDSAUDITLINK__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189__FDSAUDITLINK__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19__123Graph_DCHART_9" hidden="1">#REF!</definedName>
    <definedName name="_119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190__FDSAUDITLINK__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191__FDSAUDITLINK__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192__FDSAUDITLINK__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193__FDSAUDITLINK__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194__FDSAUDITLINK__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195__FDSAUDITLINK__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196__FDSAUDITLINK__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197__FDSAUDITLINK__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198__FDSAUDITLINK__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199__FDSAUDITLINK__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2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20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200__FDSAUDITLINK__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201__FDSAUDITLINK__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202__FDSAUDITLINK__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203__FDSAUDITLINK__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204__FDSAUDITLINK__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205__FDSAUDITLINK__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206__FDSAUDITLINK__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207__FDSAUDITLINK__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208__FDSAUDITLINK__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209__FDSAUDITLINK__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21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210__FDSAUDITLINK__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211__FDSAUDITLINK__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212__FDSAUDITLINK__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213__FDSAUDITLINK__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214__FDSAUDITLINK__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215__FDSAUDITLINK__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216__FDSAUDITLINK__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217__FDSAUDITLINK__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218__FDSAUDITLINK__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219__FDSAUDITLINK__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22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220__FDSAUDITLINK__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221__FDSAUDITLINK__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222__FDSAUDITLINK__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223__FDSAUDITLINK__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224__FDSAUDITLINK__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225__FDSAUDITLINK__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226__FDSAUDITLINK__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227__FDSAUDITLINK__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228__FDSAUDITLINK__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229__FDSAUDITLINK__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23__123Graph_DINVAR_A" hidden="1">#N/A</definedName>
    <definedName name="_123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230__FDSAUDITLINK__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231__FDSAUDITLINK__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232__FDSAUDITLINK__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233__FDSAUDITLINK__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234__FDSAUDITLINK__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235__FDSAUDITLINK__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236__FDSAUDITLINK__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237__FDSAUDITLINK__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238__FDSAUDITLINK__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239__FDSAUDITLINK__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24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240__FDSAUDITLINK__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241__FDSAUDITLINK__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242__FDSAUDITLINK__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243__FDSAUDITLINK__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244__FDSAUDITLINK__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245__FDSAUDITLINK__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246__FDSAUDITLINK__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247__FDSAUDITLINK__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248__FDSAUDITLINK__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249__FDSAUDITLINK__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25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250__FDSAUDITLINK__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251__FDSAUDITLINK__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252__FDSAUDITLINK__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253__FDSAUDITLINK__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254__FDSAUDITLINK__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255__FDSAUDITLINK__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256__FDSAUDITLINK__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257__FDSAUDITLINK__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258__FDSAUDITLINK__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259__FDSAUDITLINK__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26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260__FDSAUDITLINK__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261__FDSAUDITLINK__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262__FDSAUDITLINK__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263__FDSAUDITLINK__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264__FDSAUDITLINK__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265__FDSAUDITLINK__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266__FDSAUDITLINK__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267__FDSAUDITLINK__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268__FDSAUDITLINK__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269__FDSAUDITLINK__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27__123Graph_DSS5_A" hidden="1">#N/A</definedName>
    <definedName name="_127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270__FDSAUDITLINK__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271__FDSAUDITLINK__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272__FDSAUDITLINK__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273__FDSAUDITLINK__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274__FDSAUDITLINK__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275__FDSAUDITLINK__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276__FDSAUDITLINK__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277__FDSAUDITLINK__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278__FDSAUDITLINK__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279__FDSAUDITLINK__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28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280__FDSAUDITLINK__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281__FDSAUDITLINK__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282__FDSAUDITLINK__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283__FDSAUDITLINK__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284__FDSAUDITLINK__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285__FDSAUDITLINK__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286__FDSAUDITLINK__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287__FDSAUDITLINK__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288__FDSAUDITLINK__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289__FDSAUDITLINK__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29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290__FDSAUDITLINK__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291__FDSAUDITLINK__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292__FDSAUDITLINK__" hidden="1">{"fdsup://directions/FAT Viewer?action=UPDATE&amp;creator=factSet&amp;DYN_ARGS=true&amp;DOC_NAME=FAT:RGQ_ENTRPR_VAL_EV_SOURCE_WINDOW.FAT&amp;VAR:ID1=ITT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293__FDSAUDITLINK__" hidden="1">{"fdsup://directions/FAT Viewer?action=UPDATE&amp;creator=factSet&amp;DYN_ARGS=true&amp;DOC_NAME=FAT:RGQ_ENTRPR_VAL_EV_SOURCE_WINDOW.FAT&amp;VAR:ID1=ITT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294__FDSAUDITLINK__" hidden="1">{"fdsup://directions/FAT Viewer?action=UPDATE&amp;creator=factSet&amp;DYN_ARGS=true&amp;DOC_NAME=FAT:RGQ_ENTRPR_VAL_EV_SOURCE_WINDOW.FAT&amp;VAR:ID1=ITT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295__FDSAUDITLINK__" hidden="1">{"fdsup://directions/FAT Viewer?action=UPDATE&amp;creator=factSet&amp;DYN_ARGS=true&amp;DOC_NAME=FAT:RGQ_ENTRPR_VAL_EV_SOURCE_WINDOW.FAT&amp;VAR:ID1=ITT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296__FDSAUDITLINK__" hidden="1">{"fdsup://directions/FAT Viewer?action=UPDATE&amp;creator=factSet&amp;DYN_ARGS=true&amp;DOC_NAME=FAT:RGQ_ENTRPR_VAL_EV_SOURCE_WINDOW.FAT&amp;VAR:ID1=ITT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297__FDSAUDITLINK__" hidden="1">{"fdsup://directions/FAT Viewer?action=UPDATE&amp;creator=factSet&amp;DYN_ARGS=true&amp;DOC_NAME=FAT:RGQ_ENTRPR_VAL_EV_SOURCE_WINDOW.FAT&amp;VAR:ID1=ITT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298__FDSAUDITLINK__" hidden="1">{"fdsup://directions/FAT Viewer?action=UPDATE&amp;creator=factSet&amp;DYN_ARGS=true&amp;DOC_NAME=FAT:RGQ_ENTRPR_VAL_EV_SOURCE_WINDOW.FAT&amp;VAR:ID1=ITT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299__FDSAUDITLINK__" hidden="1">{"fdsup://directions/FAT Viewer?action=UPDATE&amp;creator=factSet&amp;DYN_ARGS=true&amp;DOC_NAME=FAT:RGQ_ENTRPR_VAL_EV_SOURCE_WINDOW.FAT&amp;VAR:ID1=ITT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3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30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300__FDSAUDITLINK__" hidden="1">{"fdsup://directions/FAT Viewer?action=UPDATE&amp;creator=factSet&amp;DYN_ARGS=true&amp;DOC_NAME=FAT:RGQ_ENTRPR_VAL_EV_SOURCE_WINDOW.FAT&amp;VAR:ID1=ITT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301__FDSAUDITLINK__" hidden="1">{"fdsup://directions/FAT Viewer?action=UPDATE&amp;creator=factSet&amp;DYN_ARGS=true&amp;DOC_NAME=FAT:RGQ_ENTRPR_VAL_EV_SOURCE_WINDOW.FAT&amp;VAR:ID1=WTS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302__FDSAUDITLINK__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303__FDSAUDITLINK__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304__FDSAUDITLINK__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305__FDSAUDITLINK__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306__FDSAUDITLINK__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307__FDSAUDITLINK__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308__FDSAUDITLINK__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309__FDSAUDITLINK__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31__123Graph_DSS6_B" hidden="1">#N/A</definedName>
    <definedName name="_131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310__FDSAUDITLINK__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311__FDSAUDITLINK__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312__FDSAUDITLINK__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313__FDSAUDITLINK__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314__FDSAUDITLINK__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315__FDSAUDITLINK__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316__FDSAUDITLINK__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317__FDSAUDITLINK__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318__FDSAUDITLINK__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319__FDSAUDITLINK__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32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320__FDSAUDITLINK__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321__FDSAUDITLINK__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322__FDSAUDITLINK__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323__FDSAUDITLINK__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324__FDSAUDITLINK__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325__FDSAUDITLINK__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326__FDSAUDITLINK__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327__FDSAUDITLINK__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328__FDSAUDITLINK__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329__FDSAUDITLINK__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33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330__FDSAUDITLINK__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331__FDSAUDITLINK__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332__FDSAUDITLINK__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333__FDSAUDITLINK__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334__FDSAUDITLINK__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335__FDSAUDITLINK__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336__FDSAUDITLINK__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337__FDSAUDITLINK__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338__FDSAUDITLINK__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339__FDSAUDITLINK__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34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340__FDSAUDITLINK__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341__FDSAUDITLINK__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342__FDSAUDITLINK__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343__FDSAUDITLINK__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344__FDSAUDITLINK__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345__FDSAUDITLINK__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346__FDSAUDITLINK__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347__FDSAUDITLINK__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348__FDSAUDITLINK__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349__FDSAUDITLINK__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35__123Graph_DSS7_A" hidden="1">#N/A</definedName>
    <definedName name="_135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350__FDSAUDITLINK__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351__FDSAUDITLINK__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352__FDSAUDITLINK__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353__FDSAUDITLINK__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354__FDSAUDITLINK__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355__FDSAUDITLINK__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356__FDSAUDITLINK__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357__FDSAUDITLINK__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358__FDSAUDITLINK__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359__FDSAUDITLINK__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36__123Graph_E_Chart_1A" hidden="1">#N/A</definedName>
    <definedName name="_136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360__FDSAUDITLINK__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361__FDSAUDITLINK__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362__FDSAUDITLINK__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363__FDSAUDITLINK__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364__FDSAUDITLINK__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365__FDSAUDITLINK__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366__FDSAUDITLINK__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367__FDSAUDITLINK__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368__FDSAUDITLINK__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369__FDSAUDITLINK__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37__123Graph_ECHART_10" hidden="1">#REF!</definedName>
    <definedName name="_137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370__FDSAUDITLINK__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371__FDSAUDITLINK__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372__FDSAUDITLINK__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373__FDSAUDITLINK__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374__FDSAUDITLINK__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375__FDSAUDITLINK__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376__FDSAUDITLINK__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377__FDSAUDITLINK__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378__FDSAUDITLINK__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379__FDSAUDITLINK__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38__123Graph_ECHART_11" hidden="1">#REF!</definedName>
    <definedName name="_138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380__FDSAUDITLINK__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381__FDSAUDITLINK__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382__FDSAUDITLINK__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383__FDSAUDITLINK__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384__FDSAUDITLINK__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385__FDSAUDITLINK__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386__FDSAUDITLINK__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387__FDSAUDITLINK__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388__FDSAUDITLINK__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389__FDSAUDITLINK__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39__123Graph_ECHART_12" hidden="1">#REF!</definedName>
    <definedName name="_139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390__FDSAUDITLINK__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391__FDSAUDITLINK__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392__FDSAUDITLINK__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393__FDSAUDITLINK__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394__FDSAUDITLINK__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395__FDSAUDITLINK__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396__FDSAUDITLINK__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397__FDSAUDITLINK__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398__FDSAUDITLINK__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399__FDSAUDITLINK__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4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40__123Graph_ECHART_13" hidden="1">#REF!</definedName>
    <definedName name="_140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400__FDSAUDITLINK__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401__FDSAUDITLINK__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402__FDSAUDITLINK__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403__FDSAUDITLINK__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404__FDSAUDITLINK__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405__FDSAUDITLINK__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406__FDSAUDITLINK__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407__FDSAUDITLINK__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408__FDSAUDITLINK__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409__FDSAUDITLINK__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41__123Graph_ECHART_14" hidden="1">#REF!</definedName>
    <definedName name="_141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410__FDSAUDITLINK__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411__FDSAUDITLINK__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412__FDSAUDITLINK__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413__FDSAUDITLINK__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414__FDSAUDITLINK__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415__FDSAUDITLINK__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416__FDSAUDITLINK__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417__FDSAUDITLINK__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418__FDSAUDITLINK__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419__FDSAUDITLINK__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42__123Graph_ECHART_15" hidden="1">#REF!</definedName>
    <definedName name="_142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420__FDSAUDITLINK__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421__FDSAUDITLINK__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422__FDSAUDITLINK__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423__FDSAUDITLINK__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424__FDSAUDITLINK__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425__FDSAUDITLINK__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426__FDSAUDITLINK__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427__FDSAUDITLINK__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428__FDSAUDITLINK__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429__FDSAUDITLINK__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43__123Graph_ECHART_16" hidden="1">#REF!</definedName>
    <definedName name="_143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430__FDSAUDITLINK__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431__FDSAUDITLINK__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432__FDSAUDITLINK__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433__FDSAUDITLINK__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434__FDSAUDITLINK__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435__FDSAUDITLINK__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436__FDSAUDITLINK__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437__FDSAUDITLINK__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438__FDSAUDITLINK__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439__FDSAUDITLINK__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44__123Graph_ECHART_17" hidden="1">#REF!</definedName>
    <definedName name="_144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440__FDSAUDITLINK__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441__FDSAUDITLINK__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442__FDSAUDITLINK__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443__FDSAUDITLINK__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444__FDSAUDITLINK__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445__FDSAUDITLINK__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446__FDSAUDITLINK__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447__FDSAUDITLINK__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448__FDSAUDITLINK__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449__FDSAUDITLINK__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45__123Graph_ECHART_18" hidden="1">#REF!</definedName>
    <definedName name="_145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450__FDSAUDITLINK__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451__FDSAUDITLINK__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452__FDSAUDITLINK__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453__FDSAUDITLINK__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454__FDSAUDITLINK__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455__FDSAUDITLINK__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456__FDSAUDITLINK__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457__FDSAUDITLINK__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458__FDSAUDITLINK__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459__FDSAUDITLINK__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46__123Graph_ECHART_4" hidden="1">#REF!</definedName>
    <definedName name="_146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460__FDSAUDITLINK__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461__FDSAUDITLINK__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462__FDSAUDITLINK__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463__FDSAUDITLINK__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464__FDSAUDITLINK__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465__FDSAUDITLINK__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466__FDSAUDITLINK__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467__FDSAUDITLINK__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468__FDSAUDITLINK__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469__FDSAUDITLINK__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47__123Graph_ECHART_6" hidden="1">#REF!</definedName>
    <definedName name="_147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470__FDSAUDITLINK__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471__FDSAUDITLINK__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472__FDSAUDITLINK__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473__FDSAUDITLINK__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474__FDSAUDITLINK__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475__FDSAUDITLINK__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476__FDSAUDITLINK__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477__FDSAUDITLINK__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478__FDSAUDITLINK__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479__FDSAUDITLINK__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48__123Graph_ECHART_7" hidden="1">#REF!</definedName>
    <definedName name="_148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480__FDSAUDITLINK__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481__FDSAUDITLINK__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482__FDSAUDITLINK__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483__FDSAUDITLINK__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484__FDSAUDITLINK__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485__FDSAUDITLINK__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486__FDSAUDITLINK__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487__FDSAUDITLINK__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488__FDSAUDITLINK__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489__FDSAUDITLINK__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49__123Graph_ECHART_8" hidden="1">#REF!</definedName>
    <definedName name="_149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490__FDSAUDITLINK__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491__FDSAUDITLINK__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492__FDSAUDITLINK__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493__FDSAUDITLINK__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494__FDSAUDITLINK__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495__FDSAUDITLINK__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496__FDSAUDITLINK__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497__FDSAUDITLINK__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498__FDSAUDITLINK__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499__FDSAUDITLINK__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5__123Graph_AINVAR_A" hidden="1">#N/A</definedName>
    <definedName name="_15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50__123Graph_ECHART_9" hidden="1">#REF!</definedName>
    <definedName name="_150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500__FDSAUDITLINK__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501__FDSAUDITLINK__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502__FDSAUDITLINK__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503__FDSAUDITLINK__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504__FDSAUDITLINK__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505__FDSAUDITLINK__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506__FDSAUDITLINK__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507__FDSAUDITLINK__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508__FDSAUDITLINK__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509__FDSAUDITLINK__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51__123Graph_F_Chart_1A" hidden="1">#N/A</definedName>
    <definedName name="_151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510__FDSAUDITLINK__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511__FDSAUDITLINK__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512__FDSAUDITLINK__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513__FDSAUDITLINK__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514__FDSAUDITLINK__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515__FDSAUDITLINK__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516__FDSAUDITLINK__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517__FDSAUDITLINK__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518__FDSAUDITLINK__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519__FDSAUDITLINK__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52__123Graph_FCHART_10" hidden="1">#REF!</definedName>
    <definedName name="_152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520__FDSAUDITLINK__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521__FDSAUDITLINK__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522__FDSAUDITLINK__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523__FDSAUDITLINK__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524__FDSAUDITLINK__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525__FDSAUDITLINK__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526__FDSAUDITLINK__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527__FDSAUDITLINK__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528__FDSAUDITLINK__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529__FDSAUDITLINK__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53__123Graph_FCHART_11" hidden="1">#REF!</definedName>
    <definedName name="_153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530__FDSAUDITLINK__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531__FDSAUDITLINK__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532__FDSAUDITLINK__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533__FDSAUDITLINK__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534__FDSAUDITLINK__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535__FDSAUDITLINK__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536__FDSAUDITLINK__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537__FDSAUDITLINK__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538__FDSAUDITLINK__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539__FDSAUDITLINK__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54__123Graph_FCHART_12" hidden="1">#REF!</definedName>
    <definedName name="_154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540__FDSAUDITLINK__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541__FDSAUDITLINK__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542__FDSAUDITLINK__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543__FDSAUDITLINK__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544__FDSAUDITLINK__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545__FDSAUDITLINK__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546__FDSAUDITLINK__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547__FDSAUDITLINK__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548__FDSAUDITLINK__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549__FDSAUDITLINK__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55__123Graph_FCHART_13" hidden="1">#REF!</definedName>
    <definedName name="_155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550__FDSAUDITLINK__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551__FDSAUDITLINK__" hidden="1">{"fdsup://directions/FAT Viewer?action=UPDATE&amp;creator=factSet&amp;DYN_ARGS=true&amp;DOC_NAME=FAT:RGQ_ENTRPR_VAL_EV_SOURCE_WINDOW.FAT&amp;VAR:ID1=WTS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552__FDSAUDITLINK__" hidden="1">{"fdsup://directions/FAT Viewer?action=UPDATE&amp;creator=factSet&amp;DYN_ARGS=true&amp;DOC_NAME=FAT:RGQ_ENTRPR_VAL_EV_SOURCE_WINDOW.FAT&amp;VAR:ID1=WTS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553__FDSAUDITLINK__" hidden="1">{"fdsup://directions/FAT Viewer?action=UPDATE&amp;creator=factSet&amp;DYN_ARGS=true&amp;DOC_NAME=FAT:RGQ_ENTRPR_VAL_EV_SOURCE_WINDOW.FAT&amp;VAR:ID1=WTS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554__FDSAUDITLINK__" hidden="1">{"fdsup://directions/FAT Viewer?action=UPDATE&amp;creator=factSet&amp;DYN_ARGS=true&amp;DOC_NAME=FAT:RGQ_ENTRPR_VAL_EV_SOURCE_WINDOW.FAT&amp;VAR:ID1=WTS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555__FDSAUDITLINK__" hidden="1">{"fdsup://directions/FAT Viewer?action=UPDATE&amp;creator=factSet&amp;DYN_ARGS=true&amp;DOC_NAME=FAT:RGQ_ENTRPR_VAL_EV_SOURCE_WINDOW.FAT&amp;VAR:ID1=WTS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556__FDSAUDITLINK__" hidden="1">{"fdsup://directions/FAT Viewer?action=UPDATE&amp;creator=factSet&amp;DYN_ARGS=true&amp;DOC_NAME=FAT:RGQ_ENTRPR_VAL_EV_SOURCE_WINDOW.FAT&amp;VAR:ID1=WTS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557__FDSAUDITLINK__" hidden="1">{"fdsup://directions/FAT Viewer?action=UPDATE&amp;creator=factSet&amp;DYN_ARGS=true&amp;DOC_NAME=FAT:RGQ_ENTRPR_VAL_EV_SOURCE_WINDOW.FAT&amp;VAR:ID1=WTS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558__FDSAUDITLINK__" hidden="1">{"fdsup://directions/FAT Viewer?action=UPDATE&amp;creator=factSet&amp;DYN_ARGS=true&amp;DOC_NAME=FAT:RGQ_ENTRPR_VAL_EV_SOURCE_WINDOW.FAT&amp;VAR:ID1=WTS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559__FDSAUDITLINK__" hidden="1">{"fdsup://directions/FAT Viewer?action=UPDATE&amp;creator=factSet&amp;DYN_ARGS=true&amp;DOC_NAME=FAT:RGQ_ENTRPR_VAL_EV_SOURCE_WINDOW.FAT&amp;VAR:ID1=WTS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56__123Graph_FCHART_14" hidden="1">#REF!</definedName>
    <definedName name="_156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560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561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562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563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564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565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566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567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568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569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57__123Graph_FCHART_15" hidden="1">#REF!</definedName>
    <definedName name="_157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570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571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572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573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574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575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576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577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578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579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58__123Graph_FCHART_16" hidden="1">#REF!</definedName>
    <definedName name="_158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580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581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582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583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584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585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586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587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588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589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59__123Graph_FCHART_4" hidden="1">#REF!</definedName>
    <definedName name="_159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590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591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592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593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594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595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596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597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598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599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6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60__123Graph_FCHART_6" hidden="1">#REF!</definedName>
    <definedName name="_160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600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601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602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603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604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605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606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607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608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609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61__123Graph_FCHART_7" hidden="1">#REF!</definedName>
    <definedName name="_161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610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611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612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613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614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615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616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617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618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619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62__123Graph_FCHART_8" hidden="1">#REF!</definedName>
    <definedName name="_162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620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621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622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623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624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625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626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627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628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629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63__123Graph_FCHART_9" hidden="1">#REF!</definedName>
    <definedName name="_163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630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631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632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633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634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635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636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637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638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639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64__123Graph_LBL_ACHART_1" hidden="1">#REF!</definedName>
    <definedName name="_164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640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641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642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643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644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645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646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647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648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649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65__123Graph_LBL_ACHART_2" hidden="1">#REF!</definedName>
    <definedName name="_165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650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651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652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653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654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655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656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657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658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659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66__123Graph_X_Chart_1A" hidden="1">#N/A</definedName>
    <definedName name="_166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660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661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662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663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664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665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666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667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668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669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67__123Graph_XChart_1" hidden="1">#N/A</definedName>
    <definedName name="_167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670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671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672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673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674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675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676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677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678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679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68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680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681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682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683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684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685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686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687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688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689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69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690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691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692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693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694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695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696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697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698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699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7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70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700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701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702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703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704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705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706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707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708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709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71__123Graph_XChart_1A" hidden="1">#REF!</definedName>
    <definedName name="_171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710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711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712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713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714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715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716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717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718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719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72__123Graph_XChart_2" hidden="1">#REF!</definedName>
    <definedName name="_172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720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721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722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723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724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725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726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727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728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729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73__123Graph_XCHART_20" hidden="1">#N/A</definedName>
    <definedName name="_173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730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731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732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733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734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735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736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737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738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739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74__123Graph_XCHART_23" hidden="1">#REF!</definedName>
    <definedName name="_174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740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741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742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743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744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745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746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747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748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749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75__123Graph_XChart_3" hidden="1">#REF!</definedName>
    <definedName name="_175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750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751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752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753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754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755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756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757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758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759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76__123Graph_XChart_4" hidden="1">#REF!</definedName>
    <definedName name="_176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760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761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762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763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764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765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766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767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768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769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77__123Graph_XChart_5" hidden="1">#REF!</definedName>
    <definedName name="_177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770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771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772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773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774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775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776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777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778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779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78__123Graph_XChart_6" hidden="1">#REF!</definedName>
    <definedName name="_178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780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781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782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783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784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785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786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787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788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789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79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790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791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792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793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794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795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796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797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798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799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8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80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800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801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802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803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804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805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806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807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808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809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81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810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811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812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813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814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815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816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817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818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819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82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820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821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822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823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824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825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826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827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828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829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83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830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831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832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833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834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835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836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837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838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839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84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840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841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842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843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844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845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846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847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848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849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85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850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851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852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853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854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855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856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857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858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859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86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860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861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862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863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864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865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866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867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868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869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87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870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871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872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873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874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875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876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877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878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879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88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880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881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882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883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884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885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886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887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888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889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89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890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891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892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893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894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895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896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897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898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899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9__123Graph_ASS6_A" hidden="1">#N/A</definedName>
    <definedName name="_19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90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900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901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902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903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904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905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906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907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908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909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91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910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911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912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913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914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915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916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917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918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919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92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920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921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922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923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924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925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926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927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928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929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93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930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931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932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933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934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935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936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937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938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939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94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940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941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942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943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944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945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946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947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948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949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95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950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951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952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953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954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955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956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957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958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959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96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960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961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962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963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964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965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966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967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968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969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97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970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971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972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973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974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975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976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977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978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979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98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980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981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982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983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984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985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986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987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988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989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99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990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991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992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993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994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995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996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997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998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999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a">#REF!</definedName>
    <definedName name="_1AUTCREANCB_S1_ACTIFLISTE">#REF!</definedName>
    <definedName name="_1bi1">#REF!</definedName>
    <definedName name="_1bi3">#REF!</definedName>
    <definedName name="_1bi4">#REF!</definedName>
    <definedName name="_1bi5">#REF!</definedName>
    <definedName name="_1bi6">#REF!</definedName>
    <definedName name="_1bi7">#REF!</definedName>
    <definedName name="_1bii1">#REF!</definedName>
    <definedName name="_1bii2">#REF!</definedName>
    <definedName name="_1bii3">#REF!</definedName>
    <definedName name="_1bii3bis">#REF!</definedName>
    <definedName name="_1bii4">#REF!</definedName>
    <definedName name="_1bii5">#REF!</definedName>
    <definedName name="_1biii1a">#REF!</definedName>
    <definedName name="_1biii1b">#REF!</definedName>
    <definedName name="_1biii1d">#REF!</definedName>
    <definedName name="_1biii2">#REF!</definedName>
    <definedName name="_1biii2breve">#REF!</definedName>
    <definedName name="_1ci1">#REF!</definedName>
    <definedName name="_1ci3">#REF!</definedName>
    <definedName name="_1ci4b">#REF!</definedName>
    <definedName name="_1ci5">#REF!</definedName>
    <definedName name="_1cii1">#REF!</definedName>
    <definedName name="_1cii2">#REF!</definedName>
    <definedName name="_1cii3">#REF!</definedName>
    <definedName name="_1cii4">#REF!</definedName>
    <definedName name="_1cii4bis">#REF!</definedName>
    <definedName name="_1cii5a">#REF!</definedName>
    <definedName name="_1cii5b">#REF!</definedName>
    <definedName name="_1cii5c">#REF!</definedName>
    <definedName name="_1civ1">#REF!</definedName>
    <definedName name="_1civ2">#REF!</definedName>
    <definedName name="_1civ3">#REF!</definedName>
    <definedName name="_1conti1">#REF!</definedName>
    <definedName name="_1Conti1a">#REF!</definedName>
    <definedName name="_1conti2">#REF!</definedName>
    <definedName name="_1conti3">#REF!</definedName>
    <definedName name="_1conti4">#REF!</definedName>
    <definedName name="_1d">#REF!</definedName>
    <definedName name="_2">#REF!</definedName>
    <definedName name="_2__123Graph_AChart_1" hidden="1">#N/A</definedName>
    <definedName name="_2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__preconsuntivo">[13]HAN!$R$6:$AS$74</definedName>
    <definedName name="_20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00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000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2001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2002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2003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2004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2005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2006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2007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2008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2009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201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010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2011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2012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2013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2014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2015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2016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2017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018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019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02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020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021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022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023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024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025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026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027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028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029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03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030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031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032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033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034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035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036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037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038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039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04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040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041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042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043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044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045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046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047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048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049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05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050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051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052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053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054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055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056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057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058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059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06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060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061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062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063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064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065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066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067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068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069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07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070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071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072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073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074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075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076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077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078__FDSAUDITLINK__" hidden="1">{"fdsup://directions/FAT Viewer?action=UPDATE&amp;creator=factSet&amp;DYN_ARGS=true&amp;DOC_NAME=FAT:RGQ_ENTRPR_VAL_EV_SOURCE_WINDOW.FAT&amp;VAR:ID1=BWT-AT&amp;VAR:SDATE=20101231&amp;VAR:FDATE=20100930&amp;VAR:FREQ=WEEKLY&amp;VAR:RELITEM=&amp;VAR:CURRENCY=&amp;VAR:DB_TYPE=&amp;VAR:UNITS=M&amp;window=popu","p&amp;width=535&amp;height=425&amp;START_MAXIMIZED=FALSE&amp;Y=120&amp;display_string=audit"}</definedName>
    <definedName name="_2079__FDSAUDITLINK__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208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080__FDSAUDITLINK__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2081__FDSAUDITLINK__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2082__FDSAUDITLINK__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2083__FDSAUDITLINK__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2084__FDSAUDITLINK__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2085__FDSAUDITLINK__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2086__FDSAUDITLINK__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2087__FDSAUDITLINK__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2088__FDSAUDITLINK__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2089__FDSAUDITLINK__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209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090__FDSAUDITLINK__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2091__FDSAUDITLINK__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2092__FDSAUDITLINK__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2093__FDSAUDITLINK__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2094__FDSAUDITLINK__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2095__FDSAUDITLINK__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2096__FDSAUDITLINK__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2097__FDSAUDITLINK__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2098__FDSAUDITLINK__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2099__FDSAUDITLINK__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21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10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100__FDSAUDITLINK__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2101__FDSAUDITLINK__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2102__FDSAUDITLINK__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2103__FDSAUDITLINK__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2104__FDSAUDITLINK__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2105__FDSAUDITLINK__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2106__FDSAUDITLINK__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2107__FDSAUDITLINK__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2108__FDSAUDITLINK__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2109__FDSAUDITLINK__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211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110__FDSAUDITLINK__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2111__FDSAUDITLINK__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2112__FDSAUDITLINK__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2113__FDSAUDITLINK__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2114__FDSAUDITLINK__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2115__FDSAUDITLINK__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2116__FDSAUDITLINK__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2117__FDSAUDITLINK__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2118__FDSAUDITLINK__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2119__FDSAUDITLINK__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212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120__FDSAUDITLINK__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2121__FDSAUDITLINK__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2122__FDSAUDITLINK__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2123__FDSAUDITLINK__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2124__FDSAUDITLINK__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2125__FDSAUDITLINK__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2126__FDSAUDITLINK__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2127__FDSAUDITLINK__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2128__FDSAUDITLINK__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2129__FDSAUDITLINK__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213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130__FDSAUDITLINK__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2131__FDSAUDITLINK__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2132__FDSAUDITLINK__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2133__FDSAUDITLINK__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2134__FDSAUDITLINK__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2135__FDSAUDITLINK__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2136__FDSAUDITLINK__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2137__FDSAUDITLINK__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2138__FDSAUDITLINK__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2139__FDSAUDITLINK__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214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140__FDSAUDITLINK__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2141__FDSAUDITLINK__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2142__FDSAUDITLINK__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2143__FDSAUDITLINK__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2144__FDSAUDITLINK__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2145__FDSAUDITLINK__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2146__FDSAUDITLINK__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2147__FDSAUDITLINK__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2148__FDSAUDITLINK__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2149__FDSAUDITLINK__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215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150__FDSAUDITLINK__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2151__FDSAUDITLINK__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2152__FDSAUDITLINK__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2153__FDSAUDITLINK__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2154__FDSAUDITLINK__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2155__FDSAUDITLINK__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2156__FDSAUDITLINK__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2157__FDSAUDITLINK__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2158__FDSAUDITLINK__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2159__FDSAUDITLINK__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216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160__FDSAUDITLINK__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2161__FDSAUDITLINK__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2162__FDSAUDITLINK__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2163__FDSAUDITLINK__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2164__FDSAUDITLINK__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2165__FDSAUDITLINK__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2166__FDSAUDITLINK__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2167__FDSAUDITLINK__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2168__FDSAUDITLINK__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2169__FDSAUDITLINK__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217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170__FDSAUDITLINK__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2171__FDSAUDITLINK__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2172__FDSAUDITLINK__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2173__FDSAUDITLINK__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2174__FDSAUDITLINK__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2175__FDSAUDITLINK__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2176__FDSAUDITLINK__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2177__FDSAUDITLINK__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2178__FDSAUDITLINK__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2179__FDSAUDITLINK__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218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180__FDSAUDITLINK__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2181__FDSAUDITLINK__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2182__FDSAUDITLINK__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2183__FDSAUDITLINK__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2184__FDSAUDITLINK__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2185__FDSAUDITLINK__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2186__FDSAUDITLINK__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2187__FDSAUDITLINK__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2188__FDSAUDITLINK__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2189__FDSAUDITLINK__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219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190__FDSAUDITLINK__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2191__FDSAUDITLINK__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2192__FDSAUDITLINK__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2193__FDSAUDITLINK__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2194__FDSAUDITLINK__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2195__FDSAUDITLINK__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2196__FDSAUDITLINK__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2197__FDSAUDITLINK__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2198__FDSAUDITLINK__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2199__FDSAUDITLINK__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22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20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200__FDSAUDITLINK__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2201__FDSAUDITLINK__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2202__FDSAUDITLINK__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2203__FDSAUDITLINK__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2204__FDSAUDITLINK__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2205__FDSAUDITLINK__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2206__FDSAUDITLINK__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2207__FDSAUDITLINK__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2208__FDSAUDITLINK__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2209__FDSAUDITLINK__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221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210__FDSAUDITLINK__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2211__FDSAUDITLINK__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2212__FDSAUDITLINK__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2213__FDSAUDITLINK__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2214__FDSAUDITLINK__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2215__FDSAUDITLINK__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2216__FDSAUDITLINK__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2217__FDSAUDITLINK__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2218__FDSAUDITLINK__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2219__FDSAUDITLINK__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222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220__FDSAUDITLINK__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2221__FDSAUDITLINK__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2222__FDSAUDITLINK__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2223__FDSAUDITLINK__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2224__FDSAUDITLINK__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2225__FDSAUDITLINK__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2226__FDSAUDITLINK__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2227__FDSAUDITLINK__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2228__FDSAUDITLINK__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2229__FDSAUDITLINK__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223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230__FDSAUDITLINK__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2231__FDSAUDITLINK__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2232__FDSAUDITLINK__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2233__FDSAUDITLINK__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2234__FDSAUDITLINK__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2235__FDSAUDITLINK__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2236__FDSAUDITLINK__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2237__FDSAUDITLINK__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2238__FDSAUDITLINK__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2239__FDSAUDITLINK__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224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240__FDSAUDITLINK__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2241__FDSAUDITLINK__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2242__FDSAUDITLINK__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2243__FDSAUDITLINK__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2244__FDSAUDITLINK__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2245__FDSAUDITLINK__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2246__FDSAUDITLINK__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2247__FDSAUDITLINK__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2248__FDSAUDITLINK__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2249__FDSAUDITLINK__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225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250__FDSAUDITLINK__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2251__FDSAUDITLINK__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2252__FDSAUDITLINK__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2253__FDSAUDITLINK__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2254__FDSAUDITLINK__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2255__FDSAUDITLINK__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2256__FDSAUDITLINK__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2257__FDSAUDITLINK__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2258__FDSAUDITLINK__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2259__FDSAUDITLINK__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226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260__FDSAUDITLINK__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2261__FDSAUDITLINK__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2262__FDSAUDITLINK__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2263__FDSAUDITLINK__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2264__FDSAUDITLINK__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2265__FDSAUDITLINK__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2266__FDSAUDITLINK__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2267__FDSAUDITLINK__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2268__FDSAUDITLINK__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2269__FDSAUDITLINK__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227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270__FDSAUDITLINK__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2271__FDSAUDITLINK__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2272__FDSAUDITLINK__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2273__FDSAUDITLINK__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2274__FDSAUDITLINK__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2275__FDSAUDITLINK__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2276__FDSAUDITLINK__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2277__FDSAUDITLINK__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2278__FDSAUDITLINK__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2279__FDSAUDITLINK__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228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280__FDSAUDITLINK__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2281__FDSAUDITLINK__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2282__FDSAUDITLINK__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2283__FDSAUDITLINK__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2284__FDSAUDITLINK__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2285__FDSAUDITLINK__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2286__FDSAUDITLINK__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2287__FDSAUDITLINK__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2288__FDSAUDITLINK__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2289__FDSAUDITLINK__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229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290__FDSAUDITLINK__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2291__FDSAUDITLINK__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2292__FDSAUDITLINK__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2293__FDSAUDITLINK__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2294__FDSAUDITLINK__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2295__FDSAUDITLINK__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2296__FDSAUDITLINK__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2297__FDSAUDITLINK__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2298__FDSAUDITLINK__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2299__FDSAUDITLINK__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23__123Graph_ASTD_A" hidden="1">#N/A</definedName>
    <definedName name="_23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30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300__FDSAUDITLINK__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2301__FDSAUDITLINK__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2302__FDSAUDITLINK__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2303__FDSAUDITLINK__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2304__FDSAUDITLINK__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2305__FDSAUDITLINK__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2306__FDSAUDITLINK__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2307__FDSAUDITLINK__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2308__FDSAUDITLINK__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2309__FDSAUDITLINK__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231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310__FDSAUDITLINK__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2311__FDSAUDITLINK__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2312__FDSAUDITLINK__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2313__FDSAUDITLINK__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2314__FDSAUDITLINK__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2315__FDSAUDITLINK__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2316__FDSAUDITLINK__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2317__FDSAUDITLINK__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2318__FDSAUDITLINK__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2319__FDSAUDITLINK__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232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320__FDSAUDITLINK__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2321__FDSAUDITLINK__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2322__FDSAUDITLINK__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2323__FDSAUDITLINK__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2324__FDSAUDITLINK__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2325__FDSAUDITLINK__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2326__FDSAUDITLINK__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2327__FDSAUDITLINK__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2328__FDSAUDITLINK__" hidden="1">{"fdsup://directions/FAT Viewer?action=UPDATE&amp;creator=factSet&amp;DYN_ARGS=true&amp;DOC_NAME=FAT:RGQ_ENTRPR_VAL_EV_SOURCE_WINDOW.FAT&amp;VAR:ID1=BWT-AT&amp;VAR:SDATE=20060317&amp;VAR:FDATE=20051230&amp;VAR:FREQ=WEEKLY&amp;VAR:RELITEM=&amp;VAR:CURRENCY=&amp;VAR:DB_TYPE=&amp;VAR:UNITS=M&amp;window=popu","p&amp;width=535&amp;height=425&amp;START_MAXIMIZED=FALSE&amp;Y=120&amp;display_string=audit"}</definedName>
    <definedName name="_2329__FDSAUDITLINK__" hidden="1">{"fdsup://directions/FAT Viewer?action=UPDATE&amp;creator=factSet&amp;DYN_ARGS=true&amp;DOC_NAME=FAT:RGQ_ENTRPR_VAL_EV_SOURCE_WINDOW.FAT&amp;VAR:ID1=BWT-AT&amp;VAR:SDATE=20060310&amp;VAR:FDATE=20051230&amp;VAR:FREQ=WEEKLY&amp;VAR:RELITEM=&amp;VAR:CURRENCY=&amp;VAR:DB_TYPE=&amp;VAR:UNITS=M&amp;window=popu","p&amp;width=535&amp;height=425&amp;START_MAXIMIZED=FALSE&amp;Y=120&amp;display_string=audit"}</definedName>
    <definedName name="_233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330__FDSAUDITLINK__" hidden="1">{"fdsup://directions/FAT Viewer?action=UPDATE&amp;creator=factSet&amp;DYN_ARGS=true&amp;DOC_NAME=FAT:RGQ_ENTRPR_VAL_EV_SOURCE_WINDOW.FAT&amp;VAR:ID1=BWT-AT&amp;VAR:SDATE=20060303&amp;VAR:FDATE=20051230&amp;VAR:FREQ=WEEKLY&amp;VAR:RELITEM=&amp;VAR:CURRENCY=&amp;VAR:DB_TYPE=&amp;VAR:UNITS=M&amp;window=popu","p&amp;width=535&amp;height=425&amp;START_MAXIMIZED=FALSE&amp;Y=120&amp;display_string=audit"}</definedName>
    <definedName name="_2331__FDSAUDITLINK__" hidden="1">{"fdsup://directions/FAT Viewer?action=UPDATE&amp;creator=factSet&amp;DYN_ARGS=true&amp;DOC_NAME=FAT:RGQ_ENTRPR_VAL_EV_SOURCE_WINDOW.FAT&amp;VAR:ID1=BWT-AT&amp;VAR:SDATE=20060224&amp;VAR:FDATE=20051230&amp;VAR:FREQ=WEEKLY&amp;VAR:RELITEM=&amp;VAR:CURRENCY=&amp;VAR:DB_TYPE=&amp;VAR:UNITS=M&amp;window=popu","p&amp;width=535&amp;height=425&amp;START_MAXIMIZED=FALSE&amp;Y=120&amp;display_string=audit"}</definedName>
    <definedName name="_2332__FDSAUDITLINK__" hidden="1">{"fdsup://directions/FAT Viewer?action=UPDATE&amp;creator=factSet&amp;DYN_ARGS=true&amp;DOC_NAME=FAT:RGQ_ENTRPR_VAL_EV_SOURCE_WINDOW.FAT&amp;VAR:ID1=BWT-AT&amp;VAR:SDATE=20060217&amp;VAR:FDATE=20051230&amp;VAR:FREQ=WEEKLY&amp;VAR:RELITEM=&amp;VAR:CURRENCY=&amp;VAR:DB_TYPE=&amp;VAR:UNITS=M&amp;window=popu","p&amp;width=535&amp;height=425&amp;START_MAXIMIZED=FALSE&amp;Y=120&amp;display_string=audit"}</definedName>
    <definedName name="_2333__FDSAUDITLINK__" hidden="1">{"fdsup://directions/FAT Viewer?action=UPDATE&amp;creator=factSet&amp;DYN_ARGS=true&amp;DOC_NAME=FAT:RGQ_ENTRPR_VAL_EV_SOURCE_WINDOW.FAT&amp;VAR:ID1=BWT-AT&amp;VAR:SDATE=20060210&amp;VAR:FDATE=20051230&amp;VAR:FREQ=WEEKLY&amp;VAR:RELITEM=&amp;VAR:CURRENCY=&amp;VAR:DB_TYPE=&amp;VAR:UNITS=M&amp;window=popu","p&amp;width=535&amp;height=425&amp;START_MAXIMIZED=FALSE&amp;Y=120&amp;display_string=audit"}</definedName>
    <definedName name="_2334__FDSAUDITLINK__" hidden="1">{"fdsup://directions/FAT Viewer?action=UPDATE&amp;creator=factSet&amp;DYN_ARGS=true&amp;DOC_NAME=FAT:RGQ_ENTRPR_VAL_EV_SOURCE_WINDOW.FAT&amp;VAR:ID1=BWT-AT&amp;VAR:SDATE=20060203&amp;VAR:FDATE=20051230&amp;VAR:FREQ=WEEKLY&amp;VAR:RELITEM=&amp;VAR:CURRENCY=&amp;VAR:DB_TYPE=&amp;VAR:UNITS=M&amp;window=popu","p&amp;width=535&amp;height=425&amp;START_MAXIMIZED=FALSE&amp;Y=120&amp;display_string=audit"}</definedName>
    <definedName name="_2335__FDSAUDITLINK__" hidden="1">{"fdsup://directions/FAT Viewer?action=UPDATE&amp;creator=factSet&amp;DYN_ARGS=true&amp;DOC_NAME=FAT:RGQ_ENTRPR_VAL_EV_SOURCE_WINDOW.FAT&amp;VAR:ID1=BWT-AT&amp;VAR:SDATE=20060127&amp;VAR:FDATE=20051230&amp;VAR:FREQ=WEEKLY&amp;VAR:RELITEM=&amp;VAR:CURRENCY=&amp;VAR:DB_TYPE=&amp;VAR:UNITS=M&amp;window=popu","p&amp;width=535&amp;height=425&amp;START_MAXIMIZED=FALSE&amp;Y=120&amp;display_string=audit"}</definedName>
    <definedName name="_2336__FDSAUDITLINK__" hidden="1">{"fdsup://directions/FAT Viewer?action=UPDATE&amp;creator=factSet&amp;DYN_ARGS=true&amp;DOC_NAME=FAT:RGQ_ENTRPR_VAL_EV_SOURCE_WINDOW.FAT&amp;VAR:ID1=BWT-AT&amp;VAR:SDATE=20060120&amp;VAR:FDATE=20051230&amp;VAR:FREQ=WEEKLY&amp;VAR:RELITEM=&amp;VAR:CURRENCY=&amp;VAR:DB_TYPE=&amp;VAR:UNITS=M&amp;window=popu","p&amp;width=535&amp;height=425&amp;START_MAXIMIZED=FALSE&amp;Y=120&amp;display_string=audit"}</definedName>
    <definedName name="_2337__FDSAUDITLINK__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2338__FDSAUDITLINK__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2339__FDSAUDITLINK__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234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340__FDSAUDITLINK__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2341__FDSAUDITLINK__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2342__FDSAUDITLINK__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2343__FDSAUDITLINK__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2344__FDSAUDITLINK__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2345__FDSAUDITLINK__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2346__FDSAUDITLINK__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2347__FDSAUDITLINK__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2348__FDSAUDITLINK__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2349__FDSAUDITLINK__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235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350__FDSAUDITLINK__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2351__FDSAUDITLINK__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2352__FDSAUDITLINK__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2353__FDSAUDITLINK__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2354__FDSAUDITLINK__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2355__FDSAUDITLINK__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2356__FDSAUDITLINK__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2357__FDSAUDITLINK__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2358__FDSAUDITLINK__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2359__FDSAUDITLINK__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236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360__FDSAUDITLINK__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2361__FDSAUDITLINK__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2362__FDSAUDITLINK__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2363__FDSAUDITLINK__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2364__FDSAUDITLINK__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2365__FDSAUDITLINK__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2366__FDSAUDITLINK__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2367__FDSAUDITLINK__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2368__FDSAUDITLINK__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2369__FDSAUDITLINK__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237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370__FDSAUDITLINK__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2371__FDSAUDITLINK__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2372__FDSAUDITLINK__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2373__FDSAUDITLINK__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2374__FDSAUDITLINK__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2375__FDSAUDITLINK__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2376__FDSAUDITLINK__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2377__FDSAUDITLINK__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2378__FDSAUDITLINK__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2379__FDSAUDITLINK__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238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380__FDSAUDITLINK__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2381__FDSAUDITLINK__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2382__FDSAUDITLINK__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2383__FDSAUDITLINK__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2384__FDSAUDITLINK__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2385__FDSAUDITLINK__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2386__FDSAUDITLINK__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2387__FDSAUDITLINK__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2388__FDSAUDITLINK__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2389__FDSAUDITLINK__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239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390__FDSAUDITLINK__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2391__FDSAUDITLINK__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2392__FDSAUDITLINK__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2393__FDSAUDITLINK__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2394__FDSAUDITLINK__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2395__FDSAUDITLINK__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2396__FDSAUDITLINK__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2397__FDSAUDITLINK__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2398__FDSAUDITLINK__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2399__FDSAUDITLINK__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24__123Graph_B_Chart_1A" hidden="1">#N/A</definedName>
    <definedName name="_24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40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400__FDSAUDITLINK__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2401__FDSAUDITLINK__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2402__FDSAUDITLINK__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2403__FDSAUDITLINK__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2404__FDSAUDITLINK__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2405__FDSAUDITLINK__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2406__FDSAUDITLINK__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2407__FDSAUDITLINK__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2408__FDSAUDITLINK__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2409__FDSAUDITLINK__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241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410__FDSAUDITLINK__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2411__FDSAUDITLINK__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2412__FDSAUDITLINK__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2413__FDSAUDITLINK__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2414__FDSAUDITLINK__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2415__FDSAUDITLINK__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2416__FDSAUDITLINK__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2417__FDSAUDITLINK__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2418__FDSAUDITLINK__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2419__FDSAUDITLINK__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242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420__FDSAUDITLINK__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2421__FDSAUDITLINK__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2422__FDSAUDITLINK__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2423__FDSAUDITLINK__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2424__FDSAUDITLINK__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2425__FDSAUDITLINK__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2426__FDSAUDITLINK__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2427__FDSAUDITLINK__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2428__FDSAUDITLINK__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2429__FDSAUDITLINK__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243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430__FDSAUDITLINK__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2431__FDSAUDITLINK__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2432__FDSAUDITLINK__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2433__FDSAUDITLINK__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2434__FDSAUDITLINK__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2435__FDSAUDITLINK__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2436__FDSAUDITLINK__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2437__FDSAUDITLINK__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2438__FDSAUDITLINK__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2439__FDSAUDITLINK__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244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440__FDSAUDITLINK__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2441__FDSAUDITLINK__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2442__FDSAUDITLINK__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2443__FDSAUDITLINK__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2444__FDSAUDITLINK__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2445__FDSAUDITLINK__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2446__FDSAUDITLINK__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2447__FDSAUDITLINK__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2448__FDSAUDITLINK__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2449__FDSAUDITLINK__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245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450__FDSAUDITLINK__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2451__FDSAUDITLINK__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2452__FDSAUDITLINK__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2453__FDSAUDITLINK__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2454__FDSAUDITLINK__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2455__FDSAUDITLINK__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2456__FDSAUDITLINK__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2457__FDSAUDITLINK__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2458__FDSAUDITLINK__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2459__FDSAUDITLINK__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246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460__FDSAUDITLINK__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2461__FDSAUDITLINK__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2462__FDSAUDITLINK__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2463__FDSAUDITLINK__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2464__FDSAUDITLINK__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2465__FDSAUDITLINK__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2466__FDSAUDITLINK__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2467__FDSAUDITLINK__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2468__FDSAUDITLINK__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2469__FDSAUDITLINK__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247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470__FDSAUDITLINK__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2471__FDSAUDITLINK__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2472__FDSAUDITLINK__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2473__FDSAUDITLINK__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2474__FDSAUDITLINK__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2475__FDSAUDITLINK__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2476__FDSAUDITLINK__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2477__FDSAUDITLINK__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2478__FDSAUDITLINK__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2479__FDSAUDITLINK__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248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480__FDSAUDITLINK__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2481__FDSAUDITLINK__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2482__FDSAUDITLINK__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2483__FDSAUDITLINK__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2484__FDSAUDITLINK__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2485__FDSAUDITLINK__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2486__FDSAUDITLINK__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2487__FDSAUDITLINK__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2488__FDSAUDITLINK__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2489__FDSAUDITLINK__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249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490__FDSAUDITLINK__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2491__FDSAUDITLINK__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2492__FDSAUDITLINK__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2493__FDSAUDITLINK__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2494__FDSAUDITLINK__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2495__FDSAUDITLINK__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2496__FDSAUDITLINK__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2497__FDSAUDITLINK__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2498__FDSAUDITLINK__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2499__FDSAUDITLINK__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25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50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500__FDSAUDITLINK__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2501__FDSAUDITLINK__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2502__FDSAUDITLINK__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2503__FDSAUDITLINK__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2504__FDSAUDITLINK__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2505__FDSAUDITLINK__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2506__FDSAUDITLINK__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2507__FDSAUDITLINK__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2508__FDSAUDITLINK__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2509__FDSAUDITLINK__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251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510__FDSAUDITLINK__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2511__FDSAUDITLINK__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2512__FDSAUDITLINK__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2513__FDSAUDITLINK__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2514__FDSAUDITLINK__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2515__FDSAUDITLINK__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2516__FDSAUDITLINK__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2517__FDSAUDITLINK__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2518__FDSAUDITLINK__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2519__FDSAUDITLINK__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252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520__FDSAUDITLINK__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2521__FDSAUDITLINK__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2522__FDSAUDITLINK__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2523__FDSAUDITLINK__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2524__FDSAUDITLINK__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2525__FDSAUDITLINK__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2526__FDSAUDITLINK__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2527__FDSAUDITLINK__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2528__FDSAUDITLINK__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2529__FDSAUDITLINK__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253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530__FDSAUDITLINK__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2531__FDSAUDITLINK__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2532__FDSAUDITLINK__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2533__FDSAUDITLINK__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2534__FDSAUDITLINK__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2535__FDSAUDITLINK__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2536__FDSAUDITLINK__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2537__FDSAUDITLINK__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2538__FDSAUDITLINK__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2539__FDSAUDITLINK__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254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540__FDSAUDITLINK__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2541__FDSAUDITLINK__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2542__FDSAUDITLINK__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2543__FDSAUDITLINK__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2544__FDSAUDITLINK__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2545__FDSAUDITLINK__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2546__FDSAUDITLINK__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2547__FDSAUDITLINK__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2548__FDSAUDITLINK__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2549__FDSAUDITLINK__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255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550__FDSAUDITLINK__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2551__FDSAUDITLINK__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2552__FDSAUDITLINK__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2553__FDSAUDITLINK__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2554__FDSAUDITLINK__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2555__FDSAUDITLINK__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2556__FDSAUDITLINK__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2557__FDSAUDITLINK__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2558__FDSAUDITLINK__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2559__FDSAUDITLINK__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256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560__FDSAUDITLINK__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2561__FDSAUDITLINK__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2562__FDSAUDITLINK__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2563__FDSAUDITLINK__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2564__FDSAUDITLINK__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2565__FDSAUDITLINK__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2566__FDSAUDITLINK__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2567__FDSAUDITLINK__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2568__FDSAUDITLINK__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2569__FDSAUDITLINK__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257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570__FDSAUDITLINK__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2571__FDSAUDITLINK__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2572__FDSAUDITLINK__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2573__FDSAUDITLINK__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2574__FDSAUDITLINK__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2575__FDSAUDITLINK__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2576__FDSAUDITLINK__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2577__FDSAUDITLINK__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2578__FDSAUDITLINK__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2579__FDSAUDITLINK__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258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580__FDSAUDITLINK__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2581__FDSAUDITLINK__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2582__FDSAUDITLINK__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2583__FDSAUDITLINK__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2584__FDSAUDITLINK__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2585__FDSAUDITLINK__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2586__FDSAUDITLINK__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2587__FDSAUDITLINK__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2588__FDSAUDITLINK__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2589__FDSAUDITLINK__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259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590__FDSAUDITLINK__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2591__FDSAUDITLINK__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2592__FDSAUDITLINK__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2593__FDSAUDITLINK__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2594__FDSAUDITLINK__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2595__FDSAUDITLINK__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2596__FDSAUDITLINK__" hidden="1">{"fdsup://directions/FAT Viewer?action=UPDATE&amp;creator=factSet&amp;DYN_ARGS=true&amp;DOC_NAME=FAT:RGQ_ENTRPR_VAL_EV_SOURCE_WINDOW.FAT&amp;VAR:ID1=ITT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597__FDSAUDITLINK__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2598__FDSAUDITLINK__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2599__FDSAUDITLINK__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26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60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600__FDSAUDITLINK__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2601__FDSAUDITLINK__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2602__FDSAUDITLINK__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2603__FDSAUDITLINK__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2604__FDSAUDITLINK__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2605__FDSAUDITLINK__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2606__FDSAUDITLINK__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2607__FDSAUDITLINK__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2608__FDSAUDITLINK__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2609__FDSAUDITLINK__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261__FDSAUDITLINK__" hidden="1">{"fdsup://directions/FAT Viewer?action=UPDATE&amp;creator=factSet&amp;DYN_ARGS=true&amp;DOC_NAME=FAT:RGQ_ENTRPR_VAL_EV_SOURCE_WINDOW.FAT&amp;VAR:ID1=PNR&amp;VAR:SDATE=20060113&amp;VAR:FDATE=20051230&amp;VAR:FREQ=WEEKLY&amp;VAR:RELITEM=&amp;VAR:CURRENCY=&amp;VAR:DB_TYPE=&amp;VAR:UNITS=M&amp;window=popup&amp;w","idth=535&amp;height=425&amp;START_MAXIMIZED=FALSE&amp;Y=120&amp;display_string=audit"}</definedName>
    <definedName name="_2610__FDSAUDITLINK__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2611__FDSAUDITLINK__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2612__FDSAUDITLINK__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2613__FDSAUDITLINK__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2614__FDSAUDITLINK__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615__FDSAUDITLINK__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616__FDSAUDITLINK__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617__FDSAUDITLINK__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618__FDSAUDITLINK__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619__FDSAUDITLINK__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62__FDSAUDITLINK__" hidden="1">{"fdsup://directions/FAT Viewer?action=UPDATE&amp;creator=factSet&amp;DYN_ARGS=true&amp;DOC_NAME=FAT:RGQ_ENTRPR_VAL_EV_SOURCE_WINDOW.FAT&amp;VAR:ID1=PLL&amp;VAR:SDATE=20110107&amp;VAR:FDATE=20101029&amp;VAR:FREQ=WEEKLY&amp;VAR:RELITEM=&amp;VAR:CURRENCY=&amp;VAR:DB_TYPE=&amp;VAR:UNITS=M&amp;window=popup&amp;w","idth=535&amp;height=425&amp;START_MAXIMIZED=FALSE&amp;Y=120&amp;display_string=audit"}</definedName>
    <definedName name="_2620__FDSAUDITLINK__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621__FDSAUDITLINK__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622__FDSAUDITLINK__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623__FDSAUDITLINK__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624__FDSAUDITLINK__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2625__FDSAUDITLINK__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2626__FDSAUDITLINK__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2627__FDSAUDITLINK__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2628__FDSAUDITLINK__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2629__FDSAUDITLINK__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263__FDSAUDITLINK__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2630__FDSAUDITLINK__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2631__FDSAUDITLINK__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2632__FDSAUDITLINK__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2633__FDSAUDITLINK__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2634__FDSAUDITLINK__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2635__FDSAUDITLINK__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2636__FDSAUDITLINK__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2637__FDSAUDITLINK__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2638__FDSAUDITLINK__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2639__FDSAUDITLINK__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264__FDSAUDITLINK__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2640__FDSAUDITLINK__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2641__FDSAUDITLINK__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2642__FDSAUDITLINK__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2643__FDSAUDITLINK__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2644__FDSAUDITLINK__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2645__FDSAUDITLINK__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2646__FDSAUDITLINK__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2647__FDSAUDITLINK__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2648__FDSAUDITLINK__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2649__FDSAUDITLINK__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265__FDSAUDITLINK__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2650__FDSAUDITLINK__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2651__FDSAUDITLINK__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2652__FDSAUDITLINK__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2653__FDSAUDITLINK__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2654__FDSAUDITLINK__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2655__FDSAUDITLINK__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2656__FDSAUDITLINK__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2657__FDSAUDITLINK__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2658__FDSAUDITLINK__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2659__FDSAUDITLINK__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266__FDSAUDITLINK__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2660__FDSAUDITLINK__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2661__FDSAUDITLINK__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2662__FDSAUDITLINK__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2663__FDSAUDITLINK__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2664__FDSAUDITLINK__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2665__FDSAUDITLINK__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2666__FDSAUDITLINK__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2667__FDSAUDITLINK__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2668__FDSAUDITLINK__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2669__FDSAUDITLINK__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267__FDSAUDITLINK__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2670__FDSAUDITLINK__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2671__FDSAUDITLINK__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2672__FDSAUDITLINK__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2673__FDSAUDITLINK__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2674__FDSAUDITLINK__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2675__FDSAUDITLINK__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2676__FDSAUDITLINK__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2677__FDSAUDITLINK__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2678__FDSAUDITLINK__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2679__FDSAUDITLINK__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268__FDSAUDITLINK__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2680__FDSAUDITLINK__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2681__FDSAUDITLINK__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2682__FDSAUDITLINK__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2683__FDSAUDITLINK__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2684__FDSAUDITLINK__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2685__FDSAUDITLINK__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2686__FDSAUDITLINK__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2687__FDSAUDITLINK__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2688__FDSAUDITLINK__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2689__FDSAUDITLINK__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269__FDSAUDITLINK__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2690__FDSAUDITLINK__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2691__FDSAUDITLINK__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2692__FDSAUDITLINK__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2693__FDSAUDITLINK__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2694__FDSAUDITLINK__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2695__FDSAUDITLINK__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2696__FDSAUDITLINK__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2697__FDSAUDITLINK__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2698__FDSAUDITLINK__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2699__FDSAUDITLINK__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27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70__FDSAUDITLINK__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2700__FDSAUDITLINK__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2701__FDSAUDITLINK__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2702__FDSAUDITLINK__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2703__FDSAUDITLINK__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2704__FDSAUDITLINK__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2705__FDSAUDITLINK__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2706__FDSAUDITLINK__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2707__FDSAUDITLINK__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2708__FDSAUDITLINK__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2709__FDSAUDITLINK__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271__FDSAUDITLINK__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2710__FDSAUDITLINK__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2711__FDSAUDITLINK__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2712__FDSAUDITLINK__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2713__FDSAUDITLINK__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2714__FDSAUDITLINK__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2715__FDSAUDITLINK__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2716__FDSAUDITLINK__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2717__FDSAUDITLINK__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2718__FDSAUDITLINK__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2719__FDSAUDITLINK__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272__FDSAUDITLINK__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2720__FDSAUDITLINK__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2721__FDSAUDITLINK__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2722__FDSAUDITLINK__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2723__FDSAUDITLINK__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2724__FDSAUDITLINK__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2725__FDSAUDITLINK__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2726__FDSAUDITLINK__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2727__FDSAUDITLINK__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2728__FDSAUDITLINK__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2729__FDSAUDITLINK__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273__FDSAUDITLINK__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2730__FDSAUDITLINK__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2731__FDSAUDITLINK__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2732__FDSAUDITLINK__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2733__FDSAUDITLINK__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2734__FDSAUDITLINK__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2735__FDSAUDITLINK__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2736__FDSAUDITLINK__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2737__FDSAUDITLINK__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2738__FDSAUDITLINK__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2739__FDSAUDITLINK__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274__FDSAUDITLINK__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2740__FDSAUDITLINK__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2741__FDSAUDITLINK__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2742__FDSAUDITLINK__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2743__FDSAUDITLINK__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2744__FDSAUDITLINK__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2745__FDSAUDITLINK__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2746__FDSAUDITLINK__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2747__FDSAUDITLINK__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2748__FDSAUDITLINK__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2749__FDSAUDITLINK__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275__FDSAUDITLINK__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2750__FDSAUDITLINK__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2751__FDSAUDITLINK__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2752__FDSAUDITLINK__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2753__FDSAUDITLINK__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2754__FDSAUDITLINK__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2755__FDSAUDITLINK__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2756__FDSAUDITLINK__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2757__FDSAUDITLINK__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2758__FDSAUDITLINK__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2759__FDSAUDITLINK__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276__FDSAUDITLINK__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2760__FDSAUDITLINK__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2761__FDSAUDITLINK__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2762__FDSAUDITLINK__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2763__FDSAUDITLINK__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2764__FDSAUDITLINK__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2765__FDSAUDITLINK__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2766__FDSAUDITLINK__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2767__FDSAUDITLINK__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2768__FDSAUDITLINK__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2769__FDSAUDITLINK__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277__FDSAUDITLINK__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2770__FDSAUDITLINK__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2771__FDSAUDITLINK__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2772__FDSAUDITLINK__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2773__FDSAUDITLINK__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2774__FDSAUDITLINK__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2775__FDSAUDITLINK__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2776__FDSAUDITLINK__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2777__FDSAUDITLINK__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2778__FDSAUDITLINK__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2779__FDSAUDITLINK__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278__FDSAUDITLINK__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2780__FDSAUDITLINK__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2781__FDSAUDITLINK__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2782__FDSAUDITLINK__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2783__FDSAUDITLINK__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2784__FDSAUDITLINK__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2785__FDSAUDITLINK__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2786__FDSAUDITLINK__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2787__FDSAUDITLINK__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2788__FDSAUDITLINK__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2789__FDSAUDITLINK__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279__FDSAUDITLINK__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2790__FDSAUDITLINK__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2791__FDSAUDITLINK__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2792__FDSAUDITLINK__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2793__FDSAUDITLINK__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2794__FDSAUDITLINK__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795__FDSAUDITLINK__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796__FDSAUDITLINK__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797__FDSAUDITLINK__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798__FDSAUDITLINK__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799__FDSAUDITLINK__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8__123Graph_BChart_1" hidden="1">#REF!</definedName>
    <definedName name="_28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80__FDSAUDITLINK__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2800__FDSAUDITLINK__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801__FDSAUDITLINK__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802__FDSAUDITLINK__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803__FDSAUDITLINK__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804__FDSAUDITLINK__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805__FDSAUDITLINK__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806__FDSAUDITLINK__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807__FDSAUDITLINK__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808__FDSAUDITLINK__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809__FDSAUDITLINK__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81__FDSAUDITLINK__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2810__FDSAUDITLINK__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811__FDSAUDITLINK__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812__FDSAUDITLINK__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813__FDSAUDITLINK__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814__FDSAUDITLINK__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815__FDSAUDITLINK__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816__FDSAUDITLINK__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817__FDSAUDITLINK__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818__FDSAUDITLINK__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819__FDSAUDITLINK__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82__FDSAUDITLINK__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2820__FDSAUDITLINK__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821__FDSAUDITLINK__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822__FDSAUDITLINK__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823__FDSAUDITLINK__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824__FDSAUDITLINK__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825__FDSAUDITLINK__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826__FDSAUDITLINK__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827__FDSAUDITLINK__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828__FDSAUDITLINK__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829__FDSAUDITLINK__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83__FDSAUDITLINK__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2830__FDSAUDITLINK__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831__FDSAUDITLINK__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832__FDSAUDITLINK__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833__FDSAUDITLINK__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834__FDSAUDITLINK__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835__FDSAUDITLINK__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836__FDSAUDITLINK__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837__FDSAUDITLINK__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838__FDSAUDITLINK__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839__FDSAUDITLINK__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84__FDSAUDITLINK__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2840__FDSAUDITLINK__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841__FDSAUDITLINK__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842__FDSAUDITLINK__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843__FDSAUDITLINK__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844__FDSAUDITLINK__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845__FDSAUDITLINK__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846__FDSAUDITLINK__" hidden="1">{"fdsup://directions/FAT Viewer?action=UPDATE&amp;creator=factSet&amp;DYN_ARGS=true&amp;DOC_NAME=FAT:RGQ_ENTRPR_VAL_EV_SOURCE_WINDOW.FAT&amp;VAR:ID1=ITT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847__FDSAUDITLINK__" hidden="1">{"fdsup://directions/FAT Viewer?action=UPDATE&amp;creator=factSet&amp;DYN_ARGS=true&amp;DOC_NAME=FAT:RGQ_ENTRPR_VAL_EV_SOURCE_WINDOW.FAT&amp;VAR:ID1=ITT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848__FDSAUDITLINK__" hidden="1">{"fdsup://directions/FAT Viewer?action=UPDATE&amp;creator=factSet&amp;DYN_ARGS=true&amp;DOC_NAME=FAT:RGQ_ENTRPR_VAL_EV_SOURCE_WINDOW.FAT&amp;VAR:ID1=ITT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849__FDSAUDITLINK__" hidden="1">{"fdsup://directions/FAT Viewer?action=UPDATE&amp;creator=factSet&amp;DYN_ARGS=true&amp;DOC_NAME=FAT:RGQ_ENTRPR_VAL_EV_SOURCE_WINDOW.FAT&amp;VAR:ID1=ITT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85__FDSAUDITLINK__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2850__FDSAUDITLINK__" hidden="1">{"fdsup://directions/FAT Viewer?action=UPDATE&amp;creator=factSet&amp;DYN_ARGS=true&amp;DOC_NAME=FAT:RGQ_ENTRPR_VAL_EV_SOURCE_WINDOW.FAT&amp;VAR:ID1=ITT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851__FDSAUDITLINK__" hidden="1">{"fdsup://directions/FAT Viewer?action=UPDATE&amp;creator=factSet&amp;DYN_ARGS=true&amp;DOC_NAME=FAT:RGQ_ENTRPR_VAL_EV_SOURCE_WINDOW.FAT&amp;VAR:ID1=ITT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852__FDSAUDITLINK__" hidden="1">{"fdsup://directions/FAT Viewer?action=UPDATE&amp;creator=factSet&amp;DYN_ARGS=true&amp;DOC_NAME=FAT:RGQ_ENTRPR_VAL_EV_SOURCE_WINDOW.FAT&amp;VAR:ID1=ITT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853__FDSAUDITLINK__" hidden="1">{"fdsup://directions/FAT Viewer?action=UPDATE&amp;creator=factSet&amp;DYN_ARGS=true&amp;DOC_NAME=FAT:RGQ_ENTRPR_VAL_EV_SOURCE_WINDOW.FAT&amp;VAR:ID1=ITT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854__FDSAUDITLINK__" hidden="1">{"fdsup://directions/FAT Viewer?action=UPDATE&amp;creator=factSet&amp;DYN_ARGS=true&amp;DOC_NAME=FAT:RGQ_ENTRPR_VAL_EV_SOURCE_WINDOW.FAT&amp;VAR:ID1=ITT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855__FDSAUDITLINK__" hidden="1">{"fdsup://directions/FAT Viewer?action=UPDATE&amp;creator=factSet&amp;DYN_ARGS=true&amp;DOC_NAME=FAT:RGQ_ENTRPR_VAL_EV_SOURCE_WINDOW.FAT&amp;VAR:ID1=WTS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856__FDSAUDITLINK__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2857__FDSAUDITLINK__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2858__FDSAUDITLINK__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2859__FDSAUDITLINK__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286__FDSAUDITLINK__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2860__FDSAUDITLINK__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2861__FDSAUDITLINK__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2862__FDSAUDITLINK__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2863__FDSAUDITLINK__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2864__FDSAUDITLINK__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2865__FDSAUDITLINK__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2866__FDSAUDITLINK__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2867__FDSAUDITLINK__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2868__FDSAUDITLINK__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2869__FDSAUDITLINK__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287__FDSAUDITLINK__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2870__FDSAUDITLINK__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2871__FDSAUDITLINK__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2872__FDSAUDITLINK__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2873__FDSAUDITLINK__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874__FDSAUDITLINK__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875__FDSAUDITLINK__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876__FDSAUDITLINK__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877__FDSAUDITLINK__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878__FDSAUDITLINK__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879__FDSAUDITLINK__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88__FDSAUDITLINK__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2880__FDSAUDITLINK__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881__FDSAUDITLINK__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882__FDSAUDITLINK__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883__FDSAUDITLINK__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2884__FDSAUDITLINK__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2885__FDSAUDITLINK__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2886__FDSAUDITLINK__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2887__FDSAUDITLINK__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2888__FDSAUDITLINK__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2889__FDSAUDITLINK__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289__FDSAUDITLINK__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2890__FDSAUDITLINK__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2891__FDSAUDITLINK__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2892__FDSAUDITLINK__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2893__FDSAUDITLINK__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2894__FDSAUDITLINK__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2895__FDSAUDITLINK__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2896__FDSAUDITLINK__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2897__FDSAUDITLINK__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2898__FDSAUDITLINK__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2899__FDSAUDITLINK__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29__123Graph_BCHART_12" hidden="1">#REF!</definedName>
    <definedName name="_29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90__FDSAUDITLINK__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2900__FDSAUDITLINK__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2901__FDSAUDITLINK__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2902__FDSAUDITLINK__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2903__FDSAUDITLINK__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2904__FDSAUDITLINK__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2905__FDSAUDITLINK__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2906__FDSAUDITLINK__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2907__FDSAUDITLINK__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2908__FDSAUDITLINK__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2909__FDSAUDITLINK__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291__FDSAUDITLINK__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2910__FDSAUDITLINK__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2911__FDSAUDITLINK__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2912__FDSAUDITLINK__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2913__FDSAUDITLINK__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2914__FDSAUDITLINK__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2915__FDSAUDITLINK__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2916__FDSAUDITLINK__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2917__FDSAUDITLINK__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2918__FDSAUDITLINK__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2919__FDSAUDITLINK__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292__FDSAUDITLINK__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2920__FDSAUDITLINK__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2921__FDSAUDITLINK__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2922__FDSAUDITLINK__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2923__FDSAUDITLINK__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2924__FDSAUDITLINK__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2925__FDSAUDITLINK__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2926__FDSAUDITLINK__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2927__FDSAUDITLINK__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2928__FDSAUDITLINK__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2929__FDSAUDITLINK__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293__FDSAUDITLINK__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2930__FDSAUDITLINK__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2931__FDSAUDITLINK__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2932__FDSAUDITLINK__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2933__FDSAUDITLINK__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2934__FDSAUDITLINK__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2935__FDSAUDITLINK__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2936__FDSAUDITLINK__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2937__FDSAUDITLINK__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2938__FDSAUDITLINK__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2939__FDSAUDITLINK__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294__FDSAUDITLINK__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2940__FDSAUDITLINK__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2941__FDSAUDITLINK__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2942__FDSAUDITLINK__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2943__FDSAUDITLINK__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2944__FDSAUDITLINK__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2945__FDSAUDITLINK__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2946__FDSAUDITLINK__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2947__FDSAUDITLINK__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2948__FDSAUDITLINK__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2949__FDSAUDITLINK__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295__FDSAUDITLINK__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2950__FDSAUDITLINK__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2951__FDSAUDITLINK__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2952__FDSAUDITLINK__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2953__FDSAUDITLINK__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2954__FDSAUDITLINK__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2955__FDSAUDITLINK__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2956__FDSAUDITLINK__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2957__FDSAUDITLINK__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2958__FDSAUDITLINK__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2959__FDSAUDITLINK__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296__FDSAUDITLINK__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2960__FDSAUDITLINK__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2961__FDSAUDITLINK__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2962__FDSAUDITLINK__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2963__FDSAUDITLINK__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2964__FDSAUDITLINK__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2965__FDSAUDITLINK__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2966__FDSAUDITLINK__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2967__FDSAUDITLINK__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2968__FDSAUDITLINK__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2969__FDSAUDITLINK__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297__FDSAUDITLINK__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2970__FDSAUDITLINK__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2971__FDSAUDITLINK__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2972__FDSAUDITLINK__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2973__FDSAUDITLINK__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2974__FDSAUDITLINK__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2975__FDSAUDITLINK__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2976__FDSAUDITLINK__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2977__FDSAUDITLINK__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2978__FDSAUDITLINK__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2979__FDSAUDITLINK__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298__FDSAUDITLINK__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2980__FDSAUDITLINK__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2981__FDSAUDITLINK__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2982__FDSAUDITLINK__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2983__FDSAUDITLINK__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2984__FDSAUDITLINK__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2985__FDSAUDITLINK__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2986__FDSAUDITLINK__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2987__FDSAUDITLINK__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2988__FDSAUDITLINK__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2989__FDSAUDITLINK__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299__FDSAUDITLINK__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2990__FDSAUDITLINK__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2991__FDSAUDITLINK__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2992__FDSAUDITLINK__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2993__FDSAUDITLINK__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2994__FDSAUDITLINK__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2995__FDSAUDITLINK__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2996__FDSAUDITLINK__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2997__FDSAUDITLINK__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2998__FDSAUDITLINK__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2999__FDSAUDITLINK__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2ai1">#REF!</definedName>
    <definedName name="_2AI2">#REF!</definedName>
    <definedName name="_2aiv">#REF!</definedName>
    <definedName name="_2AIX">#REF!</definedName>
    <definedName name="_2avii">#REF!</definedName>
    <definedName name="_2aviii">#REF!</definedName>
    <definedName name="_2b3a">#REF!</definedName>
    <definedName name="_2b3b">#REF!</definedName>
    <definedName name="_2b3c">#REF!</definedName>
    <definedName name="_2b3d">#REF!</definedName>
    <definedName name="_2b3e">#REF!</definedName>
    <definedName name="_2b3f">#REF!</definedName>
    <definedName name="_2b3g">#REF!</definedName>
    <definedName name="_2b3h">#REF!</definedName>
    <definedName name="_2c">#REF!</definedName>
    <definedName name="_2conti1">#REF!</definedName>
    <definedName name="_2conti1a">#REF!</definedName>
    <definedName name="_2conti2">#REF!</definedName>
    <definedName name="_2conti3">#REF!</definedName>
    <definedName name="_2conti4">#REF!</definedName>
    <definedName name="_2d03">#REF!</definedName>
    <definedName name="_2D04_B">#REF!</definedName>
    <definedName name="_2D04_ML">#REF!</definedName>
    <definedName name="_2d09">#REF!</definedName>
    <definedName name="_2D10">#REF!</definedName>
    <definedName name="_2d10breve">#REF!</definedName>
    <definedName name="_2d10ml">#REF!</definedName>
    <definedName name="_2d11">#REF!</definedName>
    <definedName name="_2d12">#REF!</definedName>
    <definedName name="_2d13">#REF!</definedName>
    <definedName name="_2d5a">#REF!</definedName>
    <definedName name="_2d5b">#REF!</definedName>
    <definedName name="_2d6">#REF!</definedName>
    <definedName name="_2d7b">#REF!</definedName>
    <definedName name="_2d8">#REF!</definedName>
    <definedName name="_2d9">#REF!</definedName>
    <definedName name="_2e">#REF!</definedName>
    <definedName name="_3">#REF!</definedName>
    <definedName name="_3__123Graph_ACHART_19" hidden="1">#N/A</definedName>
    <definedName name="_3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__preconsuntivo__1995">[13]HAN!$D$6:$Q$74</definedName>
    <definedName name="_30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00__FDSAUDITLINK__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3000__FDSAUDITLINK__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001__FDSAUDITLINK__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002__FDSAUDITLINK__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003__FDSAUDITLINK__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004__FDSAUDITLINK__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005__FDSAUDITLINK__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006__FDSAUDITLINK__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007__FDSAUDITLINK__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008__FDSAUDITLINK__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009__FDSAUDITLINK__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01__FDSAUDITLINK__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3010__FDSAUDITLINK__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011__FDSAUDITLINK__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012__FDSAUDITLINK__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013__FDSAUDITLINK__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014__FDSAUDITLINK__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015__FDSAUDITLINK__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016__FDSAUDITLINK__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017__FDSAUDITLINK__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018__FDSAUDITLINK__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019__FDSAUDITLINK__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02__FDSAUDITLINK__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3020__FDSAUDITLINK__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021__FDSAUDITLINK__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022__FDSAUDITLINK__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023__FDSAUDITLINK__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024__FDSAUDITLINK__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025__FDSAUDITLINK__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026__FDSAUDITLINK__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027__FDSAUDITLINK__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028__FDSAUDITLINK__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029__FDSAUDITLINK__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03__FDSAUDITLINK__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3030__FDSAUDITLINK__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031__FDSAUDITLINK__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032__FDSAUDITLINK__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033__FDSAUDITLINK__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034__FDSAUDITLINK__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035__FDSAUDITLINK__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036__FDSAUDITLINK__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037__FDSAUDITLINK__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038__FDSAUDITLINK__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039__FDSAUDITLINK__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04__FDSAUDITLINK__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3040__FDSAUDITLINK__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041__FDSAUDITLINK__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042__FDSAUDITLINK__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043__FDSAUDITLINK__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044__FDSAUDITLINK__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045__FDSAUDITLINK__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046__FDSAUDITLINK__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047__FDSAUDITLINK__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048__FDSAUDITLINK__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049__FDSAUDITLINK__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05__FDSAUDITLINK__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3050__FDSAUDITLINK__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051__FDSAUDITLINK__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052__FDSAUDITLINK__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053__FDSAUDITLINK__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054__FDSAUDITLINK__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055__FDSAUDITLINK__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056__FDSAUDITLINK__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057__FDSAUDITLINK__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058__FDSAUDITLINK__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059__FDSAUDITLINK__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06__FDSAUDITLINK__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3060__FDSAUDITLINK__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061__FDSAUDITLINK__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062__FDSAUDITLINK__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063__FDSAUDITLINK__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064__FDSAUDITLINK__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065__FDSAUDITLINK__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066__FDSAUDITLINK__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067__FDSAUDITLINK__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068__FDSAUDITLINK__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069__FDSAUDITLINK__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07__FDSAUDITLINK__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3070__FDSAUDITLINK__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071__FDSAUDITLINK__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072__FDSAUDITLINK__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073__FDSAUDITLINK__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074__FDSAUDITLINK__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075__FDSAUDITLINK__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076__FDSAUDITLINK__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077__FDSAUDITLINK__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078__FDSAUDITLINK__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079__FDSAUDITLINK__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08__FDSAUDITLINK__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3080__FDSAUDITLINK__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081__FDSAUDITLINK__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082__FDSAUDITLINK__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083__FDSAUDITLINK__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084__FDSAUDITLINK__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085__FDSAUDITLINK__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086__FDSAUDITLINK__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087__FDSAUDITLINK__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088__FDSAUDITLINK__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089__FDSAUDITLINK__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09__FDSAUDITLINK__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3090__FDSAUDITLINK__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091__FDSAUDITLINK__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092__FDSAUDITLINK__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093__FDSAUDITLINK__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094__FDSAUDITLINK__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095__FDSAUDITLINK__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096__FDSAUDITLINK__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097__FDSAUDITLINK__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098__FDSAUDITLINK__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099__FDSAUDITLINK__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1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1_12_01">#REF!</definedName>
    <definedName name="_310__FDSAUDITLINK__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3100__FDSAUDITLINK__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101__FDSAUDITLINK__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102__FDSAUDITLINK__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103__FDSAUDITLINK__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104__FDSAUDITLINK__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105__FDSAUDITLINK__" hidden="1">{"fdsup://directions/FAT Viewer?action=UPDATE&amp;creator=factSet&amp;DYN_ARGS=true&amp;DOC_NAME=FAT:RGQ_ENTRPR_VAL_EV_SOURCE_WINDOW.FAT&amp;VAR:ID1=WTS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106__FDSAUDITLINK__" hidden="1">{"fdsup://directions/FAT Viewer?action=UPDATE&amp;creator=factSet&amp;DYN_ARGS=true&amp;DOC_NAME=FAT:RGQ_ENTRPR_VAL_EV_SOURCE_WINDOW.FAT&amp;VAR:ID1=WTS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107__FDSAUDITLINK__" hidden="1">{"fdsup://directions/FAT Viewer?action=UPDATE&amp;creator=factSet&amp;DYN_ARGS=true&amp;DOC_NAME=FAT:RGQ_ENTRPR_VAL_EV_SOURCE_WINDOW.FAT&amp;VAR:ID1=WTS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108__FDSAUDITLINK__" hidden="1">{"fdsup://directions/FAT Viewer?action=UPDATE&amp;creator=factSet&amp;DYN_ARGS=true&amp;DOC_NAME=FAT:RGQ_ENTRPR_VAL_EV_SOURCE_WINDOW.FAT&amp;VAR:ID1=WTS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109__FDSAUDITLINK__" hidden="1">{"fdsup://directions/FAT Viewer?action=UPDATE&amp;creator=factSet&amp;DYN_ARGS=true&amp;DOC_NAME=FAT:RGQ_ENTRPR_VAL_EV_SOURCE_WINDOW.FAT&amp;VAR:ID1=WTS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11__FDSAUDITLINK__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3110__FDSAUDITLINK__" hidden="1">{"fdsup://directions/FAT Viewer?action=UPDATE&amp;creator=factSet&amp;DYN_ARGS=true&amp;DOC_NAME=FAT:RGQ_ENTRPR_VAL_EV_SOURCE_WINDOW.FAT&amp;VAR:ID1=WTS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111__FDSAUDITLINK__" hidden="1">{"fdsup://directions/FAT Viewer?action=UPDATE&amp;creator=factSet&amp;DYN_ARGS=true&amp;DOC_NAME=FAT:RGQ_ENTRPR_VAL_EV_SOURCE_WINDOW.FAT&amp;VAR:ID1=WTS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112__FDSAUDITLINK__" hidden="1">{"fdsup://directions/FAT Viewer?action=UPDATE&amp;creator=factSet&amp;DYN_ARGS=true&amp;DOC_NAME=FAT:RGQ_ENTRPR_VAL_EV_SOURCE_WINDOW.FAT&amp;VAR:ID1=WTS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113__FDSAUDITLINK__" hidden="1">{"fdsup://directions/FAT Viewer?action=UPDATE&amp;creator=factSet&amp;DYN_ARGS=true&amp;DOC_NAME=FAT:RGQ_ENTRPR_VAL_EV_SOURCE_WINDOW.FAT&amp;VAR:ID1=WTS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114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3115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116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117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118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119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12__FDSAUDITLINK__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3120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121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122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123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124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125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126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127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128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129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13__FDSAUDITLINK__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3130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131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132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133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134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135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136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137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138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139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14__FDSAUDITLINK__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3140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141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142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143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144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145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146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147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148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149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15__FDSAUDITLINK__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3150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151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152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153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154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155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156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157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158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159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16__FDSAUDITLINK__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3160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161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162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163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164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165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166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167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168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169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17__FDSAUDITLINK__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3170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171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172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173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174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175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176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177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178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179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18__FDSAUDITLINK__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3180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181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182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183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184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185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186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187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188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189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19__FDSAUDITLINK__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3190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191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192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193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194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195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196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197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198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199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2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20__FDSAUDITLINK__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3200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201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202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203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204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205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206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207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208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209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21__FDSAUDITLINK__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3210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211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212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213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214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215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216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217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218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219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22__FDSAUDITLINK__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3220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221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222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223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224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225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226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227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228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229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23__FDSAUDITLINK__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3230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231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232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233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234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235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236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237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238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239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24__FDSAUDITLINK__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3240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241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242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243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244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245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246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247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248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249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25__FDSAUDITLINK__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3250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251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252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253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254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255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256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257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258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259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26__FDSAUDITLINK__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3260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261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262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263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264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265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266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267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268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269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27__FDSAUDITLINK__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3270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271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272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273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274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275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276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277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278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279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28__FDSAUDITLINK__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3280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281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282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283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284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285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286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287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288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289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29__FDSAUDITLINK__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3290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291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292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293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294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295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296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297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298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299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3__123Graph_BChart_2" hidden="1">#REF!</definedName>
    <definedName name="_33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30__FDSAUDITLINK__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3300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301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302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303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304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305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306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307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308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309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31__FDSAUDITLINK__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3310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311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312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313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314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315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316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317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318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319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32__FDSAUDITLINK__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3320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321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322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323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324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325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326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327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328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329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33__FDSAUDITLINK__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3330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331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332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333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334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335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336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337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338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339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34__FDSAUDITLINK__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3340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341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342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343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344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345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346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347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348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349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35__FDSAUDITLINK__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3350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351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352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353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354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355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356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357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358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359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36__FDSAUDITLINK__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3360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361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362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363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364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365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366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367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368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369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37__FDSAUDITLINK__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3370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371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372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373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3374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375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376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377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378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379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38__FDSAUDITLINK__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3380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381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382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383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384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385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386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387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388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389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39__FDSAUDITLINK__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3390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391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392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393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394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395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396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397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398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399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4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40__FDSAUDITLINK__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3400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401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402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403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404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405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406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407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408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409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41__FDSAUDITLINK__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3410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411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412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413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414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415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416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417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418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419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42__FDSAUDITLINK__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3420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421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422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423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424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425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426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427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428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429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43__FDSAUDITLINK__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3430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431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432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433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434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435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436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437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438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439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44__FDSAUDITLINK__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3440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441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442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443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444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445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446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447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448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449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45__FDSAUDITLINK__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3450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451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452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453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454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455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456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457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458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459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46__FDSAUDITLINK__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3460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461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462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463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464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465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466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467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468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469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47__FDSAUDITLINK__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3470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471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472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473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474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475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476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477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478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479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48__FDSAUDITLINK__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3480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481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482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483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484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485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486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487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488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489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49__FDSAUDITLINK__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3490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491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492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493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494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495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496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497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498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499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5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50__FDSAUDITLINK__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3500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501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502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503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504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505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506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507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508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509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51__FDSAUDITLINK__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3510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511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512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513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514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515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516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517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518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519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52__FDSAUDITLINK__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3520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521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522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523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524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525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526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527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528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529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53__FDSAUDITLINK__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3530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531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532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533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534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535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536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537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538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539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54__FDSAUDITLINK__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3540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541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542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543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544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545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546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547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548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549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55__FDSAUDITLINK__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3550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551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552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553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554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555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556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557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558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559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56__FDSAUDITLINK__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3560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561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562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563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564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565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566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567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568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569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57__FDSAUDITLINK__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3570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571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572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573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574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575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576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577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578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579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58__FDSAUDITLINK__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3580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581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582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583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584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585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586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587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588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589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59__FDSAUDITLINK__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3590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591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592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593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594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595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596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597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598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599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6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60__FDSAUDITLINK__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3600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601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602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603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604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605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606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607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608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609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61__FDSAUDITLINK__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3610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611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612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613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614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615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616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617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618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619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62__FDSAUDITLINK__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3620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621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622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623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624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625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626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627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628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629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63__FDSAUDITLINK__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3630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631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632__FDSAUDITLINK__" hidden="1">{"fdsup://directions/FAT Viewer?action=UPDATE&amp;creator=factSet&amp;DYN_ARGS=true&amp;DOC_NAME=FAT:RGQ_ENTRPR_VAL_EV_SOURCE_WINDOW.FAT&amp;VAR:ID1=PNR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3633__FDSAUDITLINK__" hidden="1">{"fdsup://directions/FAT Viewer?action=UPDATE&amp;creator=factSet&amp;DYN_ARGS=true&amp;DOC_NAME=FAT:RGQ_ENTRPR_VAL_EV_SOURCE_WINDOW.FAT&amp;VAR:ID1=PNR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3634__FDSAUDITLINK__" hidden="1">{"fdsup://directions/FAT Viewer?action=UPDATE&amp;creator=factSet&amp;DYN_ARGS=true&amp;DOC_NAME=FAT:RGQ_ENTRPR_VAL_EV_SOURCE_WINDOW.FAT&amp;VAR:ID1=PNR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3635__FDSAUDITLINK__" hidden="1">{"fdsup://directions/FAT Viewer?action=UPDATE&amp;creator=factSet&amp;DYN_ARGS=true&amp;DOC_NAME=FAT:RGQ_ENTRPR_VAL_EV_SOURCE_WINDOW.FAT&amp;VAR:ID1=PNR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3636__FDSAUDITLINK__" hidden="1">{"fdsup://directions/FAT Viewer?action=UPDATE&amp;creator=factSet&amp;DYN_ARGS=true&amp;DOC_NAME=FAT:RGQ_ENTRPR_VAL_EV_SOURCE_WINDOW.FAT&amp;VAR:ID1=PNR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3637__FDSAUDITLINK__" hidden="1">{"fdsup://directions/FAT Viewer?action=UPDATE&amp;creator=factSet&amp;DYN_ARGS=true&amp;DOC_NAME=FAT:RGQ_ENTRPR_VAL_EV_SOURCE_WINDOW.FAT&amp;VAR:ID1=PNR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3638__FDSAUDITLINK__" hidden="1">{"fdsup://directions/FAT Viewer?action=UPDATE&amp;creator=factSet&amp;DYN_ARGS=true&amp;DOC_NAME=FAT:RGQ_ENTRPR_VAL_EV_SOURCE_WINDOW.FAT&amp;VAR:ID1=PNR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3639__FDSAUDITLINK__" hidden="1">{"fdsup://directions/FAT Viewer?action=UPDATE&amp;creator=factSet&amp;DYN_ARGS=true&amp;DOC_NAME=FAT:RGQ_ENTRPR_VAL_EV_SOURCE_WINDOW.FAT&amp;VAR:ID1=PNR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364__FDSAUDITLINK__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3640__FDSAUDITLINK__" hidden="1">{"fdsup://directions/FAT Viewer?action=UPDATE&amp;creator=factSet&amp;DYN_ARGS=true&amp;DOC_NAME=FAT:RGQ_ENTRPR_VAL_EV_SOURCE_WINDOW.FAT&amp;VAR:ID1=PNR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3641__FDSAUDITLINK__" hidden="1">{"fdsup://directions/FAT Viewer?action=UPDATE&amp;creator=factSet&amp;DYN_ARGS=true&amp;DOC_NAME=FAT:RGQ_ENTRPR_VAL_EV_SOURCE_WINDOW.FAT&amp;VAR:ID1=PNR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3642__FDSAUDITLINK__" hidden="1">{"fdsup://directions/FAT Viewer?action=UPDATE&amp;creator=factSet&amp;DYN_ARGS=true&amp;DOC_NAME=FAT:RGQ_ENTRPR_VAL_EV_SOURCE_WINDOW.FAT&amp;VAR:ID1=PNR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3643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644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645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646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647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648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649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65__FDSAUDITLINK__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3650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651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652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653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654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655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656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657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658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659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66__FDSAUDITLINK__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3660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661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662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663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664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665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666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667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668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669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67__FDSAUDITLINK__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3670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671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672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673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674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675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676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677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678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679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68__FDSAUDITLINK__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3680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681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682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683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684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685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686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687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688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689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69__FDSAUDITLINK__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3690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691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692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693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694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695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696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697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698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699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7__123Graph_BChart_3" hidden="1">#REF!</definedName>
    <definedName name="_37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70__FDSAUDITLINK__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3700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701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702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703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704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705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706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707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708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709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71__FDSAUDITLINK__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3710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711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712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713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714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715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716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717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718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719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72__FDSAUDITLINK__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3720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721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722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723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724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725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726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727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728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729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73__FDSAUDITLINK__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3730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731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732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733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734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735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736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737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738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739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74__FDSAUDITLINK__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3740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741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742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743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744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745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746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747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748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749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75__FDSAUDITLINK__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3750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751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752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753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754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755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756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757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758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759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76__FDSAUDITLINK__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3760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761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762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763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764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765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766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767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768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769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77__FDSAUDITLINK__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3770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771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772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773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774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775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776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777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778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779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78__FDSAUDITLINK__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3780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781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782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783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784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785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786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787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788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789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79__FDSAUDITLINK__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3790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791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792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793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794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795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796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797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798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799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8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80__FDSAUDITLINK__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3800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801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802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803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804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805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806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807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808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809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81__FDSAUDITLINK__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3810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811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812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813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814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815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816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817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818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819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82__FDSAUDITLINK__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3820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821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822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823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824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825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826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827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828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829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83__FDSAUDITLINK__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3830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831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832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833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834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835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836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837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838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839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84__FDSAUDITLINK__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3840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841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842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843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844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845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846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847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848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849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85__FDSAUDITLINK__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3850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851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852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853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854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855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856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857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858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859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86__FDSAUDITLINK__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3860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861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862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863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864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865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866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867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868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869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87__FDSAUDITLINK__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3870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871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872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873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874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875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876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877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878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879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88__FDSAUDITLINK__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3880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881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882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883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884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885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886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887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888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889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89__FDSAUDITLINK__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3890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891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892__FDSAUDITLINK__" hidden="1">{"fdsup://directions/FAT Viewer?action=UPDATE&amp;creator=factSet&amp;DYN_ARGS=true&amp;DOC_NAME=FAT:RGQ_ENTRPR_VAL_EV_SOURCE_WINDOW.FAT&amp;VAR:ID1=BWT-AT&amp;VAR:SDATE=20110311&amp;VAR:FDATE=20101231&amp;VAR:FREQ=WEEKLY&amp;VAR:RELITEM=&amp;VAR:CURRENCY=&amp;VAR:DB_TYPE=&amp;VAR:UNITS=M&amp;window=popu","p&amp;width=535&amp;height=425&amp;START_MAXIMIZED=FALSE&amp;Y=120&amp;display_string=audit"}</definedName>
    <definedName name="_3893__FDSAUDITLINK__" hidden="1">{"fdsup://directions/FAT Viewer?action=UPDATE&amp;creator=factSet&amp;DYN_ARGS=true&amp;DOC_NAME=FAT:RGQ_ENTRPR_VAL_EV_SOURCE_WINDOW.FAT&amp;VAR:ID1=BWT-AT&amp;VAR:SDATE=20110304&amp;VAR:FDATE=20101231&amp;VAR:FREQ=WEEKLY&amp;VAR:RELITEM=&amp;VAR:CURRENCY=&amp;VAR:DB_TYPE=&amp;VAR:UNITS=M&amp;window=popu","p&amp;width=535&amp;height=425&amp;START_MAXIMIZED=FALSE&amp;Y=120&amp;display_string=audit"}</definedName>
    <definedName name="_3894__FDSAUDITLINK__" hidden="1">{"fdsup://directions/FAT Viewer?action=UPDATE&amp;creator=factSet&amp;DYN_ARGS=true&amp;DOC_NAME=FAT:RGQ_ENTRPR_VAL_EV_SOURCE_WINDOW.FAT&amp;VAR:ID1=BWT-AT&amp;VAR:SDATE=20110225&amp;VAR:FDATE=20101231&amp;VAR:FREQ=WEEKLY&amp;VAR:RELITEM=&amp;VAR:CURRENCY=&amp;VAR:DB_TYPE=&amp;VAR:UNITS=M&amp;window=popu","p&amp;width=535&amp;height=425&amp;START_MAXIMIZED=FALSE&amp;Y=120&amp;display_string=audit"}</definedName>
    <definedName name="_3895__FDSAUDITLINK__" hidden="1">{"fdsup://directions/FAT Viewer?action=UPDATE&amp;creator=factSet&amp;DYN_ARGS=true&amp;DOC_NAME=FAT:RGQ_ENTRPR_VAL_EV_SOURCE_WINDOW.FAT&amp;VAR:ID1=BWT-AT&amp;VAR:SDATE=20110218&amp;VAR:FDATE=20101231&amp;VAR:FREQ=WEEKLY&amp;VAR:RELITEM=&amp;VAR:CURRENCY=&amp;VAR:DB_TYPE=&amp;VAR:UNITS=M&amp;window=popu","p&amp;width=535&amp;height=425&amp;START_MAXIMIZED=FALSE&amp;Y=120&amp;display_string=audit"}</definedName>
    <definedName name="_3896__FDSAUDITLINK__" hidden="1">{"fdsup://directions/FAT Viewer?action=UPDATE&amp;creator=factSet&amp;DYN_ARGS=true&amp;DOC_NAME=FAT:RGQ_ENTRPR_VAL_EV_SOURCE_WINDOW.FAT&amp;VAR:ID1=BWT-AT&amp;VAR:SDATE=20110211&amp;VAR:FDATE=20101231&amp;VAR:FREQ=WEEKLY&amp;VAR:RELITEM=&amp;VAR:CURRENCY=&amp;VAR:DB_TYPE=&amp;VAR:UNITS=M&amp;window=popu","p&amp;width=535&amp;height=425&amp;START_MAXIMIZED=FALSE&amp;Y=120&amp;display_string=audit"}</definedName>
    <definedName name="_3897__FDSAUDITLINK__" hidden="1">{"fdsup://directions/FAT Viewer?action=UPDATE&amp;creator=factSet&amp;DYN_ARGS=true&amp;DOC_NAME=FAT:RGQ_ENTRPR_VAL_EV_SOURCE_WINDOW.FAT&amp;VAR:ID1=BWT-AT&amp;VAR:SDATE=20110204&amp;VAR:FDATE=20101231&amp;VAR:FREQ=WEEKLY&amp;VAR:RELITEM=&amp;VAR:CURRENCY=&amp;VAR:DB_TYPE=&amp;VAR:UNITS=M&amp;window=popu","p&amp;width=535&amp;height=425&amp;START_MAXIMIZED=FALSE&amp;Y=120&amp;display_string=audit"}</definedName>
    <definedName name="_3898__FDSAUDITLINK__" hidden="1">{"fdsup://directions/FAT Viewer?action=UPDATE&amp;creator=factSet&amp;DYN_ARGS=true&amp;DOC_NAME=FAT:RGQ_ENTRPR_VAL_EV_SOURCE_WINDOW.FAT&amp;VAR:ID1=BWT-AT&amp;VAR:SDATE=20110128&amp;VAR:FDATE=20101231&amp;VAR:FREQ=WEEKLY&amp;VAR:RELITEM=&amp;VAR:CURRENCY=&amp;VAR:DB_TYPE=&amp;VAR:UNITS=M&amp;window=popu","p&amp;width=535&amp;height=425&amp;START_MAXIMIZED=FALSE&amp;Y=120&amp;display_string=audit"}</definedName>
    <definedName name="_3899__FDSAUDITLINK__" hidden="1">{"fdsup://directions/FAT Viewer?action=UPDATE&amp;creator=factSet&amp;DYN_ARGS=true&amp;DOC_NAME=FAT:RGQ_ENTRPR_VAL_EV_SOURCE_WINDOW.FAT&amp;VAR:ID1=BWT-AT&amp;VAR:SDATE=20110121&amp;VAR:FDATE=20101231&amp;VAR:FREQ=WEEKLY&amp;VAR:RELITEM=&amp;VAR:CURRENCY=&amp;VAR:DB_TYPE=&amp;VAR:UNITS=M&amp;window=popu","p&amp;width=535&amp;height=425&amp;START_MAXIMIZED=FALSE&amp;Y=120&amp;display_string=audit"}</definedName>
    <definedName name="_39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90__FDSAUDITLINK__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3900__FDSAUDITLINK__" hidden="1">{"fdsup://directions/FAT Viewer?action=UPDATE&amp;creator=factSet&amp;DYN_ARGS=true&amp;DOC_NAME=FAT:RGQ_ENTRPR_VAL_EV_SOURCE_WINDOW.FAT&amp;VAR:ID1=BWT-AT&amp;VAR:SDATE=20110114&amp;VAR:FDATE=20101231&amp;VAR:FREQ=WEEKLY&amp;VAR:RELITEM=&amp;VAR:CURRENCY=&amp;VAR:DB_TYPE=&amp;VAR:UNITS=M&amp;window=popu","p&amp;width=535&amp;height=425&amp;START_MAXIMIZED=FALSE&amp;Y=120&amp;display_string=audit"}</definedName>
    <definedName name="_3901__FDSAUDITLINK__" hidden="1">{"fdsup://directions/FAT Viewer?action=UPDATE&amp;creator=factSet&amp;DYN_ARGS=true&amp;DOC_NAME=FAT:RGQ_ENTRPR_VAL_EV_SOURCE_WINDOW.FAT&amp;VAR:ID1=BWT-AT&amp;VAR:SDATE=20110107&amp;VAR:FDATE=20101231&amp;VAR:FREQ=WEEKLY&amp;VAR:RELITEM=&amp;VAR:CURRENCY=&amp;VAR:DB_TYPE=&amp;VAR:UNITS=M&amp;window=popu","p&amp;width=535&amp;height=425&amp;START_MAXIMIZED=FALSE&amp;Y=120&amp;display_string=audit"}</definedName>
    <definedName name="_3902__FDSAUDITLINK__" hidden="1">{"fdsup://directions/FAT Viewer?action=UPDATE&amp;creator=factSet&amp;DYN_ARGS=true&amp;DOC_NAME=FAT:RGQ_ENTRPR_VAL_EV_SOURCE_WINDOW.FAT&amp;VAR:ID1=BWT-AT&amp;VAR:SDATE=20101231&amp;VAR:FDATE=20101231&amp;VAR:FREQ=WEEKLY&amp;VAR:RELITEM=&amp;VAR:CURRENCY=&amp;VAR:DB_TYPE=&amp;VAR:UNITS=M&amp;window=popu","p&amp;width=535&amp;height=425&amp;START_MAXIMIZED=FALSE&amp;Y=120&amp;display_string=audit"}</definedName>
    <definedName name="_3903__FDSAUDITLINK__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3904__FDSAUDITLINK__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3905__FDSAUDITLINK__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3906__FDSAUDITLINK__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3907__FDSAUDITLINK__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3908__FDSAUDITLINK__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3909__FDSAUDITLINK__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391__FDSAUDITLINK__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3910__FDSAUDITLINK__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3911__FDSAUDITLINK__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3912__FDSAUDITLINK__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3913__FDSAUDITLINK__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3914__FDSAUDITLINK__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3915__FDSAUDITLINK__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3916__FDSAUDITLINK__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3917__FDSAUDITLINK__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3918__FDSAUDITLINK__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3919__FDSAUDITLINK__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392__FDSAUDITLINK__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3920__FDSAUDITLINK__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3921__FDSAUDITLINK__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3922__FDSAUDITLINK__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3923__FDSAUDITLINK__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3924__FDSAUDITLINK__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3925__FDSAUDITLINK__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3926__FDSAUDITLINK__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3927__FDSAUDITLINK__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3928__FDSAUDITLINK__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3929__FDSAUDITLINK__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393__FDSAUDITLINK__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3930__FDSAUDITLINK__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3931__FDSAUDITLINK__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3932__FDSAUDITLINK__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3933__FDSAUDITLINK__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3934__FDSAUDITLINK__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3935__FDSAUDITLINK__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3936__FDSAUDITLINK__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3937__FDSAUDITLINK__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3938__FDSAUDITLINK__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3939__FDSAUDITLINK__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394__FDSAUDITLINK__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3940__FDSAUDITLINK__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3941__FDSAUDITLINK__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3942__FDSAUDITLINK__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3943__FDSAUDITLINK__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3944__FDSAUDITLINK__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3945__FDSAUDITLINK__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3946__FDSAUDITLINK__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3947__FDSAUDITLINK__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3948__FDSAUDITLINK__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3949__FDSAUDITLINK__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395__FDSAUDITLINK__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3950__FDSAUDITLINK__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3951__FDSAUDITLINK__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3952__FDSAUDITLINK__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3953__FDSAUDITLINK__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3954__FDSAUDITLINK__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3955__FDSAUDITLINK__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3956__FDSAUDITLINK__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3957__FDSAUDITLINK__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3958__FDSAUDITLINK__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3959__FDSAUDITLINK__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396__FDSAUDITLINK__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3960__FDSAUDITLINK__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3961__FDSAUDITLINK__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3962__FDSAUDITLINK__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3963__FDSAUDITLINK__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3964__FDSAUDITLINK__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3965__FDSAUDITLINK__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3966__FDSAUDITLINK__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3967__FDSAUDITLINK__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3968__FDSAUDITLINK__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3969__FDSAUDITLINK__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397__FDSAUDITLINK__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3970__FDSAUDITLINK__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3971__FDSAUDITLINK__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3972__FDSAUDITLINK__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3973__FDSAUDITLINK__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3974__FDSAUDITLINK__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3975__FDSAUDITLINK__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3976__FDSAUDITLINK__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3977__FDSAUDITLINK__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3978__FDSAUDITLINK__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3979__FDSAUDITLINK__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398__FDSAUDITLINK__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3980__FDSAUDITLINK__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3981__FDSAUDITLINK__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3982__FDSAUDITLINK__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3983__FDSAUDITLINK__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3984__FDSAUDITLINK__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3985__FDSAUDITLINK__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3986__FDSAUDITLINK__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3987__FDSAUDITLINK__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3988__FDSAUDITLINK__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3989__FDSAUDITLINK__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399__FDSAUDITLINK__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3990__FDSAUDITLINK__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3991__FDSAUDITLINK__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3992__FDSAUDITLINK__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3993__FDSAUDITLINK__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3994__FDSAUDITLINK__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3995__FDSAUDITLINK__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3996__FDSAUDITLINK__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3997__FDSAUDITLINK__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3998__FDSAUDITLINK__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3999__FDSAUDITLINK__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3chius">#REF!</definedName>
    <definedName name="_4__123Graph_AChart_2" hidden="1">#REF!</definedName>
    <definedName name="_4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_10_nov__2002_Report_Menzies">#REF!</definedName>
    <definedName name="_40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00__FDSAUDITLINK__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4000__FDSAUDITLINK__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4001__FDSAUDITLINK__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4002__FDSAUDITLINK__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4003__FDSAUDITLINK__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4004__FDSAUDITLINK__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4005__FDSAUDITLINK__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4006__FDSAUDITLINK__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4007__FDSAUDITLINK__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4008__FDSAUDITLINK__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4009__FDSAUDITLINK__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401__FDSAUDITLINK__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4010__FDSAUDITLINK__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4011__FDSAUDITLINK__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4012__FDSAUDITLINK__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4013__FDSAUDITLINK__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4014__FDSAUDITLINK__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4015__FDSAUDITLINK__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4016__FDSAUDITLINK__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4017__FDSAUDITLINK__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4018__FDSAUDITLINK__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4019__FDSAUDITLINK__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402__FDSAUDITLINK__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4020__FDSAUDITLINK__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4021__FDSAUDITLINK__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4022__FDSAUDITLINK__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4023__FDSAUDITLINK__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4024__FDSAUDITLINK__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4025__FDSAUDITLINK__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4026__FDSAUDITLINK__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4027__FDSAUDITLINK__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4028__FDSAUDITLINK__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4029__FDSAUDITLINK__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403__FDSAUDITLINK__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4030__FDSAUDITLINK__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4031__FDSAUDITLINK__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4032__FDSAUDITLINK__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4033__FDSAUDITLINK__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4034__FDSAUDITLINK__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4035__FDSAUDITLINK__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4036__FDSAUDITLINK__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4037__FDSAUDITLINK__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4038__FDSAUDITLINK__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4039__FDSAUDITLINK__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404__FDSAUDITLINK__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4040__FDSAUDITLINK__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4041__FDSAUDITLINK__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4042__FDSAUDITLINK__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4043__FDSAUDITLINK__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4044__FDSAUDITLINK__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4045__FDSAUDITLINK__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4046__FDSAUDITLINK__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4047__FDSAUDITLINK__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4048__FDSAUDITLINK__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4049__FDSAUDITLINK__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405__FDSAUDITLINK__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4050__FDSAUDITLINK__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4051__FDSAUDITLINK__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4052__FDSAUDITLINK__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4053__FDSAUDITLINK__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4054__FDSAUDITLINK__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4055__FDSAUDITLINK__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4056__FDSAUDITLINK__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4057__FDSAUDITLINK__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4058__FDSAUDITLINK__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4059__FDSAUDITLINK__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406__FDSAUDITLINK__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4060__FDSAUDITLINK__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4061__FDSAUDITLINK__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4062__FDSAUDITLINK__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4063__FDSAUDITLINK__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4064__FDSAUDITLINK__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4065__FDSAUDITLINK__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4066__FDSAUDITLINK__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4067__FDSAUDITLINK__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4068__FDSAUDITLINK__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4069__FDSAUDITLINK__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407__FDSAUDITLINK__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4070__FDSAUDITLINK__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4071__FDSAUDITLINK__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4072__FDSAUDITLINK__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4073__FDSAUDITLINK__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4074__FDSAUDITLINK__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4075__FDSAUDITLINK__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4076__FDSAUDITLINK__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4077__FDSAUDITLINK__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4078__FDSAUDITLINK__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4079__FDSAUDITLINK__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408__FDSAUDITLINK__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4080__FDSAUDITLINK__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4081__FDSAUDITLINK__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4082__FDSAUDITLINK__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4083__FDSAUDITLINK__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4084__FDSAUDITLINK__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4085__FDSAUDITLINK__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4086__FDSAUDITLINK__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4087__FDSAUDITLINK__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4088__FDSAUDITLINK__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4089__FDSAUDITLINK__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409__FDSAUDITLINK__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4090__FDSAUDITLINK__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4091__FDSAUDITLINK__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4092__FDSAUDITLINK__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4093__FDSAUDITLINK__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4094__FDSAUDITLINK__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4095__FDSAUDITLINK__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4096__FDSAUDITLINK__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4097__FDSAUDITLINK__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4098__FDSAUDITLINK__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4099__FDSAUDITLINK__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41__123Graph_BCHART_5" hidden="1">#N/A</definedName>
    <definedName name="_41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10__FDSAUDITLINK__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4100__FDSAUDITLINK__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4101__FDSAUDITLINK__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4102__FDSAUDITLINK__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4103__FDSAUDITLINK__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4104__FDSAUDITLINK__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4105__FDSAUDITLINK__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4106__FDSAUDITLINK__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4107__FDSAUDITLINK__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4108__FDSAUDITLINK__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4109__FDSAUDITLINK__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411__FDSAUDITLINK__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4110__FDSAUDITLINK__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4111__FDSAUDITLINK__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4112__FDSAUDITLINK__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4113__FDSAUDITLINK__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4114__FDSAUDITLINK__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4115__FDSAUDITLINK__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4116__FDSAUDITLINK__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4117__FDSAUDITLINK__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4118__FDSAUDITLINK__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4119__FDSAUDITLINK__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412__FDSAUDITLINK__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4120__FDSAUDITLINK__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4121__FDSAUDITLINK__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4122__FDSAUDITLINK__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4123__FDSAUDITLINK__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4124__FDSAUDITLINK__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4125__FDSAUDITLINK__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4126__FDSAUDITLINK__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4127__FDSAUDITLINK__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4128__FDSAUDITLINK__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4129__FDSAUDITLINK__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413__FDSAUDITLINK__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4130__FDSAUDITLINK__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4131__FDSAUDITLINK__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4132__FDSAUDITLINK__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4133__FDSAUDITLINK__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4134__FDSAUDITLINK__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4135__FDSAUDITLINK__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4136__FDSAUDITLINK__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4137__FDSAUDITLINK__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4138__FDSAUDITLINK__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4139__FDSAUDITLINK__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414__FDSAUDITLINK__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4140__FDSAUDITLINK__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4141__FDSAUDITLINK__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4142__FDSAUDITLINK__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4143__FDSAUDITLINK__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4144__FDSAUDITLINK__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4145__FDSAUDITLINK__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4146__FDSAUDITLINK__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4147__FDSAUDITLINK__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4148__FDSAUDITLINK__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4149__FDSAUDITLINK__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415__FDSAUDITLINK__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4150__FDSAUDITLINK__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4151__FDSAUDITLINK__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4152__FDSAUDITLINK__" hidden="1">{"fdsup://directions/FAT Viewer?action=UPDATE&amp;creator=factSet&amp;DYN_ARGS=true&amp;DOC_NAME=FAT:RGQ_ENTRPR_VAL_EV_SOURCE_WINDOW.FAT&amp;VAR:ID1=PLL&amp;VAR:SDATE=20110311&amp;VAR:FDATE=20110131&amp;VAR:FREQ=WEEKLY&amp;VAR:RELITEM=&amp;VAR:CURRENCY=&amp;VAR:DB_TYPE=&amp;VAR:UNITS=M&amp;window=popup&amp;w","idth=535&amp;height=425&amp;START_MAXIMIZED=FALSE&amp;Y=120&amp;display_string=audit"}</definedName>
    <definedName name="_4153__FDSAUDITLINK__" hidden="1">{"fdsup://directions/FAT Viewer?action=UPDATE&amp;creator=factSet&amp;DYN_ARGS=true&amp;DOC_NAME=FAT:RGQ_ENTRPR_VAL_EV_SOURCE_WINDOW.FAT&amp;VAR:ID1=PLL&amp;VAR:SDATE=20110304&amp;VAR:FDATE=20110131&amp;VAR:FREQ=WEEKLY&amp;VAR:RELITEM=&amp;VAR:CURRENCY=&amp;VAR:DB_TYPE=&amp;VAR:UNITS=M&amp;window=popup&amp;w","idth=535&amp;height=425&amp;START_MAXIMIZED=FALSE&amp;Y=120&amp;display_string=audit"}</definedName>
    <definedName name="_4154__FDSAUDITLINK__" hidden="1">{"fdsup://directions/FAT Viewer?action=UPDATE&amp;creator=factSet&amp;DYN_ARGS=true&amp;DOC_NAME=FAT:RGQ_ENTRPR_VAL_EV_SOURCE_WINDOW.FAT&amp;VAR:ID1=PLL&amp;VAR:SDATE=20110225&amp;VAR:FDATE=20110131&amp;VAR:FREQ=WEEKLY&amp;VAR:RELITEM=&amp;VAR:CURRENCY=&amp;VAR:DB_TYPE=&amp;VAR:UNITS=M&amp;window=popup&amp;w","idth=535&amp;height=425&amp;START_MAXIMIZED=FALSE&amp;Y=120&amp;display_string=audit"}</definedName>
    <definedName name="_4155__FDSAUDITLINK__" hidden="1">{"fdsup://directions/FAT Viewer?action=UPDATE&amp;creator=factSet&amp;DYN_ARGS=true&amp;DOC_NAME=FAT:RGQ_ENTRPR_VAL_EV_SOURCE_WINDOW.FAT&amp;VAR:ID1=PLL&amp;VAR:SDATE=20110218&amp;VAR:FDATE=20110131&amp;VAR:FREQ=WEEKLY&amp;VAR:RELITEM=&amp;VAR:CURRENCY=&amp;VAR:DB_TYPE=&amp;VAR:UNITS=M&amp;window=popup&amp;w","idth=535&amp;height=425&amp;START_MAXIMIZED=FALSE&amp;Y=120&amp;display_string=audit"}</definedName>
    <definedName name="_4156__FDSAUDITLINK__" hidden="1">{"fdsup://directions/FAT Viewer?action=UPDATE&amp;creator=factSet&amp;DYN_ARGS=true&amp;DOC_NAME=FAT:RGQ_ENTRPR_VAL_EV_SOURCE_WINDOW.FAT&amp;VAR:ID1=PLL&amp;VAR:SDATE=20110211&amp;VAR:FDATE=20110131&amp;VAR:FREQ=WEEKLY&amp;VAR:RELITEM=&amp;VAR:CURRENCY=&amp;VAR:DB_TYPE=&amp;VAR:UNITS=M&amp;window=popup&amp;w","idth=535&amp;height=425&amp;START_MAXIMIZED=FALSE&amp;Y=120&amp;display_string=audit"}</definedName>
    <definedName name="_4157__FDSAUDITLINK__" hidden="1">{"fdsup://directions/FAT Viewer?action=UPDATE&amp;creator=factSet&amp;DYN_ARGS=true&amp;DOC_NAME=FAT:RGQ_ENTRPR_VAL_EV_SOURCE_WINDOW.FAT&amp;VAR:ID1=PLL&amp;VAR:SDATE=20110204&amp;VAR:FDATE=20110131&amp;VAR:FREQ=WEEKLY&amp;VAR:RELITEM=&amp;VAR:CURRENCY=&amp;VAR:DB_TYPE=&amp;VAR:UNITS=M&amp;window=popup&amp;w","idth=535&amp;height=425&amp;START_MAXIMIZED=FALSE&amp;Y=120&amp;display_string=audit"}</definedName>
    <definedName name="_4158__FDSAUDITLINK__" hidden="1">{"fdsup://directions/FAT Viewer?action=UPDATE&amp;creator=factSet&amp;DYN_ARGS=true&amp;DOC_NAME=FAT:RGQ_ENTRPR_VAL_EV_SOURCE_WINDOW.FAT&amp;VAR:ID1=PLL&amp;VAR:SDATE=20110128&amp;VAR:FDATE=20101029&amp;VAR:FREQ=WEEKLY&amp;VAR:RELITEM=&amp;VAR:CURRENCY=&amp;VAR:DB_TYPE=&amp;VAR:UNITS=M&amp;window=popup&amp;w","idth=535&amp;height=425&amp;START_MAXIMIZED=FALSE&amp;Y=120&amp;display_string=audit"}</definedName>
    <definedName name="_4159__FDSAUDITLINK__" hidden="1">{"fdsup://directions/FAT Viewer?action=UPDATE&amp;creator=factSet&amp;DYN_ARGS=true&amp;DOC_NAME=FAT:RGQ_ENTRPR_VAL_EV_SOURCE_WINDOW.FAT&amp;VAR:ID1=PLL&amp;VAR:SDATE=20110121&amp;VAR:FDATE=20101029&amp;VAR:FREQ=WEEKLY&amp;VAR:RELITEM=&amp;VAR:CURRENCY=&amp;VAR:DB_TYPE=&amp;VAR:UNITS=M&amp;window=popup&amp;w","idth=535&amp;height=425&amp;START_MAXIMIZED=FALSE&amp;Y=120&amp;display_string=audit"}</definedName>
    <definedName name="_416__FDSAUDITLINK__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4160__FDSAUDITLINK__" hidden="1">{"fdsup://directions/FAT Viewer?action=UPDATE&amp;creator=factSet&amp;DYN_ARGS=true&amp;DOC_NAME=FAT:RGQ_ENTRPR_VAL_EV_SOURCE_WINDOW.FAT&amp;VAR:ID1=PLL&amp;VAR:SDATE=20110114&amp;VAR:FDATE=20101029&amp;VAR:FREQ=WEEKLY&amp;VAR:RELITEM=&amp;VAR:CURRENCY=&amp;VAR:DB_TYPE=&amp;VAR:UNITS=M&amp;window=popup&amp;w","idth=535&amp;height=425&amp;START_MAXIMIZED=FALSE&amp;Y=120&amp;display_string=audit"}</definedName>
    <definedName name="_4161__FDSAUDITLINK__" hidden="1">{"fdsup://directions/FAT Viewer?action=UPDATE&amp;creator=factSet&amp;DYN_ARGS=true&amp;DOC_NAME=FAT:RGQ_ENTRPR_VAL_EV_SOURCE_WINDOW.FAT&amp;VAR:ID1=PLL&amp;VAR:SDATE=20110107&amp;VAR:FDATE=20101029&amp;VAR:FREQ=WEEKLY&amp;VAR:RELITEM=&amp;VAR:CURRENCY=&amp;VAR:DB_TYPE=&amp;VAR:UNITS=M&amp;window=popup&amp;w","idth=535&amp;height=425&amp;START_MAXIMIZED=FALSE&amp;Y=120&amp;display_string=audit"}</definedName>
    <definedName name="_4162__FDSAUDITLINK__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4163__FDSAUDITLINK__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4164__FDSAUDITLINK__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4165__FDSAUDITLINK__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4166__FDSAUDITLINK__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4167__FDSAUDITLINK__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4168__FDSAUDITLINK__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4169__FDSAUDITLINK__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417__FDSAUDITLINK__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4170__FDSAUDITLINK__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4171__FDSAUDITLINK__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4172__FDSAUDITLINK__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4173__FDSAUDITLINK__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4174__FDSAUDITLINK__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4175__FDSAUDITLINK__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4176__FDSAUDITLINK__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4177__FDSAUDITLINK__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4178__FDSAUDITLINK__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4179__FDSAUDITLINK__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418__FDSAUDITLINK__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4180__FDSAUDITLINK__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4181__FDSAUDITLINK__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4182__FDSAUDITLINK__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4183__FDSAUDITLINK__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4184__FDSAUDITLINK__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4185__FDSAUDITLINK__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4186__FDSAUDITLINK__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4187__FDSAUDITLINK__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4188__FDSAUDITLINK__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4189__FDSAUDITLINK__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419__FDSAUDITLINK__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4190__FDSAUDITLINK__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4191__FDSAUDITLINK__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4192__FDSAUDITLINK__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4193__FDSAUDITLINK__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4194__FDSAUDITLINK__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4195__FDSAUDITLINK__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4196__FDSAUDITLINK__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4197__FDSAUDITLINK__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4198__FDSAUDITLINK__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4199__FDSAUDITLINK__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42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20__FDSAUDITLINK__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4200__FDSAUDITLINK__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4201__FDSAUDITLINK__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4202__FDSAUDITLINK__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4203__FDSAUDITLINK__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4204__FDSAUDITLINK__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4205__FDSAUDITLINK__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4206__FDSAUDITLINK__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4207__FDSAUDITLINK__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4208__FDSAUDITLINK__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4209__FDSAUDITLINK__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421__FDSAUDITLINK__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4210__FDSAUDITLINK__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4211__FDSAUDITLINK__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4212__FDSAUDITLINK__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4213__FDSAUDITLINK__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4214__FDSAUDITLINK__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4215__FDSAUDITLINK__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4216__FDSAUDITLINK__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4217__FDSAUDITLINK__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4218__FDSAUDITLINK__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4219__FDSAUDITLINK__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422__FDSAUDITLINK__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4220__FDSAUDITLINK__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4221__FDSAUDITLINK__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4222__FDSAUDITLINK__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4223__FDSAUDITLINK__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4224__FDSAUDITLINK__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4225__FDSAUDITLINK__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4226__FDSAUDITLINK__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4227__FDSAUDITLINK__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4228__FDSAUDITLINK__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4229__FDSAUDITLINK__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423__FDSAUDITLINK__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4230__FDSAUDITLINK__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4231__FDSAUDITLINK__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4232__FDSAUDITLINK__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4233__FDSAUDITLINK__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4234__FDSAUDITLINK__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4235__FDSAUDITLINK__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4236__FDSAUDITLINK__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4237__FDSAUDITLINK__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4238__FDSAUDITLINK__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4239__FDSAUDITLINK__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424__FDSAUDITLINK__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4240__FDSAUDITLINK__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4241__FDSAUDITLINK__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4242__FDSAUDITLINK__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4243__FDSAUDITLINK__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4244__FDSAUDITLINK__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4245__FDSAUDITLINK__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4246__FDSAUDITLINK__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4247__FDSAUDITLINK__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4248__FDSAUDITLINK__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4249__FDSAUDITLINK__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425__FDSAUDITLINK__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4250__FDSAUDITLINK__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4251__FDSAUDITLINK__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4252__FDSAUDITLINK__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4253__FDSAUDITLINK__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4254__FDSAUDITLINK__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4255__FDSAUDITLINK__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4256__FDSAUDITLINK__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4257__FDSAUDITLINK__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4258__FDSAUDITLINK__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4259__FDSAUDITLINK__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426__FDSAUDITLINK__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4260__FDSAUDITLINK__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4261__FDSAUDITLINK__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4262__FDSAUDITLINK__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4263__FDSAUDITLINK__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4264__FDSAUDITLINK__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4265__FDSAUDITLINK__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4266__FDSAUDITLINK__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4267__FDSAUDITLINK__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4268__FDSAUDITLINK__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4269__FDSAUDITLINK__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427__FDSAUDITLINK__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4270__FDSAUDITLINK__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4271__FDSAUDITLINK__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4272__FDSAUDITLINK__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4273__FDSAUDITLINK__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4274__FDSAUDITLINK__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4275__FDSAUDITLINK__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4276__FDSAUDITLINK__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4277__FDSAUDITLINK__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4278__FDSAUDITLINK__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4279__FDSAUDITLINK__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428__FDSAUDITLINK__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4280__FDSAUDITLINK__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4281__FDSAUDITLINK__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4282__FDSAUDITLINK__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4283__FDSAUDITLINK__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4284__FDSAUDITLINK__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4285__FDSAUDITLINK__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4286__FDSAUDITLINK__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4287__FDSAUDITLINK__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4288__FDSAUDITLINK__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4289__FDSAUDITLINK__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429__FDSAUDITLINK__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4290__FDSAUDITLINK__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4291__FDSAUDITLINK__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4292__FDSAUDITLINK__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4293__FDSAUDITLINK__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4294__FDSAUDITLINK__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4295__FDSAUDITLINK__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4296__FDSAUDITLINK__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4297__FDSAUDITLINK__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4298__FDSAUDITLINK__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4299__FDSAUDITLINK__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43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30__FDSAUDITLINK__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4300__FDSAUDITLINK__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4301__FDSAUDITLINK__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4302__FDSAUDITLINK__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4303__FDSAUDITLINK__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4304__FDSAUDITLINK__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4305__FDSAUDITLINK__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4306__FDSAUDITLINK__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4307__FDSAUDITLINK__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4308__FDSAUDITLINK__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4309__FDSAUDITLINK__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431__FDSAUDITLINK__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4310__FDSAUDITLINK__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4311__FDSAUDITLINK__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4312__FDSAUDITLINK__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4313__FDSAUDITLINK__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4314__FDSAUDITLINK__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4315__FDSAUDITLINK__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4316__FDSAUDITLINK__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4317__FDSAUDITLINK__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4318__FDSAUDITLINK__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4319__FDSAUDITLINK__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432__FDSAUDITLINK__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4320__FDSAUDITLINK__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4321__FDSAUDITLINK__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4322__FDSAUDITLINK__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4323__FDSAUDITLINK__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4324__FDSAUDITLINK__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4325__FDSAUDITLINK__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4326__FDSAUDITLINK__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4327__FDSAUDITLINK__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4328__FDSAUDITLINK__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4329__FDSAUDITLINK__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433__FDSAUDITLINK__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4330__FDSAUDITLINK__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4331__FDSAUDITLINK__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4332__FDSAUDITLINK__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4333__FDSAUDITLINK__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4334__FDSAUDITLINK__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4335__FDSAUDITLINK__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4336__FDSAUDITLINK__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4337__FDSAUDITLINK__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4338__FDSAUDITLINK__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4339__FDSAUDITLINK__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434__FDSAUDITLINK__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4340__FDSAUDITLINK__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4341__FDSAUDITLINK__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4342__FDSAUDITLINK__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4343__FDSAUDITLINK__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4344__FDSAUDITLINK__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4345__FDSAUDITLINK__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4346__FDSAUDITLINK__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4347__FDSAUDITLINK__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4348__FDSAUDITLINK__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4349__FDSAUDITLINK__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435__FDSAUDITLINK__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4350__FDSAUDITLINK__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4351__FDSAUDITLINK__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4352__FDSAUDITLINK__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4353__FDSAUDITLINK__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4354__FDSAUDITLINK__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4355__FDSAUDITLINK__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4356__FDSAUDITLINK__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4357__FDSAUDITLINK__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4358__FDSAUDITLINK__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4359__FDSAUDITLINK__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436__FDSAUDITLINK__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4360__FDSAUDITLINK__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4361__FDSAUDITLINK__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4362__FDSAUDITLINK__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4363__FDSAUDITLINK__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4364__FDSAUDITLINK__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4365__FDSAUDITLINK__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4366__FDSAUDITLINK__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4367__FDSAUDITLINK__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4368__FDSAUDITLINK__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4369__FDSAUDITLINK__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437__FDSAUDITLINK__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4370__FDSAUDITLINK__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4371__FDSAUDITLINK__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4372__FDSAUDITLINK__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4373__FDSAUDITLINK__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4374__FDSAUDITLINK__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4375__FDSAUDITLINK__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4376__FDSAUDITLINK__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4377__FDSAUDITLINK__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4378__FDSAUDITLINK__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4379__FDSAUDITLINK__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438__FDSAUDITLINK__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4380__FDSAUDITLINK__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4381__FDSAUDITLINK__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4382__FDSAUDITLINK__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4383__FDSAUDITLINK__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4384__FDSAUDITLINK__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4385__FDSAUDITLINK__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4386__FDSAUDITLINK__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4387__FDSAUDITLINK__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4388__FDSAUDITLINK__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4389__FDSAUDITLINK__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439__FDSAUDITLINK__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4390__FDSAUDITLINK__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4391__FDSAUDITLINK__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4392__FDSAUDITLINK__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4393__FDSAUDITLINK__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4394__FDSAUDITLINK__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4395__FDSAUDITLINK__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4396__FDSAUDITLINK__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4397__FDSAUDITLINK__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4398__FDSAUDITLINK__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4399__FDSAUDITLINK__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44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40__FDSAUDITLINK__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4400__FDSAUDITLINK__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4401__FDSAUDITLINK__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4402__FDSAUDITLINK__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4403__FDSAUDITLINK__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4404__FDSAUDITLINK__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4405__FDSAUDITLINK__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4406__FDSAUDITLINK__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4407__FDSAUDITLINK__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4408__FDSAUDITLINK__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4409__FDSAUDITLINK__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441__FDSAUDITLINK__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4410__FDSAUDITLINK__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4411__FDSAUDITLINK__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4412__FDSAUDITLINK__" hidden="1">{"fdsup://directions/FAT Viewer?action=UPDATE&amp;creator=factSet&amp;DYN_ARGS=true&amp;DOC_NAME=FAT:RGQ_ENTRPR_VAL_EV_SOURCE_WINDOW.FAT&amp;VAR:ID1=ITT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413__FDSAUDITLINK__" hidden="1">{"fdsup://directions/FAT Viewer?action=UPDATE&amp;creator=factSet&amp;DYN_ARGS=true&amp;DOC_NAME=FAT:RGQ_ENTRPR_VAL_EV_SOURCE_WINDOW.FAT&amp;VAR:ID1=ITT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414__FDSAUDITLINK__" hidden="1">{"fdsup://directions/FAT Viewer?action=UPDATE&amp;creator=factSet&amp;DYN_ARGS=true&amp;DOC_NAME=FAT:RGQ_ENTRPR_VAL_EV_SOURCE_WINDOW.FAT&amp;VAR:ID1=ITT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415__FDSAUDITLINK__" hidden="1">{"fdsup://directions/FAT Viewer?action=UPDATE&amp;creator=factSet&amp;DYN_ARGS=true&amp;DOC_NAME=FAT:RGQ_ENTRPR_VAL_EV_SOURCE_WINDOW.FAT&amp;VAR:ID1=ITT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416__FDSAUDITLINK__" hidden="1">{"fdsup://directions/FAT Viewer?action=UPDATE&amp;creator=factSet&amp;DYN_ARGS=true&amp;DOC_NAME=FAT:RGQ_ENTRPR_VAL_EV_SOURCE_WINDOW.FAT&amp;VAR:ID1=ITT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417__FDSAUDITLINK__" hidden="1">{"fdsup://directions/FAT Viewer?action=UPDATE&amp;creator=factSet&amp;DYN_ARGS=true&amp;DOC_NAME=FAT:RGQ_ENTRPR_VAL_EV_SOURCE_WINDOW.FAT&amp;VAR:ID1=ITT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418__FDSAUDITLINK__" hidden="1">{"fdsup://directions/FAT Viewer?action=UPDATE&amp;creator=factSet&amp;DYN_ARGS=true&amp;DOC_NAME=FAT:RGQ_ENTRPR_VAL_EV_SOURCE_WINDOW.FAT&amp;VAR:ID1=ITT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419__FDSAUDITLINK__" hidden="1">{"fdsup://directions/FAT Viewer?action=UPDATE&amp;creator=factSet&amp;DYN_ARGS=true&amp;DOC_NAME=FAT:RGQ_ENTRPR_VAL_EV_SOURCE_WINDOW.FAT&amp;VAR:ID1=ITT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42__FDSAUDITLINK__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4420__FDSAUDITLINK__" hidden="1">{"fdsup://directions/FAT Viewer?action=UPDATE&amp;creator=factSet&amp;DYN_ARGS=true&amp;DOC_NAME=FAT:RGQ_ENTRPR_VAL_EV_SOURCE_WINDOW.FAT&amp;VAR:ID1=ITT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421__FDSAUDITLINK__" hidden="1">{"fdsup://directions/FAT Viewer?action=UPDATE&amp;creator=factSet&amp;DYN_ARGS=true&amp;DOC_NAME=FAT:RGQ_ENTRPR_VAL_EV_SOURCE_WINDOW.FAT&amp;VAR:ID1=ITT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422__FDSAUDITLINK__" hidden="1">{"fdsup://directions/FAT Viewer?action=UPDATE&amp;creator=factSet&amp;DYN_ARGS=true&amp;DOC_NAME=FAT:RGQ_ENTRPR_VAL_EV_SOURCE_WINDOW.FAT&amp;VAR:ID1=ITT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423__FDSAUDITLINK__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424__FDSAUDITLINK__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425__FDSAUDITLINK__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426__FDSAUDITLINK__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427__FDSAUDITLINK__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428__FDSAUDITLINK__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429__FDSAUDITLINK__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43__FDSAUDITLINK__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4430__FDSAUDITLINK__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431__FDSAUDITLINK__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432__FDSAUDITLINK__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433__FDSAUDITLINK__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434__FDSAUDITLINK__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435__FDSAUDITLINK__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436__FDSAUDITLINK__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437__FDSAUDITLINK__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438__FDSAUDITLINK__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439__FDSAUDITLINK__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44__FDSAUDITLINK__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4440__FDSAUDITLINK__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441__FDSAUDITLINK__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442__FDSAUDITLINK__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443__FDSAUDITLINK__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444__FDSAUDITLINK__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445__FDSAUDITLINK__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446__FDSAUDITLINK__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447__FDSAUDITLINK__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448__FDSAUDITLINK__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449__FDSAUDITLINK__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45__FDSAUDITLINK__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4450__FDSAUDITLINK__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451__FDSAUDITLINK__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452__FDSAUDITLINK__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453__FDSAUDITLINK__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454__FDSAUDITLINK__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455__FDSAUDITLINK__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456__FDSAUDITLINK__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457__FDSAUDITLINK__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458__FDSAUDITLINK__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459__FDSAUDITLINK__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46__FDSAUDITLINK__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4460__FDSAUDITLINK__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461__FDSAUDITLINK__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462__FDSAUDITLINK__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463__FDSAUDITLINK__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464__FDSAUDITLINK__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465__FDSAUDITLINK__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466__FDSAUDITLINK__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467__FDSAUDITLINK__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468__FDSAUDITLINK__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469__FDSAUDITLINK__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47__FDSAUDITLINK__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4470__FDSAUDITLINK__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471__FDSAUDITLINK__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472__FDSAUDITLINK__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473__FDSAUDITLINK__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474__FDSAUDITLINK__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475__FDSAUDITLINK__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476__FDSAUDITLINK__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477__FDSAUDITLINK__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478__FDSAUDITLINK__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479__FDSAUDITLINK__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48__FDSAUDITLINK__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4480__FDSAUDITLINK__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4481__FDSAUDITLINK__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4482__FDSAUDITLINK__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4483__FDSAUDITLINK__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4484__FDSAUDITLINK__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4485__FDSAUDITLINK__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4486__FDSAUDITLINK__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4487__FDSAUDITLINK__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4488__FDSAUDITLINK__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4489__FDSAUDITLINK__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449__FDSAUDITLINK__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4490__FDSAUDITLINK__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4491__FDSAUDITLINK__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4492__FDSAUDITLINK__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4493__FDSAUDITLINK__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4494__FDSAUDITLINK__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4495__FDSAUDITLINK__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4496__FDSAUDITLINK__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4497__FDSAUDITLINK__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4498__FDSAUDITLINK__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4499__FDSAUDITLINK__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45__123Graph_BINVAR_A" hidden="1">#N/A</definedName>
    <definedName name="_45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50__FDSAUDITLINK__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4500__FDSAUDITLINK__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4501__FDSAUDITLINK__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4502__FDSAUDITLINK__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4503__FDSAUDITLINK__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4504__FDSAUDITLINK__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4505__FDSAUDITLINK__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4506__FDSAUDITLINK__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4507__FDSAUDITLINK__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4508__FDSAUDITLINK__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4509__FDSAUDITLINK__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451__FDSAUDITLINK__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4510__FDSAUDITLINK__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4511__FDSAUDITLINK__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4512__FDSAUDITLINK__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4513__FDSAUDITLINK__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4514__FDSAUDITLINK__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4515__FDSAUDITLINK__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4516__FDSAUDITLINK__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4517__FDSAUDITLINK__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4518__FDSAUDITLINK__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4519__FDSAUDITLINK__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452__FDSAUDITLINK__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4520__FDSAUDITLINK__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4521__FDSAUDITLINK__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4522__FDSAUDITLINK__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4523__FDSAUDITLINK__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4524__FDSAUDITLINK__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4525__FDSAUDITLINK__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4526__FDSAUDITLINK__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4527__FDSAUDITLINK__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4528__FDSAUDITLINK__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4529__FDSAUDITLINK__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453__FDSAUDITLINK__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4530__FDSAUDITLINK__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4531__FDSAUDITLINK__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4532__FDSAUDITLINK__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4533__FDSAUDITLINK__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4534__FDSAUDITLINK__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4535__FDSAUDITLINK__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4536__FDSAUDITLINK__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4537__FDSAUDITLINK__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4538__FDSAUDITLINK__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4539__FDSAUDITLINK__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454__FDSAUDITLINK__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4540__FDSAUDITLINK__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4541__FDSAUDITLINK__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4542__FDSAUDITLINK__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4543__FDSAUDITLINK__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4544__FDSAUDITLINK__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4545__FDSAUDITLINK__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4546__FDSAUDITLINK__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4547__FDSAUDITLINK__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4548__FDSAUDITLINK__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4549__FDSAUDITLINK__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455__FDSAUDITLINK__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4550__FDSAUDITLINK__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4551__FDSAUDITLINK__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4552__FDSAUDITLINK__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4553__FDSAUDITLINK__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4554__FDSAUDITLINK__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4555__FDSAUDITLINK__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4556__FDSAUDITLINK__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4557__FDSAUDITLINK__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4558__FDSAUDITLINK__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4559__FDSAUDITLINK__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456__FDSAUDITLINK__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4560__FDSAUDITLINK__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4561__FDSAUDITLINK__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4562__FDSAUDITLINK__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4563__FDSAUDITLINK__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4564__FDSAUDITLINK__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4565__FDSAUDITLINK__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4566__FDSAUDITLINK__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4567__FDSAUDITLINK__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4568__FDSAUDITLINK__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4569__FDSAUDITLINK__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457__FDSAUDITLINK__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4570__FDSAUDITLINK__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4571__FDSAUDITLINK__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4572__FDSAUDITLINK__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4573__FDSAUDITLINK__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4574__FDSAUDITLINK__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4575__FDSAUDITLINK__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4576__FDSAUDITLINK__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4577__FDSAUDITLINK__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4578__FDSAUDITLINK__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4579__FDSAUDITLINK__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458__FDSAUDITLINK__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4580__FDSAUDITLINK__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4581__FDSAUDITLINK__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4582__FDSAUDITLINK__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4583__FDSAUDITLINK__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4584__FDSAUDITLINK__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4585__FDSAUDITLINK__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4586__FDSAUDITLINK__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4587__FDSAUDITLINK__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4588__FDSAUDITLINK__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4589__FDSAUDITLINK__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459__FDSAUDITLINK__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4590__FDSAUDITLINK__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4591__FDSAUDITLINK__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4592__FDSAUDITLINK__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4593__FDSAUDITLINK__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4594__FDSAUDITLINK__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4595__FDSAUDITLINK__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4596__FDSAUDITLINK__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4597__FDSAUDITLINK__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4598__FDSAUDITLINK__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4599__FDSAUDITLINK__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46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60__FDSAUDITLINK__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4600__FDSAUDITLINK__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4601__FDSAUDITLINK__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4602__FDSAUDITLINK__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4603__FDSAUDITLINK__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4604__FDSAUDITLINK__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4605__FDSAUDITLINK__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4606__FDSAUDITLINK__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4607__FDSAUDITLINK__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4608__FDSAUDITLINK__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4609__FDSAUDITLINK__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461__FDSAUDITLINK__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4610__FDSAUDITLINK__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4611__FDSAUDITLINK__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4612__FDSAUDITLINK__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4613__FDSAUDITLINK__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4614__FDSAUDITLINK__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4615__FDSAUDITLINK__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4616__FDSAUDITLINK__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4617__FDSAUDITLINK__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4618__FDSAUDITLINK__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4619__FDSAUDITLINK__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462__FDSAUDITLINK__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4620__FDSAUDITLINK__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4621__FDSAUDITLINK__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4622__FDSAUDITLINK__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4623__FDSAUDITLINK__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4624__FDSAUDITLINK__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4625__FDSAUDITLINK__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4626__FDSAUDITLINK__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4627__FDSAUDITLINK__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4628__FDSAUDITLINK__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4629__FDSAUDITLINK__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463__FDSAUDITLINK__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4630__FDSAUDITLINK__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4631__FDSAUDITLINK__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4632__FDSAUDITLINK__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4633__FDSAUDITLINK__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4634__FDSAUDITLINK__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4635__FDSAUDITLINK__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4636__FDSAUDITLINK__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4637__FDSAUDITLINK__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4638__FDSAUDITLINK__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4639__FDSAUDITLINK__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464__FDSAUDITLINK__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4640__FDSAUDITLINK__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4641__FDSAUDITLINK__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4642__FDSAUDITLINK__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4643__FDSAUDITLINK__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4644__FDSAUDITLINK__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4645__FDSAUDITLINK__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4646__FDSAUDITLINK__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4647__FDSAUDITLINK__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4648__FDSAUDITLINK__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4649__FDSAUDITLINK__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465__FDSAUDITLINK__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4650__FDSAUDITLINK__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4651__FDSAUDITLINK__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4652__FDSAUDITLINK__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4653__FDSAUDITLINK__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4654__FDSAUDITLINK__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4655__FDSAUDITLINK__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4656__FDSAUDITLINK__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4657__FDSAUDITLINK__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4658__FDSAUDITLINK__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4659__FDSAUDITLINK__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466__FDSAUDITLINK__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4660__FDSAUDITLINK__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4661__FDSAUDITLINK__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4662__FDSAUDITLINK__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4663__FDSAUDITLINK__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4664__FDSAUDITLINK__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4665__FDSAUDITLINK__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4666__FDSAUDITLINK__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4667__FDSAUDITLINK__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4668__FDSAUDITLINK__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4669__FDSAUDITLINK__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467__FDSAUDITLINK__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4670__FDSAUDITLINK__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4671__FDSAUDITLINK__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4672__FDSAUDITLINK__" hidden="1">{"fdsup://directions/FAT Viewer?action=UPDATE&amp;creator=factSet&amp;DYN_ARGS=true&amp;DOC_NAME=FAT:RGQ_ENTRPR_VAL_EV_SOURCE_WINDOW.FAT&amp;VAR:ID1=WTS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673__FDSAUDITLINK__" hidden="1">{"fdsup://directions/FAT Viewer?action=UPDATE&amp;creator=factSet&amp;DYN_ARGS=true&amp;DOC_NAME=FAT:RGQ_ENTRPR_VAL_EV_SOURCE_WINDOW.FAT&amp;VAR:ID1=WTS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674__FDSAUDITLINK__" hidden="1">{"fdsup://directions/FAT Viewer?action=UPDATE&amp;creator=factSet&amp;DYN_ARGS=true&amp;DOC_NAME=FAT:RGQ_ENTRPR_VAL_EV_SOURCE_WINDOW.FAT&amp;VAR:ID1=WTS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675__FDSAUDITLINK__" hidden="1">{"fdsup://directions/FAT Viewer?action=UPDATE&amp;creator=factSet&amp;DYN_ARGS=true&amp;DOC_NAME=FAT:RGQ_ENTRPR_VAL_EV_SOURCE_WINDOW.FAT&amp;VAR:ID1=WTS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676__FDSAUDITLINK__" hidden="1">{"fdsup://directions/FAT Viewer?action=UPDATE&amp;creator=factSet&amp;DYN_ARGS=true&amp;DOC_NAME=FAT:RGQ_ENTRPR_VAL_EV_SOURCE_WINDOW.FAT&amp;VAR:ID1=WTS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677__FDSAUDITLINK__" hidden="1">{"fdsup://directions/FAT Viewer?action=UPDATE&amp;creator=factSet&amp;DYN_ARGS=true&amp;DOC_NAME=FAT:RGQ_ENTRPR_VAL_EV_SOURCE_WINDOW.FAT&amp;VAR:ID1=WTS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678__FDSAUDITLINK__" hidden="1">{"fdsup://directions/FAT Viewer?action=UPDATE&amp;creator=factSet&amp;DYN_ARGS=true&amp;DOC_NAME=FAT:RGQ_ENTRPR_VAL_EV_SOURCE_WINDOW.FAT&amp;VAR:ID1=WTS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679__FDSAUDITLINK__" hidden="1">{"fdsup://directions/FAT Viewer?action=UPDATE&amp;creator=factSet&amp;DYN_ARGS=true&amp;DOC_NAME=FAT:RGQ_ENTRPR_VAL_EV_SOURCE_WINDOW.FAT&amp;VAR:ID1=WTS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68__FDSAUDITLINK__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4680__FDSAUDITLINK__" hidden="1">{"fdsup://directions/FAT Viewer?action=UPDATE&amp;creator=factSet&amp;DYN_ARGS=true&amp;DOC_NAME=FAT:RGQ_ENTRPR_VAL_EV_SOURCE_WINDOW.FAT&amp;VAR:ID1=WTS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681__FDSAUDITLINK__" hidden="1">{"fdsup://directions/FAT Viewer?action=UPDATE&amp;creator=factSet&amp;DYN_ARGS=true&amp;DOC_NAME=FAT:RGQ_ENTRPR_VAL_EV_SOURCE_WINDOW.FAT&amp;VAR:ID1=WTS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682__FDSAUDITLINK__" hidden="1">{"fdsup://directions/FAT Viewer?action=UPDATE&amp;creator=factSet&amp;DYN_ARGS=true&amp;DOC_NAME=FAT:RGQ_ENTRPR_VAL_EV_SOURCE_WINDOW.FAT&amp;VAR:ID1=WTS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683__FDSAUDITLINK__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684__FDSAUDITLINK__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685__FDSAUDITLINK__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686__FDSAUDITLINK__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687__FDSAUDITLINK__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688__FDSAUDITLINK__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689__FDSAUDITLINK__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69__FDSAUDITLINK__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4690__FDSAUDITLINK__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691__FDSAUDITLINK__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692__FDSAUDITLINK__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693__FDSAUDITLINK__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694__FDSAUDITLINK__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695__FDSAUDITLINK__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696__FDSAUDITLINK__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697__FDSAUDITLINK__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698__FDSAUDITLINK__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699__FDSAUDITLINK__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7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70__FDSAUDITLINK__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4700__FDSAUDITLINK__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701__FDSAUDITLINK__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702__FDSAUDITLINK__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703__FDSAUDITLINK__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704__FDSAUDITLINK__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705__FDSAUDITLINK__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706__FDSAUDITLINK__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707__FDSAUDITLINK__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708__FDSAUDITLINK__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709__FDSAUDITLINK__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71__FDSAUDITLINK__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4710__FDSAUDITLINK__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711__FDSAUDITLINK__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712__FDSAUDITLINK__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713__FDSAUDITLINK__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714__FDSAUDITLINK__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715__FDSAUDITLINK__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716__FDSAUDITLINK__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717__FDSAUDITLINK__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718__FDSAUDITLINK__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719__FDSAUDITLINK__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72__FDSAUDITLINK__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4720__FDSAUDITLINK__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721__FDSAUDITLINK__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722__FDSAUDITLINK__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723__FDSAUDITLINK__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724__FDSAUDITLINK__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725__FDSAUDITLINK__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726__FDSAUDITLINK__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727__FDSAUDITLINK__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728__FDSAUDITLINK__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729__FDSAUDITLINK__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73__FDSAUDITLINK__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4730__FDSAUDITLINK__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731__FDSAUDITLINK__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732__FDSAUDITLINK__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733__FDSAUDITLINK__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734__FDSAUDITLINK__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735__FDSAUDITLINK__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736__FDSAUDITLINK__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737__FDSAUDITLINK__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738__FDSAUDITLINK__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739__FDSAUDITLINK__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74__FDSAUDITLINK__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4740__FDSAUDITLINK__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4741__FDSAUDITLINK__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4742__FDSAUDITLINK__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4743__FDSAUDITLINK__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4744__FDSAUDITLINK__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4745__FDSAUDITLINK__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4746__FDSAUDITLINK__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4747__FDSAUDITLINK__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4748__FDSAUDITLINK__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4749__FDSAUDITLINK__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475__FDSAUDITLINK__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4750__FDSAUDITLINK__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4751__FDSAUDITLINK__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4752__FDSAUDITLINK__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4753__FDSAUDITLINK__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4754__FDSAUDITLINK__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4755__FDSAUDITLINK__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4756__FDSAUDITLINK__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4757__FDSAUDITLINK__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4758__FDSAUDITLINK__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4759__FDSAUDITLINK__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476__FDSAUDITLINK__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4760__FDSAUDITLINK__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4761__FDSAUDITLINK__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4762__FDSAUDITLINK__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4763__FDSAUDITLINK__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4764__FDSAUDITLINK__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4765__FDSAUDITLINK__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4766__FDSAUDITLINK__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4767__FDSAUDITLINK__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4768__FDSAUDITLINK__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4769__FDSAUDITLINK__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477__FDSAUDITLINK__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4770__FDSAUDITLINK__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4771__FDSAUDITLINK__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4772__FDSAUDITLINK__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4773__FDSAUDITLINK__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4774__FDSAUDITLINK__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4775__FDSAUDITLINK__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4776__FDSAUDITLINK__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4777__FDSAUDITLINK__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4778__FDSAUDITLINK__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4779__FDSAUDITLINK__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478__FDSAUDITLINK__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4780__FDSAUDITLINK__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4781__FDSAUDITLINK__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4782__FDSAUDITLINK__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4783__FDSAUDITLINK__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4784__FDSAUDITLINK__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4785__FDSAUDITLINK__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4786__FDSAUDITLINK__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4787__FDSAUDITLINK__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4788__FDSAUDITLINK__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4789__FDSAUDITLINK__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479__FDSAUDITLINK__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4790__FDSAUDITLINK__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4791__FDSAUDITLINK__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4792__FDSAUDITLINK__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4793__FDSAUDITLINK__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4794__FDSAUDITLINK__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4795__FDSAUDITLINK__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4796__FDSAUDITLINK__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4797__FDSAUDITLINK__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4798__FDSAUDITLINK__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4799__FDSAUDITLINK__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48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80__FDSAUDITLINK__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4800__FDSAUDITLINK__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4801__FDSAUDITLINK__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4802__FDSAUDITLINK__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4803__FDSAUDITLINK__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4804__FDSAUDITLINK__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4805__FDSAUDITLINK__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4806__FDSAUDITLINK__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4807__FDSAUDITLINK__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4808__FDSAUDITLINK__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4809__FDSAUDITLINK__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481__FDSAUDITLINK__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4810__FDSAUDITLINK__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4811__FDSAUDITLINK__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4812__FDSAUDITLINK__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4813__FDSAUDITLINK__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4814__FDSAUDITLINK__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4815__FDSAUDITLINK__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4816__FDSAUDITLINK__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4817__FDSAUDITLINK__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4818__FDSAUDITLINK__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4819__FDSAUDITLINK__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482__FDSAUDITLINK__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4820__FDSAUDITLINK__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4821__FDSAUDITLINK__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4822__FDSAUDITLINK__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4823__FDSAUDITLINK__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4824__FDSAUDITLINK__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4825__FDSAUDITLINK__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4826__FDSAUDITLINK__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4827__FDSAUDITLINK__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4828__FDSAUDITLINK__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4829__FDSAUDITLINK__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483__FDSAUDITLINK__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4830__FDSAUDITLINK__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4831__FDSAUDITLINK__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4832__FDSAUDITLINK__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4833__FDSAUDITLINK__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4834__FDSAUDITLINK__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4835__FDSAUDITLINK__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4836__FDSAUDITLINK__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4837__FDSAUDITLINK__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4838__FDSAUDITLINK__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4839__FDSAUDITLINK__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484__FDSAUDITLINK__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4840__FDSAUDITLINK__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4841__FDSAUDITLINK__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4842__FDSAUDITLINK__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4843__FDSAUDITLINK__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4844__FDSAUDITLINK__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4845__FDSAUDITLINK__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4846__FDSAUDITLINK__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4847__FDSAUDITLINK__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4848__FDSAUDITLINK__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4849__FDSAUDITLINK__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485__FDSAUDITLINK__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4850__FDSAUDITLINK__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4851__FDSAUDITLINK__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4852__FDSAUDITLINK__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4853__FDSAUDITLINK__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4854__FDSAUDITLINK__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4855__FDSAUDITLINK__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4856__FDSAUDITLINK__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4857__FDSAUDITLINK__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4858__FDSAUDITLINK__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4859__FDSAUDITLINK__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486__FDSAUDITLINK__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4860__FDSAUDITLINK__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4861__FDSAUDITLINK__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4862__FDSAUDITLINK__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4863__FDSAUDITLINK__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4864__FDSAUDITLINK__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4865__FDSAUDITLINK__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4866__FDSAUDITLINK__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4867__FDSAUDITLINK__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4868__FDSAUDITLINK__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4869__FDSAUDITLINK__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487__FDSAUDITLINK__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4870__FDSAUDITLINK__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4871__FDSAUDITLINK__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4872__FDSAUDITLINK__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4873__FDSAUDITLINK__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4874__FDSAUDITLINK__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4875__FDSAUDITLINK__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4876__FDSAUDITLINK__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4877__FDSAUDITLINK__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4878__FDSAUDITLINK__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4879__FDSAUDITLINK__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488__FDSAUDITLINK__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4880__FDSAUDITLINK__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4881__FDSAUDITLINK__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4882__FDSAUDITLINK__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4883__FDSAUDITLINK__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4884__FDSAUDITLINK__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4885__FDSAUDITLINK__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4886__FDSAUDITLINK__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4887__FDSAUDITLINK__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4888__FDSAUDITLINK__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4889__FDSAUDITLINK__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489__FDSAUDITLINK__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4890__FDSAUDITLINK__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4891__FDSAUDITLINK__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4892__FDSAUDITLINK__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4893__FDSAUDITLINK__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4894__FDSAUDITLINK__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4895__FDSAUDITLINK__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4896__FDSAUDITLINK__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4897__FDSAUDITLINK__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4898__FDSAUDITLINK__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4899__FDSAUDITLINK__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49__123Graph_BSS5_A" hidden="1">#N/A</definedName>
    <definedName name="_49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90__FDSAUDITLINK__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4900__FDSAUDITLINK__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4901__FDSAUDITLINK__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4902__FDSAUDITLINK__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4903__FDSAUDITLINK__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4904__FDSAUDITLINK__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4905__FDSAUDITLINK__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4906__FDSAUDITLINK__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4907__FDSAUDITLINK__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4908__FDSAUDITLINK__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4909__FDSAUDITLINK__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491__FDSAUDITLINK__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4910__FDSAUDITLINK__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4911__FDSAUDITLINK__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4912__FDSAUDITLINK__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4913__FDSAUDITLINK__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4914__FDSAUDITLINK__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4915__FDSAUDITLINK__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4916__FDSAUDITLINK__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4917__FDSAUDITLINK__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4918__FDSAUDITLINK__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4919__FDSAUDITLINK__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492__FDSAUDITLINK__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4920__FDSAUDITLINK__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4921__FDSAUDITLINK__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4922__FDSAUDITLINK__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4923__FDSAUDITLINK__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4924__FDSAUDITLINK__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4925__FDSAUDITLINK__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4926__FDSAUDITLINK__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4927__FDSAUDITLINK__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4928__FDSAUDITLINK__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4929__FDSAUDITLINK__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493__FDSAUDITLINK__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4930__FDSAUDITLINK__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4931__FDSAUDITLINK__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4932__FDSAUDITLINK__" hidden="1">{"fdsup://directions/FAT Viewer?action=UPDATE&amp;creator=factSet&amp;DYN_ARGS=true&amp;DOC_NAME=FAT:RGQ_ENTRPR_VAL_EV_SOURCE_WINDOW.FAT&amp;VAR:ID1=PNR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933__FDSAUDITLINK__" hidden="1">{"fdsup://directions/FAT Viewer?action=UPDATE&amp;creator=factSet&amp;DYN_ARGS=true&amp;DOC_NAME=FAT:RGQ_ENTRPR_VAL_EV_SOURCE_WINDOW.FAT&amp;VAR:ID1=PNR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934__FDSAUDITLINK__" hidden="1">{"fdsup://directions/FAT Viewer?action=UPDATE&amp;creator=factSet&amp;DYN_ARGS=true&amp;DOC_NAME=FAT:RGQ_ENTRPR_VAL_EV_SOURCE_WINDOW.FAT&amp;VAR:ID1=PNR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935__FDSAUDITLINK__" hidden="1">{"fdsup://directions/FAT Viewer?action=UPDATE&amp;creator=factSet&amp;DYN_ARGS=true&amp;DOC_NAME=FAT:RGQ_ENTRPR_VAL_EV_SOURCE_WINDOW.FAT&amp;VAR:ID1=PNR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936__FDSAUDITLINK__" hidden="1">{"fdsup://directions/FAT Viewer?action=UPDATE&amp;creator=factSet&amp;DYN_ARGS=true&amp;DOC_NAME=FAT:RGQ_ENTRPR_VAL_EV_SOURCE_WINDOW.FAT&amp;VAR:ID1=PNR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937__FDSAUDITLINK__" hidden="1">{"fdsup://directions/FAT Viewer?action=UPDATE&amp;creator=factSet&amp;DYN_ARGS=true&amp;DOC_NAME=FAT:RGQ_ENTRPR_VAL_EV_SOURCE_WINDOW.FAT&amp;VAR:ID1=PNR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938__FDSAUDITLINK__" hidden="1">{"fdsup://directions/FAT Viewer?action=UPDATE&amp;creator=factSet&amp;DYN_ARGS=true&amp;DOC_NAME=FAT:RGQ_ENTRPR_VAL_EV_SOURCE_WINDOW.FAT&amp;VAR:ID1=PNR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939__FDSAUDITLINK__" hidden="1">{"fdsup://directions/FAT Viewer?action=UPDATE&amp;creator=factSet&amp;DYN_ARGS=true&amp;DOC_NAME=FAT:RGQ_ENTRPR_VAL_EV_SOURCE_WINDOW.FAT&amp;VAR:ID1=PNR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94__FDSAUDITLINK__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4940__FDSAUDITLINK__" hidden="1">{"fdsup://directions/FAT Viewer?action=UPDATE&amp;creator=factSet&amp;DYN_ARGS=true&amp;DOC_NAME=FAT:RGQ_ENTRPR_VAL_EV_SOURCE_WINDOW.FAT&amp;VAR:ID1=PNR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941__FDSAUDITLINK__" hidden="1">{"fdsup://directions/FAT Viewer?action=UPDATE&amp;creator=factSet&amp;DYN_ARGS=true&amp;DOC_NAME=FAT:RGQ_ENTRPR_VAL_EV_SOURCE_WINDOW.FAT&amp;VAR:ID1=PNR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942__FDSAUDITLINK__" hidden="1">{"fdsup://directions/FAT Viewer?action=UPDATE&amp;creator=factSet&amp;DYN_ARGS=true&amp;DOC_NAME=FAT:RGQ_ENTRPR_VAL_EV_SOURCE_WINDOW.FAT&amp;VAR:ID1=PNR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943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944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945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946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947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948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949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95__FDSAUDITLINK__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4950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951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952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953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954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955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956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957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958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959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96__FDSAUDITLINK__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4960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961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962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963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964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965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966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967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968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969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97__FDSAUDITLINK__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4970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971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972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973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974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975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976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977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978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979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98__FDSAUDITLINK__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4980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981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982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983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984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985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986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987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988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989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99__FDSAUDITLINK__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4990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991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992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993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994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995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996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997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998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999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5__123Graph_ACHART_20" hidden="1">#N/A</definedName>
    <definedName name="_5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50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500__FDSAUDITLINK__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5000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5001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5002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5003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5004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5005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5006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5007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5008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5009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501__FDSAUDITLINK__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5010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5011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5012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5013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5014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5015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5016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5017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5018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5019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502__FDSAUDITLINK__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5020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5021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5022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5023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5024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5025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5026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5027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5028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5029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503__FDSAUDITLINK__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5030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5031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5032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5033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5034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5035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5036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5037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5038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5039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504__FDSAUDITLINK__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5040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5041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5042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5043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5044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5045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5046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5047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5048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5049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505__FDSAUDITLINK__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5050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5051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5052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5053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5054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5055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5056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5057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5058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5059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506__FDSAUDITLINK__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5060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5061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5062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5063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5064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5065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5066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5067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5068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5069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507__FDSAUDITLINK__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5070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5071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5072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5073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5074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5075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5076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5077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5078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5079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508__FDSAUDITLINK__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5080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5081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5082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5083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5084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5085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5086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5087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5088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5089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509__FDSAUDITLINK__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5090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5091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5092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5093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5094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5095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5096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5097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5098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5099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51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510__FDSAUDITLINK__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5100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5101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5102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5103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5104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5105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5106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5107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5108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5109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511__FDSAUDITLINK__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5110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5111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5112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5113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5114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5115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5116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5117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5118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5119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512__FDSAUDITLINK__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5120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5121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5122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5123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5124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5125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5126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5127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5128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5129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513__FDSAUDITLINK__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5130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5131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5132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5133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5134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5135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5136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5137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5138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5139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514__FDSAUDITLINK__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5140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5141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5142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5143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5144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5145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5146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5147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5148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5149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515__FDSAUDITLINK__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5150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5151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5152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5153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5154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5155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5156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5157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5158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5159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516__FDSAUDITLINK__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5160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5161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5162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5163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5164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5165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5166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5167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5168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5169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517__FDSAUDITLINK__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5170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5171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5172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5173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5174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5175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5176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5177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5178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5179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518__FDSAUDITLINK__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5180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5181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5182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5183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5184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5185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5186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5187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5188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5189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519__FDSAUDITLINK__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5190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5191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5192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5193__FDSAUDITLINK__" hidden="1">{"fdsup://IBCentral/FAT Viewer?action=UPDATE&amp;creator=factset&amp;DOC_NAME=fat:reuters_annual_source_window.fat&amp;display_string=Audit&amp;DYN_ARGS=TRUE&amp;VAR:ID1=69642930&amp;VAR:RCODE=STLD&amp;VAR:SDATE=20060799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4__FDSAUDITLINK__" hidden="1">{"fdsup://IBCentral/FAT Viewer?action=UPDATE&amp;creator=factset&amp;DOC_NAME=fat:reuters_annual_source_window.fat&amp;display_string=Audit&amp;DYN_ARGS=TRUE&amp;VAR:ID1=69642930&amp;VAR:RCODE=STLD&amp;VAR:SDATE=20070799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5__FDSAUDITLINK__" hidden="1">{"fdsup://IBCentral/FAT Viewer?action=UPDATE&amp;creator=factset&amp;DOC_NAME=fat:reuters_annual_source_window.fat&amp;display_string=Audit&amp;DYN_ARGS=TRUE&amp;VAR:ID1=69642930&amp;VAR:RCODE=STLD&amp;VAR:SDATE=20080799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6__FDSAUDITLINK__" hidden="1">{"fdsup://IBCentral/FAT Viewer?action=UPDATE&amp;creator=factset&amp;DOC_NAME=fat:reuters_annual_source_window.fat&amp;display_string=Audit&amp;DYN_ARGS=TRUE&amp;VAR:ID1=69642930&amp;VAR:RCODE=STLD&amp;VAR:SDATE=20090799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7__FDSAUDITLINK__" hidden="1">{"fdsup://IBCentral/FAT Viewer?action=UPDATE&amp;creator=factset&amp;DOC_NAME=fat:reuters_annual_source_window.fat&amp;display_string=Audit&amp;DYN_ARGS=TRUE&amp;VAR:ID1=411905&amp;VAR:RCODE=STLD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8__FDSAUDITLINK__" hidden="1">{"fdsup://IBCentral/FAT Viewer?action=UPDATE&amp;creator=factset&amp;DOC_NAME=fat:reuters_annual_source_window.fat&amp;display_string=Audit&amp;DYN_ARGS=TRUE&amp;VAR:ID1=411905&amp;VAR:RCODE=STLD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9__FDSAUDITLINK__" hidden="1">{"fdsup://IBCentral/FAT Viewer?action=UPDATE&amp;creator=factset&amp;DOC_NAME=fat:reuters_annual_source_window.fat&amp;display_string=Audit&amp;DYN_ARGS=TRUE&amp;VAR:ID1=411905&amp;VAR:RCODE=STLD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520__FDSAUDITLINK__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5200__FDSAUDITLINK__" hidden="1">{"fdsup://IBCentral/FAT Viewer?action=UPDATE&amp;creator=factset&amp;DOC_NAME=fat:reuters_annual_source_window.fat&amp;display_string=Audit&amp;DYN_ARGS=TRUE&amp;VAR:ID1=411905&amp;VAR:RCODE=STLD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01__FDSAUDITLINK__" hidden="1">{"fdsup://IBCentral/FAT Viewer?action=UPDATE&amp;creator=factset&amp;DOC_NAME=fat:reuters_annual_source_window.fat&amp;display_string=Audit&amp;DYN_ARGS=TRUE&amp;VAR:ID1=94274910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2__FDSAUDITLINK__" hidden="1">{"fdsup://IBCentral/FAT Viewer?action=UPDATE&amp;creator=factset&amp;DOC_NAME=fat:reuters_annual_source_window.fat&amp;display_string=Audit&amp;DYN_ARGS=TRUE&amp;VAR:ID1=94274910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3__FDSAUDITLINK__" hidden="1">{"fdsup://IBCentral/FAT Viewer?action=UPDATE&amp;creator=factset&amp;DOC_NAME=fat:reuters_annual_source_window.fat&amp;display_string=Audit&amp;DYN_ARGS=TRUE&amp;VAR:ID1=94274910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4__FDSAUDITLINK__" hidden="1">{"fdsup://IBCentral/FAT Viewer?action=UPDATE&amp;creator=factset&amp;DOC_NAME=fat:reuters_annual_source_window.fat&amp;display_string=Audit&amp;DYN_ARGS=TRUE&amp;VAR:ID1=94274910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5__FDSAUDITLINK__" hidden="1">{"fdsup://IBCentral/FAT Viewer?action=UPDATE&amp;creator=factset&amp;DOC_NAME=fat:reuters_annual_source_window.fat&amp;display_string=Audit&amp;DYN_ARGS=TRUE&amp;VAR:ID1=70963110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6__FDSAUDITLINK__" hidden="1">{"fdsup://IBCentral/FAT Viewer?action=UPDATE&amp;creator=factset&amp;DOC_NAME=fat:reuters_annual_source_window.fat&amp;display_string=Audit&amp;DYN_ARGS=TRUE&amp;VAR:ID1=70963110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7__FDSAUDITLINK__" hidden="1">{"fdsup://IBCentral/FAT Viewer?action=UPDATE&amp;creator=factset&amp;DOC_NAME=fat:reuters_annual_source_window.fat&amp;display_string=Audit&amp;DYN_ARGS=TRUE&amp;VAR:ID1=70963110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8__FDSAUDITLINK__" hidden="1">{"fdsup://IBCentral/FAT Viewer?action=UPDATE&amp;creator=factset&amp;DOC_NAME=fat:reuters_annual_source_window.fat&amp;display_string=Audit&amp;DYN_ARGS=TRUE&amp;VAR:ID1=70963110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9__FDSAUDITLINK__" hidden="1">{"fdsup://IBCentral/FAT Viewer?action=UPDATE&amp;creator=factset&amp;DOC_NAME=fat:reuters_annual_source_window.fat&amp;display_string=Audit&amp;DYN_ARGS=TRUE&amp;VAR:ID1=45091110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__FDSAUDITLINK__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5210__FDSAUDITLINK__" hidden="1">{"fdsup://IBCentral/FAT Viewer?action=UPDATE&amp;creator=factset&amp;DOC_NAME=fat:reuters_annual_source_window.fat&amp;display_string=Audit&amp;DYN_ARGS=TRUE&amp;VAR:ID1=45091110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1__FDSAUDITLINK__" hidden="1">{"fdsup://IBCentral/FAT Viewer?action=UPDATE&amp;creator=factset&amp;DOC_NAME=fat:reuters_annual_source_window.fat&amp;display_string=Audit&amp;DYN_ARGS=TRUE&amp;VAR:ID1=45091110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2__FDSAUDITLINK__" hidden="1">{"fdsup://IBCentral/FAT Viewer?action=UPDATE&amp;creator=factset&amp;DOC_NAME=fat:reuters_annual_source_window.fat&amp;display_string=Audit&amp;DYN_ARGS=TRUE&amp;VAR:ID1=45091110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3__FDSAUDITLINK__" hidden="1">{"fdsup://IBCentral/FAT Viewer?action=UPDATE&amp;creator=factset&amp;DOC_NAME=fat:reuters_annual_source_window.fat&amp;display_string=Audit&amp;DYN_ARGS=TRUE&amp;VAR:ID1=69642930&amp;VAR:RCODE=STLD&amp;VAR:SDATE=20060799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4__FDSAUDITLINK__" hidden="1">{"fdsup://IBCentral/FAT Viewer?action=UPDATE&amp;creator=factset&amp;DOC_NAME=fat:reuters_annual_source_window.fat&amp;display_string=Audit&amp;DYN_ARGS=TRUE&amp;VAR:ID1=69642930&amp;VAR:RCODE=STLD&amp;VAR:SDATE=20070799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5__FDSAUDITLINK__" hidden="1">{"fdsup://IBCentral/FAT Viewer?action=UPDATE&amp;creator=factset&amp;DOC_NAME=fat:reuters_annual_source_window.fat&amp;display_string=Audit&amp;DYN_ARGS=TRUE&amp;VAR:ID1=69642930&amp;VAR:RCODE=STLD&amp;VAR:SDATE=20080799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6__FDSAUDITLINK__" hidden="1">{"fdsup://IBCentral/FAT Viewer?action=UPDATE&amp;creator=factset&amp;DOC_NAME=fat:reuters_annual_source_window.fat&amp;display_string=Audit&amp;DYN_ARGS=TRUE&amp;VAR:ID1=69642930&amp;VAR:RCODE=STLD&amp;VAR:SDATE=20090799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7__FDSAUDITLINK__" hidden="1">{"fdsup://IBCentral/FAT Viewer?action=UPDATE&amp;creator=factset&amp;DOC_NAME=fat:reuters_annual_source_window.fat&amp;display_string=Audit&amp;DYN_ARGS=TRUE&amp;VAR:ID1=411905&amp;VAR:RCODE=STLD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8__FDSAUDITLINK__" hidden="1">{"fdsup://IBCentral/FAT Viewer?action=UPDATE&amp;creator=factset&amp;DOC_NAME=fat:reuters_annual_source_window.fat&amp;display_string=Audit&amp;DYN_ARGS=TRUE&amp;VAR:ID1=411905&amp;VAR:RCODE=STLD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9__FDSAUDITLINK__" hidden="1">{"fdsup://IBCentral/FAT Viewer?action=UPDATE&amp;creator=factset&amp;DOC_NAME=fat:reuters_annual_source_window.fat&amp;display_string=Audit&amp;DYN_ARGS=TRUE&amp;VAR:ID1=411905&amp;VAR:RCODE=STLD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2__FDSAUDITLINK__" hidden="1">{"fdsup://directions/FAT Viewer?action=UPDATE&amp;creator=factSet&amp;DYN_ARGS=true&amp;DOC_NAME=FAT:RGQ_ENTRPR_VAL_EV_SOURCE_WINDOW.FAT&amp;VAR:ID1=PLL&amp;VAR:SDATE=20060113&amp;VAR:FDATE=20051031&amp;VAR:FREQ=WEEKLY&amp;VAR:RELITEM=&amp;VAR:CURRENCY=&amp;VAR:DB_TYPE=&amp;VAR:UNITS=M&amp;window=popup&amp;w","idth=535&amp;height=425&amp;START_MAXIMIZED=FALSE&amp;Y=120&amp;display_string=audit"}</definedName>
    <definedName name="_5220__FDSAUDITLINK__" hidden="1">{"fdsup://IBCentral/FAT Viewer?action=UPDATE&amp;creator=factset&amp;DOC_NAME=fat:reuters_annual_source_window.fat&amp;display_string=Audit&amp;DYN_ARGS=TRUE&amp;VAR:ID1=411905&amp;VAR:RCODE=STLD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21__FDSAUDITLINK__" hidden="1">{"fdsup://IBCentral/FAT Viewer?action=UPDATE&amp;creator=factset&amp;DOC_NAME=fat:reuters_annual_source_window.fat&amp;display_string=Audit&amp;DYN_ARGS=TRUE&amp;VAR:ID1=94274910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2__FDSAUDITLINK__" hidden="1">{"fdsup://IBCentral/FAT Viewer?action=UPDATE&amp;creator=factset&amp;DOC_NAME=fat:reuters_annual_source_window.fat&amp;display_string=Audit&amp;DYN_ARGS=TRUE&amp;VAR:ID1=94274910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3__FDSAUDITLINK__" hidden="1">{"fdsup://IBCentral/FAT Viewer?action=UPDATE&amp;creator=factset&amp;DOC_NAME=fat:reuters_annual_source_window.fat&amp;display_string=Audit&amp;DYN_ARGS=TRUE&amp;VAR:ID1=94274910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4__FDSAUDITLINK__" hidden="1">{"fdsup://IBCentral/FAT Viewer?action=UPDATE&amp;creator=factset&amp;DOC_NAME=fat:reuters_annual_source_window.fat&amp;display_string=Audit&amp;DYN_ARGS=TRUE&amp;VAR:ID1=94274910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5__FDSAUDITLINK__" hidden="1">{"fdsup://IBCentral/FAT Viewer?action=UPDATE&amp;creator=factset&amp;DOC_NAME=fat:reuters_annual_source_window.fat&amp;display_string=Audit&amp;DYN_ARGS=TRUE&amp;VAR:ID1=70963110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6__FDSAUDITLINK__" hidden="1">{"fdsup://IBCentral/FAT Viewer?action=UPDATE&amp;creator=factset&amp;DOC_NAME=fat:reuters_annual_source_window.fat&amp;display_string=Audit&amp;DYN_ARGS=TRUE&amp;VAR:ID1=70963110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7__FDSAUDITLINK__" hidden="1">{"fdsup://IBCentral/FAT Viewer?action=UPDATE&amp;creator=factset&amp;DOC_NAME=fat:reuters_annual_source_window.fat&amp;display_string=Audit&amp;DYN_ARGS=TRUE&amp;VAR:ID1=70963110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8__FDSAUDITLINK__" hidden="1">{"fdsup://IBCentral/FAT Viewer?action=UPDATE&amp;creator=factset&amp;DOC_NAME=fat:reuters_annual_source_window.fat&amp;display_string=Audit&amp;DYN_ARGS=TRUE&amp;VAR:ID1=70963110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9__FDSAUDITLINK__" hidden="1">{"fdsup://IBCentral/FAT Viewer?action=UPDATE&amp;creator=factset&amp;DOC_NAME=fat:reuters_annual_source_window.fat&amp;display_string=Audit&amp;DYN_ARGS=TRUE&amp;VAR:ID1=45091110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__FDSAUDITLINK__" hidden="1">{"fdsup://directions/FAT Viewer?action=UPDATE&amp;creator=factSet&amp;DYN_ARGS=true&amp;DOC_NAME=FAT:RGQ_ENTRPR_VAL_EV_SOURCE_WINDOW.FAT&amp;VAR:ID1=PLL&amp;VAR:SDATE=20060113&amp;VAR:FDATE=20051031&amp;VAR:FREQ=WEEKLY&amp;VAR:RELITEM=&amp;VAR:CURRENCY=&amp;VAR:DB_TYPE=&amp;VAR:UNITS=M&amp;window=popup&amp;w","idth=535&amp;height=425&amp;START_MAXIMIZED=FALSE&amp;Y=120&amp;display_string=audit"}</definedName>
    <definedName name="_5230__FDSAUDITLINK__" hidden="1">{"fdsup://IBCentral/FAT Viewer?action=UPDATE&amp;creator=factset&amp;DOC_NAME=fat:reuters_annual_source_window.fat&amp;display_string=Audit&amp;DYN_ARGS=TRUE&amp;VAR:ID1=45091110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1__FDSAUDITLINK__" hidden="1">{"fdsup://IBCentral/FAT Viewer?action=UPDATE&amp;creator=factset&amp;DOC_NAME=fat:reuters_annual_source_window.fat&amp;display_string=Audit&amp;DYN_ARGS=TRUE&amp;VAR:ID1=45091110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2__FDSAUDITLINK__" hidden="1">{"fdsup://IBCentral/FAT Viewer?action=UPDATE&amp;creator=factset&amp;DOC_NAME=fat:reuters_annual_source_window.fat&amp;display_string=Audit&amp;DYN_ARGS=TRUE&amp;VAR:ID1=45091110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4__FDSAUDITLINK__" hidden="1">{"fdsup://directions/FAT Viewer?action=UPDATE&amp;creator=factSet&amp;DYN_ARGS=true&amp;DOC_NAME=FAT:RGQ_ENTRPR_VAL_EV_SOURCE_WINDOW.FAT&amp;VAR:ID1=BWT-AT&amp;VAR:SDATE=20101231&amp;VAR:FDATE=20100930&amp;VAR:FREQ=WEEKLY&amp;VAR:RELITEM=&amp;VAR:CURRENCY=&amp;VAR:DB_TYPE=&amp;VAR:UNITS=M&amp;window=popu","p&amp;width=535&amp;height=425&amp;START_MAXIMIZED=FALSE&amp;Y=120&amp;display_string=audit"}</definedName>
    <definedName name="_525__FDSAUDITLINK__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526__FDSAUDITLINK__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527__FDSAUDITLINK__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528__FDSAUDITLINK__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529__FDSAUDITLINK__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53__123Graph_BSS6_A" hidden="1">#N/A</definedName>
    <definedName name="_53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530__FDSAUDITLINK__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531__FDSAUDITLINK__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532__FDSAUDITLINK__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533__FDSAUDITLINK__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534__FDSAUDITLINK__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535__FDSAUDITLINK__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536__FDSAUDITLINK__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537__FDSAUDITLINK__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538__FDSAUDITLINK__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539__FDSAUDITLINK__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54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540__FDSAUDITLINK__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541__FDSAUDITLINK__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542__FDSAUDITLINK__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543__FDSAUDITLINK__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544__FDSAUDITLINK__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545__FDSAUDITLINK__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546__FDSAUDITLINK__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547__FDSAUDITLINK__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548__FDSAUDITLINK__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549__FDSAUDITLINK__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55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550__FDSAUDITLINK__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551__FDSAUDITLINK__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552__FDSAUDITLINK__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553__FDSAUDITLINK__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554__FDSAUDITLINK__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555__FDSAUDITLINK__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556__FDSAUDITLINK__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557__FDSAUDITLINK__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558__FDSAUDITLINK__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559__FDSAUDITLINK__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56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560__FDSAUDITLINK__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561__FDSAUDITLINK__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562__FDSAUDITLINK__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563__FDSAUDITLINK__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564__FDSAUDITLINK__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565__FDSAUDITLINK__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566__FDSAUDITLINK__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567__FDSAUDITLINK__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568__FDSAUDITLINK__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569__FDSAUDITLINK__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57__123Graph_BSS6_B" hidden="1">#N/A</definedName>
    <definedName name="_57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570__FDSAUDITLINK__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571__FDSAUDITLINK__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572__FDSAUDITLINK__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573__FDSAUDITLINK__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574__FDSAUDITLINK__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575__FDSAUDITLINK__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576__FDSAUDITLINK__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577__FDSAUDITLINK__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578__FDSAUDITLINK__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579__FDSAUDITLINK__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58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580__FDSAUDITLINK__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581__FDSAUDITLINK__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582__FDSAUDITLINK__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583__FDSAUDITLINK__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584__FDSAUDITLINK__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585__FDSAUDITLINK__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586__FDSAUDITLINK__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587__FDSAUDITLINK__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588__FDSAUDITLINK__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589__FDSAUDITLINK__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59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590__FDSAUDITLINK__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591__FDSAUDITLINK__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592__FDSAUDITLINK__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593__FDSAUDITLINK__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594__FDSAUDITLINK__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595__FDSAUDITLINK__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596__FDSAUDITLINK__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597__FDSAUDITLINK__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598__FDSAUDITLINK__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599__FDSAUDITLINK__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6__123Graph_ACHART_22" hidden="1">#REF!</definedName>
    <definedName name="_6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60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600__FDSAUDITLINK__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601__FDSAUDITLINK__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602__FDSAUDITLINK__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603__FDSAUDITLINK__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604__FDSAUDITLINK__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605__FDSAUDITLINK__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606__FDSAUDITLINK__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607__FDSAUDITLINK__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608__FDSAUDITLINK__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609__FDSAUDITLINK__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61__123Graph_BSTD_A" hidden="1">#N/A</definedName>
    <definedName name="_61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610__FDSAUDITLINK__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611__FDSAUDITLINK__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612__FDSAUDITLINK__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613__FDSAUDITLINK__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614__FDSAUDITLINK__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615__FDSAUDITLINK__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616__FDSAUDITLINK__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617__FDSAUDITLINK__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618__FDSAUDITLINK__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619__FDSAUDITLINK__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62__123Graph_C_Chart_1A" hidden="1">#N/A</definedName>
    <definedName name="_62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620__FDSAUDITLINK__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621__FDSAUDITLINK__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622__FDSAUDITLINK__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623__FDSAUDITLINK__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624__FDSAUDITLINK__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625__FDSAUDITLINK__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626__FDSAUDITLINK__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627__FDSAUDITLINK__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628__FDSAUDITLINK__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629__FDSAUDITLINK__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63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630__FDSAUDITLINK__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631__FDSAUDITLINK__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632__FDSAUDITLINK__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633__FDSAUDITLINK__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634__FDSAUDITLINK__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635__FDSAUDITLINK__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636__FDSAUDITLINK__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637__FDSAUDITLINK__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638__FDSAUDITLINK__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639__FDSAUDITLINK__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64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64_glservice_source">#REF!</definedName>
    <definedName name="_640__FDSAUDITLINK__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641__FDSAUDITLINK__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642__FDSAUDITLINK__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643__FDSAUDITLINK__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644__FDSAUDITLINK__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645__FDSAUDITLINK__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646__FDSAUDITLINK__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647__FDSAUDITLINK__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648__FDSAUDITLINK__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649__FDSAUDITLINK__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65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650__FDSAUDITLINK__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651__FDSAUDITLINK__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652__FDSAUDITLINK__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653__FDSAUDITLINK__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654__FDSAUDITLINK__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655__FDSAUDITLINK__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656__FDSAUDITLINK__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657__FDSAUDITLINK__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658__FDSAUDITLINK__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659__FDSAUDITLINK__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66__123Graph_CChart_1" hidden="1">#REF!</definedName>
    <definedName name="_66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660__FDSAUDITLINK__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661__FDSAUDITLINK__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662__FDSAUDITLINK__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663__FDSAUDITLINK__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664__FDSAUDITLINK__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665__FDSAUDITLINK__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666__FDSAUDITLINK__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667__FDSAUDITLINK__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668__FDSAUDITLINK__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669__FDSAUDITLINK__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67__123Graph_CCHART_10" hidden="1">#REF!</definedName>
    <definedName name="_67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670__FDSAUDITLINK__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671__FDSAUDITLINK__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672__FDSAUDITLINK__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673__FDSAUDITLINK__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674__FDSAUDITLINK__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675__FDSAUDITLINK__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676__FDSAUDITLINK__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677__FDSAUDITLINK__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678__FDSAUDITLINK__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679__FDSAUDITLINK__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68__123Graph_CCHART_11" hidden="1">#REF!</definedName>
    <definedName name="_68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680__FDSAUDITLINK__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681__FDSAUDITLINK__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682__FDSAUDITLINK__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683__FDSAUDITLINK__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684__FDSAUDITLINK__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685__FDSAUDITLINK__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686__FDSAUDITLINK__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687__FDSAUDITLINK__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688__FDSAUDITLINK__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689__FDSAUDITLINK__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69__123Graph_CCHART_12" hidden="1">#REF!</definedName>
    <definedName name="_69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690__FDSAUDITLINK__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691__FDSAUDITLINK__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692__FDSAUDITLINK__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693__FDSAUDITLINK__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694__FDSAUDITLINK__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695__FDSAUDITLINK__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696__FDSAUDITLINK__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697__FDSAUDITLINK__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698__FDSAUDITLINK__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699__FDSAUDITLINK__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7__123Graph_ACHART_23" hidden="1">#REF!</definedName>
    <definedName name="_7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70__123Graph_CCHART_13" hidden="1">#REF!</definedName>
    <definedName name="_70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700__FDSAUDITLINK__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701__FDSAUDITLINK__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702__FDSAUDITLINK__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703__FDSAUDITLINK__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704__FDSAUDITLINK__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705__FDSAUDITLINK__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706__FDSAUDITLINK__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707__FDSAUDITLINK__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708__FDSAUDITLINK__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709__FDSAUDITLINK__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71__123Graph_CCHART_14" hidden="1">#REF!</definedName>
    <definedName name="_71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710__FDSAUDITLINK__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711__FDSAUDITLINK__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712__FDSAUDITLINK__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713__FDSAUDITLINK__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714__FDSAUDITLINK__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715__FDSAUDITLINK__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716__FDSAUDITLINK__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717__FDSAUDITLINK__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718__FDSAUDITLINK__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719__FDSAUDITLINK__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72__123Graph_CCHART_15" hidden="1">#REF!</definedName>
    <definedName name="_72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720__FDSAUDITLINK__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721__FDSAUDITLINK__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722__FDSAUDITLINK__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723__FDSAUDITLINK__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724__FDSAUDITLINK__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725__FDSAUDITLINK__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726__FDSAUDITLINK__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727__FDSAUDITLINK__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728__FDSAUDITLINK__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729__FDSAUDITLINK__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73__123Graph_CCHART_16" hidden="1">#REF!</definedName>
    <definedName name="_73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730__FDSAUDITLINK__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731__FDSAUDITLINK__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732__FDSAUDITLINK__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733__FDSAUDITLINK__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734__FDSAUDITLINK__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735__FDSAUDITLINK__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736__FDSAUDITLINK__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737__FDSAUDITLINK__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738__FDSAUDITLINK__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739__FDSAUDITLINK__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74__123Graph_CCHART_17" hidden="1">#REF!</definedName>
    <definedName name="_74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740__FDSAUDITLINK__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741__FDSAUDITLINK__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742__FDSAUDITLINK__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743__FDSAUDITLINK__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744__FDSAUDITLINK__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745__FDSAUDITLINK__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746__FDSAUDITLINK__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747__FDSAUDITLINK__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748__FDSAUDITLINK__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749__FDSAUDITLINK__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75__123Graph_CCHART_18" hidden="1">#REF!</definedName>
    <definedName name="_75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750__FDSAUDITLINK__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751__FDSAUDITLINK__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752__FDSAUDITLINK__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753__FDSAUDITLINK__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754__FDSAUDITLINK__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755__FDSAUDITLINK__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756__FDSAUDITLINK__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757__FDSAUDITLINK__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758__FDSAUDITLINK__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759__FDSAUDITLINK__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76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760__FDSAUDITLINK__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761__FDSAUDITLINK__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762__FDSAUDITLINK__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763__FDSAUDITLINK__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764__FDSAUDITLINK__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765__FDSAUDITLINK__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766__FDSAUDITLINK__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767__FDSAUDITLINK__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768__FDSAUDITLINK__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769__FDSAUDITLINK__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77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770__FDSAUDITLINK__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771__FDSAUDITLINK__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772__FDSAUDITLINK__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773__FDSAUDITLINK__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774__FDSAUDITLINK__" hidden="1">{"fdsup://directions/FAT Viewer?action=UPDATE&amp;creator=factSet&amp;DYN_ARGS=true&amp;DOC_NAME=FAT:RGQ_ENTRPR_VAL_EV_SOURCE_WINDOW.FAT&amp;VAR:ID1=BWT-AT&amp;VAR:SDATE=20060317&amp;VAR:FDATE=20051230&amp;VAR:FREQ=WEEKLY&amp;VAR:RELITEM=&amp;VAR:CURRENCY=&amp;VAR:DB_TYPE=&amp;VAR:UNITS=M&amp;window=popu","p&amp;width=535&amp;height=425&amp;START_MAXIMIZED=FALSE&amp;Y=120&amp;display_string=audit"}</definedName>
    <definedName name="_775__FDSAUDITLINK__" hidden="1">{"fdsup://directions/FAT Viewer?action=UPDATE&amp;creator=factSet&amp;DYN_ARGS=true&amp;DOC_NAME=FAT:RGQ_ENTRPR_VAL_EV_SOURCE_WINDOW.FAT&amp;VAR:ID1=BWT-AT&amp;VAR:SDATE=20060310&amp;VAR:FDATE=20051230&amp;VAR:FREQ=WEEKLY&amp;VAR:RELITEM=&amp;VAR:CURRENCY=&amp;VAR:DB_TYPE=&amp;VAR:UNITS=M&amp;window=popu","p&amp;width=535&amp;height=425&amp;START_MAXIMIZED=FALSE&amp;Y=120&amp;display_string=audit"}</definedName>
    <definedName name="_776__FDSAUDITLINK__" hidden="1">{"fdsup://directions/FAT Viewer?action=UPDATE&amp;creator=factSet&amp;DYN_ARGS=true&amp;DOC_NAME=FAT:RGQ_ENTRPR_VAL_EV_SOURCE_WINDOW.FAT&amp;VAR:ID1=BWT-AT&amp;VAR:SDATE=20060303&amp;VAR:FDATE=20051230&amp;VAR:FREQ=WEEKLY&amp;VAR:RELITEM=&amp;VAR:CURRENCY=&amp;VAR:DB_TYPE=&amp;VAR:UNITS=M&amp;window=popu","p&amp;width=535&amp;height=425&amp;START_MAXIMIZED=FALSE&amp;Y=120&amp;display_string=audit"}</definedName>
    <definedName name="_777__FDSAUDITLINK__" hidden="1">{"fdsup://directions/FAT Viewer?action=UPDATE&amp;creator=factSet&amp;DYN_ARGS=true&amp;DOC_NAME=FAT:RGQ_ENTRPR_VAL_EV_SOURCE_WINDOW.FAT&amp;VAR:ID1=BWT-AT&amp;VAR:SDATE=20060224&amp;VAR:FDATE=20051230&amp;VAR:FREQ=WEEKLY&amp;VAR:RELITEM=&amp;VAR:CURRENCY=&amp;VAR:DB_TYPE=&amp;VAR:UNITS=M&amp;window=popu","p&amp;width=535&amp;height=425&amp;START_MAXIMIZED=FALSE&amp;Y=120&amp;display_string=audit"}</definedName>
    <definedName name="_778__FDSAUDITLINK__" hidden="1">{"fdsup://directions/FAT Viewer?action=UPDATE&amp;creator=factSet&amp;DYN_ARGS=true&amp;DOC_NAME=FAT:RGQ_ENTRPR_VAL_EV_SOURCE_WINDOW.FAT&amp;VAR:ID1=BWT-AT&amp;VAR:SDATE=20060217&amp;VAR:FDATE=20051230&amp;VAR:FREQ=WEEKLY&amp;VAR:RELITEM=&amp;VAR:CURRENCY=&amp;VAR:DB_TYPE=&amp;VAR:UNITS=M&amp;window=popu","p&amp;width=535&amp;height=425&amp;START_MAXIMIZED=FALSE&amp;Y=120&amp;display_string=audit"}</definedName>
    <definedName name="_779__FDSAUDITLINK__" hidden="1">{"fdsup://directions/FAT Viewer?action=UPDATE&amp;creator=factSet&amp;DYN_ARGS=true&amp;DOC_NAME=FAT:RGQ_ENTRPR_VAL_EV_SOURCE_WINDOW.FAT&amp;VAR:ID1=BWT-AT&amp;VAR:SDATE=20060210&amp;VAR:FDATE=20051230&amp;VAR:FREQ=WEEKLY&amp;VAR:RELITEM=&amp;VAR:CURRENCY=&amp;VAR:DB_TYPE=&amp;VAR:UNITS=M&amp;window=popu","p&amp;width=535&amp;height=425&amp;START_MAXIMIZED=FALSE&amp;Y=120&amp;display_string=audit"}</definedName>
    <definedName name="_78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780__FDSAUDITLINK__" hidden="1">{"fdsup://directions/FAT Viewer?action=UPDATE&amp;creator=factSet&amp;DYN_ARGS=true&amp;DOC_NAME=FAT:RGQ_ENTRPR_VAL_EV_SOURCE_WINDOW.FAT&amp;VAR:ID1=BWT-AT&amp;VAR:SDATE=20060203&amp;VAR:FDATE=20051230&amp;VAR:FREQ=WEEKLY&amp;VAR:RELITEM=&amp;VAR:CURRENCY=&amp;VAR:DB_TYPE=&amp;VAR:UNITS=M&amp;window=popu","p&amp;width=535&amp;height=425&amp;START_MAXIMIZED=FALSE&amp;Y=120&amp;display_string=audit"}</definedName>
    <definedName name="_781__FDSAUDITLINK__" hidden="1">{"fdsup://directions/FAT Viewer?action=UPDATE&amp;creator=factSet&amp;DYN_ARGS=true&amp;DOC_NAME=FAT:RGQ_ENTRPR_VAL_EV_SOURCE_WINDOW.FAT&amp;VAR:ID1=BWT-AT&amp;VAR:SDATE=20060127&amp;VAR:FDATE=20051230&amp;VAR:FREQ=WEEKLY&amp;VAR:RELITEM=&amp;VAR:CURRENCY=&amp;VAR:DB_TYPE=&amp;VAR:UNITS=M&amp;window=popu","p&amp;width=535&amp;height=425&amp;START_MAXIMIZED=FALSE&amp;Y=120&amp;display_string=audit"}</definedName>
    <definedName name="_782__FDSAUDITLINK__" hidden="1">{"fdsup://directions/FAT Viewer?action=UPDATE&amp;creator=factSet&amp;DYN_ARGS=true&amp;DOC_NAME=FAT:RGQ_ENTRPR_VAL_EV_SOURCE_WINDOW.FAT&amp;VAR:ID1=BWT-AT&amp;VAR:SDATE=20060120&amp;VAR:FDATE=20051230&amp;VAR:FREQ=WEEKLY&amp;VAR:RELITEM=&amp;VAR:CURRENCY=&amp;VAR:DB_TYPE=&amp;VAR:UNITS=M&amp;window=popu","p&amp;width=535&amp;height=425&amp;START_MAXIMIZED=FALSE&amp;Y=120&amp;display_string=audit"}</definedName>
    <definedName name="_783__FDSAUDITLINK__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784__FDSAUDITLINK__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785__FDSAUDITLINK__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786__FDSAUDITLINK__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787__FDSAUDITLINK__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788__FDSAUDITLINK__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789__FDSAUDITLINK__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79__123Graph_CChart_3" hidden="1">#REF!</definedName>
    <definedName name="_79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790__FDSAUDITLINK__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791__FDSAUDITLINK__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792__FDSAUDITLINK__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793__FDSAUDITLINK__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794__FDSAUDITLINK__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795__FDSAUDITLINK__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796__FDSAUDITLINK__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797__FDSAUDITLINK__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798__FDSAUDITLINK__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799__FDSAUDITLINK__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8__123Graph_AChart_3" hidden="1">#REF!</definedName>
    <definedName name="_8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80__123Graph_CCHART_4" hidden="1">#REF!</definedName>
    <definedName name="_80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800__FDSAUDITLINK__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801__FDSAUDITLINK__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802__FDSAUDITLINK__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803__FDSAUDITLINK__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804__FDSAUDITLINK__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805__FDSAUDITLINK__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806__FDSAUDITLINK__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807__FDSAUDITLINK__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808__FDSAUDITLINK__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809__FDSAUDITLINK__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81__123Graph_CCHART_6" hidden="1">#REF!</definedName>
    <definedName name="_81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810__FDSAUDITLINK__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811__FDSAUDITLINK__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812__FDSAUDITLINK__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813__FDSAUDITLINK__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814__FDSAUDITLINK__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815__FDSAUDITLINK__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816__FDSAUDITLINK__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817__FDSAUDITLINK__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818__FDSAUDITLINK__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819__FDSAUDITLINK__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82__123Graph_CCHART_7" hidden="1">#REF!</definedName>
    <definedName name="_82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820__FDSAUDITLINK__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821__FDSAUDITLINK__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822__FDSAUDITLINK__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823__FDSAUDITLINK__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824__FDSAUDITLINK__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825__FDSAUDITLINK__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826__FDSAUDITLINK__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827__FDSAUDITLINK__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828__FDSAUDITLINK__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829__FDSAUDITLINK__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83__123Graph_CCHART_8" hidden="1">#REF!</definedName>
    <definedName name="_83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830__FDSAUDITLINK__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831__FDSAUDITLINK__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832__FDSAUDITLINK__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833__FDSAUDITLINK__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834__FDSAUDITLINK__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835__FDSAUDITLINK__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836__FDSAUDITLINK__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837__FDSAUDITLINK__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838__FDSAUDITLINK__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839__FDSAUDITLINK__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84__123Graph_CCHART_9" hidden="1">#REF!</definedName>
    <definedName name="_84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840__FDSAUDITLINK__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841__FDSAUDITLINK__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842__FDSAUDITLINK__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843__FDSAUDITLINK__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844__FDSAUDITLINK__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845__FDSAUDITLINK__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846__FDSAUDITLINK__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847__FDSAUDITLINK__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848__FDSAUDITLINK__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849__FDSAUDITLINK__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85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850__FDSAUDITLINK__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851__FDSAUDITLINK__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852__FDSAUDITLINK__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853__FDSAUDITLINK__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854__FDSAUDITLINK__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855__FDSAUDITLINK__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856__FDSAUDITLINK__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857__FDSAUDITLINK__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858__FDSAUDITLINK__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859__FDSAUDITLINK__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86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860__FDSAUDITLINK__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861__FDSAUDITLINK__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862__FDSAUDITLINK__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863__FDSAUDITLINK__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864__FDSAUDITLINK__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865__FDSAUDITLINK__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866__FDSAUDITLINK__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867__FDSAUDITLINK__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868__FDSAUDITLINK__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869__FDSAUDITLINK__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87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870__FDSAUDITLINK__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871__FDSAUDITLINK__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872__FDSAUDITLINK__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873__FDSAUDITLINK__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874__FDSAUDITLINK__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875__FDSAUDITLINK__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876__FDSAUDITLINK__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877__FDSAUDITLINK__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878__FDSAUDITLINK__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879__FDSAUDITLINK__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88__123Graph_CINVAR_A" hidden="1">#N/A</definedName>
    <definedName name="_88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880__FDSAUDITLINK__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881__FDSAUDITLINK__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882__FDSAUDITLINK__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883__FDSAUDITLINK__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884__FDSAUDITLINK__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885__FDSAUDITLINK__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886__FDSAUDITLINK__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887__FDSAUDITLINK__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888__FDSAUDITLINK__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889__FDSAUDITLINK__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89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890__FDSAUDITLINK__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891__FDSAUDITLINK__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892__FDSAUDITLINK__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893__FDSAUDITLINK__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894__FDSAUDITLINK__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895__FDSAUDITLINK__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896__FDSAUDITLINK__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897__FDSAUDITLINK__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898__FDSAUDITLINK__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899__FDSAUDITLINK__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9__123Graph_AChart_4" hidden="1">#REF!</definedName>
    <definedName name="_9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90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900__FDSAUDITLINK__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901__FDSAUDITLINK__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902__FDSAUDITLINK__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903__FDSAUDITLINK__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904__FDSAUDITLINK__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905__FDSAUDITLINK__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906__FDSAUDITLINK__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907__FDSAUDITLINK__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908__FDSAUDITLINK__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909__FDSAUDITLINK__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91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910__FDSAUDITLINK__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911__FDSAUDITLINK__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912__FDSAUDITLINK__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913__FDSAUDITLINK__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914__FDSAUDITLINK__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915__FDSAUDITLINK__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916__FDSAUDITLINK__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917__FDSAUDITLINK__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918__FDSAUDITLINK__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919__FDSAUDITLINK__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92__123Graph_CSS5_A" hidden="1">#N/A</definedName>
    <definedName name="_92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920__FDSAUDITLINK__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921__FDSAUDITLINK__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922__FDSAUDITLINK__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923__FDSAUDITLINK__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924__FDSAUDITLINK__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925__FDSAUDITLINK__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926__FDSAUDITLINK__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927__FDSAUDITLINK__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928__FDSAUDITLINK__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929__FDSAUDITLINK__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93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930__FDSAUDITLINK__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931__FDSAUDITLINK__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932__FDSAUDITLINK__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933__FDSAUDITLINK__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934__FDSAUDITLINK__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935__FDSAUDITLINK__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936__FDSAUDITLINK__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937__FDSAUDITLINK__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938__FDSAUDITLINK__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939__FDSAUDITLINK__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94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940__FDSAUDITLINK__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941__FDSAUDITLINK__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942__FDSAUDITLINK__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943__FDSAUDITLINK__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944__FDSAUDITLINK__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945__FDSAUDITLINK__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946__FDSAUDITLINK__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947__FDSAUDITLINK__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948__FDSAUDITLINK__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949__FDSAUDITLINK__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95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950__FDSAUDITLINK__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951__FDSAUDITLINK__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952__FDSAUDITLINK__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953__FDSAUDITLINK__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954__FDSAUDITLINK__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955__FDSAUDITLINK__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956__FDSAUDITLINK__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957__FDSAUDITLINK__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958__FDSAUDITLINK__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959__FDSAUDITLINK__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96__123Graph_CSS6_A" hidden="1">#N/A</definedName>
    <definedName name="_96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960__FDSAUDITLINK__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961__FDSAUDITLINK__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962__FDSAUDITLINK__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963__FDSAUDITLINK__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964__FDSAUDITLINK__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965__FDSAUDITLINK__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966__FDSAUDITLINK__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967__FDSAUDITLINK__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968__FDSAUDITLINK__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969__FDSAUDITLINK__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97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970__FDSAUDITLINK__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971__FDSAUDITLINK__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972__FDSAUDITLINK__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973__FDSAUDITLINK__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974__FDSAUDITLINK__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975__FDSAUDITLINK__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976__FDSAUDITLINK__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977__FDSAUDITLINK__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978__FDSAUDITLINK__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979__FDSAUDITLINK__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98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980__FDSAUDITLINK__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981__FDSAUDITLINK__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982__FDSAUDITLINK__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983__FDSAUDITLINK__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984__FDSAUDITLINK__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985__FDSAUDITLINK__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986__FDSAUDITLINK__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987__FDSAUDITLINK__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988__FDSAUDITLINK__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989__FDSAUDITLINK__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99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990__FDSAUDITLINK__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991__FDSAUDITLINK__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992__FDSAUDITLINK__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993__FDSAUDITLINK__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994__FDSAUDITLINK__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995__FDSAUDITLINK__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996__FDSAUDITLINK__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997__FDSAUDITLINK__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998__FDSAUDITLINK__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999__FDSAUDITLINK__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a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10" hidden="1">{"SUMM",#N/A,TRUE,"C";"ACT_PROD",#N/A,TRUE,"A";"ACT_SHIP",#N/A,TRUE,"A";"BP_YLD",#N/A,TRUE,"B";"ACTZ_PROD",#N/A,TRUE,"D";"ACTZ_SHIP",#N/A,TRUE,"D";"ACTZ_YLD",#N/A,TRUE,"E";"CPSI_PROD",#N/A,TRUE,"F";"CPSI_SHIP",#N/A,TRUE,"F"}</definedName>
    <definedName name="_A2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3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hidden="1">{"andy_p",#N/A,FALSE,"A";"andy_s",#N/A,FALSE,"A"}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dj1">#REF!</definedName>
    <definedName name="_Adj2">#REF!</definedName>
    <definedName name="_b2" hidden="1">{"PVGraph2",#N/A,FALSE,"PV Data"}</definedName>
    <definedName name="_b3" hidden="1">{"PVGraph2",#N/A,FALSE,"PV Data"}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dm.33426556b88447f2a823bc62c994df2d.edm" hidden="1">#REF!</definedName>
    <definedName name="_bdm.36ffbf924049426a80ea1df53ca40664.edm" hidden="1">#REF!</definedName>
    <definedName name="_bdm.3ce91ed34cc14ddfba2a608b9119b5c5.edm" hidden="1">#REF!</definedName>
    <definedName name="_bdm.415c2e62733848b193e752caae10ecd8.edm" hidden="1">#REF!</definedName>
    <definedName name="_bdm.529D58C0EC854880A1E57323AA9C8A83.edm" hidden="1">#REF!</definedName>
    <definedName name="_bdm.7902b34cca88402381fb637d97c4501c.edm" hidden="1">#REF!</definedName>
    <definedName name="_bdm.7D6477D5C0DC41EEB43775282D667EFB.edm" hidden="1">#N/A</definedName>
    <definedName name="_bdm.d881f4e4239b4003b26bccfe70756b59.edm" hidden="1">#REF!</definedName>
    <definedName name="_bdm.dbcd63a2bb60482b8ebd7959341f78b1.edm" hidden="1">#REF!</definedName>
    <definedName name="_bdm.E11E0788FB4448A9B62473B12035A861.edm" hidden="1">#REF!</definedName>
    <definedName name="_bdm.f1de26c470fa43e58f36f2768e8c5ebe.edm" hidden="1">#REF!</definedName>
    <definedName name="_BIO1" hidden="1">{"toc1",#N/A,FALSE,"TOC";"cover",#N/A,FALSE,"Cover";"ts1",#N/A,FALSE,"Transaction Summary";"ei3",#N/A,FALSE,"Earnings Impact";"ad3",#N/A,FALSE,"accretion dilution"}</definedName>
    <definedName name="_bis">#REF!</definedName>
    <definedName name="_BVB2" hidden="1">{"BVB",#N/A,FALSE,"Kosten"}</definedName>
    <definedName name="_CAn1">#REF!</definedName>
    <definedName name="_CAn2">#REF!</definedName>
    <definedName name="_CAP2000">[5]AVP!#REF!</definedName>
    <definedName name="_cas2">[14]Assumptions!#REF!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F2" localSheetId="0" hidden="1">{#N/A,#N/A,FALSE,"Aging Summary";#N/A,#N/A,FALSE,"Ratio Analysis";#N/A,#N/A,FALSE,"Test 120 Day Accts";#N/A,#N/A,FALSE,"Tickmarks"}</definedName>
    <definedName name="_CF2" hidden="1">{#N/A,#N/A,FALSE,"Aging Summary";#N/A,#N/A,FALSE,"Ratio Analysis";#N/A,#N/A,FALSE,"Test 120 Day Accts";#N/A,#N/A,FALSE,"Tickmarks"}</definedName>
    <definedName name="_cle1" hidden="1">[7]A!#REF!</definedName>
    <definedName name="_DCF2">{"Client Name or Project Name"}</definedName>
    <definedName name="_dd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EP1">#REF!</definedName>
    <definedName name="_ee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emb06">[8]SRC2001!$B$6:$H$36</definedName>
    <definedName name="_er3" hidden="1">{"FTSE100","COMPANIES",TRUE}</definedName>
    <definedName name="_er4" hidden="1">{"FTSE100","COMPANIES",TRUE}</definedName>
    <definedName name="_ff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f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ill" hidden="1">[15]Sheet1!$I$33</definedName>
    <definedName name="_xlnm._FilterDatabase" localSheetId="1" hidden="1">'Discount rate NPV'!$E$7:$I$24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COUNT" hidden="1">1</definedName>
    <definedName name="_GSRATESR_1" hidden="1">[16]Financials!#REF!</definedName>
    <definedName name="_gus1">"""NA()"""</definedName>
    <definedName name="_gus2">"""NA()"""</definedName>
    <definedName name="_gus3">"""NA()"""</definedName>
    <definedName name="_gus4">"""NA()"""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I2" hidden="1">{"PVGraph2",#N/A,FALSE,"PV Data"}</definedName>
    <definedName name="_IMP2">[5]AVP!$A$27</definedName>
    <definedName name="_Key1" localSheetId="1" hidden="1">[15]Sheet1!$A$4</definedName>
    <definedName name="_Key1" hidden="1">#REF!</definedName>
    <definedName name="_Key2" hidden="1">[15]Sheet1!$B$4</definedName>
    <definedName name="_Lgt1">"""""""#REF!"""""""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ay02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net95">'[5]Consensus Kesa'!$AL$122</definedName>
    <definedName name="_net96">'[5]Consensus Kesa'!$AM$122</definedName>
    <definedName name="_net97">'[5]Consensus Kesa'!$AN$122</definedName>
    <definedName name="_Order1" hidden="1">255</definedName>
    <definedName name="_Order2" hidden="1">255</definedName>
    <definedName name="_P21" hidden="1">{"Cover",#N/A,FALSE,"Cover";"Summary",#N/A,FALSE,"Summarpage"}</definedName>
    <definedName name="_pl2" hidden="1">18</definedName>
    <definedName name="_pl3" hidden="1">"256C2H5ZWA4XTT88GBDIVOGRC"</definedName>
    <definedName name="_q1" localSheetId="0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234" hidden="1">#N/A</definedName>
    <definedName name="_R" hidden="1">#REF!</definedName>
    <definedName name="_Regression_Int" hidden="1">1</definedName>
    <definedName name="_Regression_X" hidden="1">[5]AVP!$B$62:$B$62</definedName>
    <definedName name="_rev1">[10]revenue!$A$2:$O$92</definedName>
    <definedName name="_rev2">[10]revenue!#REF!</definedName>
    <definedName name="_rev3">[10]revenue!#REF!</definedName>
    <definedName name="_rev4">[10]revenue!#REF!</definedName>
    <definedName name="_RNn1">#REF!</definedName>
    <definedName name="_RNn2">#REF!</definedName>
    <definedName name="_s1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AL1">#REF!</definedName>
    <definedName name="_SB1" hidden="1">{#N/A,#N/A,FALSE,"1.5";#N/A,#N/A,FALSE,"1.6";#N/A,#N/A,FALSE,"1.7";#N/A,#N/A,FALSE,"3.2";#N/A,#N/A,FALSE,"5.7";#N/A,#N/A,FALSE,"6.2";#N/A,#N/A,FALSE,"6.5";#N/A,#N/A,FALSE,"7.3";#N/A,#N/A,FALSE,"7.6";#N/A,#N/A,FALSE,"8.1"}</definedName>
    <definedName name="_SC1">#REF!</definedName>
    <definedName name="_SIT1">#REF!</definedName>
    <definedName name="_SIT2">#REF!</definedName>
    <definedName name="_Sort" hidden="1">[15]Sheet1!$A$4:$AB$23</definedName>
    <definedName name="_SORT2" hidden="1">[17]VSPA!#REF!</definedName>
    <definedName name="_SV1">#REF!</definedName>
    <definedName name="_tab1">[11]Sits!$A$47:$H$69</definedName>
    <definedName name="_tab2">[11]Sits!$A$72:$H$95</definedName>
    <definedName name="_Tab3">[5]AVP!$A$2:$AD$66</definedName>
    <definedName name="_Tab4">[5]AVP!$A$3:$R$54</definedName>
    <definedName name="_Tab5">[5]AVP!$A$2:$AK$79</definedName>
    <definedName name="_Tab6">[5]AVP!$B$2:$G$111</definedName>
    <definedName name="_Tab7">[5]AVP!$D$2:$AX$153</definedName>
    <definedName name="_Table1_In1" hidden="1">[18]Assumptions!#REF!</definedName>
    <definedName name="_Table1_In1b" hidden="1">'[5]DV et capital'!#REF!</definedName>
    <definedName name="_Table1_Out" hidden="1">#REF!</definedName>
    <definedName name="_Table2_In1" hidden="1">[18]Assumptions!#REF!</definedName>
    <definedName name="_Table2_In2" hidden="1">#REF!</definedName>
    <definedName name="_Table2_Out" hidden="1">#REF!</definedName>
    <definedName name="_TS1">"""""""#REF!"""""""</definedName>
    <definedName name="_TS2">"""""""#REF!"""""""</definedName>
    <definedName name="_TS3">"""""""#REF!"""""""</definedName>
    <definedName name="_UNDO_UPS_" hidden="1">#REF!</definedName>
    <definedName name="_UNDO_UPS_SEL_" hidden="1">#REF!</definedName>
    <definedName name="_UNDO31X31X_" hidden="1">#REF!</definedName>
    <definedName name="_v2">"""NA()"""</definedName>
    <definedName name="_vol1">'[12]TT Lines'!$A$8:$T$93</definedName>
    <definedName name="_vol2">'[12]TT Lines'!$A$94:$T$200</definedName>
    <definedName name="_vol3">'[12]TT Lines'!$A$201:$T$226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n2" hidden="1">{"cover",#N/A,TRUE,"Cover";"toc1",#N/A,TRUE,"TOC";"ts1",#N/A,TRUE,"Transaction Summary";"ei",#N/A,TRUE,"Earnings Impact";"ad",#N/A,TRUE,"accretion dilution"}</definedName>
    <definedName name="_x2" hidden="1">{"PVGraph2",#N/A,FALSE,"PV Data"}</definedName>
    <definedName name="_xleta.SUM" hidden="1" xlm="1">#NAME?</definedName>
    <definedName name="_xleta.XIRR" hidden="1" xlm="1">#NAME?</definedName>
    <definedName name="_y2" hidden="1">{"PVGraph2",#N/A,FALSE,"PV Data"}</definedName>
    <definedName name="_y22" hidden="1">{"PVGraph2",#N/A,FALSE,"PV Data"}</definedName>
    <definedName name="a">#REF!</definedName>
    <definedName name="aa">[14]Assumptions!#REF!</definedName>
    <definedName name="aaa" hidden="1">{"Cover",42,FALSE,"Cover";"Summary",42,FALSE,"Summarpage";"Assumptions",42,FALSE,"Assumptions";"Earnings",42,FALSE,"Earnings";"CF Oper.",42,FALSE,"Earnings";"Balance Sheet",42,FALSE,"balance";"Cash Flow",42,FALSE,"cash flow";"Paper Production",42,FALSE,"Paper";"Paper Earnings",42,FALSE,"Paper";"Wood Production",42,FALSE,"Wood Products";"Wood Earnings",42,FALSE,"Wood Products";"Pulp Production",42,FALSE,"Pulp";"Pulp Earnings",42,FALSE,"Pulp"}</definedName>
    <definedName name="AAA_DOCTOPS" hidden="1">"AAA_SET"</definedName>
    <definedName name="AAA_duser" hidden="1">"OFF"</definedName>
    <definedName name="aaaa" hidden="1">{"'WEB azoc prov'!$B$85:$L$123"}</definedName>
    <definedName name="aaaaa">[19]CR!$B$3</definedName>
    <definedName name="aaaaaa" hidden="1">{"'WEB azoc prov'!$B$85:$L$123"}</definedName>
    <definedName name="aaasss">'[20]30'!#REF!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{"'WEB azoc prov'!$B$85:$L$123"}</definedName>
    <definedName name="abb" hidden="1">{"'WEB azoc prov'!$B$85:$L$123"}</definedName>
    <definedName name="abis">#REF!</definedName>
    <definedName name="AccessDatabase" hidden="1">"\\janustifps02.na.jnj.com\homeo$\SAdams1\imsobdocsmsaVER1C.mdb"</definedName>
    <definedName name="ACDCH">[21]CH2!$B$12</definedName>
    <definedName name="ACDCR">[21]CR!$B$12</definedName>
    <definedName name="ACDEC">[21]EC!$B$12</definedName>
    <definedName name="ACDFI">[21]FI!$B$12</definedName>
    <definedName name="ACDMA">[21]MA!$B$12</definedName>
    <definedName name="ACDME1">[21]FO!$B$12</definedName>
    <definedName name="ACDME2">[21]PR!$B$12</definedName>
    <definedName name="ACDMO">[21]RC!$B$11</definedName>
    <definedName name="ACDNE">[21]NE!$B$12</definedName>
    <definedName name="ACDNO">[21]NO!$B$12</definedName>
    <definedName name="ACDRO">[21]RO!$B$12</definedName>
    <definedName name="ACDRY">[21]RY!$B$12</definedName>
    <definedName name="achat">#REF!</definedName>
    <definedName name="achat2">#REF!</definedName>
    <definedName name="achatbis">#REF!</definedName>
    <definedName name="achatter">#REF!</definedName>
    <definedName name="Acquéreur">#REF!</definedName>
    <definedName name="Acquiror">'[5]Consensus Fnac'!$AD$8</definedName>
    <definedName name="ACT_check">CF!$B$126</definedName>
    <definedName name="ACTIVITE">[5]AVP!#REF!</definedName>
    <definedName name="Activité">#REF!</definedName>
    <definedName name="ACTU">#REF!</definedName>
    <definedName name="ACwvu.Aggregato." hidden="1">#REF!</definedName>
    <definedName name="ACwvu.Bilancio." hidden="1">#REF!</definedName>
    <definedName name="ACwvu.Stampa._.aggregato." hidden="1">#REF!</definedName>
    <definedName name="addfff">'[20]30'!#REF!</definedName>
    <definedName name="ade" hidden="1">#REF!</definedName>
    <definedName name="ADET">[5]AVP!$B$13:$L$184</definedName>
    <definedName name="AEC">'[22]Budget CA Promotion ICVC'!#REF!</definedName>
    <definedName name="AECS">[23]result97!#REF!</definedName>
    <definedName name="AggregateValue">[24]Input!#REF!</definedName>
    <definedName name="ago_Traffico_per_vettore_con_CONTRATTO_Fronzetti">#REF!</definedName>
    <definedName name="Ago0">#REF!</definedName>
    <definedName name="ale" hidden="1">[25]Table!#REF!</definedName>
    <definedName name="ALL_ECO">#REF!</definedName>
    <definedName name="all_pat">#REF!</definedName>
    <definedName name="ALLOCF">"""""""#REF!"""""""</definedName>
    <definedName name="ALLP">[26]Amoc!$B$7:$B$237</definedName>
    <definedName name="ALLV">[26]Amoc!$C$7:$C$237</definedName>
    <definedName name="Alpha">[27]Parameters!$V$14</definedName>
    <definedName name="alqua">{"Client Name or Project Name"}</definedName>
    <definedName name="amm_finanz">#REF!</definedName>
    <definedName name="ammti">#REF!</definedName>
    <definedName name="AmortCheck">#REF!</definedName>
    <definedName name="AmortCheck2">#REF!</definedName>
    <definedName name="anabel" hidden="1">{42,42,FALSE,"Eastern";42,42,FALSE,"Western"}</definedName>
    <definedName name="Analyse" hidden="1">{#N/A,#N/A,FALSE,"Aging Summary";#N/A,#N/A,FALSE,"Ratio Analysis";#N/A,#N/A,FALSE,"Test 120 Day Accts";#N/A,#N/A,FALSE,"Tickmarks"}</definedName>
    <definedName name="Ancienneté">#REF!</definedName>
    <definedName name="ANNEE">[28]Comptes!$G$1</definedName>
    <definedName name="Année">'[29]P&amp;L Conso'!#REF!</definedName>
    <definedName name="AnnéeMois_début">#REF!</definedName>
    <definedName name="AnnéeMois_fin">#REF!</definedName>
    <definedName name="Annéen">#REF!</definedName>
    <definedName name="Annéen_1">#REF!</definedName>
    <definedName name="Annéen1">#REF!</definedName>
    <definedName name="Annéen2">#REF!</definedName>
    <definedName name="ANNUALISE">#REF!</definedName>
    <definedName name="anscount" hidden="1">1</definedName>
    <definedName name="Anticipo_Irap">#REF!</definedName>
    <definedName name="Anticipo_Irpeg">#REF!</definedName>
    <definedName name="aolinc" hidden="1">{#N/A,"Base Case",FALSE,"Revenue";#N/A,"£6.25 Fee",FALSE,"Revenue"}</definedName>
    <definedName name="AOUT">"""NA()"""</definedName>
    <definedName name="APPRAISAL">#REF!</definedName>
    <definedName name="Apr0">#REF!</definedName>
    <definedName name="aqua">{"Client Name or Project Name"}</definedName>
    <definedName name="aqz" hidden="1">{42,42,FALSE,"Eastern";42,42,FALSE,"Western"}</definedName>
    <definedName name="Arch_Trackers">[30]List!$B$7</definedName>
    <definedName name="AS">"""NA()"""</definedName>
    <definedName name="AS2DocOpenMode" hidden="1">"AS2DocumentEdit"</definedName>
    <definedName name="ASCH">[21]CH2!$B$75</definedName>
    <definedName name="ASCR">[21]CR!$B$79</definedName>
    <definedName name="asdasd" hidden="1">{"toc1",#N/A,FALSE,"TOC";"cover",#N/A,FALSE,"Cover";"ts1",#N/A,FALSE,"Transaction Summary";"ei3",#N/A,FALSE,"Earnings Impact";"ad3",#N/A,FALSE,"accretion dilution"}</definedName>
    <definedName name="asdf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df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EC">[21]EC!$B$88</definedName>
    <definedName name="ASFI">[21]FI!$B$72</definedName>
    <definedName name="ASMA">[21]MA!$B$72</definedName>
    <definedName name="ASME1">[21]FO!$B$69</definedName>
    <definedName name="ASME2">[21]PR!$B$80</definedName>
    <definedName name="ASNE">[21]NE!$B$75</definedName>
    <definedName name="ASNO">[21]NO!$B$75</definedName>
    <definedName name="ASRO">[21]RO!$B$91</definedName>
    <definedName name="ASRY">[21]RY!$B$63</definedName>
    <definedName name="ass_finanz">[31]civilistico!#REF!</definedName>
    <definedName name="ass_int">#REF!</definedName>
    <definedName name="ass_ristr">[31]civilistico!#REF!</definedName>
    <definedName name="ASYN">[5]AVP!$A$13:$L$102</definedName>
    <definedName name="AT">"""""""#REF!"""""""</definedName>
    <definedName name="Augmentationsalaires">#REF!</definedName>
    <definedName name="AveCostCallIn">[32]Inputs!#REF!</definedName>
    <definedName name="avg">[33]Résultats!#REF!</definedName>
    <definedName name="Avis">{"Client Name or Project Name"}</definedName>
    <definedName name="AVRIL">"""NA()"""</definedName>
    <definedName name="awaeqw" hidden="1">{"'WEB azoc prov'!$B$85:$L$123"}</definedName>
    <definedName name="az">'[34]ca 2004 au 31-12-04 (JB)'!$AK$2</definedName>
    <definedName name="azert" hidden="1">{"Synthèse fonctionnement moteur",#N/A,FALSE,"Courbe mono";"Synthèse monotone 1 page",#N/A,FALSE,"Courbe mono"}</definedName>
    <definedName name="azerty" hidden="1">{"Synthèse fonctionnement moteur",#N/A,FALSE,"Courbe mono";"Synthèse monotone 1 page",#N/A,FALSE,"Courbe mono"}</definedName>
    <definedName name="b" hidden="1">{"EVA",#N/A,FALSE,"SMT2";#N/A,#N/A,FALSE,"Summary";#N/A,#N/A,FALSE,"Graphs";#N/A,#N/A,FALSE,"4 Panel"}</definedName>
    <definedName name="B.2" hidden="1">{"'WEB azoc prov'!$B$85:$L$123"}</definedName>
    <definedName name="b_1" hidden="1">{"EVA",#N/A,FALSE,"SMT2";#N/A,#N/A,FALSE,"Summary";#N/A,#N/A,FALSE,"Graphs";#N/A,#N/A,FALSE,"4 Panel"}</definedName>
    <definedName name="b_dati">#REF!</definedName>
    <definedName name="BAL">'[35]Données GEN'!$A$2:$H$861</definedName>
    <definedName name="balance">#REF!</definedName>
    <definedName name="balance_type">1</definedName>
    <definedName name="Bank_Margin">Inputs!$G$202</definedName>
    <definedName name="Bank_Tax">#REF!</definedName>
    <definedName name="bank_year" comment="x" localSheetId="0">[36]Inputs!$M$598</definedName>
    <definedName name="bank_year" comment="x">Inputs!$M$481</definedName>
    <definedName name="BankChargerateIn">[32]Inputs!#REF!</definedName>
    <definedName name="BankChargeTotal">[32]Workings!#REF!</definedName>
    <definedName name="bankfees_in" comment="x">Macro!$H$21:$H$22</definedName>
    <definedName name="bankfees_out" comment="x">Macro!$G$21:$G$22</definedName>
    <definedName name="barter">'[34]ca 2004 au 31-12-04 (JB)'!$E$3:$E$20026</definedName>
    <definedName name="Base">#REF!</definedName>
    <definedName name="Base_de_donneesbis">#REF!</definedName>
    <definedName name="base_scenario" comment="x" localSheetId="0">[36]Inputs!$D$229</definedName>
    <definedName name="base_scenario" comment="x">Inputs!$D$180</definedName>
    <definedName name="BaseFixe">#REF!</definedName>
    <definedName name="Basis_return">[27]Parameters!$V$12</definedName>
    <definedName name="bb" hidden="1">{"'WEB azoc prov'!$B$85:$L$123"}</definedName>
    <definedName name="bbb" hidden="1">{42,42,FALSE,"Eastern";42,42,FALSE,"Western"}</definedName>
    <definedName name="BEF">[24]Input!#REF!</definedName>
    <definedName name="Benchmark">[37]ControlsH!$B$3</definedName>
    <definedName name="BestConsOv">[37]DataH!$D$19</definedName>
    <definedName name="Béta">#REF!</definedName>
    <definedName name="BEx3O85IKWARA6NCJOLRBRJFMEWW" hidden="1">[25]Table!#REF!</definedName>
    <definedName name="BEx5MLQZM68YQSKARVWTTPINFQ2C" hidden="1">[25]Table!#REF!</definedName>
    <definedName name="BExERWCEBKQRYWRQLYJ4UCMMKTHG" hidden="1">[25]Table!#REF!</definedName>
    <definedName name="BExMBYPQDG9AYDQ5E8IECVFREPO6" hidden="1">[25]Table!#REF!</definedName>
    <definedName name="BExQ9ZLYHWABXAA9NJDW8ZS0UQ9P" hidden="1">[25]Table!#REF!</definedName>
    <definedName name="BExTUY9WNSJ91GV8CP0SKJTEIV82" hidden="1">[25]Table!#REF!</definedName>
    <definedName name="BG">'[38]Etat des emprunts 311212'!$X$10:$Y$13</definedName>
    <definedName name="bhhhh" hidden="1">{"'WEB azoc prov'!$B$85:$L$123"}</definedName>
    <definedName name="bilan">#REF!</definedName>
    <definedName name="BILN">#REF!</definedName>
    <definedName name="BILN1">#REF!</definedName>
    <definedName name="BILRES">'[35]Plan comptable Général'!$A$3:$G$65536</definedName>
    <definedName name="BLPH21" hidden="1">#N/A</definedName>
    <definedName name="BLPH22" hidden="1">#N/A</definedName>
    <definedName name="BLPH29" hidden="1">#N/A</definedName>
    <definedName name="BLPH33" hidden="1">#N/A</definedName>
    <definedName name="BookEq">[24]Input!#REF!</definedName>
    <definedName name="BookValue">#REF!</definedName>
    <definedName name="BP">#REF!</definedName>
    <definedName name="BridgeABPUvoice">#REF!</definedName>
    <definedName name="BridgeDataSms">#REF!</definedName>
    <definedName name="BridgeFixedCosts">#REF!</definedName>
    <definedName name="BridgeMoU">#REF!</definedName>
    <definedName name="BridgePdm">#REF!</definedName>
    <definedName name="BridgePenetration">#REF!</definedName>
    <definedName name="BridgeRoaming">#REF!</definedName>
    <definedName name="BridgeTerminationRate">#REF!</definedName>
    <definedName name="BridgeVarCosts">#REF!</definedName>
    <definedName name="Broker_Name">OFFSET([37]Ratings!$M$26,0,0,[37]ControlsH!$E$5, 1)</definedName>
    <definedName name="brut">#REF!</definedName>
    <definedName name="BRUTS">#REF!</definedName>
    <definedName name="BS">#REF!</definedName>
    <definedName name="BS_39AB">#REF!</definedName>
    <definedName name="BU">'[39]ca 2003 au 31-12-03 (JB)'!$E$3:$E$20001</definedName>
    <definedName name="bud00euro">#REF!</definedName>
    <definedName name="budget">[13]HAN!$AT$6:$BW$74</definedName>
    <definedName name="Buffer_Spares">[30]CountriesAssumptions!$W$1</definedName>
    <definedName name="BufferASM">[30]CountriesAssumptions!$R$1</definedName>
    <definedName name="BufferMAINT">[30]CountriesAssumptions!$U$1</definedName>
    <definedName name="BufferOPS">[30]CountriesAssumptions!$S$1</definedName>
    <definedName name="busiz" hidden="1">{42,42,FALSE,"Eastern";42,42,FALSE,"Western"}</definedName>
    <definedName name="c_1">#REF!</definedName>
    <definedName name="c_2">#REF!</definedName>
    <definedName name="c_3">#REF!</definedName>
    <definedName name="c_4">#REF!</definedName>
    <definedName name="c_e">#REF!</definedName>
    <definedName name="c_premi">#REF!</definedName>
    <definedName name="c_prod">#REF!</definedName>
    <definedName name="CA">#REF!</definedName>
    <definedName name="CA_divers">#REF!</definedName>
    <definedName name="CA_exposants">#REF!</definedName>
    <definedName name="CA_OMC">[40]OMC!$Z$6:$AE$6</definedName>
    <definedName name="CACH">[21]CH2!$B$9</definedName>
    <definedName name="CACR">[21]CR!$B$9</definedName>
    <definedName name="CAEC">[21]EC!$B$9</definedName>
    <definedName name="CAFI">[21]FI!$B$9</definedName>
    <definedName name="calc">1</definedName>
    <definedName name="calCODE">[37]ControlsH!$C$4</definedName>
    <definedName name="CALCUL">'[41]30'!#REF!</definedName>
    <definedName name="CAMA">[21]MA!$B$9</definedName>
    <definedName name="CAME1">[21]FO!$B$9</definedName>
    <definedName name="CAME2">[21]PR!$B$9</definedName>
    <definedName name="CAn">#REF!</definedName>
    <definedName name="CAn_1">#REF!</definedName>
    <definedName name="can_1bis">'[42]PLActual '!#REF!</definedName>
    <definedName name="can_conc">#REF!</definedName>
    <definedName name="CANANN">#REF!</definedName>
    <definedName name="CAnE">#REF!</definedName>
    <definedName name="CANMES">#REF!</definedName>
    <definedName name="CANO">[21]NO!$B$9</definedName>
    <definedName name="CAPA" hidden="1">{"Rev and Exp",#N/A,TRUE,"Financials";"Working Capital",#N/A,TRUE,"Financials"}</definedName>
    <definedName name="Capacity" localSheetId="0">[36]Inputs!$D$51</definedName>
    <definedName name="Capacity">#REF!</definedName>
    <definedName name="Capacity_WTG_in">#REF!</definedName>
    <definedName name="CapacityStorage" localSheetId="0">[36]Inputs!$D$72</definedName>
    <definedName name="CapacityStorage">[43]Inputs!$D$68</definedName>
    <definedName name="CAPAX" hidden="1">{"Def Tax Long",#N/A,TRUE,"Financials";"Def Tax Short",#N/A,TRUE,"Financials";"Cons Tax Sched",#N/A,TRUE,"Financials"}</definedName>
    <definedName name="capex" hidden="1">{"Exist Debt Amort",#N/A,TRUE,"Financials";"Intangible Amort",#N/A,TRUE,"Financials";"Proj Debt Amort",#N/A,TRUE,"Financials";"Proj Pfd Amort",#N/A,TRUE,"Financials"}</definedName>
    <definedName name="CapExAnnual">[24]Input!#REF!</definedName>
    <definedName name="CapExLatestQ">[24]Input!#REF!</definedName>
    <definedName name="CapExLaunch">[32]Workings!#REF!</definedName>
    <definedName name="CapExLaunchBf">[32]Workings!#REF!</definedName>
    <definedName name="CapExLaunchCf">[32]Workings!#REF!</definedName>
    <definedName name="CapExLaunchCum">[32]Workings!#REF!</definedName>
    <definedName name="CapExLaunchDep">[32]Inputs!#REF!</definedName>
    <definedName name="CapExLaunchIn">[32]Inputs!#REF!</definedName>
    <definedName name="CapExLaunchOpeningCumIn">[32]Inputs!#REF!</definedName>
    <definedName name="CapExLaunchOpeningICumn">[32]Inputs!#REF!</definedName>
    <definedName name="CapExLaunchOpeningIn">[32]Inputs!#REF!</definedName>
    <definedName name="CapExLicence">[32]Workings!#REF!</definedName>
    <definedName name="CapExLicenceIn">[32]Inputs!#REF!</definedName>
    <definedName name="CapExNetDep">[32]Inputs!#REF!</definedName>
    <definedName name="CapExSubAcq">[32]Workings!#REF!</definedName>
    <definedName name="CapExSubAcqBf">[32]Workings!#REF!</definedName>
    <definedName name="CapExSubAcqCf">[32]Workings!#REF!</definedName>
    <definedName name="CapExSubAcqDep">[32]Inputs!#REF!</definedName>
    <definedName name="CapExSubAcqIn">[32]Inputs!#REF!</definedName>
    <definedName name="CapExSubAcqOpeningIn">[32]Inputs!#REF!</definedName>
    <definedName name="CapExYearAgo">[24]Input!#REF!</definedName>
    <definedName name="CARNET">[5]AVP!#REF!</definedName>
    <definedName name="CARO">[21]RO!$B$9</definedName>
    <definedName name="CARY">[21]RY!$B$9</definedName>
    <definedName name="cas">[6]Assumptions!#REF!</definedName>
    <definedName name="Case">[40]DCF!$D$1</definedName>
    <definedName name="Cash">[24]Input!$AE$11:$AE$723</definedName>
    <definedName name="Cash_rate">[5]AVP!$P$61</definedName>
    <definedName name="CashBf">[32]Workings!#REF!</definedName>
    <definedName name="CashCf">[32]Workings!#REF!</definedName>
    <definedName name="CASHDISPONIBILITY">'[44]150101 Cash Group ICVA&amp;C'!#REF!</definedName>
    <definedName name="cashrate">[5]AVP!$I$17</definedName>
    <definedName name="CashSweep_test" localSheetId="0">[36]DS!$E$103</definedName>
    <definedName name="CashSweep_test">[43]DS!$E$104</definedName>
    <definedName name="cc" hidden="1">{#N/A,#N/A,FALSE,"ACQ_GRAPHS";#N/A,#N/A,FALSE,"T_1 GRAPHS";#N/A,#N/A,FALSE,"T_2 GRAPHS";#N/A,#N/A,FALSE,"COMB_GRAPHS"}</definedName>
    <definedName name="ccccc" hidden="1">{"10yp key data",#N/A,FALSE,"Market Data"}</definedName>
    <definedName name="CCprint">[32]Workings!#REF!,[32]Workings!#REF!,[32]Workings!#REF!,[32]Workings!#REF!,[32]Workings!#REF!</definedName>
    <definedName name="cd">'[34]ca 2004 au 31-12-04 (JB)'!$AV$2</definedName>
    <definedName name="CdC0">#REF!</definedName>
    <definedName name="CDRhorus">#REF!</definedName>
    <definedName name="CDS">'[27]Discount rate'!$D$13:$V$185</definedName>
    <definedName name="cdsdfsafsdafdsafsdafafafafaf" hidden="1">{"GAAP Deprec",#N/A,TRUE,"Financials";"Tax Deprec",#N/A,TRUE,"Financials"}</definedName>
    <definedName name="CECOM">#REF!</definedName>
    <definedName name="CenCostIn">[32]Inputs!#REF!</definedName>
    <definedName name="CF_div">#REF!</definedName>
    <definedName name="CFAOA">'[45]Données Spéc.'!#REF!</definedName>
    <definedName name="CFcover_scenario1">[5]AVP!$D$42</definedName>
    <definedName name="CFcover_scenario2">[5]AVP!$H$42</definedName>
    <definedName name="CFcover_scenario3">[5]AVP!$L$42</definedName>
    <definedName name="CFcover_scenarios">[5]AVP!$O$42:$O$45</definedName>
    <definedName name="CFormats">[46]DDETABLE!$AO$2:$AO$17</definedName>
    <definedName name="CG">#REF!</definedName>
    <definedName name="CHALI">[23]result97!#REF!</definedName>
    <definedName name="CHAMKTG">#REF!</definedName>
    <definedName name="Change">[27]Parameters!$N$17:$N$64</definedName>
    <definedName name="CHAPR">[23]result97!#REF!</definedName>
    <definedName name="CHARSO" hidden="1">[47]rémun5!#REF!</definedName>
    <definedName name="Chart_Benchmark_100_Size">OFFSET([48]Indices!$O$8, 0, 0, [37]ControlsH!$E$3, 1)</definedName>
    <definedName name="Chart_Date_Size">OFFSET([48]Indices!$Q$8, 0, 0, [37]ControlsH!$E$3, 1)</definedName>
    <definedName name="Chart_Date_VAL1_Size">OFFSET('[37]VAL Graphs'!$C$9, 0, 0, [37]ControlsH!$I$3, 1)</definedName>
    <definedName name="Chart_Date_VAL2_Size">OFFSET('[37]VAL Graphs'!$C$9, 0, 0, [37]ControlsH!$I$5, 1)</definedName>
    <definedName name="Chart_Peer_100_Size">OFFSET([48]Indices!$N$8, 0, 0, [37]ControlsH!$E$3, 1)</definedName>
    <definedName name="Chart_Price_100_Size">OFFSET([48]Indices!$M$8, 0, 0, [37]ControlsH!$E$3, 1)</definedName>
    <definedName name="Chart_Price_Size">OFFSET([48]Indices!$V$8, 0, 0, [37]ControlsH!$E$3, 1)</definedName>
    <definedName name="Chart_VAL1_FY1_Size">OFFSET('[37]VAL Graphs'!$D$9, 0, 0, [37]ControlsH!$F$3, 1)</definedName>
    <definedName name="Chart_VAL1_FY2_Size">OFFSET('[37]VAL Graphs'!$E$9, 0, 0, [37]ControlsH!$G$3, 1)</definedName>
    <definedName name="Chart_VAL1_FY3_Size">OFFSET('[37]VAL Graphs'!$F$9, 0, 0, [37]ControlsH!$H$3, 1)</definedName>
    <definedName name="Chart_VAL2_FY1_Size">OFFSET('[37]VAL Graphs'!$H$9, 0, 0, [37]ControlsH!$F$5, 1)</definedName>
    <definedName name="Chart_VAL2_FY2_Size">OFFSET('[37]VAL Graphs'!$I$9, 0, 0, [37]ControlsH!$G$5, 1)</definedName>
    <definedName name="Chart_VAL2_FY3_Size">OFFSET('[37]VAL Graphs'!$J$9, 0, 0, [37]ControlsH!$H$5, 1)</definedName>
    <definedName name="Chart_Volume_Size">OFFSET([48]Indices!$R$8, 0, 0, [37]ControlsH!$E$3, 1)</definedName>
    <definedName name="CHF">#REF!</definedName>
    <definedName name="Chom1">"""""""#REF!"""""""</definedName>
    <definedName name="Chom2">"""""""#REF!"""""""</definedName>
    <definedName name="Chosen_Scenario">#REF!</definedName>
    <definedName name="christine" hidden="1">{42,42,FALSE,"3";42,42,FALSE,"5";42,42,FALSE,"6";42,42,FALSE,"8";42,42,FALSE,"10";42,42,FALSE,"13";42,42,FALSE,"14";42,42,FALSE,"15";42,42,FALSE,"16"}</definedName>
    <definedName name="CHSO" hidden="1">[47]rémun5!#REF!</definedName>
    <definedName name="CIAO">'[49]1_Sit'!$H$642</definedName>
    <definedName name="Cible">#REF!</definedName>
    <definedName name="CIQANR_82e8e5b90eb1495dbe7409fe213fd29b" hidden="1">#REF!</definedName>
    <definedName name="CIQWBGuid" hidden="1">"MASTER XLSX.xlsm"</definedName>
    <definedName name="CIQWBGuid_1" hidden="1">"0c151b6e-64c7-463c-a02f-2430218b86ba"</definedName>
    <definedName name="CIQWBGuid_2" hidden="1">"14b44a02-776a-4e28-bf53-5743bc7341e9"</definedName>
    <definedName name="CIQWBInfo" hidden="1">"{ ""CIQVersion"":""9.45.614.5792"" }"</definedName>
    <definedName name="Clé_tri">#REF!</definedName>
    <definedName name="ClientLOC" hidden="1">'[50]Audit gauge'!#REF!</definedName>
    <definedName name="CLO">#REF!</definedName>
    <definedName name="Cloan_amount">#REF!</definedName>
    <definedName name="Cloan_DSCR">#REF!</definedName>
    <definedName name="closeoutreportverschieb2" hidden="1">{#N/A,#N/A,TRUE,"Reference Data";#N/A,#N/A,TRUE,"Exec Summary";"Current_FY",#N/A,TRUE,"NOR Forecast";#N/A,#N/A,TRUE,"Expenses ";#N/A,#N/A,TRUE,"Dates"}</definedName>
    <definedName name="closeoutreportverschieben" hidden="1">{#N/A,#N/A,TRUE,"Reference Data";#N/A,#N/A,TRUE,"Exec Summary";"Current_FY",#N/A,TRUE,"NOR Forecast";#N/A,#N/A,TRUE,"Expenses ";#N/A,#N/A,TRUE,"Dates"}</definedName>
    <definedName name="Clôture">#REF!</definedName>
    <definedName name="CMCH">[21]CH2!$B$10</definedName>
    <definedName name="cmciafce">#REF!</definedName>
    <definedName name="cmciatv">#REF!</definedName>
    <definedName name="CMCR">[21]CR!$B$10</definedName>
    <definedName name="CMEC">[21]EC!$B$10</definedName>
    <definedName name="CMFI">[21]FI!$B$10</definedName>
    <definedName name="CMMA">[21]MA!$B$10</definedName>
    <definedName name="CMME1">[21]FO!$B$10</definedName>
    <definedName name="CMME2">[21]PR!$B$10</definedName>
    <definedName name="CMMO">[21]RC!$B$9</definedName>
    <definedName name="CMNE">[21]NE!$B$10</definedName>
    <definedName name="CMNO">[21]NO!$B$10</definedName>
    <definedName name="CMPC">#REF!</definedName>
    <definedName name="CMPC2">'[51]DCF Wuxi'!$L$85</definedName>
    <definedName name="CMRO">[21]RO!$B$10</definedName>
    <definedName name="CMRY">[21]RY!$B$10</definedName>
    <definedName name="CN_par_mois">[52]Feuil2!$CY$10:$DD$11</definedName>
    <definedName name="co">240</definedName>
    <definedName name="Code">[24]Input!#REF!</definedName>
    <definedName name="Code__sté">#REF!</definedName>
    <definedName name="Code_regroup">#REF!</definedName>
    <definedName name="codeDestination">[46]DDETABLE!$K$9</definedName>
    <definedName name="CODELK_Path">[46]DDETABLE!$AD$4</definedName>
    <definedName name="Coef">#REF!</definedName>
    <definedName name="Coeff_réconciliation">[53]Hypothèses!#REF!</definedName>
    <definedName name="COFAF">[23]result97!#REF!</definedName>
    <definedName name="ColCours">#REF!</definedName>
    <definedName name="ColDate">#REF!</definedName>
    <definedName name="Colonne">#REF!</definedName>
    <definedName name="ColumnHeading">[46]DDETABLE!$B$12</definedName>
    <definedName name="ColVolume">#REF!</definedName>
    <definedName name="COM">#REF!</definedName>
    <definedName name="COMM1">#REF!</definedName>
    <definedName name="COMM2">#REF!</definedName>
    <definedName name="COMM3">#REF!</definedName>
    <definedName name="COMM4">#REF!</definedName>
    <definedName name="COMM5">#REF!</definedName>
    <definedName name="COMM6">#REF!</definedName>
    <definedName name="COMM7">#REF!</definedName>
    <definedName name="COMM8">#REF!</definedName>
    <definedName name="comment">"""NA()"""</definedName>
    <definedName name="CommissionPaidperGrossAdd">[32]Workings!#REF!</definedName>
    <definedName name="Comp_code">'[54]Controll data'!$C$23</definedName>
    <definedName name="Company_name">[55]Cover!$E$34</definedName>
    <definedName name="company_nber">#REF!</definedName>
    <definedName name="CompanyCurrency">[56]Segment!$C$12</definedName>
    <definedName name="ComplexPPA_Yes_No">'[30]Global inputs'!$C$14</definedName>
    <definedName name="COMPS">#REF!</definedName>
    <definedName name="COMPTA">[23]result97!#REF!</definedName>
    <definedName name="COMPTE_DE_RESULTAT_ANALYTIQUE">[5]AVP!A1:P33</definedName>
    <definedName name="Concept">#REF!</definedName>
    <definedName name="concepts">'[57]SYNTHESE ASIE'!$B$55:$B$58</definedName>
    <definedName name="Consolidated__including_incentives___Cumul_des_Mandats">'[22]Budget CA Promotion ICVC'!#REF!</definedName>
    <definedName name="Const">"""""""#REF!"""""""</definedName>
    <definedName name="CONTRATS">[5]AVP!$A$208:$O$297</definedName>
    <definedName name="CONTROLE">'[44]150101 Cash Group ICVA&amp;C'!#REF!</definedName>
    <definedName name="controllo">[31]Dati!#REF!</definedName>
    <definedName name="Conventions">'[58]Base Info'!$D$5</definedName>
    <definedName name="COP_PERD">#REF!</definedName>
    <definedName name="copypaste_out">Scenarios!$E$360:$E$375</definedName>
    <definedName name="corp_tax">[5]Assumptions!$E$119</definedName>
    <definedName name="costimese">#REF!</definedName>
    <definedName name="costs">[10]Costs!$A$2:$O$235</definedName>
    <definedName name="Countries">'[27]Discount rate'!$C$13:$C$185</definedName>
    <definedName name="Country">'[30]Global inputs'!$C$9</definedName>
    <definedName name="Cours">#REF!</definedName>
    <definedName name="Cout_locaux">#REF!</definedName>
    <definedName name="CPMC">'[59]DCF conso'!#REF!</definedName>
    <definedName name="CPTE">'[35]Plan comptable Général'!$A$3:$A$65536</definedName>
    <definedName name="cqs">#REF!</definedName>
    <definedName name="Cr_imp_diff">#REF!</definedName>
    <definedName name="Critère2">'[39]ca 2003 au 31-12-03 (JB)'!$AC$2</definedName>
    <definedName name="critère3">'[39]ca 2003 au 31-12-03 (JB)'!$AD$2</definedName>
    <definedName name="critère4">'[39]ca 2003 au 31-12-03 (JB)'!$AE$2</definedName>
    <definedName name="critère5">'[39]CAMPAGNE CUMUL 2003 (PiD)'!$Z$2</definedName>
    <definedName name="critère6">'[39]CAMPAGNE CUMUL 2003 (PiD)'!$AA$2</definedName>
    <definedName name="critère7">'[39]CAMPAGNE CUMUL 2003 (PiD)'!$AB$2</definedName>
    <definedName name="_xlnm.Criteria">#REF!</definedName>
    <definedName name="CROISSANCE">#REF!</definedName>
    <definedName name="csDesignMode">1</definedName>
    <definedName name="CTopics">[46]DDETABLE!$AM$2:$AM$4</definedName>
    <definedName name="CUMUL">#REF!</definedName>
    <definedName name="cumulm20">#REF!</definedName>
    <definedName name="CUR">#REF!</definedName>
    <definedName name="Currencies">'[54]Controll data'!$A$52:$A$65</definedName>
    <definedName name="Currency">[27]Parameters!$C$17:$C$64</definedName>
    <definedName name="Currency_ratio">'[30]Detailed inputs'!$C$98</definedName>
    <definedName name="CurrencyAdjust">[24]Input!#REF!</definedName>
    <definedName name="currentaccountrate">[5]AVP!$I$19</definedName>
    <definedName name="currPRICE">[37]Overview!$F$15</definedName>
    <definedName name="custBenchmark">[37]Overview!$O$5</definedName>
    <definedName name="cvb" hidden="1">{"toc1",#N/A,FALSE,"TOC";"cover",#N/A,FALSE,"Cover";"ts1",#N/A,FALSE,"Transaction Summary";"ei3",#N/A,FALSE,"Earnings Impact";"ad3",#N/A,FALSE,"accretion dilution"}</definedName>
    <definedName name="Cwvu.Bilancio.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Cwvu.CA." hidden="1">'[61]96baseCA'!$7:$19,'[61]96baseCA'!$21:$21,'[61]96baseCA'!$23:$23,'[61]96baseCA'!$25:$44,'[61]96baseCA'!$46:$53,'[61]96baseCA'!$55:$55,'[61]96baseCA'!$56:$102,'[61]96baseCA'!#REF!,'[61]96baseCA'!#REF!,'[61]96baseCA'!#REF!,'[61]96baseCA'!#REF!</definedName>
    <definedName name="Cwvu.COUTS." hidden="1">'[61]96baseCA'!$7:$19,'[61]96baseCA'!$21:$21,'[61]96baseCA'!$23:$23,'[61]96baseCA'!$25:$44,'[61]96baseCA'!$46:$53,'[61]96baseCA'!$55:$55,'[61]96baseCA'!$56:$102,'[61]96baseCA'!#REF!,'[61]96baseCA'!#REF!,'[61]96baseCA'!#REF!,'[61]96baseCA'!#REF!</definedName>
    <definedName name="Cwvu.GLOBAL." hidden="1">'[61]96baseCA'!$7:$19,'[61]96baseCA'!$21:$21,'[61]96baseCA'!$23:$23,'[61]96baseCA'!$25:$44,'[61]96baseCA'!$46:$53,'[61]96baseCA'!$55:$55,'[61]96baseCA'!$56:$102,'[61]96baseCA'!#REF!,'[61]96baseCA'!#REF!,'[61]96baseCA'!#REF!,'[61]96baseCA'!#REF!</definedName>
    <definedName name="Cwvu.View._.1." hidden="1">#REF!</definedName>
    <definedName name="cxz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" hidden="1">#REF!</definedName>
    <definedName name="da">1</definedName>
    <definedName name="DACH">[21]CH2!$B$79</definedName>
    <definedName name="DACR">[21]CR!$B$83</definedName>
    <definedName name="dada" hidden="1">{"Exist Debt Amort",#N/A,TRUE,"Financials";"Intangible Amort",#N/A,TRUE,"Financials";"Proj Debt Amort",#N/A,TRUE,"Financials";"Proj Pfd Amort",#N/A,TRUE,"Financials"}</definedName>
    <definedName name="DAEC">[21]EC!$B$92</definedName>
    <definedName name="DAFI">[21]FI!$B$76</definedName>
    <definedName name="DAMA">[21]MA!$B$76</definedName>
    <definedName name="DAME1">[21]FO!$B$73</definedName>
    <definedName name="DAME2">[21]PR!$B$84</definedName>
    <definedName name="DANE">[21]NE!$B$79</definedName>
    <definedName name="DANO">[21]NO!$B$79</definedName>
    <definedName name="DARO">[21]RO!$B$95</definedName>
    <definedName name="DARY">[21]RY!$B$67</definedName>
    <definedName name="dasdg" hidden="1">{#N/A,"Base Case",FALSE,"Revenue";#N/A,"£6.25 Fee",FALSE,"Revenue"}</definedName>
    <definedName name="data">[24]datas!$1:$1048576</definedName>
    <definedName name="data_anno">#REF!</definedName>
    <definedName name="data_ap">'[62]2_Pat'!#REF!</definedName>
    <definedName name="_xlnm.Database">'[63]Cdes nouvelles'!$A$207:$BC$331</definedName>
    <definedName name="DATACQ">#REF!</definedName>
    <definedName name="Date">#REF!</definedName>
    <definedName name="Date_cours">#REF!</definedName>
    <definedName name="date_debut_detail">#REF!</definedName>
    <definedName name="date_debut_export">#REF!</definedName>
    <definedName name="date_debut_n">#REF!</definedName>
    <definedName name="date_debut_n1">#REF!</definedName>
    <definedName name="Date_fin">#REF!</definedName>
    <definedName name="date_fin_detail">#REF!</definedName>
    <definedName name="date_fin_n1">#REF!</definedName>
    <definedName name="Date_Paie">#REF!</definedName>
    <definedName name="Date_Paiement">DATE(YEAR(Début_Prêt),MONTH(Début_Prêt)+Payment_Number,DAY(Début_Prêt))</definedName>
    <definedName name="date0">[19]CR!$B$3</definedName>
    <definedName name="DATE1">#REF!</definedName>
    <definedName name="DATE2">#REF!</definedName>
    <definedName name="Date3">'[64]H3 Bila'!$B$3</definedName>
    <definedName name="Date4">'[64]H3 Bila'!$B$3</definedName>
    <definedName name="dati">#REF!</definedName>
    <definedName name="DATRIL">#REF!</definedName>
    <definedName name="dayCODE">[37]ControlsH!$C$5</definedName>
    <definedName name="days_year">#REF!</definedName>
    <definedName name="daysinmonth" comment="x">Inputs!$M$480</definedName>
    <definedName name="dc">'[34]ca 2004 au 31-12-04 (JB)'!$AU$2</definedName>
    <definedName name="DC_Capacity">'[30]Global inputs'!$C$16</definedName>
    <definedName name="DCAC_Ratio">'[30]Detailed inputs'!$D$20</definedName>
    <definedName name="dcbis">#REF!</definedName>
    <definedName name="DC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#REF!</definedName>
    <definedName name="ddd">'[65]Fiche Renseignement'!$AA$1:$AA$5</definedName>
    <definedName name="ddddd" hidden="1">{"10yp tariffs",#N/A,FALSE,"Celtel alternative 6"}</definedName>
    <definedName name="dddddd" hidden="1">{"10yp profit and loss",#N/A,FALSE,"Celtel alternative 6"}</definedName>
    <definedName name="ddddp" hidden="1">{"'WEB azoc prov'!$B$85:$L$123"}</definedName>
    <definedName name="ddfdfsd">#REF!</definedName>
    <definedName name="DE">"""NA()"""</definedName>
    <definedName name="DebtCF_in" comment="x">Macro!$G$50:$DW$50</definedName>
    <definedName name="DebtCF_out" comment="x">Macro!$G$49:$DW$49</definedName>
    <definedName name="debtsizing" comment="x">Inputs!$D$184</definedName>
    <definedName name="Début_Prêt">#REF!</definedName>
    <definedName name="DECEMBRE">"""NA()"""</definedName>
    <definedName name="DECOTE">#REF!</definedName>
    <definedName name="defaultED">[37]ControlsH!$G$22</definedName>
    <definedName name="defaultSD">[37]ControlsH!$G$27</definedName>
    <definedName name="DEM">[24]datas!$J$9</definedName>
    <definedName name="DEP">#REF!</definedName>
    <definedName name="departement">'[65]Fiche Renseignement'!$AA$1:$AA$5</definedName>
    <definedName name="Département">#REF!</definedName>
    <definedName name="DepOpeningIn">[32]Inputs!#REF!</definedName>
    <definedName name="DEPOSITI">#REF!</definedName>
    <definedName name="DeprAnnual">[24]Input!#REF!</definedName>
    <definedName name="DeprL12M">[24]Input!#REF!</definedName>
    <definedName name="DeprLatestQ">[24]Input!#REF!</definedName>
    <definedName name="Deprrate_Buildings">[32]Inputs!#REF!</definedName>
    <definedName name="Deprrate_CS">[32]Inputs!#REF!</definedName>
    <definedName name="Deprrate_Licence">[32]Inputs!#REF!</definedName>
    <definedName name="Deprrate_Network">[32]Inputs!#REF!</definedName>
    <definedName name="Deprrate_Other">[32]Inputs!#REF!</definedName>
    <definedName name="DeprYearAgo">[24]Input!#REF!</definedName>
    <definedName name="Dernière_Ligne">IF(Valeurs_Entrées,Ligne_EnTête+Nbre_de_Paiements,Ligne_EnTête)</definedName>
    <definedName name="Desc0">#REF!</definedName>
    <definedName name="Description">#REF!</definedName>
    <definedName name="DetailColumns">[46]DDETABLE!$O:$T</definedName>
    <definedName name="DETAILS_OF_COMMISSIONS___FEES">'[22]Budget CA Promotion ICVC'!#REF!</definedName>
    <definedName name="DETAILS_OF_CUMUL_DES_MANDATS">'[22]Budget CA Promotion ICVC'!#REF!</definedName>
    <definedName name="DETAILS_OF_INCENTIVES">'[22]Budget CA Promotion ICVC'!#REF!</definedName>
    <definedName name="Dette">#REF!</definedName>
    <definedName name="Dette_nette">#REF!</definedName>
    <definedName name="detyu">{"Client Name or Project Name"}</definedName>
    <definedName name="Devise">#REF!</definedName>
    <definedName name="DEX">"""""""#REF!"""""""</definedName>
    <definedName name="df" hidden="1">{#N/A,"Base Case",FALSE,"Revenue";#N/A,"£6.25 Fee",FALSE,"Revenue"}</definedName>
    <definedName name="dfdaf" hidden="1">15</definedName>
    <definedName name="dfg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sdf" hidden="1">{#N/A,#N/A,FALSE,"ACQ_GRAPHS";#N/A,#N/A,FALSE,"T_1 GRAPHS";#N/A,#N/A,FALSE,"T_2 GRAPHS";#N/A,#N/A,FALSE,"COMB_GRAPHS"}</definedName>
    <definedName name="dial">"""NA()"""</definedName>
    <definedName name="dial1">"""NA()"""</definedName>
    <definedName name="dial2">"""NA()"""</definedName>
    <definedName name="diallo">"""NA()"""</definedName>
    <definedName name="Dic0">#REF!</definedName>
    <definedName name="DICS">[23]result97!#REF!</definedName>
    <definedName name="DinDir">#REF!</definedName>
    <definedName name="DIRVLO">[23]result97!#REF!</definedName>
    <definedName name="disc_rate">[66]EconomicInputs!$G$10</definedName>
    <definedName name="Discount">[27]Parameters!$M$7</definedName>
    <definedName name="DiscountPeriod">[27]Parameters!$M$8</definedName>
    <definedName name="Dispos">#REF!</definedName>
    <definedName name="dito" hidden="1">{#N/A,#N/A,FALSE,"Exec Summary";"Current_FY",#N/A,FALSE,"NOR Forecast";#N/A,#N/A,FALSE,"Dates"}</definedName>
    <definedName name="dito_2" hidden="1">{#N/A,#N/A,FALSE,"Exec Summary";"Current_FY",#N/A,FALSE,"NOR Forecast";#N/A,#N/A,FALSE,"Dates"}</definedName>
    <definedName name="DIVISIONS">'[67]Fiche Renseignement'!$AA$1:$AA$5</definedName>
    <definedName name="DivsPref">[32]Workings!#REF!</definedName>
    <definedName name="diy">[5]Assumptions!$F$20</definedName>
    <definedName name="DM">#REF!</definedName>
    <definedName name="DME">[68]Amphenol!$Q$14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M">"""NA()"""</definedName>
    <definedName name="donnee">'[69]evolution du PIB'!$A$3:$C$3,'[69]evolution du PIB'!$A$26:$C$28</definedName>
    <definedName name="Données">#REF!</definedName>
    <definedName name="dont_CA_intra">#REF!</definedName>
    <definedName name="dp">"""NA()"""</definedName>
    <definedName name="DPSAnnual">[24]Input!#REF!</definedName>
    <definedName name="DPSLatestQ">[24]Input!#REF!</definedName>
    <definedName name="DPSYearAgo">[24]Input!#REF!</definedName>
    <definedName name="DPT1AD">"""['file:///Users/johan/Dropbox/Hotel/ho%2036%20dev/HO%2036%20DEVELOPPEMENT/Business%20Plan/johan/Downloads/SOFT-500patio%20terreaux/Montesquieu/@/Serveur/mambaye/MSOffice/Modeles/Solutions%20-%20Tableur/Budget98.xls'#$Tarifs.$E$15]"""</definedName>
    <definedName name="DPT1AS">"""['file:///Users/johan/Dropbox/Hotel/ho%2036%20dev/HO%2036%20DEVELOPPEMENT/Business%20Plan/johan/Downloads/SOFT-500patio%20terreaux/Montesquieu/@/Serveur/mambaye/MSOffice/Modeles/Solutions%20-%20Tableur/Budget98.xls'#$Tarifs.$E$14]"""</definedName>
    <definedName name="DPT1E1">"""['file:///Users/johan/Dropbox/Hotel/ho%2036%20dev/HO%2036%20DEVELOPPEMENT/Business%20Plan/johan/Downloads/SOFT-500patio%20terreaux/Montesquieu/@/Serveur/mambaye/MSOffice/Modeles/Solutions%20-%20Tableur/Budget98.xls'#$Tarifs.$E$16]"""</definedName>
    <definedName name="DPT1E2">"""['file:///Users/johan/Dropbox/Hotel/ho%2036%20dev/HO%2036%20DEVELOPPEMENT/Business%20Plan/johan/Downloads/SOFT-500patio%20terreaux/Montesquieu/@/Serveur/mambaye/MSOffice/Modeles/Solutions%20-%20Tableur/Budget98.xls'#$Tarifs.$E$17]"""</definedName>
    <definedName name="DPT1E3">"""['file:///Users/johan/Dropbox/Hotel/ho%2036%20dev/HO%2036%20DEVELOPPEMENT/Business%20Plan/johan/Downloads/SOFT-500patio%20terreaux/Montesquieu/@/Serveur/mambaye/MSOffice/Modeles/Solutions%20-%20Tableur/Budget98.xls'#$Tarifs.$E$18]"""</definedName>
    <definedName name="DPT2AD">"""['file:///Users/johan/Dropbox/Hotel/ho%2036%20dev/HO%2036%20DEVELOPPEMENT/Business%20Plan/johan/Downloads/SOFT-500patio%20terreaux/Montesquieu/@/Serveur/mambaye/MSOffice/Modeles/Solutions%20-%20Tableur/Budget98.xls'#$Tarifs.$F$15]"""</definedName>
    <definedName name="DPT2AS">"""['file:///Users/johan/Dropbox/Hotel/ho%2036%20dev/HO%2036%20DEVELOPPEMENT/Business%20Plan/johan/Downloads/SOFT-500patio%20terreaux/Montesquieu/@/Serveur/mambaye/MSOffice/Modeles/Solutions%20-%20Tableur/Budget98.xls'#$Tarifs.$F$14]"""</definedName>
    <definedName name="DPT2E1">"""['file:///Users/johan/Dropbox/Hotel/ho%2036%20dev/HO%2036%20DEVELOPPEMENT/Business%20Plan/johan/Downloads/SOFT-500patio%20terreaux/Montesquieu/@/Serveur/mambaye/MSOffice/Modeles/Solutions%20-%20Tableur/Budget98.xls'#$Tarifs.$F$16]"""</definedName>
    <definedName name="DPT2E2">"""['file:///Users/johan/Dropbox/Hotel/ho%2036%20dev/HO%2036%20DEVELOPPEMENT/Business%20Plan/johan/Downloads/SOFT-500patio%20terreaux/Montesquieu/@/Serveur/mambaye/MSOffice/Modeles/Solutions%20-%20Tableur/Budget98.xls'#$Tarifs.$F$17]"""</definedName>
    <definedName name="DPT2E3">"""['file:///Users/johan/Dropbox/Hotel/ho%2036%20dev/HO%2036%20DEVELOPPEMENT/Business%20Plan/johan/Downloads/SOFT-500patio%20terreaux/Montesquieu/@/Serveur/mambaye/MSOffice/Modeles/Solutions%20-%20Tableur/Budget98.xls'#$Tarifs.$F$18]"""</definedName>
    <definedName name="DPT3AD">"""['file:///Users/johan/Dropbox/Hotel/ho%2036%20dev/HO%2036%20DEVELOPPEMENT/Business%20Plan/johan/Downloads/SOFT-500patio%20terreaux/Montesquieu/@/Serveur/mambaye/MSOffice/Modeles/Solutions%20-%20Tableur/Budget98.xls'#$Tarifs.$G$15]"""</definedName>
    <definedName name="DPT3AS">"""['file:///Users/johan/Dropbox/Hotel/ho%2036%20dev/HO%2036%20DEVELOPPEMENT/Business%20Plan/johan/Downloads/SOFT-500patio%20terreaux/Montesquieu/@/Serveur/mambaye/MSOffice/Modeles/Solutions%20-%20Tableur/Budget98.xls'#$Tarifs.$G$14]"""</definedName>
    <definedName name="DPT3E1">"""['file:///Users/johan/Dropbox/Hotel/ho%2036%20dev/HO%2036%20DEVELOPPEMENT/Business%20Plan/johan/Downloads/SOFT-500patio%20terreaux/Montesquieu/@/Serveur/mambaye/MSOffice/Modeles/Solutions%20-%20Tableur/Budget98.xls'#$Tarifs.$G$16]"""</definedName>
    <definedName name="DPT3E2">"""['file:///Users/johan/Dropbox/Hotel/ho%2036%20dev/HO%2036%20DEVELOPPEMENT/Business%20Plan/johan/Downloads/SOFT-500patio%20terreaux/Montesquieu/@/Serveur/mambaye/MSOffice/Modeles/Solutions%20-%20Tableur/Budget98.xls'#$Tarifs.$G$17]"""</definedName>
    <definedName name="DPT3E3">"""['file:///Users/johan/Dropbox/Hotel/ho%2036%20dev/HO%2036%20DEVELOPPEMENT/Business%20Plan/johan/Downloads/SOFT-500patio%20terreaux/Montesquieu/@/Serveur/mambaye/MSOffice/Modeles/Solutions%20-%20Tableur/Budget98.xls'#$Tarifs.$G$18]"""</definedName>
    <definedName name="DPT4AD">"""['file:///Users/johan/Dropbox/Hotel/ho%2036%20dev/HO%2036%20DEVELOPPEMENT/Business%20Plan/johan/Downloads/SOFT-500patio%20terreaux/Montesquieu/@/Serveur/mambaye/MSOffice/Modeles/Solutions%20-%20Tableur/Budget98.xls'#$Tarifs.$H$15]"""</definedName>
    <definedName name="DPT4AS">"""['file:///Users/johan/Dropbox/Hotel/ho%2036%20dev/HO%2036%20DEVELOPPEMENT/Business%20Plan/johan/Downloads/SOFT-500patio%20terreaux/Montesquieu/@/Serveur/mambaye/MSOffice/Modeles/Solutions%20-%20Tableur/Budget98.xls'#$Tarifs.$H$14]"""</definedName>
    <definedName name="DPT4E1">"""['file:///Users/johan/Dropbox/Hotel/ho%2036%20dev/HO%2036%20DEVELOPPEMENT/Business%20Plan/johan/Downloads/SOFT-500patio%20terreaux/Montesquieu/@/Serveur/mambaye/MSOffice/Modeles/Solutions%20-%20Tableur/Budget98.xls'#$Tarifs.$H$16]"""</definedName>
    <definedName name="DPT4E2">"""['file:///Users/johan/Dropbox/Hotel/ho%2036%20dev/HO%2036%20DEVELOPPEMENT/Business%20Plan/johan/Downloads/SOFT-500patio%20terreaux/Montesquieu/@/Serveur/mambaye/MSOffice/Modeles/Solutions%20-%20Tableur/Budget98.xls'#$Tarifs.$H$17]"""</definedName>
    <definedName name="DPT4E3">"""['file:///Users/johan/Dropbox/Hotel/ho%2036%20dev/HO%2036%20DEVELOPPEMENT/Business%20Plan/johan/Downloads/SOFT-500patio%20terreaux/Montesquieu/@/Serveur/mambaye/MSOffice/Modeles/Solutions%20-%20Tableur/Budget98.xls'#$Tarifs.$H$18]"""</definedName>
    <definedName name="DPT5AD">"""['file:///Users/johan/Dropbox/Hotel/ho%2036%20dev/HO%2036%20DEVELOPPEMENT/Business%20Plan/johan/Downloads/SOFT-500patio%20terreaux/Montesquieu/@/Serveur/mambaye/MSOffice/Modeles/Solutions%20-%20Tableur/Budget98.xls'#$Tarifs.$I$15]"""</definedName>
    <definedName name="DPT5AS">"""['file:///Users/johan/Dropbox/Hotel/ho%2036%20dev/HO%2036%20DEVELOPPEMENT/Business%20Plan/johan/Downloads/SOFT-500patio%20terreaux/Montesquieu/@/Serveur/mambaye/MSOffice/Modeles/Solutions%20-%20Tableur/Budget98.xls'#$Tarifs.$I$14]"""</definedName>
    <definedName name="DPT5E1">"""['file:///Users/johan/Dropbox/Hotel/ho%2036%20dev/HO%2036%20DEVELOPPEMENT/Business%20Plan/johan/Downloads/SOFT-500patio%20terreaux/Montesquieu/@/Serveur/mambaye/MSOffice/Modeles/Solutions%20-%20Tableur/Budget98.xls'#$Tarifs.$I$16]"""</definedName>
    <definedName name="DPT5E2">"""['file:///Users/johan/Dropbox/Hotel/ho%2036%20dev/HO%2036%20DEVELOPPEMENT/Business%20Plan/johan/Downloads/SOFT-500patio%20terreaux/Montesquieu/@/Serveur/mambaye/MSOffice/Modeles/Solutions%20-%20Tableur/Budget98.xls'#$Tarifs.$I$17]"""</definedName>
    <definedName name="DPT5E3">"""['file:///Users/johan/Dropbox/Hotel/ho%2036%20dev/HO%2036%20DEVELOPPEMENT/Business%20Plan/johan/Downloads/SOFT-500patio%20terreaux/Montesquieu/@/Serveur/mambaye/MSOffice/Modeles/Solutions%20-%20Tableur/Budget98.xls'#$Tarifs.$I$18]"""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sd" hidden="1">{"orixcsc",42,FALSE,"ORIX CSC";"orixcsc2",42,FALSE,"ORIX CSC"}</definedName>
    <definedName name="DSDDE_Path">[46]DDETABLE!$AD$3</definedName>
    <definedName name="dsds">[70]Mois!#REF!</definedName>
    <definedName name="DSRA_in" comment="x" localSheetId="0">[36]Macro!$H$24</definedName>
    <definedName name="DSRA_in" comment="x">Macro!$H$24</definedName>
    <definedName name="DSRA_out" comment="x">Macro!$G$24</definedName>
    <definedName name="DSRF_in" localSheetId="0">[36]Macro!$H$26</definedName>
    <definedName name="DSRF_in">[43]Macro!$H$26</definedName>
    <definedName name="dssdf" hidden="1">{#N/A,#N/A,FALSE,"ACQ_GRAPHS";#N/A,#N/A,FALSE,"T_1 GRAPHS";#N/A,#N/A,FALSE,"T_2 GRAPHS";#N/A,#N/A,FALSE,"COMB_GRAPHS"}</definedName>
    <definedName name="dtyhjd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Durée_Prêt">#REF!</definedName>
    <definedName name="Dynastar">#REF!</definedName>
    <definedName name="e">'[71]Proposal in EUR'!$A$1</definedName>
    <definedName name="E.On" hidden="1">{42,42,FALSE,"Eastern";42,42,FALSE,"Western"}</definedName>
    <definedName name="EBERY">[21]RY!$B$60</definedName>
    <definedName name="ebis">#REF!</definedName>
    <definedName name="EBIT">'[72]Staffing Comps'!$AA$38</definedName>
    <definedName name="EBITA">#REF!</definedName>
    <definedName name="EBITAnnual">[24]Input!#REF!</definedName>
    <definedName name="EBITDA">#REF!</definedName>
    <definedName name="EBITDA05">[40]DCF!$I$20</definedName>
    <definedName name="EBITDAn">#REF!</definedName>
    <definedName name="EBITDAn_1">#REF!</definedName>
    <definedName name="EBITDAn1">#REF!</definedName>
    <definedName name="EBITDAn2">#REF!</definedName>
    <definedName name="EBITL12M">[24]Input!#REF!</definedName>
    <definedName name="EBITLatestQ">[24]Input!#REF!</definedName>
    <definedName name="EBITn">#REF!</definedName>
    <definedName name="EBITn_1">#REF!</definedName>
    <definedName name="EBITn1">#REF!</definedName>
    <definedName name="EBITn2">#REF!</definedName>
    <definedName name="EBITYearAgo">[24]Input!#REF!</definedName>
    <definedName name="ECHEANCE1">'[44]150101 Cash Group ICVA&amp;C'!#REF!</definedName>
    <definedName name="eco_a1a">#REF!</definedName>
    <definedName name="eco_a1b">#REF!</definedName>
    <definedName name="eco_a1c">#REF!</definedName>
    <definedName name="eco_a3">#REF!</definedName>
    <definedName name="eco_a5a">#REF!</definedName>
    <definedName name="ECO_A5B">#REF!</definedName>
    <definedName name="eco_b06">#REF!</definedName>
    <definedName name="eco_b07">#REF!</definedName>
    <definedName name="eco_b08">#REF!</definedName>
    <definedName name="eco_b09a">#REF!</definedName>
    <definedName name="eco_b09b">#REF!</definedName>
    <definedName name="eco_b09c">#REF!</definedName>
    <definedName name="eco_b09e">#REF!</definedName>
    <definedName name="eco_b10a">#REF!</definedName>
    <definedName name="eco_b10b">#REF!</definedName>
    <definedName name="eco_b10c">#REF!</definedName>
    <definedName name="eco_b10cbis">#REF!</definedName>
    <definedName name="eco_b10d">#REF!</definedName>
    <definedName name="eco_b11">#REF!</definedName>
    <definedName name="eco_b12">#REF!</definedName>
    <definedName name="eco_b13">#REF!</definedName>
    <definedName name="eco_b14a">#REF!</definedName>
    <definedName name="eco_b14b">#REF!</definedName>
    <definedName name="eco_b14c">#REF!</definedName>
    <definedName name="eco_c15a">#REF!</definedName>
    <definedName name="eco_c15b">#REF!</definedName>
    <definedName name="eco_c15c">#REF!</definedName>
    <definedName name="eco_c15d">#REF!</definedName>
    <definedName name="eco_c16a">#REF!</definedName>
    <definedName name="eco_c16d">#REF!</definedName>
    <definedName name="eco_c16d1">#REF!</definedName>
    <definedName name="eco_c16d2">#REF!</definedName>
    <definedName name="eco_c16d2bis">#REF!</definedName>
    <definedName name="eco_c16d3">#REF!</definedName>
    <definedName name="ECO_C17a">#REF!</definedName>
    <definedName name="ECO_C17B">#REF!</definedName>
    <definedName name="ECO_C17C">#REF!</definedName>
    <definedName name="ECO_C17D">#REF!</definedName>
    <definedName name="ECO_C17E">#REF!</definedName>
    <definedName name="ECO_C17G">#REF!</definedName>
    <definedName name="ECO_D19A">#REF!</definedName>
    <definedName name="ECO_D19B">#REF!</definedName>
    <definedName name="ECO_D19C">#REF!</definedName>
    <definedName name="ECO_E20A">#REF!</definedName>
    <definedName name="ECO_E21A">#REF!</definedName>
    <definedName name="ECO_E21B">#REF!</definedName>
    <definedName name="eco_e22a">#REF!</definedName>
    <definedName name="eco_e22b">#REF!</definedName>
    <definedName name="eco_e26">#REF!</definedName>
    <definedName name="economico">#REF!</definedName>
    <definedName name="ED">[37]ControlsH!$B$5</definedName>
    <definedName name="edition" hidden="1">[73]synthese!$A$1:$K$35,[73]synthese!#REF!,[73]synthese!#REF!</definedName>
    <definedName name="EDS">#REF!</definedName>
    <definedName name="eee" hidden="1">{#N/A,#N/A,FALSE,"INPUTS";#N/A,#N/A,FALSE,"PROFORMA BSHEET";#N/A,#N/A,FALSE,"COMBINED";#N/A,#N/A,FALSE,"ACQUIROR";#N/A,#N/A,FALSE,"TARGET 1";#N/A,#N/A,FALSE,"TARGET 2";#N/A,#N/A,FALSE,"HIGH YIELD";#N/A,#N/A,FALSE,"OVERFUND"}</definedName>
    <definedName name="eeeee" hidden="1">#REF!</definedName>
    <definedName name="effetti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mballage2006">[8]TPG!$A$5:$J$56</definedName>
    <definedName name="ENCH">[21]CH2!$B$61</definedName>
    <definedName name="ENCR">[21]CR!$B$59</definedName>
    <definedName name="Endesa" hidden="1">{42,42,FALSE,"Eastern";42,42,FALSE,"Western"}</definedName>
    <definedName name="ENEC">[21]EC!$B$66</definedName>
    <definedName name="enel" hidden="1">{42,42,FALSE,"Eastern";42,42,FALSE,"Western"}</definedName>
    <definedName name="ENERGIE">[21]FO!$B$49</definedName>
    <definedName name="ENFI">[21]FI!$B$53</definedName>
    <definedName name="ENMA">[21]MA!$B$53</definedName>
    <definedName name="ENME1">[21]FO!$B$49</definedName>
    <definedName name="ENME2">[21]PR!$B$61</definedName>
    <definedName name="ENNE">[21]NE!$B$56</definedName>
    <definedName name="ENNO">[21]NO!$B$55</definedName>
    <definedName name="ENRO">[21]RO!$B$71</definedName>
    <definedName name="ENRY">[21]RY!$B$45</definedName>
    <definedName name="Ent">#REF!</definedName>
    <definedName name="EntValue">#REF!</definedName>
    <definedName name="envy">[74]Package!$D$8</definedName>
    <definedName name="EPMWorkbookOptions_1" hidden="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10" hidden="1">"y/Obs1DDs65c/v73UOE0ePnz4I4L4BDn|4kf08Onxcvfej1ikyyIvjsn4/d7/X6fK/3ss30/mdVlVXz9b|P5G7|H//4zeT56|ev7llzZh|Oz3P3n|//ll2m|MFmT7/79Oi/9XiWvzQ3VRd3feQ1z/P5KTIRZ97azKsy9pKe749f/nmfSbocbxyZuvjp//vI21Y8T4ES1AiydfPf389EdCEqiMJ2f/nxeU//eYti9Oj19/9er09Q/TuO2|h3H7/4"</definedName>
    <definedName name="EPMWorkbookOptions_11" hidden="1">"gvashIbCpJ1LMvn579f34F|5uhxu/z5un/1wnxDcrrLRoF2MQbPb57vFqVnDqtlvbz4FPTnKBVyyUhTp89zdqMP/Y/fFN1B//4VX5e5838y|WXq3x5dJ6VDXm/4Yfc7qTMsxpAv1y|zi5z07L7Mbf9blW/nVTVWxLSlsloWve/4PZnzU9mdZFNyvyLvL5wzXuf/8aJg/HlSob|/wAAfsOQfVoAAA=="</definedName>
    <definedName name="EPMWorkbookOptions_2" hidden="1">"OxBOtzB60hFONCeryveGHd9WJr|7iO45h/1l2AQAA"</definedName>
    <definedName name="EPMWorkbookOptions_3" hidden="1">"ssDYwQivexDv7IodHpXejWI|UtvqIvv8gXk7z|aln8onXOUL/35NWXL74//t63d|mfky9fvHl19oTG22vXg/TtIq|zejq/do1SYqdHy6L87KO2XhO33O2/9bRY5Esw6|3fenz3mxvs6Ys3Z29Oz95gwHv0z7Ozpy9fvn55fPzq87Onr///O|7PX315|tLM8vOT//8O9OzFm5MvzUDPTt58|eb4|Pn/f4f7e335|s3pi5fPj4/fvDaj/r1e/v991"</definedName>
    <definedName name="EPMWorkbookOptions_4" hidden="1">"K9Of6/TF2cvPjdS/Hu9/u5P/v93tK9fnp6cPTs7OX5zdmrm|PX/7|f4J09fPf/yS6uznv3|J8|//P/1aF|72X325avTk|PXb/7/O94vTo9ff/XqFDqL/vfy9NXZl0/P/j9jljZ8433x7WI2y5e242YDyWyjnyyaYlKURXt9qyEcPamr5eO7sW8idAM6Rxjr47v6x4YB34zSNzKAU/LI27xo/z89iM8RO/x/egRny/ak|v/0CF7lb/MlRb3/nx7E"</definedName>
    <definedName name="EPMWorkbookOptions_5" hidden="1">"61U|Lc45Jsz/Pz2Qn8zrsqr|vy0TP4msyv|3p8GY2Z|bQQSNN1pDf7AuYdKzmK/nlev0pCqr|ojzM4/vRr7Z9C4PX4bZ/zzyImWp2vxd|yy7rGoyV43fbe|7W7z/rKib1kMg/n0HkMVymEK3bTXALpQHK6rZLVnehyEUp1zj/Z3dewe7HoDYXPC7X9azvD7aeXxXfolCb1Zldv2yrlZ5Tay1e//T||f55Hz7/qez/e39vfOH2wf383x7J8v39me"</definedName>
    <definedName name="EPMWorkbookOptions_6" hidden="1">"TB/sPJvfQc/hWBPDzrGlf5yWlHfOZ|JsxCoVcGW2QxlxbcWatL7|3s/tg/J3jF7fxbRXm1/Jw9d3IzN3u3U3evbb4hsjx6fjFl7cK1xXm/|/J8fT0VpGPwvz/PTleU6byR|Sw5Pjy5FZ5AIX5/0pyPL57G5XrWY2fNQv3e1VNmy9ndXaR1x9g5h7s7|8|vHd7M7f7/z8zJ5nnp6|OPz99ZTPPT2|flVTA/6/k12|WJsfPn3/581bBd0nC6fqn33"</definedName>
    <definedName name="EPMWorkbookOptions_7" hidden="1">"7|gjjlRzQRmtxnmuzsPPj9d|99|n5E|f8vUUR2Pt3d|/13d3f/v06U/7cZQDIdWdt8bQN4cG/v3sODB7e3f3v/f7V/X3/lVQH/v5Jdv1mavDp9enyCtcsfUcWjyhfHr36v0zdYxP4RWTyy7O18urOz8yOa|DR5|dWT/68T5P89BvD0vRYcfSBq/O7tPfj04Pam797//0zf6Ys3Z29Oz94Yf/7Z2dOXL1|/PD5|9fnZ09f/X2fVb44qOzv/n3dcv"</definedName>
    <definedName name="EPMWorkbookOptions_8" hidden="1">"zliEIucvvx5Gwb79Nj9EXNEmOPbX33x5f/XCfL/Hiv3pK6WX9vCvf8y3v7//4zck1dfvjDSevLlizevzv4/74R9E6T4vZ7|/pzPPDj4eau|fHKcvXj51Zvfn5ZtfkQMQ4ynZ69O/7|/ZPXN0eOL/||v/f|/x659Xlf56msbtnv37t/f39|/vV27//8/u/b5qy9pfV059Pn/5x3y//ew5tmyPam|Nmt||mB35|B9Uuqf/v|PNc9evDn50irPk5/f"</definedName>
    <definedName name="EPMWorkbookOptions_9" hidden="1">"ufSQGJ|fnv7IigTNbtVqQFRf5W/zZbG8|NrS|v4R0oP//4nrq9Pf6/QFFjDMsv7r7/7k/9d59JuixctP93b2fgjrGILP/|vJ8ez3Z1/4R9yh3HH66vWXL05Pn5|||O7x56cvft7mzH3CwM599/TNm9PnZ9/5vf6/TpD/99i616t8WpwX06wt8h|ivTt4D3uX5Q8nDx/uP9yeTSb3tvfv7x5sT84fZNvZp7N7k4f37u/tnc/|X2DvXr88PTl7dnZ"</definedName>
    <definedName name="EPS">'[75]Prévisions - Input'!#REF!</definedName>
    <definedName name="EPSAnnual">[24]Input!#REF!</definedName>
    <definedName name="EPSFy1Est">[24]Input!#REF!</definedName>
    <definedName name="EPSFy2Est">[24]Input!#REF!</definedName>
    <definedName name="EPSFy3Est">[24]Input!#REF!</definedName>
    <definedName name="EPSFy4Est">[24]Input!#REF!</definedName>
    <definedName name="EPSLastFY">[24]Input!#REF!</definedName>
    <definedName name="EPSLatestQ">[24]Input!#REF!</definedName>
    <definedName name="EPSYearAgo">[24]Input!#REF!</definedName>
    <definedName name="equity_year" comment="x" localSheetId="0">[36]Inputs!$M$599</definedName>
    <definedName name="equity_year" comment="x">Inputs!$M$482</definedName>
    <definedName name="er" hidden="1">#REF!</definedName>
    <definedName name="ERCH">[21]CH2!$B$69</definedName>
    <definedName name="ERCR">[21]CR!$B$71</definedName>
    <definedName name="EREC">[21]EC!$B$79</definedName>
    <definedName name="erere">#REF!</definedName>
    <definedName name="ererer" hidden="1">#REF!</definedName>
    <definedName name="ERFI">[21]FI!$B$63</definedName>
    <definedName name="ERMA">[21]MA!$B$63</definedName>
    <definedName name="ERME1">[21]FO!$B$60</definedName>
    <definedName name="ERME2">[21]PR!$B$71</definedName>
    <definedName name="ERNE">[21]NE!$B$67</definedName>
    <definedName name="ERNO">[21]NO!$B$66</definedName>
    <definedName name="ERRO">[21]RO!$B$82</definedName>
    <definedName name="ERRY">[21]RY!$B$54</definedName>
    <definedName name="escte_cte1">'[44]150101 Cash Group ICVA&amp;C'!#REF!</definedName>
    <definedName name="escte_cte2">'[44]150101 Cash Group ICVA&amp;C'!#REF!</definedName>
    <definedName name="escte_cte3">'[44]150101 Cash Group ICVA&amp;C'!#REF!</definedName>
    <definedName name="escte_cte4">'[44]150101 Cash Group ICVA&amp;C'!#REF!</definedName>
    <definedName name="escte_cte5">'[44]150101 Cash Group ICVA&amp;C'!#REF!</definedName>
    <definedName name="esd" hidden="1">{42,42,FALSE,"Eastern";42,42,FALSE,"Western"}</definedName>
    <definedName name="esnrc15c1_values" hidden="1">{"EUWAT","COMPANIES",TRUE}</definedName>
    <definedName name="esnrc2c1_values" hidden="1">{"CHSER","COMPANIES",TRUE}</definedName>
    <definedName name="esnrc4c1_values" hidden="1">{"DESER","COMPANIES",TRUE}</definedName>
    <definedName name="esnrc82c1_values" hidden="1">{"EUSER","COMPANIES",TRUE}</definedName>
    <definedName name="essai">[76]Auto!#REF!</definedName>
    <definedName name="EstDetPerO">[37]DataH!$DS$2</definedName>
    <definedName name="EstDetPerT">[37]DataH!$DS$1</definedName>
    <definedName name="ETXAcces">"ETAT.ACC"</definedName>
    <definedName name="EUR">[24]Input!#REF!</definedName>
    <definedName name="EURO">'[77]FAE synthèse taxes+parking'!#REF!</definedName>
    <definedName name="EV">#REF!</definedName>
    <definedName name="ev.Calculation" hidden="1">-4105</definedName>
    <definedName name="ev.Initialized" hidden="1">FALSE</definedName>
    <definedName name="EV__EVCOM_OPTIONS__" hidden="1">8</definedName>
    <definedName name="EV__EXPOPTIONS__" hidden="1">0</definedName>
    <definedName name="EV__LASTREFTIME__" hidden="1">41891.5424074074</definedName>
    <definedName name="EV__MAXEXPCOLS__" hidden="1">400</definedName>
    <definedName name="EV__MAXEXPROWS__" hidden="1">1000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134217733</definedName>
    <definedName name="EV__WBVERSION__" hidden="1">0</definedName>
    <definedName name="Excel_Version">[46]DDETABLE!$AD$8</definedName>
    <definedName name="ExcelPath">#N/A</definedName>
    <definedName name="ExchRate">[24]Input!$C$11:$C$723</definedName>
    <definedName name="Expected_return">[27]Parameters!$V$17:$V$64</definedName>
    <definedName name="ExtFiles">[46]DDETABLE!$AG$2:$AG$10</definedName>
    <definedName name="_xlnm.Extract">[5]AVP!#REF!</definedName>
    <definedName name="ezaqs" hidden="1">{42,42,FALSE,"Eastern";42,42,FALSE,"Western"}</definedName>
    <definedName name="f" hidden="1">20</definedName>
    <definedName name="FAC">#REF!</definedName>
    <definedName name="FAPL" hidden="1">'[78]suivi cash flow par affaire'!#REF!</definedName>
    <definedName name="FCF">[40]DCF!$E$58:$I$58</definedName>
    <definedName name="FD">[24]Input!$X$2</definedName>
    <definedName name="fdo_ristr">#REF!</definedName>
    <definedName name="FDPCH">[21]CH2!$B$16</definedName>
    <definedName name="FDPCR">[21]CR!$B$16</definedName>
    <definedName name="FDPEC">[21]EC!$B$16</definedName>
    <definedName name="FDPFI">[21]FI!$B$16</definedName>
    <definedName name="FDPMA">[21]MA!$B$16</definedName>
    <definedName name="FDPME1">[21]FO!$B$16</definedName>
    <definedName name="FDPME2">[21]PR!$B$16</definedName>
    <definedName name="FDPNE">[21]NE!$B$16</definedName>
    <definedName name="FDPNO">[21]NO!$B$16</definedName>
    <definedName name="FDPRO">[21]RO!$B$16</definedName>
    <definedName name="FDPRY">[21]RY!$B$16</definedName>
    <definedName name="FDSO">[24]Input!$AA$11:$AA$723</definedName>
    <definedName name="fe">'[34]ca 2004 au 31-12-04 (JB)'!$AK$2</definedName>
    <definedName name="Feb0">#REF!</definedName>
    <definedName name="fees20">#REF!</definedName>
    <definedName name="feesciafce">#REF!</definedName>
    <definedName name="feesciatv">#REF!</definedName>
    <definedName name="FEVRIER">"""NA()"""</definedName>
    <definedName name="FEX">"""""""#REF!"""""""</definedName>
    <definedName name="fez">[70]Mois!#REF!</definedName>
    <definedName name="fezbis">[70]Mois!#REF!</definedName>
    <definedName name="ff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FFCH">[21]CH2!$B$80</definedName>
    <definedName name="FFCR">[21]CR!$B$84</definedName>
    <definedName name="FFEC">[21]EC!$B$93</definedName>
    <definedName name="ffffff" hidden="1">{"budget992000 capex",#N/A,FALSE,"Celtel alternative 6"}</definedName>
    <definedName name="FFFI">[21]FI!$B$77</definedName>
    <definedName name="FFMA">[21]MA!$B$77</definedName>
    <definedName name="FFME1">[21]FO!$B$74</definedName>
    <definedName name="FFME2">[21]PR!$B$85</definedName>
    <definedName name="FFNE">[21]NE!$B$80</definedName>
    <definedName name="FFNO">[21]NO!$B$80</definedName>
    <definedName name="FFRO">[21]RO!$B$96</definedName>
    <definedName name="FFRY">[21]RY!$B$68</definedName>
    <definedName name="FGCH">[21]CH2!$B$57</definedName>
    <definedName name="FGCR">[21]CR!$B$46</definedName>
    <definedName name="FGEC">[21]EC!$B$53</definedName>
    <definedName name="FGFI">[21]FI!$B$40</definedName>
    <definedName name="FGH">"""NA()"""</definedName>
    <definedName name="FGHFH" hidden="1">{"' calendrier 2000'!$A$1:$Q$38"}</definedName>
    <definedName name="FGMA">[21]MA!$B$40</definedName>
    <definedName name="FGME1">[21]FO!$B$43</definedName>
    <definedName name="FGME2">[21]PR!$B$48</definedName>
    <definedName name="FGNE">[21]NE!$B$43</definedName>
    <definedName name="FGNO">[21]NO!$B$42</definedName>
    <definedName name="FGRO">[21]RO!$B$58</definedName>
    <definedName name="FGRY">[21]RY!$B$39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inancial_close_inputs">#REF!</definedName>
    <definedName name="FINANZ">#REF!</definedName>
    <definedName name="Firm">#REF!</definedName>
    <definedName name="First_historic_Year">[5]AVP!#REF!</definedName>
    <definedName name="Fix_GMPV">[30]List!$B$5</definedName>
    <definedName name="FLCP">[23]result97!#REF!</definedName>
    <definedName name="FLCS">[23]result97!#REF!</definedName>
    <definedName name="FLSAL">[23]result97!#REF!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rmats">[46]DDETABLE!$AN$2:$AN$11</definedName>
    <definedName name="Forn0">#REF!</definedName>
    <definedName name="FPACH">[21]CH2!$B$49</definedName>
    <definedName name="FPACR">[21]CR!$B$40</definedName>
    <definedName name="FPAEC">[21]EC!$B$45</definedName>
    <definedName name="FPAFI">[21]FI!$B$35</definedName>
    <definedName name="FPAMA">[21]MA!$B$35</definedName>
    <definedName name="FPAME1">[21]FO!$B$37</definedName>
    <definedName name="FPAME2">[21]PR!$B$39</definedName>
    <definedName name="FPANO">[21]NO!$B$37</definedName>
    <definedName name="FPARO">[21]RO!$B$49</definedName>
    <definedName name="FPARY">[21]RY!$B$34</definedName>
    <definedName name="FPC">"""""""#REF!"""""""</definedName>
    <definedName name="FPECH">[21]CH2!$B$64</definedName>
    <definedName name="FPECR">[21]CR!$B$63</definedName>
    <definedName name="FPEEC">[21]EC!$B$69</definedName>
    <definedName name="FPEFI">[21]FI!$B$56</definedName>
    <definedName name="FPEMA">[21]MA!$B$56</definedName>
    <definedName name="FPEME1">[21]FO!$B$53</definedName>
    <definedName name="FPEME2">[21]PR!$B$64</definedName>
    <definedName name="FPENE">[21]NE!$B$60</definedName>
    <definedName name="FPENO">[21]NO!$B$58</definedName>
    <definedName name="FPERO">[21]RO!$B$74</definedName>
    <definedName name="FPERY">[21]RY!$B$48</definedName>
    <definedName name="Frais_exploitation">#REF!</definedName>
    <definedName name="Frais_publicité">#REF!</definedName>
    <definedName name="france" hidden="1">{42,42,FALSE,"Eastern";42,42,FALSE,"Western"}</definedName>
    <definedName name="FRED" hidden="1">{"' calendrier 2000'!$A$1:$Q$38"}</definedName>
    <definedName name="FREQS">[46]DDETABLE!$AP$2:$AP$6</definedName>
    <definedName name="FRF">[24]datas!$J$10</definedName>
    <definedName name="fsa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FULLTABLE">#REF!</definedName>
    <definedName name="fundTICKER">[37]ControlsH!$B$15</definedName>
    <definedName name="FV">#REF!</definedName>
    <definedName name="FY">2003</definedName>
    <definedName name="FY1End">[24]Input!#REF!</definedName>
    <definedName name="G">#REF!</definedName>
    <definedName name="Gamma">[27]Parameters!$R$8</definedName>
    <definedName name="Gauge" hidden="1">'[79]Audit gauge'!$G$15</definedName>
    <definedName name="GaugeBase" hidden="1">'[79]Audit gauge'!$G$14</definedName>
    <definedName name="GBP">#REF!</definedName>
    <definedName name="GCEP">#REF!</definedName>
    <definedName name="Gearing_in" localSheetId="0">[36]Inputs!$F$276</definedName>
    <definedName name="Gearing_in">[43]Inputs!$F$265</definedName>
    <definedName name="Gen0">#REF!</definedName>
    <definedName name="gg">{"Client Name or Project Name"}</definedName>
    <definedName name="GGG">"""NA()"""</definedName>
    <definedName name="ggggg" hidden="1">{"budget992000_customers",#N/A,FALSE,"Celtel alternative 6"}</definedName>
    <definedName name="ggggggg" hidden="1">{"budget992000 profit and loss",#N/A,FALSE,"Celtel alternative 6"}</definedName>
    <definedName name="ghjdj" hidden="1">{"SUMM",#N/A,TRUE,"C";"ACT_PROD",#N/A,TRUE,"A";"ACT_SHIP",#N/A,TRUE,"A";"BP_YLD",#N/A,TRUE,"B";"ACTZ_PROD",#N/A,TRUE,"D";"ACTZ_SHIP",#N/A,TRUE,"D";"ACTZ_YLD",#N/A,TRUE,"E";"CPSI_PROD",#N/A,TRUE,"F";"CPSI_SHIP",#N/A,TRUE,"F"}</definedName>
    <definedName name="Giu0">#REF!</definedName>
    <definedName name="GJCP">[23]result97!#REF!</definedName>
    <definedName name="GJFAB">[23]result97!#REF!</definedName>
    <definedName name="GJPUB">[23]result97!#REF!</definedName>
    <definedName name="GJSAL">[23]result97!#REF!</definedName>
    <definedName name="gob">{"Client Name or Project Name"}</definedName>
    <definedName name="Goodwill">'[5]&gt;&gt;Merger Model&gt;&gt;'!$N$48</definedName>
    <definedName name="GR" hidden="1">#REF!</definedName>
    <definedName name="Gr_D" hidden="1">{"'WEB azoc prov'!$B$85:$L$123"}</definedName>
    <definedName name="GrIntExpAnnual">[24]Input!#REF!</definedName>
    <definedName name="GrIntExpLatestQ">[24]Input!#REF!</definedName>
    <definedName name="GrIntExpYearAgo">[24]Input!#REF!</definedName>
    <definedName name="GrMargAnnual">[24]Input!#REF!</definedName>
    <definedName name="GrMarginLatestQ">[24]Input!#REF!</definedName>
    <definedName name="GrMarginYearAgo">[24]Input!#REF!</definedName>
    <definedName name="Groupe">#REF!</definedName>
    <definedName name="growth">'[75]Prévisions - Input'!#REF!</definedName>
    <definedName name="gte">[80]Comp!#REF!</definedName>
    <definedName name="gus">"""NA()"""</definedName>
    <definedName name="guys5">"""NA()"""</definedName>
    <definedName name="GWyear">'[5]Accretion-dilution'!$B$4</definedName>
    <definedName name="h">[81]T4!#REF!</definedName>
    <definedName name="HANDLING">#REF!</definedName>
    <definedName name="Hard_Currency">[55]Cover!$E$38</definedName>
    <definedName name="height_template">#REF!</definedName>
    <definedName name="hgh" hidden="1">{"'WEB azoc prov'!$B$85:$L$123"}</definedName>
    <definedName name="hh" hidden="1">{42,42,FALSE,"Eastern";42,42,FALSE,"Western"}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no_recus">#REF!</definedName>
    <definedName name="Hono_versés">#REF!</definedName>
    <definedName name="Horizons">[27]Parameters!$Y$17:$Y$64</definedName>
    <definedName name="hoursinyear" comment="x">Inputs!$C$484</definedName>
    <definedName name="HTML_CodePage" hidden="1">1252</definedName>
    <definedName name="HTML_Control" hidden="1">{"'Sheet1'!$A$1:$J$121"}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PathFileMac" hidden="1">"Macintosh HD:HomePageStuff:New_Home_Page:datafile:ctryprem.html"</definedName>
    <definedName name="HTML_Title" hidden="1">"Total North America"</definedName>
    <definedName name="HVsubstation">'[30]Global inputs'!$C$20</definedName>
    <definedName name="hyg" hidden="1">{42,42,FALSE,"Eastern";42,42,FALSE,"Western"}</definedName>
    <definedName name="hyhju">'[82]Flux mensuels'!#REF!</definedName>
    <definedName name="hyrate">[5]LBO!$B$26</definedName>
    <definedName name="I">#REF!</definedName>
    <definedName name="IBARTER">'[39]ca 2003 au 31-12-03 (JB)'!$AM$2</definedName>
    <definedName name="IBARTER1">'[39]ca 2003 au 31-12-03 (JB)'!$AV$2</definedName>
    <definedName name="icf_eco">#REF!</definedName>
    <definedName name="icf_pat">#REF!</definedName>
    <definedName name="ICULTURE">'[39]ca 2003 au 31-12-03 (JB)'!$AI$2</definedName>
    <definedName name="ICULTURE1">'[39]ca 2003 au 31-12-03 (JB)'!$AR$2</definedName>
    <definedName name="IDC_in" comment="x">Macro!$H$11:$H$14</definedName>
    <definedName name="IDC_out" comment="x">Macro!$G$11:$G$14</definedName>
    <definedName name="IDE">[5]AVP!#REF!</definedName>
    <definedName name="IFIELD">'[39]ca 2003 au 31-12-03 (JB)'!$AK$2</definedName>
    <definedName name="IFIELD1">'[39]ca 2003 au 31-12-03 (JB)'!$AT$2</definedName>
    <definedName name="iiii" hidden="1">{#N/A,#N/A,FALSE,"ACQ_GRAPHS";#N/A,#N/A,FALSE,"T_1 GRAPHS";#N/A,#N/A,FALSE,"T_2 GRAPHS";#N/A,#N/A,FALSE,"COMB_GRAPHS"}</definedName>
    <definedName name="ikdioksdfok">#REF!</definedName>
    <definedName name="ILOCAL">'[39]ca 2003 au 31-12-03 (JB)'!$AL$2</definedName>
    <definedName name="ILOCAL1">'[39]ca 2003 au 31-12-03 (JB)'!$AU$2</definedName>
    <definedName name="IMEDIA">'[39]ca 2003 au 31-12-03 (JB)'!$AG$2</definedName>
    <definedName name="IMEDIA1">'[39]ca 2003 au 31-12-03 (JB)'!$AP$2</definedName>
    <definedName name="IMP_CONTRIBUTION">[5]AVP!$C$8:$J$108</definedName>
    <definedName name="IMP_RUBRIQUES">[5]AVP!$L$172:$R$220</definedName>
    <definedName name="IMPOT">#REF!</definedName>
    <definedName name="impôt">[5]Contribution!$B$25</definedName>
    <definedName name="Impression_Entière">#REF!</definedName>
    <definedName name="IN_akuo_ownership">#REF!</definedName>
    <definedName name="IN_capex">#REF!</definedName>
    <definedName name="IN_capital">#REF!</definedName>
    <definedName name="Inad" hidden="1">49</definedName>
    <definedName name="InboundICIn">[32]Inputs!#REF!</definedName>
    <definedName name="incentives20">#REF!</definedName>
    <definedName name="incentivesciafce">#REF!</definedName>
    <definedName name="incentivesciatv">#REF!</definedName>
    <definedName name="INCH">[21]CH2!$B$73</definedName>
    <definedName name="Income_I">#REF!</definedName>
    <definedName name="Income_O">#REF!</definedName>
    <definedName name="incoming_tariff">[83]Revenue!#REF!</definedName>
    <definedName name="INCR">[21]CR!$B$77</definedName>
    <definedName name="Indice_scenario">[5]AVP!$R$85</definedName>
    <definedName name="INEC">[21]EC!$B$86</definedName>
    <definedName name="INFI">[21]FI!$B$70</definedName>
    <definedName name="Inflation">#REF!</definedName>
    <definedName name="Inflazione">#REF!</definedName>
    <definedName name="InfoNext">#N/A</definedName>
    <definedName name="InfoPrev">#N/A</definedName>
    <definedName name="INMA">[21]MA!$B$70</definedName>
    <definedName name="INME1">[21]FO!$B$67</definedName>
    <definedName name="INME2">[21]PR!$B$78</definedName>
    <definedName name="INNE">[21]NE!$B$73</definedName>
    <definedName name="INNO">[21]NO!$B$73</definedName>
    <definedName name="input">[24]Input!$A$11:$EN$697</definedName>
    <definedName name="inputs">'[84]Actionnariat simplifié'!$A$11:$HC$1000</definedName>
    <definedName name="INRO">[21]RO!$B$89</definedName>
    <definedName name="INRY">[21]RY!$B$61</definedName>
    <definedName name="Installations" hidden="1">{"Exist Debt Amort",#N/A,TRUE,"Financials";"Intangible Amort",#N/A,TRUE,"Financials";"Proj Debt Amort",#N/A,TRUE,"Financials";"Proj Pfd Amort",#N/A,TRUE,"Financials"}</definedName>
    <definedName name="interbake">'[85]interbake 04'!$A$5:$J$32</definedName>
    <definedName name="Intéress_base_2002">#REF!</definedName>
    <definedName name="Intérêt_Total">#REF!</definedName>
    <definedName name="Intérêts_Cumulés">#REF!</definedName>
    <definedName name="IntIncAnnual">[24]Input!#REF!</definedName>
    <definedName name="IntIncLatestQ">[24]Input!#REF!</definedName>
    <definedName name="IntIncYearAgo">[24]Input!#REF!</definedName>
    <definedName name="INTITULE">'[35]Plan comptable Général'!$B$3:$B$65536</definedName>
    <definedName name="IntMino">#REF!</definedName>
    <definedName name="InverterType">'[30]Global inputs'!$C$22</definedName>
    <definedName name="investimenti">#REF!</definedName>
    <definedName name="IPHARMACI1">'[34]ca 2004 au 31-12-04 (JB)'!$AX$2</definedName>
    <definedName name="IPHARMACIE">'[34]ca 2004 au 31-12-04 (JB)'!$AN$2</definedName>
    <definedName name="IPHARMACIE1">'[34]ca 2004 au 31-12-04 (JB)'!$AX$2</definedName>
    <definedName name="IPRESSE">'[39]ca 2003 au 31-12-03 (JB)'!$AH$2</definedName>
    <definedName name="IPRESSE1">'[39]ca 2003 au 31-12-03 (JB)'!$AQ$2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_NO_REUT" hidden="1">"c5315"</definedName>
    <definedName name="IQ_AVG_BROKER_REC_REUT" hidden="1">"c3630"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_EST_REUT" hidden="1">"c6800"</definedName>
    <definedName name="IQ_CAL_Y_EST_REUT" hidden="1">"c6801"</definedName>
    <definedName name="IQ_CAPEX_ACT_OR_EST_REUT" hidden="1">"c5474"</definedName>
    <definedName name="IQ_CAPEX_BR" hidden="1">"c111"</definedName>
    <definedName name="IQ_CAPEX_EST_REUT" hidden="1">"c3969"</definedName>
    <definedName name="IQ_CAPEX_HIGH_EST_REUT" hidden="1">"c3971"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FF_LASTCLOSE_TARGET_PRICE_REUT" hidden="1">"c5436"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S_FDIC" hidden="1">"c6360"</definedName>
    <definedName name="IQ_EARNING_ASSETS_YIELD_FDIC" hidden="1">"c6724"</definedName>
    <definedName name="IQ_EARNINGS_ANNOUNCE_DATE_REUT" hidden="1">"c5314"</definedName>
    <definedName name="IQ_EARNINGS_COVERAGE_NET_CHARGE_OFFS_FDIC" hidden="1">"c6735"</definedName>
    <definedName name="IQ_EBIT_10K" hidden="1">"IQ_EBIT_10K"</definedName>
    <definedName name="IQ_EBIT_10Q" hidden="1">"IQ_EBIT_10Q"</definedName>
    <definedName name="IQ_EBIT_10Q1" hidden="1">"IQ_EBIT_10Q1"</definedName>
    <definedName name="IQ_EBIT_ACT_OR_EST_REUT" hidden="1">"c5465"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LOW_EST_REUT" hidden="1">"c5336"</definedName>
    <definedName name="IQ_EBIT_MEDIAN_EST_REUT" hidden="1">"c5334"</definedName>
    <definedName name="IQ_EBIT_NUM_EST_REUT" hidden="1">"c5337"</definedName>
    <definedName name="IQ_EBIT_STDDEV_EST_REUT" hidden="1">"c5338"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ACT_OR_EST_REUT" hidden="1">"c5462"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ACT_OR_EST_REUT" hidden="1">"c5460"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HIGH_REC_REUT" hidden="1">"c3870"</definedName>
    <definedName name="IQ_EST_NUM_HIGHEST_REC_REUT" hidden="1">"c3869"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REVENUE_EST" hidden="1">"IQ_EV_OVER_REVENUE_EST"</definedName>
    <definedName name="IQ_EV_OVER_REVENUE_EST_1" hidden="1">"IQ_EV_OVER_REVENUE_EST_1"</definedName>
    <definedName name="IQ_EXPENSE_CODE_" hidden="1">"test"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TDDEV_EST_REUT" hidden="1">"c3842"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SCAL_Q_EST_REUT" hidden="1">"c6798"</definedName>
    <definedName name="IQ_FISCAL_Y_EST_REUT" hidden="1">"c6799"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IGH_TARGET_PRICE_REUT" hidden="1">"c5317"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ACRO_SURVEY_CONSUMER_SENTIMENT" hidden="1">"c20808"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"11/21/2019 08:40:37"</definedName>
    <definedName name="IQ_NAMES_REVISION_DATE__1" hidden="1">43079.3591782407</definedName>
    <definedName name="IQ_NAMES_REVISION_DATE__2" hidden="1">"10/28/2016 12:03:47"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RGE_OFFS_FDIC" hidden="1">"c6641"</definedName>
    <definedName name="IQ_NET_CHARGE_OFFS_LOANS_FDIC" hidden="1">"c6751"</definedName>
    <definedName name="IQ_NET_DEBT_ACT_OR_EST_REUT" hidden="1">"c5473"</definedName>
    <definedName name="IQ_NET_DEBT_EST_REUT" hidden="1">"c3976"</definedName>
    <definedName name="IQ_NET_DEBT_HIGH_EST_REUT" hidden="1">"c3978"</definedName>
    <definedName name="IQ_NET_DEBT_ISSUED_BR" hidden="1">"c753"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I_ACT_OR_EST_REUT" hidden="1">"c5468"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EDIAN_EST_REUT" hidden="1">"c5369"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TDDEV_EST_REUT" hidden="1">"c5373"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RM_EPS_ACT_OR_EST_REUT" hidden="1">"c5472"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HIGH_EST_REUT" hidden="1">"c5342"</definedName>
    <definedName name="IQ_OPER_INC_LOW_EST_REUT" hidden="1">"c5343"</definedName>
    <definedName name="IQ_OPER_INC_MEDIAN_EST_REUT" hidden="1">"c5341"</definedName>
    <definedName name="IQ_OPER_INC_NUM_EST_REUT" hidden="1">"c5344"</definedName>
    <definedName name="IQ_OPER_INC_STDDEV_EST_REUT" hidden="1">"c5345"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MINING_REVENUE_COAL" hidden="1">"c15931"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BV_FWD_REUT" hidden="1">"c15238"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OTENTIAL_UPSIDE_REUT" hidden="1">"c3968"</definedName>
    <definedName name="IQ_PRE_TAX_ACT_OR_EST_REUT" hidden="1">"c5467"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EPS_EST" hidden="1">"IQ_PRICE_OVER_EPS_EST"</definedName>
    <definedName name="IQ_PRICE_OVER_EPS_EST_1" hidden="1">"IQ_PRICE_OVER_EPS_EST_1"</definedName>
    <definedName name="IQ_PRICE_TARGET_BOTTOM_UP_REUT" hidden="1">"c5494"</definedName>
    <definedName name="IQ_PRICE_TARGET_REUT" hidden="1">"c3631"</definedName>
    <definedName name="IQ_PRICEDATETIME" hidden="1">"IQ_PRICEDATETIME"</definedName>
    <definedName name="IQ_PRIMARY_EPS_TYPE_REUT" hidden="1">"c5481"</definedName>
    <definedName name="IQ_PRIMARY_EPS_TYPE_THOM" hidden="1">"c5297"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ACT_OR_EST_REUT" hidden="1">"c5475"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EQUITY_ACT_OR_EST_REUT" hidden="1">"c5476"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V_STDDEV_EST_REUT" hidden="1">"c3639"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REUT" hidden="1">"c5461"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_BIRCA" hidden="1">"c28811"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ARGET_PRICE_NUM_REUT" hidden="1">"c5319"</definedName>
    <definedName name="IQ_TARGET_PRICE_STDDEV_REUT" hidden="1">"c5320"</definedName>
    <definedName name="IQ_TEV_EBIT_FWD_REUT" hidden="1">"c4054"</definedName>
    <definedName name="IQ_TEV_EBITDA_FWD_REUT" hidden="1">"c4050"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IQB_BOOKMARK_COUNT" hidden="1">4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CURRENT_BOOKMARK" hidden="1">0</definedName>
    <definedName name="IQRA11" hidden="1">"$A$12:$A$14"</definedName>
    <definedName name="IQRA15" hidden="1">"$A$16:$A$18"</definedName>
    <definedName name="IQRA150" hidden="1">"$A$151:$A$162"</definedName>
    <definedName name="IQRA185" hidden="1">"$A$186:$A$193"</definedName>
    <definedName name="IQRA24" hidden="1">"$A$25:$A$27"</definedName>
    <definedName name="IQRA30" hidden="1">"$A$31:$A$33"</definedName>
    <definedName name="IQRA43" hidden="1">"$A$44:$A$46"</definedName>
    <definedName name="IQRA5" hidden="1">"$A$6:$A$104"</definedName>
    <definedName name="IQRA6" hidden="1">"$A$7:$A$17"</definedName>
    <definedName name="IQRA7" hidden="1">"$A$8:$A$18"</definedName>
    <definedName name="IQRA8" hidden="1">"$A$9:$A$19"</definedName>
    <definedName name="IQRA88" hidden="1">"$A$89:$A$112"</definedName>
    <definedName name="IQRActifnetB16" hidden="1">#REF!</definedName>
    <definedName name="IQRActionnariatM19" hidden="1">#REF!</definedName>
    <definedName name="IQRActionnariatN19" hidden="1">#REF!</definedName>
    <definedName name="IQRB3" hidden="1">#REF!</definedName>
    <definedName name="IQRB4" hidden="1">#REF!</definedName>
    <definedName name="IQRB5" hidden="1">"$B$6:$B$104"</definedName>
    <definedName name="IQRB8" hidden="1">"$C$8:$H$8"</definedName>
    <definedName name="IQRBasicFormulasM4" hidden="1">#REF!</definedName>
    <definedName name="IQRBasicFormulasN4" hidden="1">#REF!</definedName>
    <definedName name="IQRC150" hidden="1">"$C$151:$C$162"</definedName>
    <definedName name="IQRC185" hidden="1">"$C$186:$C$193"</definedName>
    <definedName name="IQRC2" hidden="1">"$C$3"</definedName>
    <definedName name="IQRC5" hidden="1">"$C$6:$C$104"</definedName>
    <definedName name="IQRC90" hidden="1">"$C$91:$C$114"</definedName>
    <definedName name="IQRCalcAH7" hidden="1">[86]Calc!$AH$8:$AH$12</definedName>
    <definedName name="IQRCalcAM7" hidden="1">[86]Calc!$AM$8:$AM$12</definedName>
    <definedName name="IQRCalcAS7" hidden="1">[86]Calc!$AS$8</definedName>
    <definedName name="IQRCalcAX7" hidden="1">[86]Calc!$AX$8:$AX$12</definedName>
    <definedName name="IQRCalcBA7" hidden="1">[86]Calc!$BA$8:$BA$12</definedName>
    <definedName name="IQRCalcBR18" hidden="1">[86]Calc!$BR$19:$BR$75</definedName>
    <definedName name="IQRD104" hidden="1">'[87]Cours de bourse'!$D$105:$D$619</definedName>
    <definedName name="IQRD5" hidden="1">"$D$6:$D$104"</definedName>
    <definedName name="IQRData2B8" hidden="1">#REF!</definedName>
    <definedName name="IQRE104" hidden="1">'[87]Cours de bourse'!$E$105:$E$619</definedName>
    <definedName name="IQRE5" hidden="1">"$E$6:$E$104"</definedName>
    <definedName name="IQRE7" hidden="1">"$E$8:$E$16"</definedName>
    <definedName name="IQRF104" hidden="1">'[87]Cours de bourse'!$F$105:$F$619</definedName>
    <definedName name="IQRF150" hidden="1">"$F$151:$F$160"</definedName>
    <definedName name="IQRF185" hidden="1">"$F$186:$F$197"</definedName>
    <definedName name="IQRF20" hidden="1">[87]VWAP!$F$21</definedName>
    <definedName name="IQRF216" hidden="1">"$F$217:$F$220"</definedName>
    <definedName name="IQRF5" hidden="1">"$F$6:$F$104"</definedName>
    <definedName name="IQRFreeFloatAnalysisB8" hidden="1">#REF!</definedName>
    <definedName name="IQRH16" hidden="1">"$I$16:$M$16"</definedName>
    <definedName name="IQRH17" hidden="1">"$I$17:$M$17"</definedName>
    <definedName name="IQRH18" hidden="1">"$I$18:$M$18"</definedName>
    <definedName name="IQRH19" hidden="1">"$I$19:$J$19"</definedName>
    <definedName name="IQRH20" hidden="1">[87]VWAP!$H$21</definedName>
    <definedName name="IQRH21" hidden="1">"$I$21:$M$21"</definedName>
    <definedName name="IQRH22" hidden="1">"$I$22:$M$22"</definedName>
    <definedName name="IQRH23" hidden="1">"$I$23:$M$23"</definedName>
    <definedName name="IQRH24" hidden="1">"$I$24:$K$24"</definedName>
    <definedName name="IQRH25" hidden="1">"$I$25"</definedName>
    <definedName name="IQRH26" hidden="1">"$I$26"</definedName>
    <definedName name="IQRH27" hidden="1">"$I$27"</definedName>
    <definedName name="IQRH28" hidden="1">"$H$29:$H$30"</definedName>
    <definedName name="IQRH29" hidden="1">"$I$29"</definedName>
    <definedName name="IQRH30" hidden="1">"$I$30"</definedName>
    <definedName name="IQRH5" hidden="1">#REF!</definedName>
    <definedName name="IQRI28" hidden="1">"$I$29:$I$30"</definedName>
    <definedName name="IQRI7" hidden="1">"$I$8:$I$12"</definedName>
    <definedName name="IQRJ20" hidden="1">[87]VWAP!$J$21:$J$40</definedName>
    <definedName name="IQRJ28" hidden="1">"$J$29:$J$30"</definedName>
    <definedName name="IQRJ7" hidden="1">"$J$8:$J$11"</definedName>
    <definedName name="IQRK150" hidden="1">"$K$151:$K$160"</definedName>
    <definedName name="IQRK185" hidden="1">"$K$186:$K$197"</definedName>
    <definedName name="IQRK216" hidden="1">"$K$217:$K$220"</definedName>
    <definedName name="IQRK28" hidden="1">"$K$29:$K$30"</definedName>
    <definedName name="IQRK38" hidden="1">"$K$39:$K$62"</definedName>
    <definedName name="IQRK66" hidden="1">"$K$67:$K$69"</definedName>
    <definedName name="IQRK7" hidden="1">"$K$8:$K$130"</definedName>
    <definedName name="IQRL17" hidden="1">"$L$18:$L$20"</definedName>
    <definedName name="IQRL20" hidden="1">[87]VWAP!$L$21:$L$40</definedName>
    <definedName name="IQRL27" hidden="1">"$L$28:$L$529"</definedName>
    <definedName name="IQRL3" hidden="1">"$M$3:$R$3"</definedName>
    <definedName name="IQRL38" hidden="1">"$L$39:$L$41"</definedName>
    <definedName name="IQRL4" hidden="1">"$M$4:$R$4"</definedName>
    <definedName name="IQRL47" hidden="1">"$L$48:$L$50"</definedName>
    <definedName name="IQRL48" hidden="1">"$L$49:$L$52"</definedName>
    <definedName name="IQRL5" hidden="1">"$L$6:$L$12"</definedName>
    <definedName name="IQRL7" hidden="1">"$L$8:$L$148"</definedName>
    <definedName name="IQRM17" hidden="1">"$M$18:$M$20"</definedName>
    <definedName name="IQRM259" hidden="1">"$M$260:$M$513"</definedName>
    <definedName name="IQRM27" hidden="1">"$M$28:$M$529"</definedName>
    <definedName name="IQRM3" hidden="1">"$N$3:$S$3"</definedName>
    <definedName name="IQRM4" hidden="1">"$N$4:$S$4"</definedName>
    <definedName name="IQRM7" hidden="1">"$M$8:$M$212"</definedName>
    <definedName name="IQRM87" hidden="1">"$M$88:$M$108"</definedName>
    <definedName name="IQRN16" hidden="1">"$O$16:$S$16"</definedName>
    <definedName name="IQRN17" hidden="1">"$N$18:$N$66"</definedName>
    <definedName name="IQRN18" hidden="1">"$O$18:$S$18"</definedName>
    <definedName name="IQRN19" hidden="1">"$O$19:$P$19"</definedName>
    <definedName name="IQRN20" hidden="1">[87]VWAP!$N$21:$N$80</definedName>
    <definedName name="IQRN21" hidden="1">"$O$21:$S$21"</definedName>
    <definedName name="IQRN22" hidden="1">"$O$22:$S$22"</definedName>
    <definedName name="IQRN23" hidden="1">"$O$23:$S$23"</definedName>
    <definedName name="IQRN24" hidden="1">"$O$24:$Q$24"</definedName>
    <definedName name="IQRN25" hidden="1">"$O$25"</definedName>
    <definedName name="IQRN259" hidden="1">"$N$260:$N$513"</definedName>
    <definedName name="IQRN26" hidden="1">"$O$26"</definedName>
    <definedName name="IQRN27" hidden="1">"$O$27"</definedName>
    <definedName name="IQRN28" hidden="1">"$O$28"</definedName>
    <definedName name="IQRN29" hidden="1">"$O$29"</definedName>
    <definedName name="IQRN30" hidden="1">"$O$30"</definedName>
    <definedName name="IQRN7" hidden="1">"$N$8:$N$166"</definedName>
    <definedName name="IQRN87" hidden="1">"$N$88:$N$108"</definedName>
    <definedName name="IQRO259" hidden="1">"$O$260:$O$513"</definedName>
    <definedName name="IQRO7" hidden="1">"$O$8:$O$178"</definedName>
    <definedName name="IQRP20" hidden="1">[87]VWAP!$P$21:$P$80</definedName>
    <definedName name="IQRP259" hidden="1">"$P$260:$P$513"</definedName>
    <definedName name="IQRP7" hidden="1">"$P$8:$P$145"</definedName>
    <definedName name="IQRPECACSBFB8" hidden="1">#REF!</definedName>
    <definedName name="IQRQ259" hidden="1">"$Q$260:$Q$513"</definedName>
    <definedName name="IQRQ7" hidden="1">"$Q$8:$Q$73"</definedName>
    <definedName name="IQRR20" hidden="1">[87]VWAP!$R$21:$R$140</definedName>
    <definedName name="IQRR7" hidden="1">"$R$8:$R$59"</definedName>
    <definedName name="IQRS7" hidden="1">"$S$8:$S$19"</definedName>
    <definedName name="IQRSharePriceB17" hidden="1">#REF!</definedName>
    <definedName name="IQRSharePriceDataB8" hidden="1">#REF!</definedName>
    <definedName name="IQRSharePriceDatafreefloatB8" hidden="1">#REF!</definedName>
    <definedName name="IQRSheet1A12" hidden="1">[88]Companies!$B$12:$F$12</definedName>
    <definedName name="IQRSheet1A13" hidden="1">[88]Companies!$B$13:$F$13</definedName>
    <definedName name="IQRSheet1A14" hidden="1">[88]Companies!$B$14:$F$14</definedName>
    <definedName name="IQRSheet1A15" hidden="1">[88]Companies!$B$15:$F$15</definedName>
    <definedName name="IQRSheet1A16" hidden="1">[88]Companies!$B$16:$F$16</definedName>
    <definedName name="IQRSheet1A17" hidden="1">[88]Companies!$B$17:$F$17</definedName>
    <definedName name="IQRSheet1A18" hidden="1">[88]Companies!$B$18:$F$18</definedName>
    <definedName name="IQRSheet1A19" hidden="1">[88]Companies!$B$19:$F$19</definedName>
    <definedName name="IQRSheet1A20" hidden="1">[88]Companies!$B$20:$F$20</definedName>
    <definedName name="IQRSheet1A21" hidden="1">[88]Companies!$B$21:$F$21</definedName>
    <definedName name="IQRSheet1A22" hidden="1">[88]Companies!#REF!</definedName>
    <definedName name="IQRSheet1A23" hidden="1">[88]Companies!$B$22:$F$22</definedName>
    <definedName name="IQRSheet1G12" hidden="1">[88]Companies!$H$12:$L$12</definedName>
    <definedName name="IQRSheet1G13" hidden="1">[88]Companies!$H$13:$L$13</definedName>
    <definedName name="IQRSheet1G14" hidden="1">[88]Companies!$H$14:$L$14</definedName>
    <definedName name="IQRSheet1G15" hidden="1">[88]Companies!$H$15:$L$15</definedName>
    <definedName name="IQRSheet1G16" hidden="1">[88]Companies!$H$16:$L$16</definedName>
    <definedName name="IQRSheet1G17" hidden="1">[88]Companies!$H$17:$L$17</definedName>
    <definedName name="IQRSheet1G18" hidden="1">[88]Companies!$H$18:$L$18</definedName>
    <definedName name="IQRSheet1G19" hidden="1">[88]Companies!$H$19:$L$19</definedName>
    <definedName name="IQRSheet1G20" hidden="1">[88]Companies!$H$20:$L$20</definedName>
    <definedName name="IQRSheet1G21" hidden="1">[88]Companies!$H$21:$L$21</definedName>
    <definedName name="IQRSheet1G22" hidden="1">[88]Companies!#REF!</definedName>
    <definedName name="IQRSheet1G23" hidden="1">[88]Companies!$H$22:$L$22</definedName>
    <definedName name="IQRSheet1L10" hidden="1">#REF!</definedName>
    <definedName name="IQRSheet1M10" hidden="1">#REF!</definedName>
    <definedName name="IQRSheet2A12" hidden="1">[88]People!$B$12:$F$12</definedName>
    <definedName name="IQRSheet2A13" hidden="1">[88]People!$B$13:$F$13</definedName>
    <definedName name="IQRSheet2A14" hidden="1">[88]People!$B$14:$F$14</definedName>
    <definedName name="IQRSheet2A15" hidden="1">[88]People!$B$15:$F$15</definedName>
    <definedName name="IQRSheet2A16" hidden="1">[88]People!$B$16:$F$16</definedName>
    <definedName name="IQRSheet2G12" hidden="1">[88]People!$H$12:$L$12</definedName>
    <definedName name="IQRSheet2G13" hidden="1">[88]People!$H$13:$L$13</definedName>
    <definedName name="IQRSheet2G14" hidden="1">[88]People!$H$14:$L$14</definedName>
    <definedName name="IQRSheet2G15" hidden="1">[88]People!$H$15:$L$15</definedName>
    <definedName name="IQRSheet2G16" hidden="1">[88]People!$H$16:$L$16</definedName>
    <definedName name="IQRSheet2G8" hidden="1">#REF!</definedName>
    <definedName name="IQRSheet2H8" hidden="1">#REF!</definedName>
    <definedName name="IQRSheet2I8" hidden="1">#REF!</definedName>
    <definedName name="IQRSheet2J9" hidden="1">#REF!</definedName>
    <definedName name="IQRSPCreditpeersF21" hidden="1">'[89]S&amp;P - Credit peers'!#REF!</definedName>
    <definedName name="IQRSPCreditpeersH21" hidden="1">'[89]S&amp;P - Credit peers'!#REF!</definedName>
    <definedName name="IQRSPCreditpeersJ21" hidden="1">'[89]S&amp;P - Credit peers'!#REF!</definedName>
    <definedName name="IQRSPCreditpeersL21" hidden="1">'[89]S&amp;P - Credit peers'!#REF!</definedName>
    <definedName name="IQRSPCreditpeersN21" hidden="1">'[89]S&amp;P - Credit peers'!#REF!</definedName>
    <definedName name="IQRT20" hidden="1">[87]VWAP!$T$21:$T$140</definedName>
    <definedName name="IQRU6" hidden="1">"$U$7:$U$273"</definedName>
    <definedName name="IQRV20" hidden="1">[87]VWAP!$V$21:$V$270</definedName>
    <definedName name="IQRW6" hidden="1">"$W$7:$W$273"</definedName>
    <definedName name="IQRX20" hidden="1">[87]VWAP!$X$21:$X$270</definedName>
    <definedName name="IQRX255" hidden="1">"$X$256"</definedName>
    <definedName name="IQRX6" hidden="1">"$X$7:$X$273"</definedName>
    <definedName name="irap">#REF!</definedName>
    <definedName name="irate">#REF!</definedName>
    <definedName name="irpeg">#REF!</definedName>
    <definedName name="IRR_result">#REF!</definedName>
    <definedName name="IS">#REF!</definedName>
    <definedName name="IsColHidden" hidden="1">FALSE</definedName>
    <definedName name="IsLTMColHidden" hidden="1">FALSE</definedName>
    <definedName name="ITCH">[21]CH2!$B$78</definedName>
    <definedName name="ITCR">[21]CR!$B$82</definedName>
    <definedName name="ITEC">[21]EC!$B$91</definedName>
    <definedName name="ITFI">[21]FI!$B$75</definedName>
    <definedName name="ITL">[24]Input!#REF!</definedName>
    <definedName name="ITMA">[21]MA!$B$75</definedName>
    <definedName name="ITME1">[21]FO!$B$72</definedName>
    <definedName name="ITME2">[21]PR!$B$83</definedName>
    <definedName name="ITNE">[21]NE!$B$78</definedName>
    <definedName name="ITNO">[21]NO!$B$78</definedName>
    <definedName name="ITRADE">'[39]ca 2003 au 31-12-03 (JB)'!$AJ$2</definedName>
    <definedName name="ITRADE1">'[39]ca 2003 au 31-12-03 (JB)'!$AS$2</definedName>
    <definedName name="ITRO">[21]RO!$B$94</definedName>
    <definedName name="ITRY">[21]RY!$B$66</definedName>
    <definedName name="JANVIER">"""NA()"""</definedName>
    <definedName name="JDSRA_in" comment="x" localSheetId="0">[36]Macro!$H$25</definedName>
    <definedName name="JDSRA_in" comment="x">Macro!$H$25</definedName>
    <definedName name="JDSRA_out" comment="x">Macro!$G$25</definedName>
    <definedName name="jeanne" hidden="1">{42,42,FALSE,"Eastern";42,42,FALSE,"Western"}</definedName>
    <definedName name="jfees_in" comment="x">Macro!$H$23</definedName>
    <definedName name="jfees_out" comment="x">Macro!$G$23</definedName>
    <definedName name="jj" hidden="1">{42,42,FALSE,"Eastern";42,42,FALSE,"Western"}</definedName>
    <definedName name="jjj" hidden="1">255</definedName>
    <definedName name="JUILLET">"""NA()"""</definedName>
    <definedName name="JUIN">"""NA()"""</definedName>
    <definedName name="Jun.09" hidden="1">{"Rev and Exp",#N/A,TRUE,"Financials";"Working Capital",#N/A,TRUE,"Financials"}</definedName>
    <definedName name="Kapi">#REF!</definedName>
    <definedName name="Kapieuro">#REF!</definedName>
    <definedName name="Key0">#REF!</definedName>
    <definedName name="kicker">[74]Summary!$G$41</definedName>
    <definedName name="kjhh" hidden="1">{"cap_structure",#N/A,FALSE,"Graph-Mkt Cap";"price",#N/A,FALSE,"Graph-Price";"ebit",#N/A,FALSE,"Graph-EBITDA";"ebitda",#N/A,FALSE,"Graph-EBITDA"}</definedName>
    <definedName name="kjy" hidden="1">{"ProspettoImposte",42,FALSE,"Prospetto imposte"}</definedName>
    <definedName name="kl" hidden="1">#REF!</definedName>
    <definedName name="Klautern" hidden="1">{#N/A,#N/A,FALSE,"UFA_DSR Spiele"}</definedName>
    <definedName name="KUNITARO">#REF!</definedName>
    <definedName name="Lang">[37]Overview!$E$6</definedName>
    <definedName name="LANGUAGE">[90]Meilleurtaux!#REF!</definedName>
    <definedName name="langues">[5]Terra!$B$5:$C$6</definedName>
    <definedName name="last_forecast_year">[5]AVP!$X$10</definedName>
    <definedName name="Last_hist_Yr">[5]AVP!$C$8</definedName>
    <definedName name="Last_Update">[46]DDETABLE!$E$9</definedName>
    <definedName name="LastOpenedWorkSheet">[91]REQUEST_TABLE!#REF!</definedName>
    <definedName name="LD">"""""""#REF!"""""""</definedName>
    <definedName name="LeasedLineCostIn">[32]Inputs!#REF!</definedName>
    <definedName name="LECH">[21]CH2!$B$77</definedName>
    <definedName name="LECR">[21]CR!$B$81</definedName>
    <definedName name="LEEC">[21]EC!$B$90</definedName>
    <definedName name="LEFI">[21]FI!$B$74</definedName>
    <definedName name="LEMA">[21]MA!$B$74</definedName>
    <definedName name="LEME1">[21]FO!$B$71</definedName>
    <definedName name="LEME2">[21]PR!$B$82</definedName>
    <definedName name="LENE">[21]NE!$B$77</definedName>
    <definedName name="LENO">[21]NO!$B$77</definedName>
    <definedName name="LERO">[21]RO!$B$93</definedName>
    <definedName name="LERY">[21]RY!$B$65</definedName>
    <definedName name="lfhlhfws" hidden="1">{"'WEB azoc prov'!$B$85:$L$123"}</definedName>
    <definedName name="lhlhl" hidden="1">{"'WEB azoc prov'!$B$85:$L$123"}</definedName>
    <definedName name="libel">#REF!</definedName>
    <definedName name="liberalità">#REF!</definedName>
    <definedName name="libor">[5]LBO!#REF!</definedName>
    <definedName name="Ligne">#REF!</definedName>
    <definedName name="Ligne_EnTête">ROW(#REF!)</definedName>
    <definedName name="LigneFin">#REF!</definedName>
    <definedName name="LigneStart">#REF!</definedName>
    <definedName name="Links">[46]DDETABLE!$AH$2</definedName>
    <definedName name="Liste">#REF!</definedName>
    <definedName name="Liste1">[70]Mois!$A$3:$A$14</definedName>
    <definedName name="Liste2">#REF!</definedName>
    <definedName name="Liste2bis">#REF!</definedName>
    <definedName name="Listebis">#REF!</definedName>
    <definedName name="LISTED">[90]Meilleurtaux!$G$5</definedName>
    <definedName name="ListOffset" hidden="1">1</definedName>
    <definedName name="LiveReqs">[46]DDETABLE!$H$6</definedName>
    <definedName name="LL" hidden="1">{"'WEB azoc prov'!$B$85:$L$123"}</definedName>
    <definedName name="lllll" hidden="1">{#N/A,#N/A,FALSE,"ACQ_GRAPHS";#N/A,#N/A,FALSE,"T_1 GRAPHS";#N/A,#N/A,FALSE,"T_2 GRAPHS";#N/A,#N/A,FALSE,"COMB_GRAPHS"}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x_in" comment="x" localSheetId="0">[36]Macro!$G$45:$DW$45</definedName>
    <definedName name="localtax_in" comment="x">Macro!$G$44:$DW$44</definedName>
    <definedName name="localtax_out" comment="x" localSheetId="0">[36]Macro!$G$44:$DW$44</definedName>
    <definedName name="localtax_out" comment="x">Macro!$G$43:$DW$43</definedName>
    <definedName name="localtax_sizing_in" comment="x" localSheetId="0">[36]Macro!$G$46:$DW$46</definedName>
    <definedName name="localtax_sizing_in" comment="x">Macro!$G$45:$DW$45</definedName>
    <definedName name="LOCH">[21]CH2!$B$76</definedName>
    <definedName name="LOCR">[21]CR!$B$80</definedName>
    <definedName name="LOEC">[21]EC!$B$89</definedName>
    <definedName name="LOFI">[21]FI!$B$73</definedName>
    <definedName name="Logt">"""""""#REF!"""""""</definedName>
    <definedName name="LOMA">[21]MA!$B$73</definedName>
    <definedName name="LOME1">[21]FO!$B$70</definedName>
    <definedName name="LOME2">[21]PR!$B$81</definedName>
    <definedName name="LONE">[21]NE!$B$76</definedName>
    <definedName name="LONO">[21]NO!$B$76</definedName>
    <definedName name="loooo" hidden="1">{"'WEB azoc prov'!$B$85:$L$123"}</definedName>
    <definedName name="LORO">[21]RO!$B$92</definedName>
    <definedName name="LORY">[21]RY!$B$64</definedName>
    <definedName name="LoyaltyBonusPaidperGrossAdd">[32]Workings!#REF!</definedName>
    <definedName name="LT_rate">[5]AVP!$P$59</definedName>
    <definedName name="LT1T1">"""['file:///Users/johan/Dropbox/Hotel/ho%2036%20dev/HO%2036%20DEVELOPPEMENT/Business%20Plan/johan/Downloads/SOFT-500patio%20terreaux/Montesquieu/@/Serveur/mambaye/MSOffice/Modeles/Solutions%20-%20Tableur/Budget98.xls'#$Tarifs.$E$45]"""</definedName>
    <definedName name="LT1T2">"""['file:///Users/johan/Dropbox/Hotel/ho%2036%20dev/HO%2036%20DEVELOPPEMENT/Business%20Plan/johan/Downloads/SOFT-500patio%20terreaux/Montesquieu/@/Serveur/mambaye/MSOffice/Modeles/Solutions%20-%20Tableur/Budget98.xls'#$Tarifs.$E$47]"""</definedName>
    <definedName name="LT2T1">"""['file:///Users/johan/Dropbox/Hotel/ho%2036%20dev/HO%2036%20DEVELOPPEMENT/Business%20Plan/johan/Downloads/SOFT-500patio%20terreaux/Montesquieu/@/Serveur/mambaye/MSOffice/Modeles/Solutions%20-%20Tableur/Budget98.xls'#$Tarifs.$F$45]"""</definedName>
    <definedName name="LT2T2">"""['file:///Users/johan/Dropbox/Hotel/ho%2036%20dev/HO%2036%20DEVELOPPEMENT/Business%20Plan/johan/Downloads/SOFT-500patio%20terreaux/Montesquieu/@/Serveur/mambaye/MSOffice/Modeles/Solutions%20-%20Tableur/Budget98.xls'#$Tarifs.$F$47]"""</definedName>
    <definedName name="LT3T1">"""['file:///Users/johan/Dropbox/Hotel/ho%2036%20dev/HO%2036%20DEVELOPPEMENT/Business%20Plan/johan/Downloads/SOFT-500patio%20terreaux/Montesquieu/@/Serveur/mambaye/MSOffice/Modeles/Solutions%20-%20Tableur/Budget98.xls'#$Tarifs.$G$45]"""</definedName>
    <definedName name="LT3T2">"""['file:///Users/johan/Dropbox/Hotel/ho%2036%20dev/HO%2036%20DEVELOPPEMENT/Business%20Plan/johan/Downloads/SOFT-500patio%20terreaux/Montesquieu/@/Serveur/mambaye/MSOffice/Modeles/Solutions%20-%20Tableur/Budget98.xls'#$Tarifs.$G$47]"""</definedName>
    <definedName name="LT4T1">"""['file:///Users/johan/Dropbox/Hotel/ho%2036%20dev/HO%2036%20DEVELOPPEMENT/Business%20Plan/johan/Downloads/SOFT-500patio%20terreaux/Montesquieu/@/Serveur/mambaye/MSOffice/Modeles/Solutions%20-%20Tableur/Budget98.xls'#$Tarifs.$H$45]"""</definedName>
    <definedName name="LT4T2">"""['file:///Users/johan/Dropbox/Hotel/ho%2036%20dev/HO%2036%20DEVELOPPEMENT/Business%20Plan/johan/Downloads/SOFT-500patio%20terreaux/Montesquieu/@/Serveur/mambaye/MSOffice/Modeles/Solutions%20-%20Tableur/Budget98.xls'#$Tarifs.$H$47]"""</definedName>
    <definedName name="LTD">[24]Input!$AH$11:$AH$723</definedName>
    <definedName name="LTGrowthEst">[24]Input!#REF!</definedName>
    <definedName name="Lug0">#REF!</definedName>
    <definedName name="m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CHINE">[92]Feuil1!$A$2:$A$7</definedName>
    <definedName name="Mag0">#REF!</definedName>
    <definedName name="MAI">"""NA()"""</definedName>
    <definedName name="Mai.09" hidden="1">{"Rev and Exp",#N/A,TRUE,"Financials";"Working Capital",#N/A,TRUE,"Financials"}</definedName>
    <definedName name="MainCostIn">[32]Inputs!#REF!</definedName>
    <definedName name="MAL">"""""""#REF!"""""""</definedName>
    <definedName name="Mar0">#REF!</definedName>
    <definedName name="MARATON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RATON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RATON2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MARATON3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MARATON4" hidden="1">{"andy_p",#N/A,FALSE,"A";"andy_s",#N/A,FALSE,"A"}</definedName>
    <definedName name="MARATON5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MARGE">'[93]30'!#REF!</definedName>
    <definedName name="Marge_EBITA">#REF!</definedName>
    <definedName name="Marge_EBITDA">#REF!</definedName>
    <definedName name="Marge_EBITDAn">#REF!</definedName>
    <definedName name="Marge_EBITDAn_1">#REF!</definedName>
    <definedName name="Marge_EBITDAn1">#REF!</definedName>
    <definedName name="Marge_EBITDAn2">#REF!</definedName>
    <definedName name="Marge_EBITn">#REF!</definedName>
    <definedName name="Marge_EBITn_1">#REF!</definedName>
    <definedName name="Marge_EBITn1">#REF!</definedName>
    <definedName name="Marge_EBITn2">#REF!</definedName>
    <definedName name="Marge_nette">#REF!</definedName>
    <definedName name="Marge_netten">#REF!</definedName>
    <definedName name="Marge_netten_1">#REF!</definedName>
    <definedName name="Marge_netten1">#REF!</definedName>
    <definedName name="Marge_netten2">#REF!</definedName>
    <definedName name="Marge_opérationelle">#REF!</definedName>
    <definedName name="margins">'[75]Prévisions - Input'!#REF!</definedName>
    <definedName name="MarketCap">[24]Input!$X$11:$X$723</definedName>
    <definedName name="MARS">"""NA()"""</definedName>
    <definedName name="matrix">#REF!</definedName>
    <definedName name="MBCH">[21]CH2!$B$14</definedName>
    <definedName name="MBCR">[21]CR!$B$14</definedName>
    <definedName name="MBEC">[21]EC!$B$14</definedName>
    <definedName name="MBFI">[21]FI!$B$14</definedName>
    <definedName name="MBMA">[21]MA!$B$14</definedName>
    <definedName name="MBME1">[21]FO!$B$14</definedName>
    <definedName name="MBME2">[21]PR!$B$14</definedName>
    <definedName name="MBNE">[21]NE!$B$14</definedName>
    <definedName name="MBNO">[21]NO!$B$14</definedName>
    <definedName name="MBRO">[21]RO!$B$14</definedName>
    <definedName name="MBRY">[21]RY!$B$14</definedName>
    <definedName name="mdial">"""NA()"""</definedName>
    <definedName name="MDL">'[93]30'!#REF!</definedName>
    <definedName name="MemFree">[46]DDETABLE!$AD$11</definedName>
    <definedName name="MemTotal">[46]DDETABLE!$AD$10</definedName>
    <definedName name="mezzrate">[5]AVP!$I$12</definedName>
    <definedName name="Mini_fees">#REF!</definedName>
    <definedName name="Mino">#REF!</definedName>
    <definedName name="Minority">[24]Input!$AI$11:$AI$723</definedName>
    <definedName name="Minos">#REF!</definedName>
    <definedName name="MinutesofUseperSubscriberaMonth">[32]Workings!#REF!</definedName>
    <definedName name="MLNK25fdc8cbb2eb424a858e498b8f76c838" hidden="1">#REF!</definedName>
    <definedName name="MLNK65e3e977f4d048b0ab40ea92f72055e0" hidden="1">#REF!</definedName>
    <definedName name="MLNK7e439f8017c14695a2d00267cfb868d1" hidden="1">[94]Macabacus!#REF!</definedName>
    <definedName name="mm" hidden="1">{#N/A,#N/A,FALSE,"ACQ_GRAPHS";#N/A,#N/A,FALSE,"T_1 GRAPHS";#N/A,#N/A,FALSE,"T_2 GRAPHS";#N/A,#N/A,FALSE,"COMB_GRAPHS"}</definedName>
    <definedName name="mmm" hidden="1">{#N/A,#N/A,FALSE,"ACQ_GRAPHS";#N/A,#N/A,FALSE,"T_1 GRAPHS";#N/A,#N/A,FALSE,"T_2 GRAPHS";#N/A,#N/A,FALSE,"COMB_GRAPHS"}</definedName>
    <definedName name="mmmlllllll" hidden="1">{#N/A,#N/A,FALSE,"INPUTS";#N/A,#N/A,FALSE,"PROFORMA BSHEET";#N/A,#N/A,FALSE,"COMBINED";#N/A,#N/A,FALSE,"HIGH YIELD";#N/A,#N/A,FALSE,"COMB_GRAPHS"}</definedName>
    <definedName name="model_period" comment="x">Inputs!$D$18</definedName>
    <definedName name="mois">#REF!</definedName>
    <definedName name="Montant_Prêt">#REF!</definedName>
    <definedName name="MONTANT1">'[44]150101 Cash Group ICVA&amp;C'!#REF!</definedName>
    <definedName name="monthsinyear" comment="x" localSheetId="0">[36]Inputs!$C$600</definedName>
    <definedName name="monthsinyear" comment="x">Inputs!$C$483</definedName>
    <definedName name="MOU_incoming">[83]Revenue!#REF!</definedName>
    <definedName name="MOU_outgoing">[83]Revenue!#REF!</definedName>
    <definedName name="MOUOutIn">[32]Inputs!#REF!</definedName>
    <definedName name="mpo">{"Client Name or Project Name"}</definedName>
    <definedName name="MSACH">[21]CH2!$B$13</definedName>
    <definedName name="MSACR">[21]CR!$B$13</definedName>
    <definedName name="MSAEC">[21]EC!$B$13</definedName>
    <definedName name="MSAFI">[21]FI!$B$13</definedName>
    <definedName name="MSAMA">[21]MA!$B$13</definedName>
    <definedName name="MSAME1">[21]FO!$B$13</definedName>
    <definedName name="MSAME2">[21]PR!$B$13</definedName>
    <definedName name="MSANE">[21]NE!$B$13</definedName>
    <definedName name="MSANO">[21]NO!$B$13</definedName>
    <definedName name="MSARO">[21]RO!$B$13</definedName>
    <definedName name="MSARY">[21]RY!$B$13</definedName>
    <definedName name="mv">#REF!</definedName>
    <definedName name="na">#REF!</definedName>
    <definedName name="name">[5]Assumptions!$D$1</definedName>
    <definedName name="Nb_actions">#REF!</definedName>
    <definedName name="Nb_Scenario">Scenarios!$E$4</definedName>
    <definedName name="nb_size">#REF!</definedName>
    <definedName name="nb_yield">#REF!</definedName>
    <definedName name="Nbre_de_Paiements">MATCH(0.01,Solde_Final,-1)+1</definedName>
    <definedName name="Nbre_exposants">#REF!</definedName>
    <definedName name="Nbre_Pmt">#REF!</definedName>
    <definedName name="Nbre_Pmt_Par_An">#REF!</definedName>
    <definedName name="Nbre_visiteurs">#REF!</definedName>
    <definedName name="Net_income">#REF!</definedName>
    <definedName name="NetAvCostperCall">[32]Workings!#REF!</definedName>
    <definedName name="NetCashflow">[32]Workings!#REF!</definedName>
    <definedName name="NetIncomeAnnual">[24]Input!#REF!</definedName>
    <definedName name="NetIncomeLatestQ">[24]Input!#REF!</definedName>
    <definedName name="NetIncomeYearAgo">[24]Input!#REF!</definedName>
    <definedName name="NetIntAnnual">[24]Input!#REF!</definedName>
    <definedName name="NetIntLatestQ">[24]Input!#REF!</definedName>
    <definedName name="NetIntYearAgo">[24]Input!#REF!</definedName>
    <definedName name="new" hidden="1">{#N/A,#N/A,TRUE,"Cover sheet";#N/A,#N/A,TRUE,"DCF analysis";#N/A,#N/A,TRUE,"WACC calculation"}</definedName>
    <definedName name="newco">#REF!</definedName>
    <definedName name="newcodef">#REF!</definedName>
    <definedName name="Newconshares">'[5]&gt;&gt;Merger Model&gt;&gt;'!$C$39</definedName>
    <definedName name="NextButton">"Button 18"</definedName>
    <definedName name="NICAGR">[5]LBO!$M$57</definedName>
    <definedName name="nil" hidden="1">{#N/A,#N/A,FALSE,"2.4";#N/A,#N/A,FALSE,"2.6";#N/A,#N/A,FALSE,"2.7";#N/A,#N/A,FALSE,"2.8";#N/A,#N/A,FALSE,"2.9";#N/A,#N/A,FALSE,"2.10";#N/A,#N/A,FALSE,"2.13a";#N/A,#N/A,FALSE,"2.13b";#N/A,#N/A,FALSE,"3.1";#N/A,#N/A,FALSE,"3.3";#N/A,#N/A,FALSE,"4.2";#N/A,#N/A,FALSE,"3.4";#N/A,#N/A,FALSE,"4.4";#N/A,#N/A,FALSE,"4.9";#N/A,#N/A,FALSE,"7.2"}</definedName>
    <definedName name="Niveau">#REF!</definedName>
    <definedName name="NLGT">"""['file:///Users/johan/Dropbox/Hotel/ho%2036%20dev/HO%2036%20DEVELOPPEMENT/Business%20Plan/johan/Downloads/SOFT-500patio%20terreaux/Montesquieu/C/DOCUME~1/lalu/LOCALS~1/Temp/2f/notes7A28B0/Oustal%20Del%20Mar/CA%20Oustal%202006.xls'#$Tarifs.$A$2]"""</definedName>
    <definedName name="NLOGT">"""['file:///Users/johan/Dropbox/Hotel/ho%2036%20dev/HO%2036%20DEVELOPPEMENT/Business%20Plan/johan/Downloads/SOFT-500patio%20terreaux/Montesquieu/C/DOCUME~1/lalu/LOCALS~1/Temp/2f/notes7A28B0/Oustal%20Del%20Mar/CA%20Oustal%202006.xls'#$Tarifs.$A$2]"""</definedName>
    <definedName name="No_ComplexPPA">[30]List!$B$24</definedName>
    <definedName name="No_Storage">[30]List!$B$30</definedName>
    <definedName name="Nom">#REF!</definedName>
    <definedName name="non">'[34]ca 2004 au 31-12-04 (JB)'!$AJ$2</definedName>
    <definedName name="nono" hidden="1">{"'WEB azoc prov'!$B$85:$L$123"}</definedName>
    <definedName name="Norm.Bret.">'[95]Base Info'!$D$22:$D$31</definedName>
    <definedName name="NOSH">'[75]Prévisions - Input'!#REF!</definedName>
    <definedName name="Nouveau" hidden="1">'[78]suivi cash flow par affaire'!#REF!</definedName>
    <definedName name="nouveaux">[70]Mois!#REF!</definedName>
    <definedName name="Nov0">#REF!</definedName>
    <definedName name="NOVEMBRE">"""NA()"""</definedName>
    <definedName name="NPLM">#REF!</definedName>
    <definedName name="NSharesN">'[5]&gt;&gt;Merger Model&gt;&gt;'!#REF!</definedName>
    <definedName name="NSharesNewCo">'[5]&gt;&gt;Merger Model&gt;&gt;'!#REF!</definedName>
    <definedName name="NSharesNewCom">'[5]&gt;&gt;Merger Model&gt;&gt;'!#REF!</definedName>
    <definedName name="NSharesSyra">[5]Inputs!$E$25</definedName>
    <definedName name="NSharesTerra">[5]Assumptions!$E$25</definedName>
    <definedName name="NT">#REF!</definedName>
    <definedName name="NTC">#REF!</definedName>
    <definedName name="o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AT">[5]Contribution!$D$15</definedName>
    <definedName name="OCTOBRE">"""NA()"""</definedName>
    <definedName name="ODAODV0">#REF!</definedName>
    <definedName name="OFFRES">[5]AVP!#REF!</definedName>
    <definedName name="olivier">{"Client Name or Project Name"}</definedName>
    <definedName name="on_trib_str">#REF!</definedName>
    <definedName name="OneMonthP">[26]Amoc!$B$215:$B$237</definedName>
    <definedName name="OneMonthV">[26]Amoc!$C$215:$C$237</definedName>
    <definedName name="onpultm">{"Client Name or Project Name"}</definedName>
    <definedName name="OO" hidden="1">{"'WEB azoc prov'!$B$85:$L$123"}</definedName>
    <definedName name="OP">#REF!</definedName>
    <definedName name="OpCost">[32]Workings!#REF!</definedName>
    <definedName name="OpCostSubIn">[32]Inputs!#REF!</definedName>
    <definedName name="Operating_hours">#REF!</definedName>
    <definedName name="Operating_Sys">[46]DDETABLE!$AD$9</definedName>
    <definedName name="operation_year" comment="x">Inputs!$M$483</definedName>
    <definedName name="opex_escalation">#REF!</definedName>
    <definedName name="OptionsNumber">[24]Input!$Y$11:$Y$723</definedName>
    <definedName name="OptionsStrike">[24]Input!$Z$11:$Z$723</definedName>
    <definedName name="OrdShareIssue">[32]Workings!#REF!</definedName>
    <definedName name="orgscx" hidden="1">[96]immo!$I$19</definedName>
    <definedName name="OSC_CAMBI">#REF!</definedName>
    <definedName name="Ott0">#REF!</definedName>
    <definedName name="oui" hidden="1">[7]A!#REF!</definedName>
    <definedName name="outED">[37]ControlsH!$B$11</definedName>
    <definedName name="outgoing_tariff">[83]Revenue!#REF!</definedName>
    <definedName name="Output">#REF!</definedName>
    <definedName name="Outputs_Scenarios">Scenarios!$H$360:$H$375</definedName>
    <definedName name="outSD">[37]ControlsH!$B$10</definedName>
    <definedName name="P">#REF!</definedName>
    <definedName name="P_50">#REF!</definedName>
    <definedName name="P_75">#REF!</definedName>
    <definedName name="P1_">#REF!</definedName>
    <definedName name="P1_bis">#REF!</definedName>
    <definedName name="P2_">#REF!</definedName>
    <definedName name="P2_bis">#REF!</definedName>
    <definedName name="P2_qater">#REF!</definedName>
    <definedName name="P2_ter">#REF!</definedName>
    <definedName name="P3_">#REF!</definedName>
    <definedName name="P3_bis">#REF!</definedName>
    <definedName name="P3_qater">#REF!</definedName>
    <definedName name="P3_ter">#REF!</definedName>
    <definedName name="PACR">[21]CR!$B$78</definedName>
    <definedName name="PAEC">[21]EC!$B$87</definedName>
    <definedName name="PAFI">[21]FI!$B$71</definedName>
    <definedName name="PAG.A">[97]Notes!$B$1:$N$35</definedName>
    <definedName name="PAG.B">[97]Notes!$B$37:$N$67</definedName>
    <definedName name="PAG.C">[97]Notes!$B$69:$N$97</definedName>
    <definedName name="PAG.D">[97]Notes!$B$99:$N$127</definedName>
    <definedName name="PAG.E">[97]Notes!$B$129:$N$157</definedName>
    <definedName name="PAG.F">[97]Notes!$B$160:$N$187</definedName>
    <definedName name="page_number">[5]AVP!#REF!</definedName>
    <definedName name="Page1">#REF!</definedName>
    <definedName name="Page12">#REF!</definedName>
    <definedName name="Page2">#REF!</definedName>
    <definedName name="PAMA">[21]MA!$B$71</definedName>
    <definedName name="PAME1">[21]FO!$B$68</definedName>
    <definedName name="PAME2">[21]PR!$B$79</definedName>
    <definedName name="PANE">[21]NE!$B$74</definedName>
    <definedName name="PANO">[21]NO!$B$74</definedName>
    <definedName name="PARO">[21]RO!$B$90</definedName>
    <definedName name="Partenaires">#REF!</definedName>
    <definedName name="PARY">[21]RY!$B$62</definedName>
    <definedName name="paul">{"Client Name or Project Name"}</definedName>
    <definedName name="paulsg_data">#REF!</definedName>
    <definedName name="pausg_databis">#REF!</definedName>
    <definedName name="Pays">#REF!</definedName>
    <definedName name="Pbis">#REF!</definedName>
    <definedName name="PBTFY1Est">[24]Input!#REF!</definedName>
    <definedName name="PBTFY2Est">[24]Input!#REF!</definedName>
    <definedName name="PBTFY3Est">[24]Input!#REF!</definedName>
    <definedName name="PBTLastFY">[24]Input!#REF!</definedName>
    <definedName name="pc">"""NA()"""</definedName>
    <definedName name="PCT1AD">"""['file:///Users/johan/Dropbox/Hotel/ho%2036%20dev/HO%2036%20DEVELOPPEMENT/Business%20Plan/johan/Downloads/SOFT-500patio%20terreaux/Montesquieu/@/Serveur/mambaye/MSOffice/Modeles/Solutions%20-%20Tableur/Budget98.xls'#$Tarifs.$E$8]"""</definedName>
    <definedName name="PCT1AS">"""['file:///Users/johan/Dropbox/Hotel/ho%2036%20dev/HO%2036%20DEVELOPPEMENT/Business%20Plan/johan/Downloads/SOFT-500patio%20terreaux/Montesquieu/@/Serveur/mambaye/MSOffice/Modeles/Solutions%20-%20Tableur/Budget98.xls'#$Tarifs.$E$7]"""</definedName>
    <definedName name="PCT1E1">"""['file:///Users/johan/Dropbox/Hotel/ho%2036%20dev/HO%2036%20DEVELOPPEMENT/Business%20Plan/johan/Downloads/SOFT-500patio%20terreaux/Montesquieu/@/Serveur/mambaye/MSOffice/Modeles/Solutions%20-%20Tableur/Budget98.xls'#$Tarifs.$E$9]"""</definedName>
    <definedName name="PCT1E2">"""['file:///Users/johan/Dropbox/Hotel/ho%2036%20dev/HO%2036%20DEVELOPPEMENT/Business%20Plan/johan/Downloads/SOFT-500patio%20terreaux/Montesquieu/@/Serveur/mambaye/MSOffice/Modeles/Solutions%20-%20Tableur/Budget98.xls'#$Tarifs.$E$10]"""</definedName>
    <definedName name="PCT1E3">"""['file:///Users/johan/Dropbox/Hotel/ho%2036%20dev/HO%2036%20DEVELOPPEMENT/Business%20Plan/johan/Downloads/SOFT-500patio%20terreaux/Montesquieu/@/Serveur/mambaye/MSOffice/Modeles/Solutions%20-%20Tableur/Budget98.xls'#$Tarifs.$E$11]"""</definedName>
    <definedName name="PCT2AD">"""['file:///Users/johan/Dropbox/Hotel/ho%2036%20dev/HO%2036%20DEVELOPPEMENT/Business%20Plan/johan/Downloads/SOFT-500patio%20terreaux/Montesquieu/@/Serveur/mambaye/MSOffice/Modeles/Solutions%20-%20Tableur/Budget98.xls'#$Tarifs.$F$8]"""</definedName>
    <definedName name="PCT2AS">"""['file:///Users/johan/Dropbox/Hotel/ho%2036%20dev/HO%2036%20DEVELOPPEMENT/Business%20Plan/johan/Downloads/SOFT-500patio%20terreaux/Montesquieu/@/Serveur/mambaye/MSOffice/Modeles/Solutions%20-%20Tableur/Budget98.xls'#$Tarifs.$F$7]"""</definedName>
    <definedName name="PCT2E1">"""['file:///Users/johan/Dropbox/Hotel/ho%2036%20dev/HO%2036%20DEVELOPPEMENT/Business%20Plan/johan/Downloads/SOFT-500patio%20terreaux/Montesquieu/@/Serveur/mambaye/MSOffice/Modeles/Solutions%20-%20Tableur/Budget98.xls'#$Tarifs.$F$9]"""</definedName>
    <definedName name="PCT2E2">"""['file:///Users/johan/Dropbox/Hotel/ho%2036%20dev/HO%2036%20DEVELOPPEMENT/Business%20Plan/johan/Downloads/SOFT-500patio%20terreaux/Montesquieu/@/Serveur/mambaye/MSOffice/Modeles/Solutions%20-%20Tableur/Budget98.xls'#$Tarifs.$F$10]"""</definedName>
    <definedName name="PCT2E3">"""['file:///Users/johan/Dropbox/Hotel/ho%2036%20dev/HO%2036%20DEVELOPPEMENT/Business%20Plan/johan/Downloads/SOFT-500patio%20terreaux/Montesquieu/@/Serveur/mambaye/MSOffice/Modeles/Solutions%20-%20Tableur/Budget98.xls'#$Tarifs.$F$11]"""</definedName>
    <definedName name="PCT3AD">"""['file:///Users/johan/Dropbox/Hotel/ho%2036%20dev/HO%2036%20DEVELOPPEMENT/Business%20Plan/johan/Downloads/SOFT-500patio%20terreaux/Montesquieu/@/Serveur/mambaye/MSOffice/Modeles/Solutions%20-%20Tableur/Budget98.xls'#$Tarifs.$G$8]"""</definedName>
    <definedName name="PCT3AS">"""['file:///Users/johan/Dropbox/Hotel/ho%2036%20dev/HO%2036%20DEVELOPPEMENT/Business%20Plan/johan/Downloads/SOFT-500patio%20terreaux/Montesquieu/@/Serveur/mambaye/MSOffice/Modeles/Solutions%20-%20Tableur/Budget98.xls'#$Tarifs.$G$7]"""</definedName>
    <definedName name="PCT3E1">"""['file:///Users/johan/Dropbox/Hotel/ho%2036%20dev/HO%2036%20DEVELOPPEMENT/Business%20Plan/johan/Downloads/SOFT-500patio%20terreaux/Montesquieu/@/Serveur/mambaye/MSOffice/Modeles/Solutions%20-%20Tableur/Budget98.xls'#$Tarifs.$G$9]"""</definedName>
    <definedName name="PCT3E2">"""['file:///Users/johan/Dropbox/Hotel/ho%2036%20dev/HO%2036%20DEVELOPPEMENT/Business%20Plan/johan/Downloads/SOFT-500patio%20terreaux/Montesquieu/@/Serveur/mambaye/MSOffice/Modeles/Solutions%20-%20Tableur/Budget98.xls'#$Tarifs.$G$10]"""</definedName>
    <definedName name="PCT3E3">"""['file:///Users/johan/Dropbox/Hotel/ho%2036%20dev/HO%2036%20DEVELOPPEMENT/Business%20Plan/johan/Downloads/SOFT-500patio%20terreaux/Montesquieu/@/Serveur/mambaye/MSOffice/Modeles/Solutions%20-%20Tableur/Budget98.xls'#$Tarifs.$G$11]"""</definedName>
    <definedName name="PCT4AD">"""['file:///Users/johan/Dropbox/Hotel/ho%2036%20dev/HO%2036%20DEVELOPPEMENT/Business%20Plan/johan/Downloads/SOFT-500patio%20terreaux/Montesquieu/@/Serveur/mambaye/MSOffice/Modeles/Solutions%20-%20Tableur/Budget98.xls'#$Tarifs.$H$8]"""</definedName>
    <definedName name="PCT4AS">"""['file:///Users/johan/Dropbox/Hotel/ho%2036%20dev/HO%2036%20DEVELOPPEMENT/Business%20Plan/johan/Downloads/SOFT-500patio%20terreaux/Montesquieu/@/Serveur/mambaye/MSOffice/Modeles/Solutions%20-%20Tableur/Budget98.xls'#$Tarifs.$H$7]"""</definedName>
    <definedName name="PCT4E1">"""['file:///Users/johan/Dropbox/Hotel/ho%2036%20dev/HO%2036%20DEVELOPPEMENT/Business%20Plan/johan/Downloads/SOFT-500patio%20terreaux/Montesquieu/@/Serveur/mambaye/MSOffice/Modeles/Solutions%20-%20Tableur/Budget98.xls'#$Tarifs.$H$9]"""</definedName>
    <definedName name="PCT4E2">"""['file:///Users/johan/Dropbox/Hotel/ho%2036%20dev/HO%2036%20DEVELOPPEMENT/Business%20Plan/johan/Downloads/SOFT-500patio%20terreaux/Montesquieu/@/Serveur/mambaye/MSOffice/Modeles/Solutions%20-%20Tableur/Budget98.xls'#$Tarifs.$H$10]"""</definedName>
    <definedName name="PCT4E3">"""['file:///Users/johan/Dropbox/Hotel/ho%2036%20dev/HO%2036%20DEVELOPPEMENT/Business%20Plan/johan/Downloads/SOFT-500patio%20terreaux/Montesquieu/@/Serveur/mambaye/MSOffice/Modeles/Solutions%20-%20Tableur/Budget98.xls'#$Tarifs.$H$11]"""</definedName>
    <definedName name="PCT5AD">"""['file:///Users/johan/Dropbox/Hotel/ho%2036%20dev/HO%2036%20DEVELOPPEMENT/Business%20Plan/johan/Downloads/SOFT-500patio%20terreaux/Montesquieu/@/Serveur/mambaye/MSOffice/Modeles/Solutions%20-%20Tableur/Budget98.xls'#$Tarifs.$I$8]"""</definedName>
    <definedName name="PCT5AS">"""['file:///Users/johan/Dropbox/Hotel/ho%2036%20dev/HO%2036%20DEVELOPPEMENT/Business%20Plan/johan/Downloads/SOFT-500patio%20terreaux/Montesquieu/@/Serveur/mambaye/MSOffice/Modeles/Solutions%20-%20Tableur/Budget98.xls'#$Tarifs.$I$7]"""</definedName>
    <definedName name="PCT5E1">"""['file:///Users/johan/Dropbox/Hotel/ho%2036%20dev/HO%2036%20DEVELOPPEMENT/Business%20Plan/johan/Downloads/SOFT-500patio%20terreaux/Montesquieu/@/Serveur/mambaye/MSOffice/Modeles/Solutions%20-%20Tableur/Budget98.xls'#$Tarifs.$I$9]"""</definedName>
    <definedName name="PCT5E2">"""['file:///Users/johan/Dropbox/Hotel/ho%2036%20dev/HO%2036%20DEVELOPPEMENT/Business%20Plan/johan/Downloads/SOFT-500patio%20terreaux/Montesquieu/@/Serveur/mambaye/MSOffice/Modeles/Solutions%20-%20Tableur/Budget98.xls'#$Tarifs.$I$10]"""</definedName>
    <definedName name="PCT5E3">"""['file:///Users/johan/Dropbox/Hotel/ho%2036%20dev/HO%2036%20DEVELOPPEMENT/Business%20Plan/johan/Downloads/SOFT-500patio%20terreaux/Montesquieu/@/Serveur/mambaye/MSOffice/Modeles/Solutions%20-%20Tableur/Budget98.xls'#$Tarifs.$I$11]"""</definedName>
    <definedName name="PDEC">#REF!</definedName>
    <definedName name="PDJA">"""""""#REF!"""""""</definedName>
    <definedName name="PDJE">"""""""#REF!"""""""</definedName>
    <definedName name="PER">'[72]Staffing Comps'!$AA$39</definedName>
    <definedName name="percentageopex_in">#REF!</definedName>
    <definedName name="percentageopex_out">#REF!</definedName>
    <definedName name="perdite_part">#REF!</definedName>
    <definedName name="period">13</definedName>
    <definedName name="PERIODE">[28]Comptes!$G$2</definedName>
    <definedName name="période">[98]Permanant!$A$2</definedName>
    <definedName name="PERIODICITY">[37]ControlsH!$C$3</definedName>
    <definedName name="perm">"""NA()"""</definedName>
    <definedName name="PERn">#REF!</definedName>
    <definedName name="PERn_1">#REF!</definedName>
    <definedName name="PERn1">#REF!</definedName>
    <definedName name="PERn2">#REF!</definedName>
    <definedName name="Perp_growth">[5]Assumptions!$O$49</definedName>
    <definedName name="pers">"""NA()"""</definedName>
    <definedName name="PHA">#REF!</definedName>
    <definedName name="Pictur9">"Picture 9"</definedName>
    <definedName name="Picture1">"Picture 1"</definedName>
    <definedName name="Picture10">"Picture 10"</definedName>
    <definedName name="Picture11">"Picture 11"</definedName>
    <definedName name="Picture2">"Picture 2"</definedName>
    <definedName name="Picture4">"Picture 4"</definedName>
    <definedName name="Picture5">"Picture 5"</definedName>
    <definedName name="Picture6">"Picture 6"</definedName>
    <definedName name="pièce">#REF!</definedName>
    <definedName name="pippo" hidden="1">{"'WEB azoc prov'!$B$85:$L$123"}</definedName>
    <definedName name="PL">#REF!</definedName>
    <definedName name="PL_Excep">#REF!</definedName>
    <definedName name="PLAF">"""""""#REF!"""""""</definedName>
    <definedName name="PLN">#REF!</definedName>
    <definedName name="plusv_straord">#REF!</definedName>
    <definedName name="plusvalenze">#REF!</definedName>
    <definedName name="pmse" hidden="1">{42,42,FALSE,"Eastern";42,42,FALSE,"Western"}</definedName>
    <definedName name="pmser" hidden="1">{42,42,FALSE,"Eastern";42,42,FALSE,"Western"}</definedName>
    <definedName name="Pmt_Mensuel_Programmé">#REF!</definedName>
    <definedName name="Pmt_Programmé">#REF!</definedName>
    <definedName name="Pmt_Supplémentaire">#REF!</definedName>
    <definedName name="Pmt_Total">#REF!</definedName>
    <definedName name="Pmts_Supplémentaires_Programmés">#REF!</definedName>
    <definedName name="pol" hidden="1">{42,42,FALSE,"Eastern";42,42,FALSE,"Western"}</definedName>
    <definedName name="Portails" hidden="1">{"' calendrier 2000'!$A$1:$Q$38"}</definedName>
    <definedName name="Postreso10A1">'[82]Flux mensuels'!#REF!</definedName>
    <definedName name="Postreso10A3">'[82]Flux mensuels'!#REF!</definedName>
    <definedName name="Postreso11A1">'[82]Flux mensuels'!#REF!</definedName>
    <definedName name="Postreso11A3">'[82]Flux mensuels'!#REF!</definedName>
    <definedName name="Postreso12A1">'[82]Flux mensuels'!#REF!</definedName>
    <definedName name="Postreso12A3">'[82]Flux mensuels'!#REF!</definedName>
    <definedName name="Postreso1A1">'[82]Flux mensuels'!#REF!</definedName>
    <definedName name="Postreso1A3">'[82]Flux mensuels'!#REF!</definedName>
    <definedName name="Postreso2A1">'[82]Flux mensuels'!#REF!</definedName>
    <definedName name="Postreso2A3">'[82]Flux mensuels'!#REF!</definedName>
    <definedName name="Postreso3A1">'[82]Flux mensuels'!#REF!</definedName>
    <definedName name="Postreso3A3">'[82]Flux mensuels'!#REF!</definedName>
    <definedName name="Postreso4A1">'[82]Flux mensuels'!#REF!</definedName>
    <definedName name="Postreso4A3">'[82]Flux mensuels'!#REF!</definedName>
    <definedName name="Postreso5A1">'[82]Flux mensuels'!#REF!</definedName>
    <definedName name="Postreso5A3">'[82]Flux mensuels'!#REF!</definedName>
    <definedName name="Postreso6A1">'[82]Flux mensuels'!#REF!</definedName>
    <definedName name="Postreso6A3">'[82]Flux mensuels'!#REF!</definedName>
    <definedName name="Postreso7A1">'[82]Flux mensuels'!#REF!</definedName>
    <definedName name="Postreso7A3">'[82]Flux mensuels'!#REF!</definedName>
    <definedName name="Postreso8A1">'[82]Flux mensuels'!#REF!</definedName>
    <definedName name="Postreso8A3">'[82]Flux mensuels'!#REF!</definedName>
    <definedName name="Postreso9A1">'[82]Flux mensuels'!#REF!</definedName>
    <definedName name="Postreso9A3">'[82]Flux mensuels'!#REF!</definedName>
    <definedName name="poujòpujpòhj" hidden="1">{"'WEB azoc prov'!$B$85:$L$123"}</definedName>
    <definedName name="Pourcentage">#REF!</definedName>
    <definedName name="pp" hidden="1">{#N/A,#N/A,FALSE,"INPUTS";#N/A,#N/A,FALSE,"PROFORMA BSHEET";#N/A,#N/A,FALSE,"COMBINED";#N/A,#N/A,FALSE,"ACQUIROR";#N/A,#N/A,FALSE,"TARGET 1";#N/A,#N/A,FALSE,"TARGET 2";#N/A,#N/A,FALSE,"HIGH YIELD";#N/A,#N/A,FALSE,"OVERFUND"}</definedName>
    <definedName name="PPA">#REF!</definedName>
    <definedName name="PPA_extension_inputs">#REF!</definedName>
    <definedName name="PPA_terms_inputs">#REF!</definedName>
    <definedName name="PPDCD" hidden="1">#REF!</definedName>
    <definedName name="pppp" hidden="1">{#N/A,#N/A,FALSE,"INPUTS";#N/A,#N/A,FALSE,"PROFORMA BSHEET";#N/A,#N/A,FALSE,"COMBINED";#N/A,#N/A,FALSE,"ACQUIROR";#N/A,#N/A,FALSE,"TARGET 1";#N/A,#N/A,FALSE,"TARGET 2";#N/A,#N/A,FALSE,"HIGH YIELD";#N/A,#N/A,FALSE,"OVERFUND"}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D">#REF!</definedName>
    <definedName name="precision" comment="x" localSheetId="0">[36]Inputs!$L$597</definedName>
    <definedName name="precision" comment="x">Inputs!$L$480</definedName>
    <definedName name="Preferred">[24]Input!$AJ$11:$AJ$723</definedName>
    <definedName name="PrefShareIssue">[32]Workings!#REF!</definedName>
    <definedName name="Premium">[5]AVP!$L$48</definedName>
    <definedName name="PrevAssets">[24]Input!#REF!</definedName>
    <definedName name="Prevc1">"""""""#REF!"""""""</definedName>
    <definedName name="Prevc2">"""""""#REF!"""""""</definedName>
    <definedName name="PrevEq">[24]Input!#REF!</definedName>
    <definedName name="PreviousButton">"Button 19"</definedName>
    <definedName name="prevision">#REF!</definedName>
    <definedName name="PrevS">"""NA()"""</definedName>
    <definedName name="Prevs1">"""""""#REF!"""""""</definedName>
    <definedName name="PrevS2">"""""""#REF!"""""""</definedName>
    <definedName name="price">[83]Cover!#REF!</definedName>
    <definedName name="prices">[10]price!$A$2:$O$128</definedName>
    <definedName name="PriceUpdate">#REF!</definedName>
    <definedName name="Prime_12M">#REF!</definedName>
    <definedName name="Prime_1M">#REF!</definedName>
    <definedName name="Prime_3M">#REF!</definedName>
    <definedName name="Prime_6M">#REF!</definedName>
    <definedName name="Prime_Spot">#REF!</definedName>
    <definedName name="Princ">#REF!</definedName>
    <definedName name="Print_all_big">#N/A</definedName>
    <definedName name="_xlnm.Print_Area" localSheetId="10">BS!$A$1:$DX$32</definedName>
    <definedName name="_xlnm.Print_Area" localSheetId="5">CapEx!$A$1:$AR$146</definedName>
    <definedName name="_xlnm.Print_Area" localSheetId="8">CF!$A$1:$DX$156</definedName>
    <definedName name="_xlnm.Print_Area" localSheetId="11">Dep!$A$1:$AK$33</definedName>
    <definedName name="_xlnm.Print_Area" localSheetId="1">'Discount rate NPV'!$A$1:$AA$47</definedName>
    <definedName name="_xlnm.Print_Area" localSheetId="12">DS!$A$1:$CI$166</definedName>
    <definedName name="_xlnm.Print_Area" localSheetId="13">Eq!$A$1:$DX$87</definedName>
    <definedName name="_xlnm.Print_Area" localSheetId="7">IDC!$A$1:$AK$74</definedName>
    <definedName name="_xlnm.Print_Area" localSheetId="3">Inputs!$A$1:$AI$496</definedName>
    <definedName name="_xlnm.Print_Area" localSheetId="6">OpEx!$A$1:$AL$97</definedName>
    <definedName name="_xlnm.Print_Area" localSheetId="2">Outputs!$A$1:$P$45</definedName>
    <definedName name="_xlnm.Print_Area" localSheetId="9">'P&amp;L'!$A$1:$DX$53</definedName>
    <definedName name="Print_Area_MI">#REF!</definedName>
    <definedName name="Print_big_all">#N/A</definedName>
    <definedName name="Print_Titles_MI">#REF!</definedName>
    <definedName name="Print1">#REF!</definedName>
    <definedName name="Print2">#REF!</definedName>
    <definedName name="PrixS">[5]Inputs!$E$24</definedName>
    <definedName name="PrixT">[5]Assumptions!$E$24</definedName>
    <definedName name="PRM">#REF!</definedName>
    <definedName name="Production_Scenario" comment="x" localSheetId="0">[36]Inputs!$D$52</definedName>
    <definedName name="Production_Scenario" comment="x">Inputs!$D$52</definedName>
    <definedName name="Production_Scenario_Storage" localSheetId="0">[36]Inputs!$D$55</definedName>
    <definedName name="Production_vendue">#REF!</definedName>
    <definedName name="Produits">[5]AVP!#REF!</definedName>
    <definedName name="profittax_in" comment="x">Macro!$G$38:$DW$38</definedName>
    <definedName name="profittax_out" comment="x">Macro!$G$37:$DW$37</definedName>
    <definedName name="profittax_sizing_in" comment="x">Macro!$G$39:$DW$39</definedName>
    <definedName name="progosti">#REF!</definedName>
    <definedName name="progric">#REF!</definedName>
    <definedName name="ProjectName">{"Client Name or Project Name"}</definedName>
    <definedName name="Promo_exposants">#REF!</definedName>
    <definedName name="Promo_générale">#REF!</definedName>
    <definedName name="Promo_visiteurs">#REF!</definedName>
    <definedName name="Provision_clients_douteux__Promotion">[53]Hypothèses!#REF!</definedName>
    <definedName name="pta">[24]Input!#REF!</definedName>
    <definedName name="PUBVO">[23]result97!#REF!</definedName>
    <definedName name="PV_sensibility">[27]Parameters!$R$12</definedName>
    <definedName name="q" hidden="1">{"'WEB azoc prov'!$B$85:$L$123"}</definedName>
    <definedName name="q?s_EURPLN_X" comment="x" localSheetId="14">Macro!#REF!</definedName>
    <definedName name="q?s_EURUSD_X" comment="x" localSheetId="14">Macro!#REF!</definedName>
    <definedName name="qddd" hidden="1">{"'WEB azoc prov'!$B$85:$L$123"}</definedName>
    <definedName name="qeazr" hidden="1">{42,42,FALSE,"Eastern";42,42,FALSE,"Western"}</definedName>
    <definedName name="QPFC">[99]Assumptions!$D$7</definedName>
    <definedName name="qq" hidden="1">{"'WEB azoc prov'!$B$85:$L$123"}</definedName>
    <definedName name="qqq" hidden="1">{"Cover",#N/A,FALSE,"Cover";"trans_sum_print",#N/A,FALSE,"Transaction Summary";"earnings_impact_5yrQQ",#N/A,FALSE,"Earnings Impact";"accr_dil_5yr",#N/A,FALSE,"accretion dilution"}</definedName>
    <definedName name="qqqqq2q" hidden="1">{"ProspettoImposte",42,FALSE,"Prospetto imposte";"Scritture",42,FALSE,"Scritture"}</definedName>
    <definedName name="qqqqqqqqqq" hidden="1">{"'WEB azoc prov'!$B$85:$L$123"}</definedName>
    <definedName name="qs">'[34]ca 2004 au 31-12-04 (JB)'!$AW$2</definedName>
    <definedName name="qsdd" hidden="1">'[3]données météo'!#REF!</definedName>
    <definedName name="questions">[32]Workings!#REF!</definedName>
    <definedName name="qwd" hidden="1">{"'WEB azoc prov'!$B$85:$L$123"}</definedName>
    <definedName name="qz" hidden="1">{"ProspettoImposte",42,FALSE,"Prospetto imposte"}</definedName>
    <definedName name="qzqqqqz" hidden="1">{"Scritture",42,FALSE,"Scritture"}</definedName>
    <definedName name="qzsdzdeqz">#REF!</definedName>
    <definedName name="RACCORDO">'[100]R-PAT GRUPPO'!#REF!</definedName>
    <definedName name="Rate">[40]BackUp!$B$61</definedName>
    <definedName name="rate1">#REF!</definedName>
    <definedName name="rate2">#REF!</definedName>
    <definedName name="Rate25">#REF!</definedName>
    <definedName name="Rate30">#REF!</definedName>
    <definedName name="rateA">#REF!</definedName>
    <definedName name="RATEB">#REF!</definedName>
    <definedName name="rateq100">#REF!</definedName>
    <definedName name="rateq198">#REF!</definedName>
    <definedName name="rateQ199">#REF!</definedName>
    <definedName name="rateq200">#REF!</definedName>
    <definedName name="rateQ299">#REF!</definedName>
    <definedName name="rateq300">#REF!</definedName>
    <definedName name="rateq397">#REF!</definedName>
    <definedName name="rateq398">#REF!</definedName>
    <definedName name="rateQ399">#REF!</definedName>
    <definedName name="rateq400">#REF!</definedName>
    <definedName name="rateq497">#REF!</definedName>
    <definedName name="rateq498">#REF!</definedName>
    <definedName name="rateq499">#REF!</definedName>
    <definedName name="Ratios">#REF!</definedName>
    <definedName name="rayon">[101]FRANCE!$S$97:$S$116</definedName>
    <definedName name="RCAICR">[21]CR!$B$85</definedName>
    <definedName name="RCAIMA">[21]MA!$B$78</definedName>
    <definedName name="RCAIME1">[21]FO!$B$75</definedName>
    <definedName name="RCAIRY">[21]RY!$B$69</definedName>
    <definedName name="RdA0">#REF!</definedName>
    <definedName name="RDAnnual">[24]Input!#REF!</definedName>
    <definedName name="RDLatestQ">[24]Input!#REF!</definedName>
    <definedName name="RDYearAgo">[24]Input!#REF!</definedName>
    <definedName name="RECLI">[23]result97!#REF!</definedName>
    <definedName name="_xlnm.Recorder">[5]AVP!$A:$A</definedName>
    <definedName name="RECPR">[23]result97!#REF!</definedName>
    <definedName name="red">{"Client Name or Project Name"}</definedName>
    <definedName name="redevances">[70]Mois!#REF!</definedName>
    <definedName name="redo" hidden="1">{#N/A,#N/A,FALSE,"ACQ_GRAPHS";#N/A,#N/A,FALSE,"T_1 GRAPHS";#N/A,#N/A,FALSE,"T_2 GRAPHS";#N/A,#N/A,FALSE,"COMB_GRAPHS"}</definedName>
    <definedName name="refi_fef_in" comment="x">Macro!$H$27</definedName>
    <definedName name="refi_fef_out" comment="x">Macro!$G$27</definedName>
    <definedName name="Refinancing">[102]Scenario!$D$7</definedName>
    <definedName name="Refinancing_date">'[102]Inputs TI'!$F$787</definedName>
    <definedName name="Réinit_Zone_Impression">OFFSET(Impression_Entière,0,0,Dernière_Ligne)</definedName>
    <definedName name="Remises_adhérents">#REF!</definedName>
    <definedName name="Rémunération_moyenne_des_chargés_de_promotion">[53]Hypothèses!#REF!</definedName>
    <definedName name="REPA">"""""""#REF!"""""""</definedName>
    <definedName name="repas">"""""""#REF!"""""""</definedName>
    <definedName name="REPE">"""""""#REF!"""""""</definedName>
    <definedName name="repes">"""""""#REF!"""""""</definedName>
    <definedName name="report">#REF!</definedName>
    <definedName name="reqdetails">[46]DDETABLE!$O$15:$T$324</definedName>
    <definedName name="ResCap">[32]Output!#REF!</definedName>
    <definedName name="Research" hidden="1">{#N/A,#N/A,TRUE,"Cover sheet";#N/A,#N/A,TRUE,"DCF analysis";#N/A,#N/A,TRUE,"WACC calculation"}</definedName>
    <definedName name="Residual">[27]Parameters!$R$7</definedName>
    <definedName name="Resilience_debt_sized" localSheetId="0">[36]DS!$C$48</definedName>
    <definedName name="Resilience_debt_sized">[43]DS!$C$49</definedName>
    <definedName name="RESULTATANALYTIQUE">[5]AVP!$A$109:$O$297</definedName>
    <definedName name="RetC">"""""""#REF!"""""""</definedName>
    <definedName name="Rétro">[74]Package!$G$14:$H$16</definedName>
    <definedName name="RetS">"""""""#REF!"""""""</definedName>
    <definedName name="RevFY1Est">[24]Input!#REF!</definedName>
    <definedName name="RevFY2Est">[24]Input!#REF!</definedName>
    <definedName name="RevFY3Est">[24]Input!#REF!</definedName>
    <definedName name="REVVO">[23]result97!#REF!</definedName>
    <definedName name="REX">'[103]Base MAF'!$A$207:$CV$2041</definedName>
    <definedName name="REXJPB">'[103]Base MAF'!$A$207:$CV$2046</definedName>
    <definedName name="ricmese">#REF!</definedName>
    <definedName name="Risk_free">[27]Parameters!$R$17:$R$64</definedName>
    <definedName name="Risk_free_index">'[27]Discount rate'!$C$5:$C$8</definedName>
    <definedName name="Risk_free_tab">'[27]Discount rate'!$D$5:$V$8</definedName>
    <definedName name="Risque_clients">#REF!</definedName>
    <definedName name="RN">#REF!</definedName>
    <definedName name="RNn">#REF!</definedName>
    <definedName name="RNn_1">#REF!</definedName>
    <definedName name="Roic">[5]AVP!$AB$26</definedName>
    <definedName name="RollOutCostIn">[32]Inputs!#REF!</definedName>
    <definedName name="round">1</definedName>
    <definedName name="rounding">[55]Cover!$E$39</definedName>
    <definedName name="Royalties">'[22]Budget CA Promotion ICVC'!#REF!</definedName>
    <definedName name="rr" hidden="1">{#N/A,#N/A,FALSE,"INPUTS";#N/A,#N/A,FALSE,"PROFORMA BSHEET";#N/A,#N/A,FALSE,"COMBINED";#N/A,#N/A,FALSE,"ACQUIROR";#N/A,#N/A,FALSE,"TARGET 1";#N/A,#N/A,FALSE,"TARGET 2";#N/A,#N/A,FALSE,"HIGH YIELD";#N/A,#N/A,FALSE,"OVERFUND"}</definedName>
    <definedName name="RRF_Sucess_fee_in" localSheetId="0">[36]Inputs!$E$305</definedName>
    <definedName name="RRF_Sucess_fee_in">[43]Inputs!$E$294</definedName>
    <definedName name="RRF_Sucess_fee_out" localSheetId="0">[36]Inputs!$D$305</definedName>
    <definedName name="RRF_Sucess_fee_out">[43]Inputs!$D$294</definedName>
    <definedName name="rrrrrr" hidden="1">{"cash plan",#N/A,FALSE,"fccashflow"}</definedName>
    <definedName name="RTHDaily" hidden="1">2</definedName>
    <definedName name="RTHDefault" hidden="1">1</definedName>
    <definedName name="RTHIncludeActive" hidden="1">1</definedName>
    <definedName name="RTHIncludeActiveNonActive" hidden="1">2</definedName>
    <definedName name="RTHIncludeAll" hidden="1">3</definedName>
    <definedName name="RTHIncludeWeekdays" hidden="1">2</definedName>
    <definedName name="RTHMonthly" hidden="1">4</definedName>
    <definedName name="RTHOrientCol" hidden="1">2</definedName>
    <definedName name="RTHOrientRow" hidden="1">1</definedName>
    <definedName name="RTHQuarterly" hidden="1">5</definedName>
    <definedName name="RTHSortAscend" hidden="1">1</definedName>
    <definedName name="RTHSortDescend" hidden="1">2</definedName>
    <definedName name="RTHWeekly" hidden="1">3</definedName>
    <definedName name="RTHYearly" hidden="1">6</definedName>
    <definedName name="Rwvu.Bilancio." hidden="1">#REF!</definedName>
    <definedName name="Rwvu.CA." hidden="1">'[61]96baseCA'!$A:$A,'[61]96baseCA'!$D:$D,'[61]96baseCA'!$H:$J,'[61]96baseCA'!$AF:$AT,'[61]96baseCA'!$BJ:$BL</definedName>
    <definedName name="Rwvu.cacomptable." hidden="1">'[61]96baseCA'!$D:$N,'[61]96baseCA'!$AF:$AV,'[61]96baseCA'!$AZ:$BG,'[61]96baseCA'!$BK:$BP</definedName>
    <definedName name="Rwvu.CAMB." hidden="1">'[61]96baseCA'!$D:$X,'[61]96baseCA'!$AB:$AE,'[61]96baseCA'!$AQ:$BA,'[61]96baseCA'!$BH:$BJ</definedName>
    <definedName name="Rwvu.CAREEL." hidden="1">'[61]96baseCA'!$A:$A,'[61]96baseCA'!$D:$D,'[61]96baseCA'!$H:$L,'[61]96baseCA'!$O:$O,'[61]96baseCA'!$R:$R,'[61]96baseCA'!$T:$T,'[61]96baseCA'!$V:$V,'[61]96baseCA'!$Y:$Y,'[61]96baseCA'!$AC:$AC,'[61]96baseCA'!$AF:$AV,'[61]96baseCA'!$AY:$AY,'[61]96baseCA'!$BD:$BD,'[61]96baseCA'!$BJ:$BL</definedName>
    <definedName name="Rwvu.COUTS." hidden="1">'[61]96baseCA'!$D:$D,'[61]96baseCA'!$H:$X,'[61]96baseCA'!$AC:$AE,'[61]96baseCA'!$AS:$AT,'[61]96baseCA'!$BD:$BI</definedName>
    <definedName name="Rwvu.COUTSREEL." hidden="1">'[61]96baseCA'!$D:$D,'[61]96baseCA'!$H:$Y,'[61]96baseCA'!$AB:$AF,'[61]96baseCA'!$AI:$AI,'[61]96baseCA'!$AL:$AL,'[61]96baseCA'!#REF!,'[61]96baseCA'!$BG:$BG,'[61]96baseCA'!$AS:$AV,'[61]96baseCA'!$AY:$AY,'[61]96baseCA'!$BD:$BJ,'[61]96baseCA'!$BL:$BL</definedName>
    <definedName name="Rwvu.View._.2." hidden="1">[104]R62!#REF!,[104]R62!#REF!</definedName>
    <definedName name="s">'[34]ca 2004 au 31-12-04 (JB)'!$U$3:$U$20029</definedName>
    <definedName name="sa">'[34]ca 2004 au 31-12-04 (JB)'!$AM$2</definedName>
    <definedName name="sadsa" hidden="1">{"ProspettoImposte",42,FALSE,"Prospetto imposte";"Scritture",42,FALSE,"Scritture"}</definedName>
    <definedName name="sadsadas" hidden="1">{"' calendrier 2000'!$A$1:$Q$38"}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L">#REF!</definedName>
    <definedName name="Sales">#REF!</definedName>
    <definedName name="SalesAnnual">[24]Input!#REF!</definedName>
    <definedName name="salesGEOG">OFFSET([37]Overview!$T$12, 0, 0, [37]DataH!$I$20, 1)</definedName>
    <definedName name="SalesLatestQ">[24]Input!#REF!</definedName>
    <definedName name="salesPROD">OFFSET([37]Overview!$Q$12, 0, 0, [37]DataH!$G$20, 1)</definedName>
    <definedName name="SalesYearAgo">[24]Input!#REF!</definedName>
    <definedName name="Salon">#REF!</definedName>
    <definedName name="Sample">#REF!</definedName>
    <definedName name="Sample2">#REF!</definedName>
    <definedName name="SAPBEXdnldView" hidden="1">"3INE0YQ6KL9EAXGJKV5AU1D51"</definedName>
    <definedName name="SAPBEXhrIndnt" hidden="1">"Wide"</definedName>
    <definedName name="SAPBEXrevision" hidden="1">1</definedName>
    <definedName name="SAPBEXsysID" hidden="1">"PR2"</definedName>
    <definedName name="SAPBEXwbID" hidden="1">"0MB5TOIC7ZU0LX8WJX6QNRCYX"</definedName>
    <definedName name="SAPsysID" hidden="1">"708C5W7SBKP804JT78WJ0JNKI"</definedName>
    <definedName name="SAPwbID" hidden="1">"ARS"</definedName>
    <definedName name="SB" hidden="1">{#N/A,#N/A,FALSE,"7.8"}</definedName>
    <definedName name="sbis">#REF!</definedName>
    <definedName name="sc">[105]DCF!#REF!</definedName>
    <definedName name="scccs">#REF!</definedName>
    <definedName name="Scen_Delta">#REF!</definedName>
    <definedName name="scenario">Scenarios!$H$360:$H$375</definedName>
    <definedName name="Schedule">[46]DDETABLE!$E$5</definedName>
    <definedName name="Scope">[27]Parameters!$P$17:$P$64</definedName>
    <definedName name="Scope_table">[27]Parameters!$Q$17:$Q$64</definedName>
    <definedName name="SculptD">#REF!</definedName>
    <definedName name="SculptDSC">#REF!</definedName>
    <definedName name="SculptDSCL">#REF!</definedName>
    <definedName name="SculptDSCT">#REF!</definedName>
    <definedName name="SculptL">#REF!</definedName>
    <definedName name="SD">[37]ControlsH!$B$4</definedName>
    <definedName name="sdccs">#REF!</definedName>
    <definedName name="sdf" hidden="1">{"cover",#N/A,TRUE,"Cover";"toc1",#N/A,TRUE,"TOC";"ts1",#N/A,TRUE,"Transaction Summary";"ei2",#N/A,TRUE,"Earnings Impact";"ad2",#N/A,TRUE,"accretion dilution"}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fsdfsdfsdfsdf" hidden="1">{"' calendrier 2000'!$A$1:$Q$38"}</definedName>
    <definedName name="sdsdsd">#REF!</definedName>
    <definedName name="sdsdsdbis">#REF!</definedName>
    <definedName name="sdsdsds">#REF!</definedName>
    <definedName name="sdsdss">[70]Mois!#REF!</definedName>
    <definedName name="Section_ligne">[106]RESULTATS!#REF!</definedName>
    <definedName name="Segment_HBI">#REF!</definedName>
    <definedName name="Select_margin">#REF!</definedName>
    <definedName name="Select_multiple">#REF!</definedName>
    <definedName name="SenDebt">[32]Workings!#REF!</definedName>
    <definedName name="seniordebt_percent">#REF!</definedName>
    <definedName name="seniorrate">[5]AVP!$I$15</definedName>
    <definedName name="Sens_Currency">[27]Parameters!$M$12</definedName>
    <definedName name="sens_number">[66]Sensitivities!$B$3</definedName>
    <definedName name="SEPTEMBRE">"""NA()"""</definedName>
    <definedName name="SET_tRAFFCIO_VETTORE_per_piaz">#REF!</definedName>
    <definedName name="Set0">#REF!</definedName>
    <definedName name="Setup">[46]DDETABLE!$AC$2</definedName>
    <definedName name="sFormat">[46]DDETABLE!$AQ$4</definedName>
    <definedName name="sFreq">[46]DDETABLE!$AQ$5</definedName>
    <definedName name="SG">#REF!</definedName>
    <definedName name="SGAAnnual">[24]Input!#REF!</definedName>
    <definedName name="SGALatestQ">[24]Input!#REF!</definedName>
    <definedName name="SGAYearAgo">[24]Input!#REF!</definedName>
    <definedName name="Share_price">[5]AVP!$F$12</definedName>
    <definedName name="SharePrice">[24]Input!$S$11:$S$723</definedName>
    <definedName name="Shares">[5]AVP!$P$67</definedName>
    <definedName name="Shares_Out">[5]AVP!$F$14</definedName>
    <definedName name="SHL_in">Macro!$H$28</definedName>
    <definedName name="SHL_out">Macro!$G$28</definedName>
    <definedName name="ShowDetails">[46]DDETABLE!$AH$13</definedName>
    <definedName name="SIG_BILACT_firstLineLOC" hidden="1">#REF!</definedName>
    <definedName name="SIG_LngApp" hidden="1">[107]SIG_LANGUE!$A$2</definedName>
    <definedName name="SIR">"""NA()"""</definedName>
    <definedName name="sirougnet">"""NA()"""</definedName>
    <definedName name="sit">#REF!</definedName>
    <definedName name="SITU">#REF!</definedName>
    <definedName name="SITU1">#REF!</definedName>
    <definedName name="SITU2">#REF!</definedName>
    <definedName name="SixMonthP">[26]Amoc!$B$109:$B$237</definedName>
    <definedName name="SixMonthV">[26]Amoc!$C$109:$C$237</definedName>
    <definedName name="sizing_scenario" comment="x" localSheetId="0">[36]Inputs!$A$226</definedName>
    <definedName name="sizing_scenario" comment="x">Inputs!$A$177</definedName>
    <definedName name="sizing_scenario_storage" localSheetId="0">[36]Inputs!$A$174</definedName>
    <definedName name="sizing_scenario_storage">[43]Inputs!#REF!</definedName>
    <definedName name="sizingequityIRR_in" comment="x">Eq!$D$30</definedName>
    <definedName name="sizingequityIRR_out" comment="x">Eq!$D$28</definedName>
    <definedName name="Smic">"""""""#REF!"""""""</definedName>
    <definedName name="Snumb">[108]Scenarios!$M$5</definedName>
    <definedName name="société">#REF!</definedName>
    <definedName name="SODETOUR">#REF!</definedName>
    <definedName name="SODETOURbis">#REF!</definedName>
    <definedName name="Solde_Départ">#REF!</definedName>
    <definedName name="Solde_Final">#REF!</definedName>
    <definedName name="solver_adj" localSheetId="2" hidden="1">Outputs!#REF!</definedName>
    <definedName name="solver_adj" hidden="1">#REF!</definedName>
    <definedName name="solver_cvg" localSheetId="2" hidden="1">0.0001</definedName>
    <definedName name="solver_drv" localSheetId="2" hidden="1">1</definedName>
    <definedName name="solver_drv" hidden="1">1</definedName>
    <definedName name="solver_est" localSheetId="2" hidden="1">1</definedName>
    <definedName name="solver_est" hidden="1">1</definedName>
    <definedName name="solver_itr" localSheetId="2" hidden="1">100</definedName>
    <definedName name="solver_itr" hidden="1">100</definedName>
    <definedName name="solver_lhs1" localSheetId="2" hidden="1">Outputs!#REF!</definedName>
    <definedName name="solver_lhs1" hidden="1">#REF!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" hidden="1">#REF!</definedName>
    <definedName name="solver_lhs40" hidden="1">#REF!</definedName>
    <definedName name="solver_lhs41" hidden="1">#REF!</definedName>
    <definedName name="solver_lhs5" hidden="1">#REF!</definedName>
    <definedName name="solver_lhs6" hidden="1">#REF!</definedName>
    <definedName name="solver_lhs7" hidden="1">#REF!</definedName>
    <definedName name="solver_lhs8" hidden="1">#REF!</definedName>
    <definedName name="solver_lhs9" hidden="1">#REF!</definedName>
    <definedName name="solver_lin" localSheetId="2" hidden="1">2</definedName>
    <definedName name="solver_lin" hidden="1">0</definedName>
    <definedName name="solver_neg" localSheetId="2" hidden="1">2</definedName>
    <definedName name="solver_num" localSheetId="2" hidden="1">1</definedName>
    <definedName name="solver_num" hidden="1">2</definedName>
    <definedName name="solver_nwt" localSheetId="2" hidden="1">1</definedName>
    <definedName name="solver_nwt" hidden="1">1</definedName>
    <definedName name="solver_opt" localSheetId="2" hidden="1">Outputs!#REF!</definedName>
    <definedName name="solver_opt" hidden="1">#REF!</definedName>
    <definedName name="solver_pre" localSheetId="2" hidden="1">0.000001</definedName>
    <definedName name="solver_pre" hidden="1">0.000001</definedName>
    <definedName name="solver_rel1" localSheetId="2" hidden="1">2</definedName>
    <definedName name="solver_rel1" hidden="1">3</definedName>
    <definedName name="solver_rel10" hidden="1">3</definedName>
    <definedName name="solver_rel11" hidden="1">1</definedName>
    <definedName name="solver_rel12" hidden="1">3</definedName>
    <definedName name="solver_rel13" hidden="1">3</definedName>
    <definedName name="solver_rel14" hidden="1">1</definedName>
    <definedName name="solver_rel15" hidden="1">3</definedName>
    <definedName name="solver_rel16" hidden="1">1</definedName>
    <definedName name="solver_rel17" hidden="1">1</definedName>
    <definedName name="solver_rel18" hidden="1">1</definedName>
    <definedName name="solver_rel19" hidden="1">3</definedName>
    <definedName name="solver_rel2" hidden="1">1</definedName>
    <definedName name="solver_rel20" hidden="1">1</definedName>
    <definedName name="solver_rel21" hidden="1">3</definedName>
    <definedName name="solver_rel22" hidden="1">1</definedName>
    <definedName name="solver_rel23" hidden="1">3</definedName>
    <definedName name="solver_rel24" hidden="1">1</definedName>
    <definedName name="solver_rel25" hidden="1">3</definedName>
    <definedName name="solver_rel26" hidden="1">1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3</definedName>
    <definedName name="solver_rel32" hidden="1">3</definedName>
    <definedName name="solver_rel33" hidden="1">3</definedName>
    <definedName name="solver_rel34" hidden="1">2</definedName>
    <definedName name="solver_rel35" hidden="1">2</definedName>
    <definedName name="solver_rel36" hidden="1">2</definedName>
    <definedName name="solver_rel37" hidden="1">2</definedName>
    <definedName name="solver_rel38" hidden="1">1</definedName>
    <definedName name="solver_rel39" hidden="1">3</definedName>
    <definedName name="solver_rel4" hidden="1">1</definedName>
    <definedName name="solver_rel40" hidden="1">2</definedName>
    <definedName name="solver_rel41" hidden="1">2</definedName>
    <definedName name="solver_rel5" hidden="1">1</definedName>
    <definedName name="solver_rel6" hidden="1">3</definedName>
    <definedName name="solver_rel7" hidden="1">1</definedName>
    <definedName name="solver_rel8" hidden="1">1</definedName>
    <definedName name="solver_rel9" hidden="1">1</definedName>
    <definedName name="solver_rhs1" localSheetId="2" hidden="1">Outputs!$L$31</definedName>
    <definedName name="solver_rhs1" hidden="1">0</definedName>
    <definedName name="solver_rhs10" hidden="1">0</definedName>
    <definedName name="solver_rhs11" hidden="1">45000</definedName>
    <definedName name="solver_rhs12" hidden="1">0</definedName>
    <definedName name="solver_rhs13" hidden="1">0</definedName>
    <definedName name="solver_rhs14" hidden="1">100</definedName>
    <definedName name="solver_rhs15" hidden="1">0</definedName>
    <definedName name="solver_rhs16" hidden="1">1700</definedName>
    <definedName name="solver_rhs17" hidden="1">1700</definedName>
    <definedName name="solver_rhs18" hidden="1">20</definedName>
    <definedName name="solver_rhs19" hidden="1">0</definedName>
    <definedName name="solver_rhs2" hidden="1">19555</definedName>
    <definedName name="solver_rhs20" hidden="1">20</definedName>
    <definedName name="solver_rhs21" hidden="1">0</definedName>
    <definedName name="solver_rhs22" hidden="1">10000</definedName>
    <definedName name="solver_rhs23" hidden="1">0</definedName>
    <definedName name="solver_rhs24" hidden="1">40000</definedName>
    <definedName name="solver_rhs25" hidden="1">0</definedName>
    <definedName name="solver_rhs26" hidden="1">20</definedName>
    <definedName name="solver_rhs27" hidden="1">100</definedName>
    <definedName name="solver_rhs28" hidden="1">0.1</definedName>
    <definedName name="solver_rhs29" hidden="1">100</definedName>
    <definedName name="solver_rhs3" hidden="1">1700</definedName>
    <definedName name="solver_rhs30" hidden="1">0.1</definedName>
    <definedName name="solver_rhs31" hidden="1">2000</definedName>
    <definedName name="solver_rhs32" hidden="1">10000</definedName>
    <definedName name="solver_rhs33" hidden="1">30000</definedName>
    <definedName name="solver_rhs34" hidden="1">0</definedName>
    <definedName name="solver_rhs35" hidden="1">0</definedName>
    <definedName name="solver_rhs36" hidden="1">#REF!</definedName>
    <definedName name="solver_rhs37" hidden="1">#REF!</definedName>
    <definedName name="solver_rhs38" hidden="1">140000</definedName>
    <definedName name="solver_rhs39" hidden="1">120000</definedName>
    <definedName name="solver_rhs4" hidden="1">1700</definedName>
    <definedName name="solver_rhs40" hidden="1">#REF!</definedName>
    <definedName name="solver_rhs41" hidden="1">#REF!</definedName>
    <definedName name="solver_rhs5" hidden="1">20</definedName>
    <definedName name="solver_rhs6" hidden="1">0</definedName>
    <definedName name="solver_rhs7" hidden="1">1</definedName>
    <definedName name="solver_rhs8" hidden="1">20</definedName>
    <definedName name="solver_rhs9" hidden="1">100</definedName>
    <definedName name="solver_scl" localSheetId="2" hidden="1">2</definedName>
    <definedName name="solver_scl" hidden="1">2</definedName>
    <definedName name="solver_sho" localSheetId="2" hidden="1">2</definedName>
    <definedName name="solver_sho" hidden="1">2</definedName>
    <definedName name="solver_tim" localSheetId="2" hidden="1">100</definedName>
    <definedName name="solver_tim" hidden="1">100</definedName>
    <definedName name="solver_tmp" hidden="1">19555</definedName>
    <definedName name="solver_tol" localSheetId="2" hidden="1">0.05</definedName>
    <definedName name="solver_tol" hidden="1">0.05</definedName>
    <definedName name="solver_typ" localSheetId="2" hidden="1">2</definedName>
    <definedName name="solver_typ" hidden="1">3</definedName>
    <definedName name="solver_val" localSheetId="2" hidden="1">0.02</definedName>
    <definedName name="solver_val" hidden="1">-5</definedName>
    <definedName name="Sommaire">'[29]Q Net Debt'!#REF!</definedName>
    <definedName name="SORTIES" hidden="1">0</definedName>
    <definedName name="source">'[109]evolution du PIB'!$A$29</definedName>
    <definedName name="sp_rappresent">#REF!</definedName>
    <definedName name="sp_tel_pd">#REF!</definedName>
    <definedName name="SPECIFIQUES">[5]AVP!#REF!</definedName>
    <definedName name="spnpwindpq" hidden="1">{"'WEB azoc prov'!$B$85:$L$123"}</definedName>
    <definedName name="Sprache">IF(ISTEXT(CELL("Dateiname")),1,IF(ISTEXT(CELL("nombre")),2,3))</definedName>
    <definedName name="SRICost">[32]Workings!#REF!</definedName>
    <definedName name="SRIIN">[32]Inputs!#REF!</definedName>
    <definedName name="ss" hidden="1">{"'WEB azoc prov'!$B$85:$L$123"}</definedName>
    <definedName name="SSASASA" hidden="1">{"'WEB azoc prov'!$B$85:$L$123"}</definedName>
    <definedName name="ssdd">'[20]30'!#REF!</definedName>
    <definedName name="sss" hidden="1">{"Scritture",42,FALSE,"Scritture"}</definedName>
    <definedName name="sssbbb" hidden="1">[110]ModifAnalytiqueFacture!#REF!</definedName>
    <definedName name="sssmmm">'[20]30'!#REF!</definedName>
    <definedName name="ssss" hidden="1">{"ProspettoImposte",42,FALSE,"Prospetto imposte"}</definedName>
    <definedName name="sssssssss" hidden="1">{"'WEB azoc prov'!$B$85:$L$123"}</definedName>
    <definedName name="ssssxs" hidden="1">{"ProspettoImposte",42,FALSE,"Prospetto imposte"}</definedName>
    <definedName name="st">'[34]ca 2004 au 31-12-04 (JB)'!$E$3:$E$20029</definedName>
    <definedName name="ST_Rate">[5]AVP!$P$57</definedName>
    <definedName name="ST_rates">[5]AVP!$P$57:$Z$57</definedName>
    <definedName name="staff_cost">[5]AVP!#REF!</definedName>
    <definedName name="StaffNoIn">[32]Inputs!#REF!</definedName>
    <definedName name="StaffNumbers">[32]Workings!#REF!</definedName>
    <definedName name="Standard_Trackers">[30]List!$B$6</definedName>
    <definedName name="STANDARDS">[5]AVP!#REF!</definedName>
    <definedName name="start_staff">[66]Staffing!#REF!</definedName>
    <definedName name="StartPosition">#REF!</definedName>
    <definedName name="StartYearIn">[32]Inputs!$F$9</definedName>
    <definedName name="statut">#REF!</definedName>
    <definedName name="statut2">'[39]ca 2003 au 31-12-03 (JB)'!$T$3:$T$20001</definedName>
    <definedName name="statut3">'[39]CAMPAGNE CUMUL 2003 (PiD)'!$P$4:$P$20000</definedName>
    <definedName name="statutbis">#REF!</definedName>
    <definedName name="STD">[24]Input!$AG$11:$AG$723</definedName>
    <definedName name="STE">[98]Bilact!$B$2</definedName>
    <definedName name="sté">#REF!</definedName>
    <definedName name="stébis">#REF!</definedName>
    <definedName name="STGGHGTTH" hidden="1">{"'WEB azoc prov'!$B$85:$L$123"}</definedName>
    <definedName name="sTopic">[46]DDETABLE!$AQ$3</definedName>
    <definedName name="StorageYes_No">'[30]Global inputs'!$C$19</definedName>
    <definedName name="Stretch_Target">#REF!</definedName>
    <definedName name="Structure_commerciale">#REF!</definedName>
    <definedName name="Structure_promotion">#REF!</definedName>
    <definedName name="stryst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sty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SubAcqCostCap">[32]Inputs!#REF!</definedName>
    <definedName name="SubAcqCostCapIn">[32]Inputs!#REF!</definedName>
    <definedName name="summ">#REF!</definedName>
    <definedName name="summary">[10]summary!$A$1:$R$123</definedName>
    <definedName name="Surface_vendue">#REF!</definedName>
    <definedName name="SV">#REF!</definedName>
    <definedName name="SWFEURO1">[5]AVP!$H$27</definedName>
    <definedName name="switch">[5]AVP!$O$38</definedName>
    <definedName name="switchbroker">[5]AVP!$E$9</definedName>
    <definedName name="Swvu.Aggregato." hidden="1">#REF!</definedName>
    <definedName name="Swvu.Bilancio." hidden="1">#REF!</definedName>
    <definedName name="Swvu.Stampa._.aggregato." hidden="1">#REF!</definedName>
    <definedName name="sxqas" hidden="1">{"Scritture",42,FALSE,"Scritture"}</definedName>
    <definedName name="sYesNo">[46]DDETABLE!$AQ$2</definedName>
    <definedName name="Synth_Bilan">#REF!</definedName>
    <definedName name="t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1dpa">"""""""#REF!"""""""</definedName>
    <definedName name="t1dpe1">"""""""#REF!"""""""</definedName>
    <definedName name="t1dpe2">"""""""#REF!"""""""</definedName>
    <definedName name="t1dpe3">"""""""#REF!"""""""</definedName>
    <definedName name="t1lt3">"""""""#REF!"""""""</definedName>
    <definedName name="t1lt4">"""""""#REF!"""""""</definedName>
    <definedName name="t1pca">"""""""#REF!"""""""</definedName>
    <definedName name="t1pce1">"""""""#REF!"""""""</definedName>
    <definedName name="t1pce2">"""""""#REF!"""""""</definedName>
    <definedName name="t1pce3">"""""""#REF!"""""""</definedName>
    <definedName name="t2dpa">"""""""#REF!"""""""</definedName>
    <definedName name="t2dpe1">"""""""#REF!"""""""</definedName>
    <definedName name="t2dpe2">"""""""#REF!"""""""</definedName>
    <definedName name="t2dpe3">"""""""#REF!"""""""</definedName>
    <definedName name="t2lt3">"""""""#REF!"""""""</definedName>
    <definedName name="t2lt4">"""""""#REF!"""""""</definedName>
    <definedName name="t2pca">"""""""#REF!"""""""</definedName>
    <definedName name="t2pce1">"""""""#REF!"""""""</definedName>
    <definedName name="t2pce2">"""""""#REF!"""""""</definedName>
    <definedName name="t2pce3">"""""""#REF!"""""""</definedName>
    <definedName name="t3dpa">"""""""#REF!"""""""</definedName>
    <definedName name="t3dpe1">"""""""#REF!"""""""</definedName>
    <definedName name="t3dpe2">"""""""#REF!"""""""</definedName>
    <definedName name="t3dpe3">"""""""#REF!"""""""</definedName>
    <definedName name="t3lt3">"""""""#REF!"""""""</definedName>
    <definedName name="t3lt4">"""""""#REF!"""""""</definedName>
    <definedName name="t3pca">"""""""#REF!"""""""</definedName>
    <definedName name="t3pce1">"""""""#REF!"""""""</definedName>
    <definedName name="t3pce2">"""""""#REF!"""""""</definedName>
    <definedName name="t3pce3">"""""""#REF!"""""""</definedName>
    <definedName name="t4dpa">"""""""#REF!"""""""</definedName>
    <definedName name="t4dpe1">"""""""#REF!"""""""</definedName>
    <definedName name="t4dpe2">"""""""#REF!"""""""</definedName>
    <definedName name="t4dpe3">"""""""#REF!"""""""</definedName>
    <definedName name="t4pca">"""""""#REF!"""""""</definedName>
    <definedName name="t4pce1">"""""""#REF!"""""""</definedName>
    <definedName name="t4pce2">"""""""#REF!"""""""</definedName>
    <definedName name="t4pce3">"""""""#REF!"""""""</definedName>
    <definedName name="tab">#REF!</definedName>
    <definedName name="tab1emb">#REF!</definedName>
    <definedName name="tab1equip">[11]EQUIPMAG!$A$52:$H$75</definedName>
    <definedName name="tab1expo">[11]Expobois!$A$42:$H$65</definedName>
    <definedName name="tab1ipa">[11]ipa!$A$79:$H$102</definedName>
    <definedName name="tab1traca">[111]tracabilité!$A$44:$I$68</definedName>
    <definedName name="tab2emb">#REF!</definedName>
    <definedName name="tab2eqip">[11]EQUIPMAG!$A$78:$H$102</definedName>
    <definedName name="tab2equip">[11]EQUIPMAG!$A$78:$H$102</definedName>
    <definedName name="tab2expo">[11]Expobois!$A$68:$H$92</definedName>
    <definedName name="tab2ipa">[11]ipa!$A$105:$H$129</definedName>
    <definedName name="tab2traca">[111]tracabilité!$A$71:$I$96</definedName>
    <definedName name="TABCEP">#REF!</definedName>
    <definedName name="TABDET">#REF!</definedName>
    <definedName name="TABEST">#REF!</definedName>
    <definedName name="table">#REF!</definedName>
    <definedName name="table_1">#REF!</definedName>
    <definedName name="TABLE_11">[5]AVP!$D$5:$D$5</definedName>
    <definedName name="Table_agrofood">[112]AGROFOODTECH00!$B$5:$H$34</definedName>
    <definedName name="table_cartes">#REF!</definedName>
    <definedName name="table_cartes01">[85]CARTES!$A$7:$H$42</definedName>
    <definedName name="table_cumul">[113]CUMUL!$A$6:$J$54</definedName>
    <definedName name="table_emb">#REF!</definedName>
    <definedName name="table_equip">[114]Graphi!$A$5:$H$56</definedName>
    <definedName name="table_equiplille">'[111]Equipmag Lille'!$A$6:$I$42</definedName>
    <definedName name="table_equiplyon">'[111]Equipmag Lyon'!$A$11:$I$56</definedName>
    <definedName name="table_equipmarseille">#REF!</definedName>
    <definedName name="table_indlyon">'[111]industrie lyon'!$A$6:$J$35</definedName>
    <definedName name="table_intermat00">[115]Intermat00!$A$6:$G$71</definedName>
    <definedName name="table_ipa">[116]IPA!$B$6:$H$62</definedName>
    <definedName name="table_manut">[117]manut!$B$5:$I$67</definedName>
    <definedName name="table_packtech">#REF!</definedName>
    <definedName name="table_packtech04">[85]PTC04!$A$5:$J$42</definedName>
    <definedName name="table_pri">#REF!</definedName>
    <definedName name="table_pristr">'[116]PRI+STR'!$B$6:$H$49</definedName>
    <definedName name="table_rfhyper">'[118]RF &amp; HYPER'!$A$6:$J$26</definedName>
    <definedName name="table_sits">#REF!</definedName>
    <definedName name="table_src2001">[117]SRC2001!$B$6:$H$36</definedName>
    <definedName name="table_str">#REF!</definedName>
    <definedName name="table_TPG">[117]TPG!$A$5:$J$56</definedName>
    <definedName name="tableagrofood">#REF!</definedName>
    <definedName name="tableipa02">[119]IPA!$A$8:$H$67</definedName>
    <definedName name="tablemeb02">[119]Emballage!$A$8:$H$67</definedName>
    <definedName name="TableName">[46]DDETABLE!$E$6</definedName>
    <definedName name="tablepri">'[119]POC SE'!$B$7:$H$40</definedName>
    <definedName name="tablepri1">[111]FEMO!$A$7:$H$39</definedName>
    <definedName name="tablesialch">#REF!</definedName>
    <definedName name="tablesmt">[120]SMT03!$A$5:$H$28</definedName>
    <definedName name="tablestr">[85]cabling!$A$7:$H$44</definedName>
    <definedName name="tablesvf">#REF!</definedName>
    <definedName name="TABREC">'[20]30'!#REF!</definedName>
    <definedName name="tabsialch2">'[85]sial chine 04'!$A$6:$H$43</definedName>
    <definedName name="Target">'[121]Target Finsum'!$AD$8</definedName>
    <definedName name="Target_Price">OFFSET([37]Ratings!$P$26,0,0,[37]ControlsH!$E$5, 1)</definedName>
    <definedName name="Taux_d_augmentation_des_salaires">#REF!</definedName>
    <definedName name="Taux_d_Impôt_sur_les_sociétés">[122]Hypothèses!$B$8</definedName>
    <definedName name="Taux_Intérêt">#REF!</definedName>
    <definedName name="Taux_Intérêt_Programmé">#REF!</definedName>
    <definedName name="TAX">[5]AVP!$C$91</definedName>
    <definedName name="Taxes_in" comment="x">Macro!$G$18:$AJ$18</definedName>
    <definedName name="Taxes_out" comment="x">Macro!$G$17:$AJ$17</definedName>
    <definedName name="TaxExpAnnual">[24]Input!#REF!</definedName>
    <definedName name="TaxExpLatestQ">[24]Input!#REF!</definedName>
    <definedName name="TaxExpYearAgo">[24]Input!#REF!</definedName>
    <definedName name="taxrate">[5]AVP!$F$13</definedName>
    <definedName name="tbond">[5]LBO!#REF!</definedName>
    <definedName name="TCP">#REF!</definedName>
    <definedName name="TCS">#REF!</definedName>
    <definedName name="TCSbis">#REF!</definedName>
    <definedName name="TCScinq">#REF!</definedName>
    <definedName name="TCSqtaer">#REF!</definedName>
    <definedName name="TCSter">#REF!</definedName>
    <definedName name="Techno">'[30]Global inputs'!$C$17</definedName>
    <definedName name="Techno_Height">'[30]Global inputs'!$C$18</definedName>
    <definedName name="Techno_Horizon">[27]Parameters!$X$17:$X$64</definedName>
    <definedName name="Techno_return">[27]Parameters!$T$17:$T$64</definedName>
    <definedName name="telop" hidden="1">{42,42,FALSE,"Eastern";42,42,FALSE,"Western"}</definedName>
    <definedName name="template">#REF!</definedName>
    <definedName name="TERMINEES">'[103]Base MAF'!$A$207:$CV$2052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_balancesheet" localSheetId="0">[36]BS!$E$33</definedName>
    <definedName name="test_balancesheet">BS!$E$33</definedName>
    <definedName name="test_bsdepcheck" localSheetId="0">[36]BS!$E$34</definedName>
    <definedName name="test_bsdepcheck">BS!$E$34</definedName>
    <definedName name="test_capexspending" localSheetId="0">[36]CapEx!$M$3</definedName>
    <definedName name="test_capexspending">CapEx!$M$3</definedName>
    <definedName name="test_cfbalance" localSheetId="0">[36]CF!$E$180</definedName>
    <definedName name="test_cfbalance">CF!$E$157</definedName>
    <definedName name="test_circref" comment="x">Outputs!$D$59</definedName>
    <definedName name="test_CIT" comment="x" localSheetId="0">[36]Macro!$E$37</definedName>
    <definedName name="test_CIT" comment="x">Macro!$E$36</definedName>
    <definedName name="Test_CIT_HoldCo">#REF!</definedName>
    <definedName name="test_dep" localSheetId="0">'[36]Dep&amp;WC'!$E$34</definedName>
    <definedName name="test_dep">Dep!$E$34</definedName>
    <definedName name="test_dsra1" localSheetId="0">[36]Macro!$E$24</definedName>
    <definedName name="test_dsra1">Macro!$E$24</definedName>
    <definedName name="test_dsra2" localSheetId="0">[36]CF!$E$98</definedName>
    <definedName name="test_dsra2">CF!$E$92</definedName>
    <definedName name="test_eqbalance" localSheetId="0">[36]Eq!$E$31</definedName>
    <definedName name="test_eqbalance">Eq!$E$31</definedName>
    <definedName name="test_eqtranslation" localSheetId="0">[36]Eq!$E$32</definedName>
    <definedName name="test_eqtranslation">Eq!$E$32</definedName>
    <definedName name="test_FCFdebt" comment="x" localSheetId="0">[36]Macro!$E$49</definedName>
    <definedName name="test_FCFdebt" comment="x">Macro!$E$48</definedName>
    <definedName name="test_funding" localSheetId="0">[36]IDC!$E$61</definedName>
    <definedName name="test_funding">IDC!$E$61</definedName>
    <definedName name="test_fx1" localSheetId="0">[36]Inputs!#REF!</definedName>
    <definedName name="test_fx1">Inputs!#REF!</definedName>
    <definedName name="test_fx2" localSheetId="0">[36]Inputs!#REF!</definedName>
    <definedName name="test_fx2">Inputs!#REF!</definedName>
    <definedName name="test_gearing">#REF!</definedName>
    <definedName name="test_gearing1" localSheetId="0">[36]BS!$E$38</definedName>
    <definedName name="test_gearing1">BS!$E$38</definedName>
    <definedName name="test_gearing2" localSheetId="0">[36]Inputs!$G$276</definedName>
    <definedName name="test_gearing2">Inputs!$F$225</definedName>
    <definedName name="test_IDCs" localSheetId="0">[36]Macro!$E$10</definedName>
    <definedName name="test_IDCs">Macro!$E$10</definedName>
    <definedName name="test_in" comment="x">Outputs!$D$48</definedName>
    <definedName name="test_jdfef" localSheetId="0">[36]Macro!$E$23</definedName>
    <definedName name="test_jdfef">Macro!$E$23</definedName>
    <definedName name="test_jdfunding" localSheetId="0">[36]DS!$E$135</definedName>
    <definedName name="test_jdfunding">DS!$E$108</definedName>
    <definedName name="test_jdprincipal" localSheetId="0">[36]DS!$E$136</definedName>
    <definedName name="test_jdprincipal">DS!$E$109</definedName>
    <definedName name="test_jdrepayment" localSheetId="0">[36]DS!$E$142</definedName>
    <definedName name="test_jdrepayment">DS!$E$115</definedName>
    <definedName name="test_jdsra" localSheetId="0">[36]Macro!$E$25</definedName>
    <definedName name="test_jdsra">Macro!$E$25</definedName>
    <definedName name="test_localtax" localSheetId="0">[36]Macro!$E$43</definedName>
    <definedName name="test_localtax">Macro!$E$42</definedName>
    <definedName name="test_mindscr" localSheetId="0">[36]CF!$E$182</definedName>
    <definedName name="test_mindscr">CF!$E$159</definedName>
    <definedName name="test_minjdscr" localSheetId="0">[36]CF!$E$184</definedName>
    <definedName name="test_minjdscr">CF!$E$160</definedName>
    <definedName name="test_minllcr" localSheetId="0">[36]CF!$E$183</definedName>
    <definedName name="test_minllcr">CF!#REF!</definedName>
    <definedName name="test_negativecash">#REF!</definedName>
    <definedName name="test_negativecash1" localSheetId="0">[36]CF!$E$115</definedName>
    <definedName name="test_negativecash1">CF!$E$94</definedName>
    <definedName name="test_negativecash2" localSheetId="0">[36]CF!$E$129</definedName>
    <definedName name="test_negativecash2">CF!$E$108</definedName>
    <definedName name="test_negativecash3" localSheetId="0">[36]CF!$E$168</definedName>
    <definedName name="test_negativecash3">CF!$E$145</definedName>
    <definedName name="test_opex" localSheetId="0">[36]CF!$E$49</definedName>
    <definedName name="test_opex">CF!$E$52</definedName>
    <definedName name="test_opperiod" localSheetId="0">[36]Flags!$E$13</definedName>
    <definedName name="test_opperiod">Flags!$E$13</definedName>
    <definedName name="test_out" comment="x" localSheetId="0">[36]Outputs!$D$60</definedName>
    <definedName name="test_out" comment="x">Outputs!$D$46</definedName>
    <definedName name="test_refifef" localSheetId="0">[36]Macro!$E$28</definedName>
    <definedName name="test_refifef">Macro!$E$27</definedName>
    <definedName name="test_resilience_sizing" localSheetId="0">[36]DS!$E$48</definedName>
    <definedName name="test_resilience_sizing">[43]DS!$E$49</definedName>
    <definedName name="test_scenario" localSheetId="0">[36]Inputs!$E$52</definedName>
    <definedName name="test_scenario">Inputs!$E$52</definedName>
    <definedName name="test_sdbalance" localSheetId="0">[36]DS!$E$77</definedName>
    <definedName name="test_sdbalance">DS!$E$58</definedName>
    <definedName name="test_sdfef" localSheetId="0">[36]Macro!$E$21</definedName>
    <definedName name="test_sdfef">Macro!$E$21</definedName>
    <definedName name="test_shlcap">#REF!</definedName>
    <definedName name="test_shlovercap1" localSheetId="0">[36]DS!$E$194</definedName>
    <definedName name="test_shlovercap1">DS!$E$167</definedName>
    <definedName name="test_shlovercap2" localSheetId="0">[36]DS!$E$155</definedName>
    <definedName name="test_shlovercap2">DS!$E$128</definedName>
    <definedName name="test_shlrepayment" localSheetId="0">[36]DS!$E$159</definedName>
    <definedName name="test_shlrepayment">DS!$E$132</definedName>
    <definedName name="test_sources" localSheetId="0">[36]IDC!$E$42</definedName>
    <definedName name="test_sources">IDC!$E$42</definedName>
    <definedName name="test_sourcesuses" localSheetId="0">[36]Inputs!$H$220</definedName>
    <definedName name="test_sourcesuses">Inputs!$H$171</definedName>
    <definedName name="test_stampduty" localSheetId="0">[36]Macro!$E$29</definedName>
    <definedName name="test_stampduty">Macro!$E$28</definedName>
    <definedName name="test_vatfacility" localSheetId="0">[36]DS!$E$40</definedName>
    <definedName name="test_vatfacility">DS!$E$36</definedName>
    <definedName name="TextRefCopyRangeCount" hidden="1">61</definedName>
    <definedName name="textToday">#REF!</definedName>
    <definedName name="TF_LAHHT2" hidden="1">{#N/A,#N/A,FALSE,"INPUTS";#N/A,#N/A,FALSE,"PROFORMA BSHEET";#N/A,#N/A,FALSE,"COMBINED";#N/A,#N/A,FALSE,"HIGH YIELD";#N/A,#N/A,FALSE,"COMB_GRAPHS"}</definedName>
    <definedName name="TFT">[5]AVP!#REF!</definedName>
    <definedName name="tftchristine" hidden="1">{42,42,FALSE,"3";42,42,FALSE,"5";42,42,FALSE,"6";42,42,FALSE,"8";42,42,FALSE,"10";42,42,FALSE,"13";42,42,FALSE,"14";42,42,FALSE,"15";42,42,FALSE,"16"}</definedName>
    <definedName name="ThreeMonthP">[26]Amoc!$B$172:$B$237</definedName>
    <definedName name="ThreeMonthV">[26]Amoc!$C$172:$C$237</definedName>
    <definedName name="TICKER">[37]Overview!$E$5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ne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itle">[46]DDETABLE!$E$8</definedName>
    <definedName name="TM1REBUILDOPTION">1</definedName>
    <definedName name="Top_margin">#REF!</definedName>
    <definedName name="Top_multiple">#REF!</definedName>
    <definedName name="TotAdminCost">[32]Workings!#REF!</definedName>
    <definedName name="total">[76]CUMUL!$M$60:$S$72</definedName>
    <definedName name="TotalAREVA">[5]AVP!$E$30:$I$71</definedName>
    <definedName name="TotalAssets" hidden="1">'[79]Audit gauge'!$G$10</definedName>
    <definedName name="TotalDebt">[24]Input!$AK$11:$AK$723</definedName>
    <definedName name="TotalReqs">[46]DDETABLE!$H$5</definedName>
    <definedName name="TotalRevenue" hidden="1">'[79]Audit gauge'!$G$12</definedName>
    <definedName name="TotalTime">[46]DDETABLE!$H$7</definedName>
    <definedName name="totchsc" hidden="1">[96]immo!$I$19:$I$27</definedName>
    <definedName name="TotCommCost">[32]Workings!#REF!</definedName>
    <definedName name="TotFixedCost">[32]Workings!#REF!</definedName>
    <definedName name="TotLicFeeIn">[32]Inputs!#REF!</definedName>
    <definedName name="totmese">#REF!</definedName>
    <definedName name="toto" hidden="1">{42,42,FALSE,"3";42,42,FALSE,"5";42,42,FALSE,"6";42,42,FALSE,"8";42,42,FALSE,"10";42,42,FALSE,"13";42,42,FALSE,"14";42,42,FALSE,"15";42,42,FALSE,"16"}</definedName>
    <definedName name="toto2" hidden="1">{42,42,FALSE,"3";42,42,FALSE,"5";42,42,FALSE,"6";42,42,FALSE,"8";42,42,FALSE,"10";42,42,FALSE,"13";42,42,FALSE,"14";42,42,FALSE,"15";42,42,FALSE,"16"}</definedName>
    <definedName name="TotOpsCost">[32]Workings!#REF!</definedName>
    <definedName name="TotvalueAdded">[32]Workings!#REF!</definedName>
    <definedName name="TRANSP">"""""""#REF!"""""""</definedName>
    <definedName name="TRAPPE1">'[44]150101 Cash Group ICVA&amp;C'!#REF!</definedName>
    <definedName name="Trasf_nonded">#REF!</definedName>
    <definedName name="trate">#REF!</definedName>
    <definedName name="tre" hidden="1">{42,42,FALSE,"Eastern";42,42,FALSE,"Western"}</definedName>
    <definedName name="TRGNOSH">[123]Assumptions!$I$10</definedName>
    <definedName name="TRI_EBITA_scenario1">[5]AVP!$D$32</definedName>
    <definedName name="TRI_EBITA_scenario2">[5]AVP!$H$32</definedName>
    <definedName name="TRI_EBITA_scenario3">[5]AVP!$L$32</definedName>
    <definedName name="TRI_EBITA_scenarios">[5]AVP!$P$32:$P$36</definedName>
    <definedName name="TRI_EBITDA_scenario1">[5]AVP!$D$26</definedName>
    <definedName name="TRI_EBITDA_scenario2">[5]AVP!$H$26</definedName>
    <definedName name="TRI_EBITDA_scenario3">[5]AVP!$L$26</definedName>
    <definedName name="TRI_EBITDA_scenarios">[5]AVP!$P$26:$P$30</definedName>
    <definedName name="trial" hidden="1">{"Cover",#N/A,FALSE,"Cover";"Summary",#N/A,FALSE,"Summarpage"}</definedName>
    <definedName name="TSO">[24]Input!$R$11:$R$723</definedName>
    <definedName name="TT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ype">#REF!</definedName>
    <definedName name="Type_données">#REF!</definedName>
    <definedName name="UK">[75]Paramètres!$E$3</definedName>
    <definedName name="unite">'[109]evolution du PIB'!$C$2</definedName>
    <definedName name="Units">'[58]Base Info'!$F$5</definedName>
    <definedName name="update">[24]Input!$A$4</definedName>
    <definedName name="US">'[124]First Page'!$F$13</definedName>
    <definedName name="usd">#REF!</definedName>
    <definedName name="v_prod">#REF!</definedName>
    <definedName name="Vail" hidden="1">{"PVGraph2",#N/A,FALSE,"PV Data"}</definedName>
    <definedName name="VAL">#REF!</definedName>
    <definedName name="valeur">#REF!</definedName>
    <definedName name="valeur2">'[39]ca 2003 au 31-12-03 (JB)'!$M$3:$M$20001</definedName>
    <definedName name="valeur3">'[39]CAMPAGNE CUMUL 2003 (PiD)'!$J$4:$J$20000</definedName>
    <definedName name="Valeurs_Entrées">IF(Montant_Prêt*Taux_Intérêt*Durée_Prêt*Début_Prêt&gt;0,1,0)</definedName>
    <definedName name="VALID_FORMATS">#REF!</definedName>
    <definedName name="VALO">#REF!</definedName>
    <definedName name="Valorisation_implicite">[97]compsge!$CB$34:$DP$47</definedName>
    <definedName name="Valuation_date">[27]Parameters!$M$5</definedName>
    <definedName name="value">3</definedName>
    <definedName name="VAR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VarAdminCostIn">[32]Inputs!#REF!</definedName>
    <definedName name="VAT_in">#REF!</definedName>
    <definedName name="VDCVDR0">#REF!</definedName>
    <definedName name="Ve">#REF!</definedName>
    <definedName name="VE_wacc">[5]Assumptions!$O$38</definedName>
    <definedName name="VE_wacc_DC">[5]Assumptions!$O$43</definedName>
    <definedName name="VE_wacc_DCdesal">[5]Assumptions!$O$44</definedName>
    <definedName name="VE_wacc_OM">[5]Assumptions!$O$42</definedName>
    <definedName name="VE_wacc_OMdesal">[5]Assumptions!$O$45</definedName>
    <definedName name="VE_wacc_OMdesalI">[5]Assumptions!$O$46</definedName>
    <definedName name="VER">#REF!</definedName>
    <definedName name="versionno">"1.0"</definedName>
    <definedName name="vert_corso">#REF!</definedName>
    <definedName name="VIEL">"""""""#REF!"""""""</definedName>
    <definedName name="vnbvbnvbn" hidden="1">#REF!</definedName>
    <definedName name="VOCP">[23]result97!#REF!</definedName>
    <definedName name="VOCS">[23]result97!#REF!</definedName>
    <definedName name="VOFAF">[23]result97!#REF!</definedName>
    <definedName name="VOFR">[23]result97!#REF!</definedName>
    <definedName name="VOSAL">[23]result97!#REF!</definedName>
    <definedName name="w" hidden="1">{"'WEB azoc prov'!$B$85:$L$123"}</definedName>
    <definedName name="Wacc">[125]Résultats!$C$26</definedName>
    <definedName name="wasauchimmerdass2" hidden="1">{#N/A,#N/A,FALSE,"Exec Summary";"FY96_View",#N/A,FALSE,"NOR Forecast";#N/A,#N/A,FALSE,"Dates"}</definedName>
    <definedName name="wasauchimmerdasseinmag" hidden="1">{#N/A,#N/A,FALSE,"Exec Summary";"FY96_View",#N/A,FALSE,"NOR Forecast";#N/A,#N/A,FALSE,"Dates"}</definedName>
    <definedName name="Watsco" hidden="1">{42,42,FALSE,"Eastern";42,42,FALSE,"Western"}</definedName>
    <definedName name="wcapital">#REF!</definedName>
    <definedName name="wdq" hidden="1">{"ProspettoImposte",42,FALSE,"Prospetto imposte";"Scritture",42,FALSE,"Scritture"}</definedName>
    <definedName name="wer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IN" hidden="1">{"' calendrier 2000'!$A$1:$Q$38"}</definedName>
    <definedName name="withhold_I">#REF!</definedName>
    <definedName name="withhold_O">#REF!</definedName>
    <definedName name="wqpkdnqwpdion" hidden="1">{"'WEB azoc prov'!$B$85:$L$123"}</definedName>
    <definedName name="wrd.2._.pagers.3" hidden="1">{"Cover",#N/A,FALSE,"Cover";"Summary",#N/A,FALSE,"Summarpage"}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..pagers." hidden="1">{"Cover",#N/A,FALSE,"Cover";"Summary",#N/A,FALSE,"Summarpage"}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Accounts.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wrn.Accounts._.and._.Assumptions.b" hidden="1">{"S&amp;U",42,FALSE,"s&amp;u";"financing",42,FALSE,"Input";"financing2",42,FALSE,"Input";"Balance Sheet",42,FALSE,"BS";"P&amp;L",42,FALSE,"P&amp;L";"Cashflow",42,FALSE,"CF"}</definedName>
    <definedName name="wrn.acq_fin_stats" hidden="1">{"Acquiror Income Statement",#N/A,TRUE,"Acquiror";"Acquiror Balance Sheet",#N/A,TRUE,"Acquiror";"Acquiror Cash Flow",#N/A,TRUE,"Acquiror"}</definedName>
    <definedName name="wrn.Acquiror._.Financial._.Statements." hidden="1">{"Acquiror Income Statement",#N/A,TRUE,"Acquiror";"Acquiror Balance Sheet",#N/A,TRUE,"Acquiror";"Acquiror Cash Flow",#N/A,TRUE,"Acquiror"}</definedName>
    <definedName name="wrn.ACTUALS.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ums.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1" hidden="1">{"Summary",#N/A,FALSE,"Sheet1";"Source_Data",#N/A,FALSE,"Sheet1"}</definedName>
    <definedName name="wrn.all_fin_stat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mortization" hidden="1">{"Exist Debt Amort",#N/A,TRUE,"Financials";"Intangible Amort",#N/A,TRUE,"Financials";"Proj Debt Amort",#N/A,TRUE,"Financials";"Proj Pfd Amort",#N/A,TRUE,"Financials"}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dy." hidden="1">{"andy_p",#N/A,FALSE,"A";"andy_s",#N/A,FALSE,"A"}</definedName>
    <definedName name="wrn.Annual._.Summary." hidden="1">{#N/A,#N/A,FALSE,"Annual Summary"}</definedName>
    <definedName name="wrn.APGM._.96.">"""NA()"""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{#N/A,#N/A,FALSE,"Assumptions"}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P.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VB." hidden="1">{"BVB",#N/A,FALSE,"Kosten"}</definedName>
    <definedName name="wrn.capital_depr." hidden="1">{"capx97",#N/A,FALSE,"Capital";"capx98",#N/A,FALSE,"Capital"}</definedName>
    <definedName name="wrn.Cash._.Flow._.Statement." hidden="1">{#N/A,#N/A,FALSE,"Financial Datas"}</definedName>
    <definedName name="wrn.Cash._.Plan." hidden="1">{"cash plan",#N/A,FALSE,"fccashflow"}</definedName>
    <definedName name="wrn.CGIS._.96.">"""NA()"""</definedName>
    <definedName name="wrn.cgis._.frequentation.">"""NA()"""</definedName>
    <definedName name="wrn.CGISSTCGIS96.">"""NA()"""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{"page1",#N/A,FALSE,"BHCOMPC5";"page2",#N/A,FALSE,"BHCOMPC5";"page3",#N/A,FALSE,"BHCOMPC5";"page4",#N/A,FALSE,"BHCOMPC5"}</definedName>
    <definedName name="wrn.Complete." hidden="1">{#N/A,#N/A,FALSE,"SMT1";#N/A,#N/A,FALSE,"SMT2";#N/A,#N/A,FALSE,"Summary";#N/A,#N/A,FALSE,"Graphs";#N/A,#N/A,FALSE,"4 Panel"}</definedName>
    <definedName name="wrn.complete._.2" hidden="1">{#N/A,#N/A,TRUE,"Reference Data";#N/A,#N/A,TRUE,"Exec Summary";"Current_FY",#N/A,TRUE,"NOR Forecast";#N/A,#N/A,TRUE,"Expenses ";#N/A,#N/A,TRUE,"Dates"}</definedName>
    <definedName name="wrn.Complete._.Project._.Report." hidden="1">{#N/A,#N/A,TRUE,"Reference Data";#N/A,#N/A,TRUE,"Exec Summary";"Current_FY",#N/A,TRUE,"NOR Forecast";#N/A,#N/A,TRUE,"Expenses ";#N/A,#N/A,TRUE,"Dates"}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tes95." hidden="1">{42,42,FALSE,"3";42,42,FALSE,"5";42,42,FALSE,"6";42,42,FALSE,"8";42,42,FALSE,"10";42,42,FALSE,"13";42,42,FALSE,"14";42,42,FALSE,"15";42,42,FALSE,"16"}</definedName>
    <definedName name="wrn.Con_fin_stat" hidden="1">{"Consolidated Income Statement",#N/A,FALSE,"Deal";"Consolidated Balance Sheet",#N/A,FALSE,"Deal";"Consolidated Cash Flow",#N/A,FALSE,"Deal"}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venants.b" hidden="1">{"Covenants",42,FALSE,"Covs";"quarterly covenants",42,FALSE,"Covs";"quarterly projections",42,FALSE,"Covs"}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database." hidden="1">{"subs",#N/A,FALSE,"database ";"proportional",#N/A,FALSE,"database "}</definedName>
    <definedName name="wrn.DCF." hidden="1">{"DCF1",#N/A,FALSE,"SIERRA DCF";"MATRIX1",#N/A,FALSE,"SIERRA DCF"}</definedName>
    <definedName name="wrn.depn." hidden="1">{"jnl",#N/A,FALSE,"Sheet1";"summ",#N/A,FALSE,"A"}</definedName>
    <definedName name="wrn.Depreciation." hidden="1">{"GAAP Deprec",#N/A,TRUE,"Financials";"Tax Deprec",#N/A,TRUE,"Financials"}</definedName>
    <definedName name="wrn.Derek." hidden="1">{#N/A,#N/A,FALSE,"Transaction_Sum_debt_Stats";#N/A,#N/A,FALSE,"Earnings Impact";#N/A,#N/A,FALSE,"Sensitivity Table"}</definedName>
    <definedName name="wrn.Derek.2" hidden="1">{#N/A,#N/A,FALSE,"Transaction_Sum_debt_Stats";#N/A,#N/A,FALSE,"Earnings Impact";#N/A,#N/A,FALSE,"Sensitivity Table"}</definedName>
    <definedName name="wrn.devdeal." hidden="1">{"top",#N/A,TRUE,"Detail";"next",#N/A,TRUE,"Detail";"then",#N/A,TRUE,"Detail";"and",#N/A,TRUE,"Detail";"inaddition",#N/A,TRUE,"Detail";"finally",#N/A,TRUE,"Detail"}</definedName>
    <definedName name="wrn.Dividend._.Schedule." hidden="1">{"Dividend",#N/A,FALSE,"Cash Flow"}</definedName>
    <definedName name="wrn.Dividend._.Schedule._1" hidden="1">{"Dividend",#N/A,FALSE,"Cash Flow"}</definedName>
    <definedName name="wrn.DSR._.Sp._.UFA._.Kun." hidden="1">{#N/A,#N/A,FALSE,"UFA_DSR Spiele"}</definedName>
    <definedName name="wrn.Economic._.Value._.Added._.Analysis." hidden="1">{"EVA",#N/A,FALSE,"EVA";"WACC",#N/A,FALSE,"WACC"}</definedName>
    <definedName name="wrn.Entire._.file.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TATS._.DE._.SYNTHESE." hidden="1">{#N/A,#N/A,FALSE,"TABLEAU DES FLUX";#N/A,#N/A,FALSE,"COMPTE DE RESULTAT";#N/A,#N/A,FALSE,"BILAN FINANCIER";#N/A,#N/A,FALSE,"BSPL_96"}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{#N/A,#N/A,FALSE,"Quarterly";#N/A,#N/A,FALSE,"Quarterly Other";#N/A,#N/A,FALSE,"Prod Rev";#N/A,#N/A,FALSE,"Balance Sheet Tracking";#N/A,#N/A,FALSE,"Annual";#N/A,#N/A,FALSE,"Balance Sheet"}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ve._.Year." hidden="1">{#N/A,"Five Year",FALSE,"Assumptions";#N/A,"Five Year",FALSE,"Annual Summary";#N/A,"Five Year",FALSE,"Quarterly Summary";#N/A,#N/A,FALSE,"IRR"}</definedName>
    <definedName name="wrn.Forecasts." hidden="1">{#N/A,#N/A,FALSE,"Forecasts"}</definedName>
    <definedName name="wrn.Full.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_.Model." hidden="1">{#N/A,#N/A,TRUE,"Cover sheet";#N/A,#N/A,TRUE,"DCF analysis";#N/A,#N/A,TRUE,"WACC calculation"}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2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b" hidden="1">{"front",42,FALSE,"Cover";"S&amp;U",42,FALSE,"s&amp;u";"financing",42,FALSE,"Input";"financing2",42,FALSE,"Input";"Ratios",42,FALSE,"Ratios";"P&amp;L",42,FALSE,"P&amp;L";"Cashflow",42,FALSE,"CF";"Balance Sheet",42,FALSE,"BS";"Exit Cap",42,FALSE,"Rets";"Returns",42,FALSE,"Rets";"Covenants",42,FALSE,"Covs";"input1",42,FALSE,"Input";"input2",42,FALSE,"Input";"input3",42,FALSE,"Input";"graph",42,FALSE,"Graphs"}</definedName>
    <definedName name="wrn.GRAPHS." hidden="1">{#N/A,#N/A,FALSE,"ACQ_GRAPHS";#N/A,#N/A,FALSE,"T_1 GRAPHS";#N/A,#N/A,FALSE,"T_2 GRAPHS";#N/A,#N/A,FALSE,"COMB_GRAPHS"}</definedName>
    <definedName name="wrn.HSV." hidden="1">{"HSV",#N/A,FALSE,"Kosten"}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RR." hidden="1">{#N/A,#N/A,FALSE,"IRR"}</definedName>
    <definedName name="wrn.LOCATIF._.96.">"""NA()"""</definedName>
    <definedName name="wrn.ltd." hidden="1">{"pty",#N/A,FALSE,"PROVSAS";#N/A,#N/A,FALSE,"PROVLTD";#N/A,#N/A,FALSE,"PROVSAS";#N/A,#N/A,FALSE,"PROVNV"}</definedName>
    <definedName name="wrn.MAY_ACTZ.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wrn.MergerModel." hidden="1">{"Deal",#N/A,FALSE,"Deal";"acquiror",#N/A,FALSE,"Acquiror";"Target",#N/A,FALSE,"Target"}</definedName>
    <definedName name="wrn.mkt_concprod." hidden="1">{"mkta",#N/A,FALSE,"mkt";"mktb",#N/A,FALSE,"mkt";"mktc",#N/A,FALSE,"mkt";"mktd",#N/A,FALSE,"mkt";"mktf",#N/A,FALSE,"mkt"}</definedName>
    <definedName name="wrn.mkt_plastics." hidden="1">{"mkte",#N/A,FALSE,"mkt"}</definedName>
    <definedName name="wrn.Monthly." hidden="1">{"Month End Performance",#N/A,FALSE,"Report";"Site Talk Times",#N/A,FALSE,"Report"}</definedName>
    <definedName name="wrn.MSR_FY96." hidden="1">{#N/A,#N/A,FALSE,"Exec Summary";"FY96_View",#N/A,FALSE,"NOR Forecast";#N/A,#N/A,FALSE,"Dates"}</definedName>
    <definedName name="wrn.MSR_FY97." hidden="1">{#N/A,#N/A,FALSE,"Exec Summary";"Current_FY",#N/A,FALSE,"NOR Forecast";#N/A,#N/A,FALSE,"Dates"}</definedName>
    <definedName name="wrn.Nico." hidden="1">{#N/A,#N/A,TRUE,"Cover";#N/A,#N/A,TRUE,"Transaction Summary";#N/A,#N/A,TRUE,"Earnings Impact";#N/A,#N/A,TRUE,"accretion dilution"}</definedName>
    <definedName name="wrn.OUTPUT." hidden="1">{"DCF","UPSIDE CASE",FALSE,"Sheet1";"DCF","BASE CASE",FALSE,"Sheet1";"DCF","DOWNSIDE CASE",FALSE,"Sheet1"}</definedName>
    <definedName name="wrn.PL._.by._.month." hidden="1">{"PL by month",#N/A,TRUE,"Financial Datas"}</definedName>
    <definedName name="wrn.planvsmodel." hidden="1">{#N/A,#N/A,FALSE,"total";#N/A,#N/A,FALSE,"cementonly";#N/A,#N/A,FALSE,"slagonly"}</definedName>
    <definedName name="wrn.plbscf." hidden="1">{"p_l",#N/A,FALSE,"Summary Accounts"}</definedName>
    <definedName name="wrn.poop" hidden="1">{"Pulp Production",#N/A,FALSE,"Pulp";"Pulp Earnings",#N/A,FALSE,"Pulp"}</definedName>
    <definedName name="wrn.PrimeCo." hidden="1">{"print 1",#N/A,FALSE,"PrimeCo PCS";"print 2",#N/A,FALSE,"PrimeCo PCS";"valuation",#N/A,FALSE,"PrimeCo PCS"}</definedName>
    <definedName name="wrn.Print." hidden="1">{"vi1",42,FALSE,"Financial Statements";"vi2",42,FALSE,"Financial Statements";42,42,FALSE,"DCF"}</definedName>
    <definedName name="wrn.print._.all.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ing._.the._.transactions._.sheets." hidden="1">{42,42,FALSE,"Eastern";42,42,FALSE,"Western"}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2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spetto." hidden="1">{"ProspettoImposte",42,FALSE,"Prospetto imposte"}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3yr.2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4yr.2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5yr.2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QQ_Quick_Merge_6yr.2" hidden="1">{"Cover",#N/A,FALSE,"Cover";"trans_sum_print",#N/A,FALSE,"Transaction Summary";"earnings_impact_6yrQQ",#N/A,FALSE,"Earnings Impact";"accr_dil_6yr",#N/A,FALSE,"accretion dilution"}</definedName>
    <definedName name="wrn.Quarterly._.Summary." hidden="1">{#N/A,#N/A,FALSE,"Quarterly Summary"}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monotone." hidden="1">{"Synthèse fonctionnement moteur",#N/A,FALSE,"Courbe mono";"Synthèse monotone 1 page",#N/A,FALSE,"Courbe mono";"Détail des calculs 3 p A3",#N/A,FALSE,"Courbe mono"}</definedName>
    <definedName name="wrn.ratios." hidden="1">{"ratios",#N/A,FALSE,"Summary Accounts"}</definedName>
    <definedName name="wrn.rep1." hidden="1">{"add",#N/A,FALSE,"code"}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sales." hidden="1">{"sales",#N/A,FALSE,"Sales";"sales existing",#N/A,FALSE,"Sales";"sales rd1",#N/A,FALSE,"Sales";"sales rd2",#N/A,FALSE,"Sales"}</definedName>
    <definedName name="wrn.Scenario._.Analysis." hidden="1">{#N/A,"Base Case",FALSE,"Revenue";#N/A,"£6.25 Fee",FALSE,"Revenue"}</definedName>
    <definedName name="wrn.Schindler." hidden="1">{#N/A,#N/A,FALSE,"Front Page";#N/A,#N/A,FALSE,"SUMMARY";#N/A,#N/A,FALSE,"CHARTS";#N/A,#N/A,FALSE,"SEGMENT";#N/A,#N/A,FALSE,"P&amp;L ACCOUNT";#N/A,#N/A,FALSE,"BALANCE SHEET &amp; CF STATEMENT";#N/A,#N/A,FALSE,"CAPITAL";#N/A,#N/A,FALSE,"VALUATION -EVA &amp; DCF"}</definedName>
    <definedName name="wrn.Scritture." hidden="1">{"Scritture",42,FALSE,"Scritture"}</definedName>
    <definedName name="wrn.Sensitivity." hidden="1">{"Sensitivity","2500/18",FALSE,"Senstivity analysis master"}</definedName>
    <definedName name="wrn.Sensitivity._1" hidden="1">{"Sensitivity","2500/18",FALSE,"Senstivity analysis master"}</definedName>
    <definedName name="wrn.SEP_ACTZ.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wrn.Sierra." hidden="1">{#N/A,#N/A,FALSE,"OXHP"}</definedName>
    <definedName name="wrn.Sika." hidden="1">{#N/A,#N/A,TRUE,"FRONT PAGE";#N/A,#N/A,TRUE,"SUMMARY";#N/A,#N/A,TRUE,"CHARTS";#N/A,#N/A,TRUE,"SEGMENT";#N/A,#N/A,TRUE,"P&amp;L ACCOUNT";#N/A,#N/A,TRUE,"BALANCE SHEET &amp; CF STATEMENT";#N/A,#N/A,TRUE,"CAPITAL";#N/A,#N/A,TRUE,"VALUATION -EVA &amp; DCF"}</definedName>
    <definedName name="wrn.step._.1." hidden="1">{#N/A,#N/A,FALSE,"1.4";#N/A,#N/A,FALSE,"2.4";#N/A,#N/A,FALSE,"2.6";#N/A,#N/A,FALSE,"2.7";#N/A,#N/A,FALSE,"2.8";#N/A,#N/A,FALSE,"2.9";#N/A,#N/A,FALSE,"2.10";#N/A,#N/A,FALSE,"2.13a";#N/A,#N/A,FALSE,"2.13b";#N/A,#N/A,FALSE,"3.1";#N/A,#N/A,FALSE,"3.3";#N/A,#N/A,FALSE,"3.4";#N/A,#N/A,FALSE,"4.2";#N/A,#N/A,FALSE,"4.4";#N/A,#N/A,FALSE,"4.9";#N/A,#N/A,FALSE,"7.2"}</definedName>
    <definedName name="wrn.step._.2." hidden="1">{#N/A,#N/A,FALSE,"1.5";#N/A,#N/A,FALSE,"1.6";#N/A,#N/A,FALSE,"1.7";#N/A,#N/A,FALSE,"3.2";#N/A,#N/A,FALSE,"5.7";#N/A,#N/A,FALSE,"6.2";#N/A,#N/A,FALSE,"6.5";#N/A,#N/A,FALSE,"7.3";#N/A,#N/A,FALSE,"7.6";#N/A,#N/A,FALSE,"8.1"}</definedName>
    <definedName name="wrn.step._.3." hidden="1">{#N/A,#N/A,FALSE,"7.8"}</definedName>
    <definedName name="wrn.step1." hidden="1">{#N/A,#N/A,FALSE,"1.1";#N/A,#N/A,FALSE,"1.4";#N/A,#N/A,FALSE,"2.4";#N/A,#N/A,FALSE,"2.5";#N/A,#N/A,FALSE,"2.7";#N/A,#N/A,FALSE,"2.8";#N/A,#N/A,FALSE,"2.13aLTD";#N/A,#N/A,FALSE,"2.10";#N/A,#N/A,FALSE,"4.2";#N/A,#N/A,FALSE,"4.4";#N/A,#N/A,FALSE,"4.6";#N/A,#N/A,FALSE,"7.2";#N/A,#N/A,FALSE,"2.13aPTY";#N/A,#N/A,FALSE,"2.13b"}</definedName>
    <definedName name="wrn.step2." hidden="1">{#N/A,#N/A,FALSE,"1.2";#N/A,#N/A,FALSE,"1.3";#N/A,#N/A,FALSE,"1.5";#N/A,#N/A,FALSE,"1.6";#N/A,#N/A,FALSE,"1.7";#N/A,#N/A,FALSE,"3.2";#N/A,#N/A,FALSE,"4.3";#N/A,#N/A,FALSE,"4.7";#N/A,#N/A,FALSE,"4.8";#N/A,#N/A,FALSE,"5.3";#N/A,#N/A,FALSE,"5.4a";#N/A,#N/A,FALSE,"5.5";#N/A,#N/A,FALSE,"5.6";#N/A,#N/A,FALSE,"5.7";#N/A,#N/A,FALSE,"6.2";#N/A,#N/A,FALSE,"6.3";#N/A,#N/A,FALSE,"6.4";#N/A,#N/A,FALSE,"6.5";#N/A,#N/A,FALSE,"7.1";#N/A,#N/A,FALSE,"7.3";#N/A,#N/A,FALSE,"7.4";#N/A,#N/A,FALSE,"7.5";#N/A,#N/A,FALSE,"7.6";#N/A,#N/A,FALSE,"8.1"}</definedName>
    <definedName name="wrn.Summary.b" hidden="1">{"front",42,TRUE,"Cover";"S&amp;U",42,TRUE,"s&amp;u";"breakdown",42,TRUE,"Breakdown";"P&amp;L",42,TRUE,"P&amp;L";"Balance Sheet",42,TRUE,"BS";"Cashflow",42,TRUE,"CF";"Exit Cap",42,TRUE,"Rets";"Returns",42,TRUE,"Rets"}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2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thèse._.monotone._.1._.page." hidden="1">{"Synthèse monotone 1 page",#N/A,FALSE,"Courbe mono"}</definedName>
    <definedName name="wrn.Synthèse._.productionet._.récupération." hidden="1">{"Synthèse fonctionnement moteur",#N/A,FALSE,"Courbe mono";"Synthèse monotone 1 page",#N/A,FALSE,"Courbe mono"}</definedName>
    <definedName name="wrn.Target._.Financial._.Statements." hidden="1">{"Target Income Statement",#N/A,FALSE,"Target";"Target Balance Sheet",#N/A,FALSE,"Target";"Target Cash Flow",#N/A,FALSE,"Target"}</definedName>
    <definedName name="wrn.target_fin_stat2" hidden="1">{"Target Income Statement",#N/A,FALSE,"Target";"Target Balance Sheet",#N/A,FALSE,"Target";"Target Cash Flow",#N/A,FALSE,"Target"}</definedName>
    <definedName name="wrn.Tax._.Results." hidden="1">{#N/A,#N/A,TRUE,"Front sheet";#N/A,#N/A,TRUE,"Index";#N/A,#N/A,TRUE,"Accounts disclosure B.2";#N/A,#N/A,TRUE,"Accounts disclosure B.3";#N/A,#N/A,TRUE,"Accounts disclosure C.1";#N/A,#N/A,TRUE,"Accounts disclosure C.2";#N/A,#N/A,TRUE,"Accounts disclosure C.3";#N/A,#N/A,TRUE,"Accounts disclosure C.4";#N/A,#N/A,TRUE,"Accounts disclosure D.1";#N/A,#N/A,TRUE,"Accounts disclosure D.2";#N/A,#N/A,TRUE,"Accounts disclosure D.3";#N/A,#N/A,TRUE,"General Pool ye 30 Nov 05";#N/A,#N/A,TRUE,"General Pool pe 31 dec 05";#N/A,#N/A,TRUE,"IBAs";#N/A,#N/A,TRUE,"Expensive Cars ye 30 Nov 05";#N/A,#N/A,TRUE,"Expensive Car pe 31 Dec 05";#N/A,#N/A,TRUE,"P &amp; L analysis TB 04_05";#N/A,#N/A,TRUE,"Accruals";#N/A,#N/A,TRUE,"Prepayments";#N/A,#N/A,TRUE,"Profit and loss acc 05";#N/A,#N/A,TRUE,"Balance Sheet";#N/A,#N/A,TRUE,"Balance Sheet Schedules"}</definedName>
    <definedName name="wrn.Taxes." hidden="1">{"Def Tax Long",#N/A,TRUE,"Financials";"Def Tax Short",#N/A,TRUE,"Financials";"Cons Tax Sched",#N/A,TRUE,"Financials"}</definedName>
    <definedName name="wrn.Ten._.Year." hidden="1">{#N/A,"Ten Year",FALSE,"Assumptions";#N/A,"Ten Year",FALSE,"Annual Summary";#N/A,"Ten Year",FALSE,"Quarterly Summary";#N/A,#N/A,FALSE,"IRR"}</definedName>
    <definedName name="wrn.test." hidden="1">{"test2",#N/A,TRUE,"Prices"}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_overview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utto." hidden="1">{"ProspettoImposte",42,FALSE,"Prospetto imposte";"Scritture",42,FALSE,"Scritture"}</definedName>
    <definedName name="wrn.UFA._.Sp._.DSR._.Kun." hidden="1">{#N/A,#N/A,FALSE,"UFA_DSR Spiele"}</definedName>
    <definedName name="wrn.UTL._.Position." hidden="1">{"UTL effect",#N/A,FALSE,"Sensitivity"}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WKKEY." hidden="1">{"SUMM",#N/A,TRUE,"C";"ACT_PROD",#N/A,TRUE,"A";"ACT_SHIP",#N/A,TRUE,"A";"BP_YLD",#N/A,TRUE,"B";"ACTZ_PROD",#N/A,TRUE,"D";"ACTZ_SHIP",#N/A,TRUE,"D";"ACTZ_YLD",#N/A,TRUE,"E";"CPSI_PROD",#N/A,TRUE,"F";"CPSI_SHIP",#N/A,TRUE,"F"}</definedName>
    <definedName name="wrn_cont_margin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setm" hidden="1">{42,42,FALSE,"Eastern";42,42,FALSE,"Western"}</definedName>
    <definedName name="wvu.Aggregato." hidden="1">{TRUE,TRUE,-1.25,-15.5,484.5,253.5,FALSE,TRUE,TRUE,TRUE,0,1,8,1,4,7,3,4,TRUE,TRUE,3,TRUE,1,TRUE,100,"Swvu.Aggregato.","ACwvu.Aggregato.",#N/A,FALSE,FALSE,0,0,0.393700787401575,0.393700787401575,2,"","&amp;C&amp;""Arial,Normale""&amp;8&amp;P",FALSE,FALSE,FALSE,FALSE,1,99,#N/A,#N/A,"=R4C1:R293C17","=R1:R3",#N/A,#N/A,FALSE,FALSE,FALSE,9,65532,65532,FALSE,FALSE,FALSE,FALSE,TRUE}</definedName>
    <definedName name="wvu.Bilancio." hidden="1">{TRUE,TRUE,-1.25,-15.5,484.5,253.5,FALSE,TRUE,TRUE,TRUE,0,1,17,1,4,15,3,4,TRUE,TRUE,3,TRUE,1,TRUE,100,"Swvu.Bilancio.","ACwvu.Bilancio.",#N/A,FALSE,FALSE,0.590551181102362,0,0.393700787401575,0.393700787401575,1,"","&amp;C&amp;""Arial,Normale""&amp;8&amp;P",FALSE,FALSE,FALSE,FALSE,1,135,#N/A,#N/A,"=R4C1:R293C19","=R1:R3","Rwvu.Bilancio.","Cwvu.Bilancio.",FALSE,FALSE,TRUE,9,65532,65532,FALSE,FALSE,FALSE,FALSE,TRUE}</definedName>
    <definedName name="wvu.CA." hidden="1">{TRUE,TRUE,-0.5,-14.75,603,342,FALSE,TRUE,TRUE,TRUE,0,2,5,6,7,2,1,4,TRUE,TRUE,3,TRUE,1,TRUE,90,"Swvu.CA.","ACwvu.CA.",42,FALSE,FALSE,0,0,0,0,2,"","",TRUE,FALSE,FALSE,FALSE,1,57,42,42,FALSE,FALSE,"Rwvu.CA.",42,FALSE,FALSE,FALSE,9,65532,65532,FALSE,FALSE,TRUE,TRUE,TRUE}</definedName>
    <definedName name="wvu.cacomptable." hidden="1">{TRUE,TRUE,-0.5,-14.75,603,342,FALSE,TRUE,TRUE,TRUE,0,1,15,6,7,13,1,4,TRUE,TRUE,3,TRUE,1,TRUE,90,"Swvu.cacomptable.","ACwvu.cacomptable.",42,FALSE,FALSE,0,0,0,0,2,"","",TRUE,FALSE,FALSE,FALSE,1,57,42,42,FALSE,FALSE,"Rwvu.cacomptable.",42,FALSE,FALSE,FALSE,9,65532,65532,FALSE,FALSE,TRUE,TRUE,TRUE}</definedName>
    <definedName name="wvu.CAMB." hidden="1">{TRUE,TRUE,-0.5,-14.75,603,342,FALSE,TRUE,TRUE,TRUE,0,1,3,6,7,2,1,4,TRUE,TRUE,3,TRUE,1,TRUE,90,"Swvu.CAMB.","ACwvu.CAMB.",42,FALSE,FALSE,0,0,0,0,2,"","",TRUE,FALSE,FALSE,FALSE,1,57,42,42,FALSE,FALSE,"Rwvu.CAMB.",42,FALSE,FALSE,FALSE,9,65532,65532,FALSE,FALSE,TRUE,TRUE,TRUE}</definedName>
    <definedName name="wvu.CAREEL." hidden="1">{TRUE,TRUE,-0.5,-14.75,603,342,FALSE,TRUE,TRUE,TRUE,0,2,5,6,7,2,1,4,TRUE,TRUE,3,TRUE,1,TRUE,90,"Swvu.CAREEL.","ACwvu.CAREEL.",42,FALSE,FALSE,0,0,0,0,2,"","",TRUE,FALSE,FALSE,FALSE,1,57,42,42,FALSE,FALSE,"Rwvu.CAREEL.",42,FALSE,FALSE,FALSE,9,65532,65532,FALSE,FALSE,TRUE,TRUE,TRUE}</definedName>
    <definedName name="wvu.COUTS." hidden="1">{TRUE,TRUE,-0.5,-14.75,603,342,FALSE,TRUE,TRUE,TRUE,0,1,5,6,7,3,1,4,TRUE,TRUE,3,TRUE,1,TRUE,90,"Swvu.COUTS.","ACwvu.COUTS.",42,FALSE,FALSE,0,0,0,0,2,"","",TRUE,FALSE,FALSE,FALSE,1,57,42,42,FALSE,FALSE,"Rwvu.COUTS.",42,FALSE,FALSE,FALSE,9,65532,65532,FALSE,FALSE,TRUE,TRUE,TRUE}</definedName>
    <definedName name="wvu.COUTSREEL." hidden="1">{TRUE,TRUE,-0.5,-14.75,603,342,FALSE,TRUE,TRUE,TRUE,0,1,6,6,7,5,1,4,TRUE,TRUE,3,TRUE,1,TRUE,90,"Swvu.COUTSREEL.","ACwvu.COUTSREEL.",42,FALSE,FALSE,0,0,0,0,2,"","",TRUE,FALSE,FALSE,FALSE,1,57,42,42,FALSE,FALSE,"Rwvu.COUTSREEL.",42,FALSE,FALSE,FALSE,9,65532,65532,FALSE,FALSE,TRUE,TRUE,TRUE}</definedName>
    <definedName name="wvu.GLOBAL." hidden="1">{TRUE,TRUE,-0.5,-14.75,603,342,FALSE,TRUE,TRUE,TRUE,0,1,4,6,7,3,1,4,TRUE,TRUE,3,TRUE,1,TRUE,90,"Swvu.GLOBAL.","ACwvu.GLOBAL.",42,FALSE,FALSE,0,0,0,0,2,"","",TRUE,FALSE,FALSE,FALSE,1,57,42,42,FALSE,FALSE,42,42,FALSE,FALSE,FALSE,9,65532,65532,FALSE,FALSE,TRUE,TRUE,TRUE}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tampa._.aggregato." hidden="1">{TRUE,TRUE,-0.5,-14.75,483,252,FALSE,TRUE,TRUE,TRUE,0,1,8,1,4,7,3,4,TRUE,TRUE,3,TRUE,1,TRUE,100,"Swvu.Stampa._.aggregato.","ACwvu.Stampa._.aggregato.",#N/A,FALSE,FALSE,0,0,0.590551181102362,0.590551181102362,2,"","&amp;C&amp;""Arial,Normale""&amp;8&amp;P",FALSE,FALSE,FALSE,FALSE,1,90,#N/A,#N/A,"=R4C1:R306C18","=R1:R3",#N/A,#N/A,FALSE,FALSE,FALSE,9,65532,65532,FALSE,FALSE,FALSE,FALS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{"'WEB azoc prov'!$B$85:$L$123"}</definedName>
    <definedName name="wwwwww" hidden="1">{"'WEB azoc prov'!$B$85:$L$123"}</definedName>
    <definedName name="X">[116]IPA!$A$7:$H$62</definedName>
    <definedName name="xCA">#REF!</definedName>
    <definedName name="xCAn">#REF!</definedName>
    <definedName name="xCAn_1">#REF!</definedName>
    <definedName name="xCAn1">#REF!</definedName>
    <definedName name="xCAn2">#REF!</definedName>
    <definedName name="xEBITA">#REF!</definedName>
    <definedName name="xEbita_scenario1">[5]AVP!$C$32</definedName>
    <definedName name="xEbita_scenario2">[5]AVP!$G$32</definedName>
    <definedName name="xEbita_scenario3">[5]AVP!$K$32</definedName>
    <definedName name="xEbita_scenarios">[5]AVP!$O$32:$O$36</definedName>
    <definedName name="xEbitda_scenario1">[5]AVP!$C$26</definedName>
    <definedName name="xEbitda_scenario2">[5]AVP!$G$26</definedName>
    <definedName name="xEbitda_scenario3">[5]AVP!$K$26</definedName>
    <definedName name="xEbitda_scenarios">[5]AVP!$O$26:$O$30</definedName>
    <definedName name="xEBITDAn">#REF!</definedName>
    <definedName name="xEBITDAn_1">#REF!</definedName>
    <definedName name="xEBITDAn1">#REF!</definedName>
    <definedName name="xEBITDAn2">#REF!</definedName>
    <definedName name="xEBITn">#REF!</definedName>
    <definedName name="xEBITn_1">#REF!</definedName>
    <definedName name="xEBITn1">#REF!</definedName>
    <definedName name="xEBITn2">#REF!</definedName>
    <definedName name="xRange10001">#REF!</definedName>
    <definedName name="xRange10002">#REF!</definedName>
    <definedName name="xRange10003">#REF!</definedName>
    <definedName name="xRange10004">#REF!</definedName>
    <definedName name="xRange10006">#REF!</definedName>
    <definedName name="xRange10007">#REF!</definedName>
    <definedName name="xRange10008">#REF!</definedName>
    <definedName name="xrate">#REF!</definedName>
    <definedName name="XRefColumnsCount" hidden="1">1</definedName>
    <definedName name="XRefPasteRangeCount" hidden="1">1</definedName>
    <definedName name="xx" hidden="1">{#N/A,#N/A,FALSE,"ACQ_GRAPHS";#N/A,#N/A,FALSE,"T_1 GRAPHS";#N/A,#N/A,FALSE,"T_2 GRAPHS";#N/A,#N/A,FALSE,"COMB_GRAPHS"}</definedName>
    <definedName name="xxx" hidden="1">{"Rev and Exp",#N/A,TRUE,"Financials";"Working Capital",#N/A,TRUE,"Financials"}</definedName>
    <definedName name="xxxx" hidden="1">{"Cover",42,FALSE,"Cover";"Summary",42,FALSE,"Summarpage"}</definedName>
    <definedName name="Y_E">[55]Cover!$E$43</definedName>
    <definedName name="Year_to_date">#REF!</definedName>
    <definedName name="Year0">[55]Cover!$E$44</definedName>
    <definedName name="Years">'[27]Discount rate'!$D$4:$V$4</definedName>
    <definedName name="Years_flows">'[27]Data 2023'!$AF$2:$CG$2</definedName>
    <definedName name="YesNo">[46]DDETABLE!$AK$2:$AK$3</definedName>
    <definedName name="YuanDol2004">[124]ExchangeRate!$X$8</definedName>
    <definedName name="YuanDol2005">[124]ExchangeRate!$AE$8</definedName>
    <definedName name="yuuuuuuu" hidden="1">{"ratios",#N/A,FALSE,"Summary Accounts"}</definedName>
    <definedName name="yy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yyyy" hidden="1">{"p_l",#N/A,FALSE,"Summary Accounts"}</definedName>
    <definedName name="z" hidden="1">{#N/A,#N/A,FALSE,"INPUTS";#N/A,#N/A,FALSE,"PROFORMA BSHEET";#N/A,#N/A,FALSE,"COMBINED";#N/A,#N/A,FALSE,"ACQUIROR";#N/A,#N/A,FALSE,"TARGET 1";#N/A,#N/A,FALSE,"TARGET 2";#N/A,#N/A,FALSE,"HIGH YIELD";#N/A,#N/A,FALSE,"OVERFUND"}</definedName>
    <definedName name="Z_1CB4D826_C6A9_411F_ABE4_B798923437D2_.wvu.PrintArea" hidden="1">#REF!</definedName>
    <definedName name="Z_1CB4D826_C6A9_411F_ABE4_B798923437D2_.wvu.PrintTitles" hidden="1">#REF!</definedName>
    <definedName name="Z_37058041_FEB8_11D1_A51B_0060087A4F48_.wvu.Cols" hidden="1">#REF!</definedName>
    <definedName name="Z_37058041_FEB8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38DC6ADF_FBA5_11D1_A51B_0060087A4F48_.wvu.Cols" hidden="1">#REF!</definedName>
    <definedName name="Z_38DC6ADF_FBA5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44723465_A28D_11D3_8559_00105AC54B9D_.wvu.Rows" hidden="1">#REF!</definedName>
    <definedName name="Z_4A1FB042_FBB8_11D1_A51B_0060087A4F48_.wvu.Cols" hidden="1">#REF!</definedName>
    <definedName name="Z_4A1FB042_FBB8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4A1FB07D_FBB8_11D1_A51B_0060087A4F48_.wvu.Cols" hidden="1">#REF!</definedName>
    <definedName name="Z_4A1FB07D_FBB8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519FE6F1_550C_11D5_808F_0004761B1EB5_.wvu.Rows" hidden="1">#REF!</definedName>
    <definedName name="Z_71C3B941_FBC0_11D1_A51B_0060087A4F48_.wvu.Cols" hidden="1">#REF!</definedName>
    <definedName name="Z_71C3B941_FBC0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9BB5D4E1_FC60_11D1_A51B_0060087A4F48_.wvu.Cols" hidden="1">#REF!</definedName>
    <definedName name="Z_9BB5D4E1_FC60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9BB5D586_FC60_11D1_A51B_0060087A4F48_.wvu.Cols" hidden="1">#REF!</definedName>
    <definedName name="Z_9BB5D586_FC60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9BB5D5B3_FC60_11D1_A51B_0060087A4F48_.wvu.Cols" hidden="1">#REF!</definedName>
    <definedName name="Z_9BB5D5B3_FC60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9BB5D5B5_FC60_11D1_A51B_0060087A4F48_.wvu.Cols" hidden="1">#REF!</definedName>
    <definedName name="Z_9BB5D5B5_FC60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A569F4E3_AC0B_11D5_B19A_00104B9C93F1_.wvu.PrintArea" hidden="1">#REF!</definedName>
    <definedName name="Z_A569F4E3_AC0B_11D5_B19A_00104B9C93F1_.wvu.Rows" hidden="1">#REF!,#REF!</definedName>
    <definedName name="Z_ADCD5FC1_FBC2_11D1_A51B_0060087A4F48_.wvu.Cols" hidden="1">#REF!</definedName>
    <definedName name="Z_ADCD5FC1_FBC2_11D1_A51B_0060087A4F48_.wvu.Rows" hidden="1">'[60]Prospetto di consolidamento'!$A$8:$IV$8,'[60]Prospetto di consolidamento'!$A$12:$IV$13,'[60]Prospetto di consolidamento'!$A$15:$IV$15,'[60]Prospetto di consolidamento'!$A$50:$IV$51,'[60]Prospetto di consolidamento'!$A$64:$IV$66,'[60]Prospetto di consolidamento'!$A$78:$IV$78,'[60]Prospetto di consolidamento'!$A$95:$IV$95,'[60]Prospetto di consolidamento'!$A$102:$IV$102,'[60]Prospetto di consolidamento'!$A$125:$IV$127,'[60]Prospetto di consolidamento'!$A$154:$IV$156,'[60]Prospetto di consolidamento'!$A$158:$IV$158,'[60]Prospetto di consolidamento'!$A$165:$IV$165,'[60]Prospetto di consolidamento'!$A$176:$IV$176,'[60]Prospetto di consolidamento'!$A$197:$IV$197,'[60]Prospetto di consolidamento'!$A$211:$IV$216,'[60]Prospetto di consolidamento'!$A$227:$IV$236,'[60]Prospetto di consolidamento'!$A$247:$IV$253,'[60]Prospetto di consolidamento'!$A$294:$IV$294,'[60]Prospetto di consolidamento'!$A$331:$IV$332,'[60]Prospetto di consolidamento'!$A$449:$IV$449,'[60]Prospetto di consolidamento'!$A$454:$IV$454,'[60]Prospetto di consolidamento'!$A$463:$IV$463,'[60]Prospetto di consolidamento'!$A$495:$IV$495,'[60]Prospetto di consolidamento'!$A$506:$IV$506,'[60]Prospetto di consolidamento'!$A$522:$IV$522,'[60]Prospetto di consolidamento'!$A$545:$IV$545,'[60]Prospetto di consolidamento'!$A$549:$IV$550,'[60]Prospetto di consolidamento'!$A$556:$IV$557,'[60]Prospetto di consolidamento'!$A$560:$IV$560</definedName>
    <definedName name="Z_D68EC0C8_FFCB_11D3_984B_00105AF27438_.wvu.PrintArea" hidden="1">'[126]Conto Economico'!#REF!</definedName>
    <definedName name="za">'[34]ca 2004 au 31-12-04 (JB)'!$AJ$2</definedName>
    <definedName name="zaza" hidden="1">{"'WEB azoc prov'!$B$85:$L$123"}</definedName>
    <definedName name="zbis">#REF!</definedName>
    <definedName name="zdesds">#REF!</definedName>
    <definedName name="ze">'[34]ca 2004 au 31-12-04 (JB)'!$AH$2</definedName>
    <definedName name="zertyu">{"Client Name or Project Name"}</definedName>
    <definedName name="zezez">#REF!</definedName>
    <definedName name="zezezeezez">[97]compsge!$A$13:$DP$41</definedName>
    <definedName name="ZOCS">[23]result97!#REF!</definedName>
    <definedName name="ZODEP">[23]result97!#REF!</definedName>
    <definedName name="zona1">#REF!</definedName>
    <definedName name="zona2">#REF!</definedName>
    <definedName name="zona3">#REF!</definedName>
    <definedName name="zona4">#REF!</definedName>
    <definedName name="zona5">#REF!</definedName>
    <definedName name="zona6">#REF!</definedName>
    <definedName name="zona7">#REF!</definedName>
    <definedName name="zona8">#REF!</definedName>
    <definedName name="zona9">#REF!</definedName>
    <definedName name="zonak1">#REF!</definedName>
    <definedName name="zonak2">#REF!</definedName>
    <definedName name="zonak3">#REF!</definedName>
    <definedName name="zonak4">#REF!</definedName>
    <definedName name="zonak5">#REF!</definedName>
    <definedName name="zonak6">#REF!</definedName>
    <definedName name="zonak7">#REF!</definedName>
    <definedName name="zonak8">#REF!</definedName>
    <definedName name="zonak9">#REF!</definedName>
    <definedName name="Zone_impres_MI">[5]AVP!$A$1:$P$65</definedName>
    <definedName name="zter">#REF!</definedName>
    <definedName name="zttt" hidden="1">{#N/A,#N/A,FALSE,"INPUTS";#N/A,#N/A,FALSE,"PROFORMA BSHEET";#N/A,#N/A,FALSE,"COMBINED";#N/A,#N/A,FALSE,"HIGH YIELD";#N/A,#N/A,FALSE,"COMB_GRAPHS"}</definedName>
    <definedName name="zz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zzzz">#REF!</definedName>
    <definedName name="zzzzz">#REF!</definedName>
    <definedName name="zzzzzzzqqqqq" hidden="1">{"ProspettoImposte",42,FALSE,"Prospetto imposte";"Scritture",42,FALSE,"Scritture"}</definedName>
    <definedName name="zzzzzzzzz" hidden="1">{"'WEB azoc prov'!$B$85:$L$123"}</definedName>
    <definedName name="zzzzzzzzzzz">#REF!</definedName>
    <definedName name="zzzzzzzzzzzzzzzzzzzz">#REF!</definedName>
    <definedName name="ך.חטטועא5רהטארכהואכנא" hidden="1">{"גביה התחלה 1",#N/A,FALSE,"ינואר 02";"גביה התחלה 2",#N/A,FALSE,"ינואר 02";"גביה  התחלה 3",#N/A,FALSE,"ינואר 02"}</definedName>
    <definedName name="ךך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ךךך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ךלךל" hidden="1">{"גביה התחלה 1",#N/A,FALSE,"ינואר 02";"גביה התחלה 2",#N/A,FALSE,"ינואר 02";"גביה  התחלה 3",#N/A,FALSE,"ינואר 02"}</definedName>
    <definedName name="ךלןו" hidden="1">{"גביה התחלה 1",#N/A,FALSE,"ינואר 02";"גביה התחלה 2",#N/A,FALSE,"ינואר 02";"גביה  התחלה 3",#N/A,FALSE,"ינואר 02"}</definedName>
    <definedName name="ךןין1" hidden="1">{"גביה התחלה 1",#N/A,FALSE,"ינואר 02";"גביה התחלה 2",#N/A,FALSE,"ינואר 02";"גביה  התחלה 3",#N/A,FALSE,"ינואר 02"}</definedName>
    <definedName name="ךףיחלןעי" hidden="1">{"גביה התחלה 1",#N/A,FALSE,"ינואר 02";"גביה התחלה 2",#N/A,FALSE,"ינואר 02";"גביה  התחלה 3",#N/A,FALSE,"ינואר 02"}</definedName>
    <definedName name="םלן" hidden="1">{"גביה התחלה 1",#N/A,FALSE,"ינואר 02";"גביה התחלה 2",#N/A,FALSE,"ינואר 02";"גביה  התחלה 3",#N/A,FALSE,"ינואר 02"}</definedName>
    <definedName name="םןו" hidden="1">{"גביה התחלה 1",#N/A,FALSE,"ינואר 02";"גביה התחלה 2",#N/A,FALSE,"ינואר 02";"גביה  התחלה 3",#N/A,FALSE,"ינואר 02"}</definedName>
    <definedName name="םןפ" hidden="1">{"גביה התחלה 1",#N/A,FALSE,"ינואר 02";"גביה התחלה 2",#N/A,FALSE,"ינואר 02";"גביה  התחלה 3",#N/A,FALSE,"ינואר 02"}</definedName>
    <definedName name="םןפט" hidden="1">{"גביה התחלה 1",#N/A,FALSE,"ינואר 02";"גביה התחלה 2",#N/A,FALSE,"ינואר 02";"גביה  התחלה 3",#N/A,FALSE,"ינואר 02"}</definedName>
    <definedName name="םפ" hidden="1">{"גביה התחלה 1",#N/A,FALSE,"ינואר 02";"גביה התחלה 2",#N/A,FALSE,"ינואר 02";"גביה  התחלה 3",#N/A,FALSE,"ינואר 02"}</definedName>
    <definedName name="ןוצמ" hidden="1">{"גביה התחלה 1",#N/A,FALSE,"ינואר 02";"גביה התחלה 2",#N/A,FALSE,"ינואר 02";"גביה  התחלה 3",#N/A,FALSE,"ינואר 02"}</definedName>
    <definedName name="ןם" hidden="1">{"גביה התחלה 1",#N/A,FALSE,"ינואר 02";"גביה התחלה 2",#N/A,FALSE,"ינואר 02";"גביה  התחלה 3",#N/A,FALSE,"ינואר 02"}</definedName>
    <definedName name="ןםל" hidden="1">{"גביה התחלה 1",#N/A,FALSE,"ינואר 02";"גביה התחלה 2",#N/A,FALSE,"ינואר 02";"גביה  התחלה 3",#N/A,FALSE,"ינואר 02"}</definedName>
    <definedName name="ץתצ" hidden="1">{"גביה התחלה 1",#N/A,FALSE,"ינואר 02";"גביה התחלה 2",#N/A,FALSE,"ינואר 02";"גביה  התחלה 3",#N/A,FALSE,"ינואר 02"}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" i="32" l="1"/>
  <c r="J159" i="59"/>
  <c r="H154" i="59"/>
  <c r="J154" i="59"/>
  <c r="H139" i="59"/>
  <c r="J139" i="59"/>
  <c r="J20" i="59"/>
  <c r="J21" i="59"/>
  <c r="J22" i="59"/>
  <c r="I22" i="59"/>
  <c r="AJ109" i="32"/>
  <c r="AI109" i="32"/>
  <c r="AH109" i="32"/>
  <c r="AG109" i="32"/>
  <c r="AF109" i="32"/>
  <c r="AF111" i="32" s="1"/>
  <c r="AE109" i="32"/>
  <c r="AD109" i="32"/>
  <c r="AC109" i="32"/>
  <c r="AB109" i="32"/>
  <c r="AA109" i="32"/>
  <c r="AA111" i="32" s="1"/>
  <c r="Z109" i="32"/>
  <c r="Y109" i="32"/>
  <c r="Y111" i="32" s="1"/>
  <c r="X109" i="32"/>
  <c r="X111" i="32" s="1"/>
  <c r="W109" i="32"/>
  <c r="V109" i="32"/>
  <c r="U109" i="32"/>
  <c r="U111" i="32" s="1"/>
  <c r="T109" i="32"/>
  <c r="S109" i="32"/>
  <c r="R109" i="32"/>
  <c r="Q109" i="32"/>
  <c r="P109" i="32"/>
  <c r="P111" i="32" s="1"/>
  <c r="O109" i="32"/>
  <c r="N109" i="32"/>
  <c r="M109" i="32"/>
  <c r="L109" i="32"/>
  <c r="K109" i="32"/>
  <c r="K111" i="32" s="1"/>
  <c r="J109" i="32"/>
  <c r="I109" i="32"/>
  <c r="I111" i="32" s="1"/>
  <c r="H109" i="32"/>
  <c r="H111" i="32" s="1"/>
  <c r="G109" i="32"/>
  <c r="F109" i="32"/>
  <c r="E109" i="32"/>
  <c r="D109" i="32"/>
  <c r="AJ107" i="32"/>
  <c r="AI107" i="32"/>
  <c r="AH107" i="32"/>
  <c r="AH111" i="32" s="1"/>
  <c r="AG107" i="32"/>
  <c r="AF107" i="32"/>
  <c r="AE107" i="32"/>
  <c r="AE111" i="32" s="1"/>
  <c r="AD107" i="32"/>
  <c r="AC107" i="32"/>
  <c r="AB107" i="32"/>
  <c r="AB111" i="32" s="1"/>
  <c r="AA107" i="32"/>
  <c r="Z107" i="32"/>
  <c r="Y107" i="32"/>
  <c r="X107" i="32"/>
  <c r="W107" i="32"/>
  <c r="V107" i="32"/>
  <c r="U107" i="32"/>
  <c r="T107" i="32"/>
  <c r="T111" i="32" s="1"/>
  <c r="S107" i="32"/>
  <c r="R107" i="32"/>
  <c r="Q107" i="32"/>
  <c r="P107" i="32"/>
  <c r="O107" i="32"/>
  <c r="N107" i="32"/>
  <c r="M107" i="32"/>
  <c r="L111" i="32"/>
  <c r="K107" i="32"/>
  <c r="J107" i="32"/>
  <c r="I107" i="32"/>
  <c r="H107" i="32"/>
  <c r="G107" i="32"/>
  <c r="F107" i="32"/>
  <c r="E107" i="32"/>
  <c r="D107" i="32"/>
  <c r="D111" i="32" s="1"/>
  <c r="D103" i="32"/>
  <c r="AH112" i="32"/>
  <c r="AG112" i="32"/>
  <c r="AF112" i="32"/>
  <c r="AE112" i="32"/>
  <c r="AD112" i="32"/>
  <c r="AC112" i="32"/>
  <c r="AB112" i="32"/>
  <c r="AA112" i="32"/>
  <c r="Z112" i="32"/>
  <c r="Y112" i="32"/>
  <c r="X112" i="32"/>
  <c r="W112" i="32"/>
  <c r="V112" i="32"/>
  <c r="U112" i="32"/>
  <c r="T112" i="32"/>
  <c r="S112" i="32"/>
  <c r="R112" i="32"/>
  <c r="Q112" i="32"/>
  <c r="P112" i="32"/>
  <c r="O112" i="32"/>
  <c r="N112" i="32"/>
  <c r="M112" i="32"/>
  <c r="L112" i="32"/>
  <c r="K112" i="32"/>
  <c r="J112" i="32"/>
  <c r="I112" i="32"/>
  <c r="H112" i="32"/>
  <c r="G112" i="32"/>
  <c r="F112" i="32"/>
  <c r="E112" i="32"/>
  <c r="AG111" i="32"/>
  <c r="AD111" i="32"/>
  <c r="AC111" i="32"/>
  <c r="Z111" i="32"/>
  <c r="W111" i="32"/>
  <c r="V111" i="32"/>
  <c r="S111" i="32"/>
  <c r="R111" i="32"/>
  <c r="Q111" i="32"/>
  <c r="O111" i="32"/>
  <c r="N111" i="32"/>
  <c r="M111" i="32"/>
  <c r="J111" i="32"/>
  <c r="G111" i="32"/>
  <c r="F111" i="32"/>
  <c r="E111" i="32"/>
  <c r="D112" i="32"/>
  <c r="H289" i="59"/>
  <c r="H242" i="59"/>
  <c r="E3" i="62"/>
  <c r="F3" i="62"/>
  <c r="G3" i="62"/>
  <c r="H3" i="62"/>
  <c r="I3" i="62"/>
  <c r="J3" i="62"/>
  <c r="K3" i="62"/>
  <c r="L3" i="62"/>
  <c r="M3" i="62"/>
  <c r="N3" i="62"/>
  <c r="O3" i="62"/>
  <c r="P3" i="62"/>
  <c r="Q3" i="62"/>
  <c r="R3" i="62"/>
  <c r="S3" i="62"/>
  <c r="T3" i="62"/>
  <c r="U3" i="62"/>
  <c r="V3" i="62"/>
  <c r="W3" i="62"/>
  <c r="X3" i="62"/>
  <c r="Y3" i="62"/>
  <c r="Z3" i="62"/>
  <c r="AA3" i="62"/>
  <c r="AB3" i="62"/>
  <c r="AC3" i="62"/>
  <c r="AD3" i="62"/>
  <c r="AE3" i="62"/>
  <c r="AF3" i="62"/>
  <c r="AG3" i="62"/>
  <c r="AH3" i="62"/>
  <c r="D3" i="62"/>
  <c r="T16" i="60"/>
  <c r="T39" i="60"/>
  <c r="B53" i="61"/>
  <c r="C47" i="61"/>
  <c r="C50" i="61" s="1"/>
  <c r="M11" i="61"/>
  <c r="M34" i="61" s="1"/>
  <c r="L11" i="61"/>
  <c r="L34" i="61" s="1"/>
  <c r="K11" i="61"/>
  <c r="J11" i="61"/>
  <c r="I11" i="61"/>
  <c r="I34" i="61" s="1"/>
  <c r="H11" i="61"/>
  <c r="H34" i="61" s="1"/>
  <c r="G11" i="61"/>
  <c r="G34" i="61" s="1"/>
  <c r="F11" i="61"/>
  <c r="E11" i="61"/>
  <c r="D11" i="61"/>
  <c r="D34" i="61" s="1"/>
  <c r="M5" i="61"/>
  <c r="M33" i="61" s="1"/>
  <c r="L5" i="61"/>
  <c r="L33" i="61" s="1"/>
  <c r="K5" i="61"/>
  <c r="K33" i="61" s="1"/>
  <c r="J5" i="61"/>
  <c r="J33" i="61" s="1"/>
  <c r="I5" i="61"/>
  <c r="I33" i="61" s="1"/>
  <c r="H5" i="61"/>
  <c r="H33" i="61" s="1"/>
  <c r="G5" i="61"/>
  <c r="F5" i="61"/>
  <c r="F33" i="61" s="1"/>
  <c r="E5" i="61"/>
  <c r="E33" i="61" s="1"/>
  <c r="D5" i="61"/>
  <c r="D33" i="61" s="1"/>
  <c r="M3" i="61"/>
  <c r="L3" i="61"/>
  <c r="K3" i="61"/>
  <c r="J3" i="61"/>
  <c r="I3" i="61"/>
  <c r="H3" i="61"/>
  <c r="G3" i="61"/>
  <c r="F3" i="61"/>
  <c r="E3" i="61"/>
  <c r="D3" i="61"/>
  <c r="X47" i="60"/>
  <c r="T47" i="60"/>
  <c r="S47" i="60"/>
  <c r="R47" i="60"/>
  <c r="C47" i="60"/>
  <c r="B47" i="60"/>
  <c r="X46" i="60"/>
  <c r="T46" i="60"/>
  <c r="S46" i="60"/>
  <c r="R46" i="60"/>
  <c r="K46" i="60"/>
  <c r="Q46" i="60" s="1"/>
  <c r="C46" i="60"/>
  <c r="B46" i="60"/>
  <c r="X45" i="60"/>
  <c r="T45" i="60"/>
  <c r="S45" i="60"/>
  <c r="R45" i="60"/>
  <c r="C45" i="60"/>
  <c r="B45" i="60"/>
  <c r="X44" i="60"/>
  <c r="T44" i="60"/>
  <c r="S44" i="60"/>
  <c r="R44" i="60"/>
  <c r="K44" i="60"/>
  <c r="Q44" i="60" s="1"/>
  <c r="C44" i="60"/>
  <c r="B44" i="60"/>
  <c r="X43" i="60"/>
  <c r="T43" i="60"/>
  <c r="S43" i="60"/>
  <c r="R43" i="60"/>
  <c r="C43" i="60"/>
  <c r="B43" i="60"/>
  <c r="X42" i="60"/>
  <c r="T42" i="60"/>
  <c r="S42" i="60"/>
  <c r="R42" i="60"/>
  <c r="K42" i="60"/>
  <c r="C42" i="60"/>
  <c r="B42" i="60"/>
  <c r="X41" i="60"/>
  <c r="T41" i="60"/>
  <c r="S41" i="60"/>
  <c r="R41" i="60"/>
  <c r="C41" i="60"/>
  <c r="B41" i="60"/>
  <c r="X40" i="60"/>
  <c r="T40" i="60"/>
  <c r="S40" i="60"/>
  <c r="R40" i="60"/>
  <c r="C40" i="60"/>
  <c r="B40" i="60"/>
  <c r="X39" i="60"/>
  <c r="S39" i="60"/>
  <c r="R39" i="60"/>
  <c r="C39" i="60"/>
  <c r="B39" i="60"/>
  <c r="X38" i="60"/>
  <c r="T38" i="60"/>
  <c r="S38" i="60"/>
  <c r="R38" i="60"/>
  <c r="Q38" i="60"/>
  <c r="K38" i="60"/>
  <c r="C38" i="60"/>
  <c r="B38" i="60"/>
  <c r="X37" i="60"/>
  <c r="T37" i="60"/>
  <c r="S37" i="60"/>
  <c r="R37" i="60"/>
  <c r="C37" i="60"/>
  <c r="B37" i="60"/>
  <c r="X36" i="60"/>
  <c r="T36" i="60"/>
  <c r="S36" i="60"/>
  <c r="R36" i="60"/>
  <c r="X35" i="60"/>
  <c r="T35" i="60"/>
  <c r="S35" i="60"/>
  <c r="R35" i="60"/>
  <c r="X34" i="60"/>
  <c r="T34" i="60"/>
  <c r="S34" i="60"/>
  <c r="R34" i="60"/>
  <c r="C34" i="60"/>
  <c r="X33" i="60"/>
  <c r="T33" i="60"/>
  <c r="S33" i="60"/>
  <c r="R33" i="60"/>
  <c r="Q33" i="60"/>
  <c r="K33" i="60"/>
  <c r="C33" i="60"/>
  <c r="B33" i="60"/>
  <c r="X32" i="60"/>
  <c r="T32" i="60"/>
  <c r="S32" i="60"/>
  <c r="R32" i="60"/>
  <c r="C32" i="60"/>
  <c r="B32" i="60"/>
  <c r="X31" i="60"/>
  <c r="T31" i="60"/>
  <c r="S31" i="60"/>
  <c r="R31" i="60"/>
  <c r="Q31" i="60"/>
  <c r="C31" i="60"/>
  <c r="B31" i="60"/>
  <c r="K30" i="60"/>
  <c r="X28" i="60"/>
  <c r="T24" i="60"/>
  <c r="S24" i="60"/>
  <c r="R24" i="60"/>
  <c r="Q24" i="60"/>
  <c r="K47" i="60" s="1"/>
  <c r="Q47" i="60" s="1"/>
  <c r="P24" i="60"/>
  <c r="AO24" i="60" s="1"/>
  <c r="L24" i="60"/>
  <c r="O24" i="60" s="1"/>
  <c r="K24" i="60"/>
  <c r="C24" i="60"/>
  <c r="B24" i="60"/>
  <c r="AG23" i="60"/>
  <c r="AE23" i="60"/>
  <c r="AD23" i="60"/>
  <c r="T23" i="60"/>
  <c r="S23" i="60"/>
  <c r="R23" i="60"/>
  <c r="Q23" i="60"/>
  <c r="P23" i="60"/>
  <c r="AO23" i="60" s="1"/>
  <c r="L23" i="60"/>
  <c r="O23" i="60" s="1"/>
  <c r="K23" i="60"/>
  <c r="C23" i="60"/>
  <c r="B23" i="60"/>
  <c r="AE22" i="60"/>
  <c r="AD22" i="60"/>
  <c r="T22" i="60"/>
  <c r="S22" i="60"/>
  <c r="R22" i="60"/>
  <c r="Q22" i="60"/>
  <c r="K45" i="60" s="1"/>
  <c r="Q45" i="60" s="1"/>
  <c r="P22" i="60"/>
  <c r="AO22" i="60" s="1"/>
  <c r="M22" i="60"/>
  <c r="K22" i="60"/>
  <c r="C22" i="60"/>
  <c r="B22" i="60"/>
  <c r="AE21" i="60"/>
  <c r="AD21" i="60"/>
  <c r="T21" i="60"/>
  <c r="S21" i="60"/>
  <c r="R21" i="60"/>
  <c r="Q21" i="60"/>
  <c r="P21" i="60"/>
  <c r="AO21" i="60" s="1"/>
  <c r="K21" i="60"/>
  <c r="C21" i="60"/>
  <c r="B21" i="60"/>
  <c r="T20" i="60"/>
  <c r="S20" i="60"/>
  <c r="R20" i="60"/>
  <c r="Q20" i="60"/>
  <c r="K43" i="60" s="1"/>
  <c r="Q43" i="60" s="1"/>
  <c r="P20" i="60"/>
  <c r="AO20" i="60" s="1"/>
  <c r="L20" i="60"/>
  <c r="O20" i="60" s="1"/>
  <c r="K20" i="60"/>
  <c r="C20" i="60"/>
  <c r="B20" i="60"/>
  <c r="AE19" i="60"/>
  <c r="AD19" i="60"/>
  <c r="T19" i="60"/>
  <c r="S19" i="60"/>
  <c r="R19" i="60"/>
  <c r="Q19" i="60"/>
  <c r="P19" i="60"/>
  <c r="AO19" i="60" s="1"/>
  <c r="M19" i="60"/>
  <c r="K19" i="60"/>
  <c r="C19" i="60"/>
  <c r="B19" i="60"/>
  <c r="AD18" i="60"/>
  <c r="AE18" i="60" s="1"/>
  <c r="T18" i="60"/>
  <c r="S18" i="60"/>
  <c r="R18" i="60"/>
  <c r="Q18" i="60"/>
  <c r="K41" i="60" s="1"/>
  <c r="Q41" i="60" s="1"/>
  <c r="P18" i="60"/>
  <c r="AO18" i="60" s="1"/>
  <c r="M18" i="60"/>
  <c r="K18" i="60"/>
  <c r="C18" i="60"/>
  <c r="B18" i="60"/>
  <c r="T17" i="60"/>
  <c r="S17" i="60"/>
  <c r="R17" i="60"/>
  <c r="Q17" i="60"/>
  <c r="K40" i="60" s="1"/>
  <c r="Q40" i="60" s="1"/>
  <c r="P17" i="60"/>
  <c r="AO17" i="60" s="1"/>
  <c r="M17" i="60"/>
  <c r="K17" i="60"/>
  <c r="C17" i="60"/>
  <c r="B17" i="60"/>
  <c r="AE16" i="60"/>
  <c r="AD16" i="60"/>
  <c r="S16" i="60"/>
  <c r="R16" i="60"/>
  <c r="Q16" i="60"/>
  <c r="K39" i="60" s="1"/>
  <c r="P16" i="60"/>
  <c r="AO16" i="60" s="1"/>
  <c r="M16" i="60"/>
  <c r="K16" i="60"/>
  <c r="C16" i="60"/>
  <c r="B16" i="60"/>
  <c r="AD15" i="60"/>
  <c r="AE15" i="60" s="1"/>
  <c r="T15" i="60"/>
  <c r="S15" i="60"/>
  <c r="R15" i="60"/>
  <c r="Q15" i="60"/>
  <c r="P15" i="60"/>
  <c r="AO15" i="60" s="1"/>
  <c r="M15" i="60"/>
  <c r="K15" i="60"/>
  <c r="C15" i="60"/>
  <c r="B15" i="60"/>
  <c r="AE14" i="60"/>
  <c r="AD14" i="60"/>
  <c r="T14" i="60"/>
  <c r="S14" i="60"/>
  <c r="R14" i="60"/>
  <c r="Q14" i="60"/>
  <c r="K37" i="60" s="1"/>
  <c r="Q37" i="60" s="1"/>
  <c r="P14" i="60"/>
  <c r="AO14" i="60" s="1"/>
  <c r="M14" i="60"/>
  <c r="K14" i="60"/>
  <c r="C14" i="60"/>
  <c r="B14" i="60"/>
  <c r="AD13" i="60"/>
  <c r="AE13" i="60" s="1"/>
  <c r="T13" i="60"/>
  <c r="S13" i="60"/>
  <c r="R13" i="60"/>
  <c r="Q13" i="60"/>
  <c r="K36" i="60" s="1"/>
  <c r="Q36" i="60" s="1"/>
  <c r="P13" i="60"/>
  <c r="AO13" i="60" s="1"/>
  <c r="L13" i="60"/>
  <c r="O13" i="60" s="1"/>
  <c r="K13" i="60"/>
  <c r="T12" i="60"/>
  <c r="S12" i="60"/>
  <c r="R12" i="60"/>
  <c r="Q12" i="60"/>
  <c r="K35" i="60" s="1"/>
  <c r="Q35" i="60" s="1"/>
  <c r="P12" i="60"/>
  <c r="AO12" i="60" s="1"/>
  <c r="M12" i="60"/>
  <c r="K12" i="60"/>
  <c r="AE11" i="60"/>
  <c r="AD11" i="60"/>
  <c r="T11" i="60"/>
  <c r="S11" i="60"/>
  <c r="R11" i="60"/>
  <c r="Q11" i="60"/>
  <c r="K34" i="60" s="1"/>
  <c r="Q34" i="60" s="1"/>
  <c r="P11" i="60"/>
  <c r="AO11" i="60" s="1"/>
  <c r="M11" i="60"/>
  <c r="K11" i="60"/>
  <c r="C11" i="60"/>
  <c r="AE10" i="60"/>
  <c r="AD10" i="60"/>
  <c r="T10" i="60"/>
  <c r="S10" i="60"/>
  <c r="R10" i="60"/>
  <c r="Q10" i="60"/>
  <c r="P10" i="60"/>
  <c r="AO10" i="60" s="1"/>
  <c r="M10" i="60"/>
  <c r="K10" i="60"/>
  <c r="C10" i="60"/>
  <c r="B10" i="60"/>
  <c r="AD9" i="60"/>
  <c r="AE9" i="60" s="1"/>
  <c r="T9" i="60"/>
  <c r="S9" i="60"/>
  <c r="R9" i="60"/>
  <c r="Q9" i="60"/>
  <c r="K32" i="60" s="1"/>
  <c r="Q32" i="60" s="1"/>
  <c r="P9" i="60"/>
  <c r="AO9" i="60" s="1"/>
  <c r="L9" i="60"/>
  <c r="O9" i="60" s="1"/>
  <c r="AJ9" i="60" s="1"/>
  <c r="K9" i="60"/>
  <c r="C9" i="60"/>
  <c r="B9" i="60"/>
  <c r="T8" i="60"/>
  <c r="S8" i="60"/>
  <c r="R8" i="60"/>
  <c r="Q8" i="60"/>
  <c r="K31" i="60" s="1"/>
  <c r="P8" i="60"/>
  <c r="AO8" i="60" s="1"/>
  <c r="M8" i="60"/>
  <c r="K8" i="60"/>
  <c r="C8" i="60"/>
  <c r="B8" i="60"/>
  <c r="N7" i="60"/>
  <c r="N22" i="60" s="1"/>
  <c r="K154" i="29"/>
  <c r="J154" i="29"/>
  <c r="I154" i="29"/>
  <c r="AP24" i="60" l="1"/>
  <c r="AP13" i="60"/>
  <c r="N18" i="60"/>
  <c r="U24" i="60"/>
  <c r="Y24" i="60" s="1"/>
  <c r="N11" i="60"/>
  <c r="O11" i="60" s="1"/>
  <c r="W36" i="60"/>
  <c r="AA36" i="60" s="1"/>
  <c r="N16" i="60"/>
  <c r="O16" i="60" s="1"/>
  <c r="W16" i="60" s="1"/>
  <c r="AA16" i="60" s="1"/>
  <c r="N19" i="60"/>
  <c r="O19" i="60" s="1"/>
  <c r="N8" i="60"/>
  <c r="O8" i="60" s="1"/>
  <c r="V8" i="60" s="1"/>
  <c r="Z8" i="60" s="1"/>
  <c r="V13" i="60"/>
  <c r="Z13" i="60" s="1"/>
  <c r="AI13" i="60" s="1"/>
  <c r="N13" i="60"/>
  <c r="W13" i="60"/>
  <c r="AA13" i="60" s="1"/>
  <c r="U32" i="60"/>
  <c r="Y32" i="60" s="1"/>
  <c r="AP9" i="60"/>
  <c r="W9" i="60"/>
  <c r="AA9" i="60" s="1"/>
  <c r="V32" i="60"/>
  <c r="Z32" i="60" s="1"/>
  <c r="W32" i="60"/>
  <c r="AA32" i="60" s="1"/>
  <c r="V9" i="60"/>
  <c r="Z9" i="60" s="1"/>
  <c r="AI9" i="60" s="1"/>
  <c r="V20" i="60"/>
  <c r="Z20" i="60" s="1"/>
  <c r="W20" i="60"/>
  <c r="AA20" i="60" s="1"/>
  <c r="U20" i="60"/>
  <c r="Y20" i="60" s="1"/>
  <c r="V43" i="60"/>
  <c r="Z43" i="60" s="1"/>
  <c r="W23" i="60"/>
  <c r="AA23" i="60" s="1"/>
  <c r="AJ23" i="60"/>
  <c r="U23" i="60"/>
  <c r="Y23" i="60" s="1"/>
  <c r="V23" i="60"/>
  <c r="Z23" i="60" s="1"/>
  <c r="AI23" i="60" s="1"/>
  <c r="F34" i="61"/>
  <c r="U9" i="60"/>
  <c r="Y9" i="60" s="1"/>
  <c r="V47" i="60"/>
  <c r="Z47" i="60" s="1"/>
  <c r="W24" i="60"/>
  <c r="AA24" i="60" s="1"/>
  <c r="V24" i="60"/>
  <c r="Z24" i="60" s="1"/>
  <c r="N24" i="60"/>
  <c r="N9" i="60"/>
  <c r="U13" i="60"/>
  <c r="Y13" i="60" s="1"/>
  <c r="W43" i="60"/>
  <c r="AA43" i="60" s="1"/>
  <c r="O22" i="60"/>
  <c r="AJ22" i="60" s="1"/>
  <c r="G33" i="61"/>
  <c r="L21" i="60"/>
  <c r="O21" i="60" s="1"/>
  <c r="W44" i="60" s="1"/>
  <c r="AA44" i="60" s="1"/>
  <c r="V46" i="60"/>
  <c r="Z46" i="60" s="1"/>
  <c r="J34" i="61"/>
  <c r="N12" i="60"/>
  <c r="O12" i="60" s="1"/>
  <c r="W12" i="60" s="1"/>
  <c r="AA12" i="60" s="1"/>
  <c r="N21" i="60"/>
  <c r="N14" i="60"/>
  <c r="O14" i="60" s="1"/>
  <c r="N10" i="60"/>
  <c r="O10" i="60" s="1"/>
  <c r="AP10" i="60" s="1"/>
  <c r="N15" i="60"/>
  <c r="O15" i="60" s="1"/>
  <c r="K34" i="61"/>
  <c r="N23" i="60"/>
  <c r="N20" i="60"/>
  <c r="N17" i="60"/>
  <c r="O17" i="60" s="1"/>
  <c r="W17" i="60" s="1"/>
  <c r="AA17" i="60" s="1"/>
  <c r="O18" i="60"/>
  <c r="U36" i="60"/>
  <c r="Y36" i="60" s="1"/>
  <c r="W46" i="60"/>
  <c r="AA46" i="60" s="1"/>
  <c r="V36" i="60"/>
  <c r="Z36" i="60" s="1"/>
  <c r="AP23" i="60"/>
  <c r="U43" i="60"/>
  <c r="Y43" i="60" s="1"/>
  <c r="U47" i="60"/>
  <c r="Y47" i="60" s="1"/>
  <c r="E34" i="61"/>
  <c r="AP20" i="60"/>
  <c r="U46" i="60"/>
  <c r="Y46" i="60" s="1"/>
  <c r="W47" i="60"/>
  <c r="AA47" i="60" s="1"/>
  <c r="V17" i="60" l="1"/>
  <c r="Z17" i="60" s="1"/>
  <c r="AP8" i="60"/>
  <c r="U35" i="60"/>
  <c r="Y35" i="60" s="1"/>
  <c r="AP22" i="60"/>
  <c r="V12" i="60"/>
  <c r="Z12" i="60" s="1"/>
  <c r="W11" i="60"/>
  <c r="AA11" i="60" s="1"/>
  <c r="U11" i="60"/>
  <c r="Y11" i="60" s="1"/>
  <c r="V11" i="60"/>
  <c r="Z11" i="60" s="1"/>
  <c r="AI11" i="60" s="1"/>
  <c r="U17" i="60"/>
  <c r="Y17" i="60" s="1"/>
  <c r="U8" i="60"/>
  <c r="Y8" i="60" s="1"/>
  <c r="W19" i="60"/>
  <c r="AA19" i="60" s="1"/>
  <c r="U19" i="60"/>
  <c r="Y19" i="60" s="1"/>
  <c r="V19" i="60"/>
  <c r="Z19" i="60" s="1"/>
  <c r="AI19" i="60" s="1"/>
  <c r="AP19" i="60"/>
  <c r="AJ19" i="60"/>
  <c r="AJ11" i="60"/>
  <c r="V34" i="60"/>
  <c r="Z34" i="60" s="1"/>
  <c r="AP16" i="60"/>
  <c r="W34" i="60"/>
  <c r="AA34" i="60" s="1"/>
  <c r="W8" i="60"/>
  <c r="AA8" i="60" s="1"/>
  <c r="V35" i="60"/>
  <c r="Z35" i="60" s="1"/>
  <c r="V16" i="60"/>
  <c r="Z16" i="60" s="1"/>
  <c r="AL16" i="60" s="1"/>
  <c r="V31" i="60"/>
  <c r="Z31" i="60" s="1"/>
  <c r="AJ16" i="60"/>
  <c r="U16" i="60"/>
  <c r="Y16" i="60" s="1"/>
  <c r="W40" i="60"/>
  <c r="AA40" i="60" s="1"/>
  <c r="U31" i="60"/>
  <c r="Y31" i="60" s="1"/>
  <c r="AP11" i="60"/>
  <c r="V40" i="60"/>
  <c r="Z40" i="60" s="1"/>
  <c r="V22" i="60"/>
  <c r="Z22" i="60" s="1"/>
  <c r="AI22" i="60" s="1"/>
  <c r="W22" i="60"/>
  <c r="AA22" i="60" s="1"/>
  <c r="U34" i="60"/>
  <c r="Y34" i="60" s="1"/>
  <c r="W31" i="60"/>
  <c r="AA31" i="60" s="1"/>
  <c r="U14" i="60"/>
  <c r="Y14" i="60" s="1"/>
  <c r="U37" i="60"/>
  <c r="Y37" i="60" s="1"/>
  <c r="W37" i="60"/>
  <c r="AA37" i="60" s="1"/>
  <c r="V14" i="60"/>
  <c r="Z14" i="60" s="1"/>
  <c r="AI14" i="60" s="1"/>
  <c r="AP14" i="60"/>
  <c r="V37" i="60"/>
  <c r="Z37" i="60" s="1"/>
  <c r="W14" i="60"/>
  <c r="AA14" i="60" s="1"/>
  <c r="AI16" i="60"/>
  <c r="W15" i="60"/>
  <c r="AA15" i="60" s="1"/>
  <c r="V15" i="60"/>
  <c r="Z15" i="60" s="1"/>
  <c r="AI15" i="60" s="1"/>
  <c r="U15" i="60"/>
  <c r="Y15" i="60" s="1"/>
  <c r="AJ15" i="60"/>
  <c r="V45" i="60"/>
  <c r="Z45" i="60" s="1"/>
  <c r="AP17" i="60"/>
  <c r="W10" i="60"/>
  <c r="AA10" i="60" s="1"/>
  <c r="V10" i="60"/>
  <c r="Z10" i="60" s="1"/>
  <c r="AI10" i="60" s="1"/>
  <c r="U10" i="60"/>
  <c r="Y10" i="60" s="1"/>
  <c r="AJ10" i="60"/>
  <c r="U33" i="60"/>
  <c r="Y33" i="60" s="1"/>
  <c r="W38" i="60"/>
  <c r="AA38" i="60" s="1"/>
  <c r="V18" i="60"/>
  <c r="Z18" i="60" s="1"/>
  <c r="AI18" i="60" s="1"/>
  <c r="AJ18" i="60"/>
  <c r="W41" i="60"/>
  <c r="AA41" i="60" s="1"/>
  <c r="V41" i="60"/>
  <c r="Z41" i="60" s="1"/>
  <c r="AJ21" i="60"/>
  <c r="AP21" i="60"/>
  <c r="U44" i="60"/>
  <c r="Y44" i="60" s="1"/>
  <c r="U21" i="60"/>
  <c r="Y21" i="60" s="1"/>
  <c r="AP15" i="60"/>
  <c r="U18" i="60"/>
  <c r="Y18" i="60" s="1"/>
  <c r="V21" i="60"/>
  <c r="Z21" i="60" s="1"/>
  <c r="AI21" i="60" s="1"/>
  <c r="U38" i="60"/>
  <c r="Y38" i="60" s="1"/>
  <c r="V33" i="60"/>
  <c r="Z33" i="60" s="1"/>
  <c r="AP12" i="60"/>
  <c r="U41" i="60"/>
  <c r="Y41" i="60" s="1"/>
  <c r="W18" i="60"/>
  <c r="AA18" i="60" s="1"/>
  <c r="U22" i="60"/>
  <c r="Y22" i="60" s="1"/>
  <c r="V44" i="60"/>
  <c r="Z44" i="60" s="1"/>
  <c r="V38" i="60"/>
  <c r="Z38" i="60" s="1"/>
  <c r="W33" i="60"/>
  <c r="AA33" i="60" s="1"/>
  <c r="W35" i="60"/>
  <c r="AA35" i="60" s="1"/>
  <c r="U40" i="60"/>
  <c r="Y40" i="60" s="1"/>
  <c r="AP18" i="60"/>
  <c r="W45" i="60"/>
  <c r="AA45" i="60" s="1"/>
  <c r="U45" i="60"/>
  <c r="Y45" i="60" s="1"/>
  <c r="W21" i="60"/>
  <c r="AA21" i="60" s="1"/>
  <c r="U12" i="60"/>
  <c r="Y12" i="60" s="1"/>
  <c r="J54" i="59" l="1"/>
  <c r="J52" i="59"/>
  <c r="J53" i="59"/>
  <c r="AC124" i="32"/>
  <c r="AB124" i="32"/>
  <c r="AA124" i="32"/>
  <c r="Z124" i="32"/>
  <c r="Y124" i="32"/>
  <c r="X124" i="32"/>
  <c r="W124" i="32"/>
  <c r="V124" i="32"/>
  <c r="U124" i="32"/>
  <c r="T124" i="32"/>
  <c r="S124" i="32"/>
  <c r="R124" i="32"/>
  <c r="Q124" i="32"/>
  <c r="P124" i="32"/>
  <c r="O124" i="32"/>
  <c r="N124" i="32"/>
  <c r="M124" i="32"/>
  <c r="L124" i="32"/>
  <c r="K124" i="32"/>
  <c r="J124" i="32"/>
  <c r="I124" i="32"/>
  <c r="H124" i="32"/>
  <c r="G124" i="32"/>
  <c r="F124" i="32"/>
  <c r="E124" i="32"/>
  <c r="D124" i="32"/>
  <c r="B25" i="50"/>
  <c r="B24" i="50"/>
  <c r="B23" i="50"/>
  <c r="B22" i="50"/>
  <c r="B21" i="50"/>
  <c r="B20" i="50"/>
  <c r="B19" i="50"/>
  <c r="B18" i="50"/>
  <c r="B17" i="50"/>
  <c r="B16" i="50"/>
  <c r="K260" i="59"/>
  <c r="J260" i="59"/>
  <c r="I260" i="59"/>
  <c r="K259" i="59"/>
  <c r="J259" i="59"/>
  <c r="I259" i="59"/>
  <c r="K258" i="59"/>
  <c r="J258" i="59"/>
  <c r="I258" i="59"/>
  <c r="K257" i="59"/>
  <c r="J257" i="59"/>
  <c r="I257" i="59"/>
  <c r="K256" i="59"/>
  <c r="J256" i="59"/>
  <c r="I256" i="59"/>
  <c r="K255" i="59"/>
  <c r="J255" i="59"/>
  <c r="I255" i="59"/>
  <c r="K22" i="59"/>
  <c r="K21" i="59"/>
  <c r="K252" i="59" s="1"/>
  <c r="J252" i="59"/>
  <c r="I21" i="59"/>
  <c r="K20" i="59"/>
  <c r="J263" i="59"/>
  <c r="I20" i="59"/>
  <c r="H22" i="59"/>
  <c r="H21" i="59"/>
  <c r="H20" i="59"/>
  <c r="I263" i="59" l="1"/>
  <c r="I54" i="59"/>
  <c r="I52" i="59"/>
  <c r="I50" i="59" s="1"/>
  <c r="I53" i="59"/>
  <c r="K263" i="59"/>
  <c r="K52" i="59"/>
  <c r="K54" i="59"/>
  <c r="K53" i="59"/>
  <c r="H263" i="59"/>
  <c r="H256" i="59"/>
  <c r="H262" i="59"/>
  <c r="H255" i="59"/>
  <c r="H52" i="59"/>
  <c r="H53" i="59"/>
  <c r="H54" i="59"/>
  <c r="H260" i="59"/>
  <c r="H259" i="59"/>
  <c r="H258" i="59"/>
  <c r="H257" i="59"/>
  <c r="H252" i="59"/>
  <c r="J250" i="59"/>
  <c r="K250" i="59"/>
  <c r="I252" i="59"/>
  <c r="I250" i="59" s="1"/>
  <c r="H250" i="59" l="1"/>
  <c r="K50" i="59"/>
  <c r="J50" i="59"/>
  <c r="AI130" i="32" l="1"/>
  <c r="AJ130" i="32" s="1"/>
  <c r="AK130" i="32" s="1"/>
  <c r="AL130" i="32" s="1"/>
  <c r="AM130" i="32" s="1"/>
  <c r="AN130" i="32" s="1"/>
  <c r="AO130" i="32" s="1"/>
  <c r="AP130" i="32" s="1"/>
  <c r="AQ130" i="32" s="1"/>
  <c r="AR130" i="32" s="1"/>
  <c r="M4" i="61" l="1"/>
  <c r="M6" i="61" s="1"/>
  <c r="M48" i="61" s="1"/>
  <c r="K4" i="61"/>
  <c r="K32" i="61" s="1"/>
  <c r="K35" i="61" s="1"/>
  <c r="E4" i="61"/>
  <c r="E32" i="61" s="1"/>
  <c r="E35" i="61" s="1"/>
  <c r="F4" i="61"/>
  <c r="F6" i="61" s="1"/>
  <c r="F48" i="61" s="1"/>
  <c r="J4" i="61"/>
  <c r="J6" i="61" s="1"/>
  <c r="J48" i="61" s="1"/>
  <c r="H4" i="61"/>
  <c r="H6" i="61" s="1"/>
  <c r="H48" i="61" s="1"/>
  <c r="I4" i="61"/>
  <c r="I6" i="61" s="1"/>
  <c r="I48" i="61" s="1"/>
  <c r="D4" i="61"/>
  <c r="G4" i="61"/>
  <c r="L4" i="61"/>
  <c r="M32" i="61" l="1"/>
  <c r="M35" i="61" s="1"/>
  <c r="J32" i="61"/>
  <c r="J35" i="61" s="1"/>
  <c r="K6" i="61"/>
  <c r="K48" i="61" s="1"/>
  <c r="F32" i="61"/>
  <c r="F35" i="61" s="1"/>
  <c r="I7" i="61"/>
  <c r="I8" i="61" s="1"/>
  <c r="E6" i="61"/>
  <c r="E48" i="61" s="1"/>
  <c r="F7" i="61"/>
  <c r="F8" i="61" s="1"/>
  <c r="I32" i="61"/>
  <c r="I35" i="61" s="1"/>
  <c r="H7" i="61"/>
  <c r="H8" i="61" s="1"/>
  <c r="H32" i="61"/>
  <c r="H35" i="61" s="1"/>
  <c r="K7" i="61"/>
  <c r="E7" i="61"/>
  <c r="D6" i="61"/>
  <c r="D48" i="61" s="1"/>
  <c r="D32" i="61"/>
  <c r="D35" i="61" s="1"/>
  <c r="M7" i="61"/>
  <c r="M8" i="61" s="1"/>
  <c r="L7" i="61"/>
  <c r="L6" i="61"/>
  <c r="L48" i="61" s="1"/>
  <c r="L32" i="61"/>
  <c r="L35" i="61" s="1"/>
  <c r="J7" i="61"/>
  <c r="J8" i="61" s="1"/>
  <c r="G7" i="61"/>
  <c r="D7" i="61"/>
  <c r="G32" i="61"/>
  <c r="G35" i="61" s="1"/>
  <c r="G6" i="61"/>
  <c r="G48" i="61" s="1"/>
  <c r="E18" i="61"/>
  <c r="D18" i="61"/>
  <c r="M18" i="61"/>
  <c r="I18" i="61"/>
  <c r="K18" i="61"/>
  <c r="F18" i="61"/>
  <c r="L18" i="61"/>
  <c r="J18" i="61"/>
  <c r="G18" i="61"/>
  <c r="H18" i="61"/>
  <c r="K8" i="61" l="1"/>
  <c r="E8" i="61"/>
  <c r="L8" i="61"/>
  <c r="G8" i="61"/>
  <c r="D8" i="61"/>
  <c r="B54" i="61" l="1"/>
  <c r="B51" i="61" l="1"/>
  <c r="D36" i="61" l="1"/>
  <c r="D37" i="61" l="1"/>
  <c r="D25" i="61" l="1"/>
  <c r="D38" i="61"/>
  <c r="E36" i="61" l="1"/>
  <c r="E37" i="61"/>
  <c r="E38" i="61" l="1"/>
  <c r="E25" i="61" l="1"/>
  <c r="F37" i="61" l="1"/>
  <c r="F36" i="61"/>
  <c r="F38" i="61" s="1"/>
  <c r="F25" i="61" l="1"/>
  <c r="G37" i="61" l="1"/>
  <c r="G36" i="61" l="1"/>
  <c r="G38" i="61" s="1"/>
  <c r="G25" i="61" l="1"/>
  <c r="H36" i="61" l="1"/>
  <c r="H37" i="61"/>
  <c r="H38" i="61" l="1"/>
  <c r="H25" i="61" l="1"/>
  <c r="I37" i="61" l="1"/>
  <c r="I36" i="61" l="1"/>
  <c r="I38" i="61" s="1"/>
  <c r="I25" i="61"/>
  <c r="J37" i="61" l="1"/>
  <c r="J36" i="61" l="1"/>
  <c r="J38" i="61" s="1"/>
  <c r="J25" i="61" l="1"/>
  <c r="K37" i="61" l="1"/>
  <c r="K36" i="61"/>
  <c r="K38" i="61" l="1"/>
  <c r="K25" i="61" l="1"/>
  <c r="L37" i="61" l="1"/>
  <c r="L36" i="61" l="1"/>
  <c r="L38" i="61" s="1"/>
  <c r="L25" i="61" l="1"/>
  <c r="M36" i="61" l="1"/>
  <c r="M37" i="61" l="1"/>
  <c r="M38" i="61" s="1"/>
  <c r="M25" i="61" l="1"/>
  <c r="D49" i="61" l="1"/>
  <c r="D50" i="61" s="1"/>
  <c r="D9" i="61" l="1"/>
  <c r="D10" i="61" s="1"/>
  <c r="D12" i="61" s="1"/>
  <c r="D22" i="61" l="1"/>
  <c r="D39" i="61" l="1"/>
  <c r="D40" i="61" s="1"/>
  <c r="D24" i="61" l="1"/>
  <c r="D41" i="61" l="1"/>
  <c r="D19" i="61" l="1"/>
  <c r="D20" i="61" s="1"/>
  <c r="D23" i="61"/>
  <c r="D26" i="61" s="1"/>
  <c r="E49" i="61" l="1"/>
  <c r="E50" i="61" s="1"/>
  <c r="E9" i="61" l="1"/>
  <c r="E10" i="61" s="1"/>
  <c r="E12" i="61" s="1"/>
  <c r="E22" i="61" l="1"/>
  <c r="E39" i="61" l="1"/>
  <c r="E40" i="61" s="1"/>
  <c r="E24" i="61" l="1"/>
  <c r="E41" i="61" l="1"/>
  <c r="E23" i="61" l="1"/>
  <c r="E26" i="61" s="1"/>
  <c r="E19" i="61"/>
  <c r="E20" i="61" s="1"/>
  <c r="F49" i="61" l="1"/>
  <c r="F50" i="61" s="1"/>
  <c r="F9" i="61" l="1"/>
  <c r="F10" i="61" s="1"/>
  <c r="F12" i="61" s="1"/>
  <c r="F22" i="61" l="1"/>
  <c r="F39" i="61" l="1"/>
  <c r="F40" i="61" s="1"/>
  <c r="F24" i="61" l="1"/>
  <c r="F41" i="61" l="1"/>
  <c r="F23" i="61" l="1"/>
  <c r="F26" i="61" s="1"/>
  <c r="F19" i="61" l="1"/>
  <c r="F20" i="61" s="1"/>
  <c r="G49" i="61" l="1"/>
  <c r="G50" i="61" s="1"/>
  <c r="G9" i="61" l="1"/>
  <c r="G10" i="61" s="1"/>
  <c r="G12" i="61" s="1"/>
  <c r="G22" i="61" l="1"/>
  <c r="G39" i="61" l="1"/>
  <c r="G40" i="61" s="1"/>
  <c r="G24" i="61" l="1"/>
  <c r="G41" i="61" l="1"/>
  <c r="G19" i="61" l="1"/>
  <c r="G20" i="61" s="1"/>
  <c r="G23" i="61"/>
  <c r="G26" i="61" s="1"/>
  <c r="H49" i="61" l="1"/>
  <c r="H50" i="61" s="1"/>
  <c r="H9" i="61" l="1"/>
  <c r="H10" i="61" s="1"/>
  <c r="H12" i="61" s="1"/>
  <c r="H22" i="61" l="1"/>
  <c r="H39" i="61" l="1"/>
  <c r="H40" i="61" s="1"/>
  <c r="H24" i="61" l="1"/>
  <c r="H41" i="61" l="1"/>
  <c r="H23" i="61" l="1"/>
  <c r="H26" i="61" s="1"/>
  <c r="H19" i="61"/>
  <c r="H20" i="61" s="1"/>
  <c r="I49" i="61" l="1"/>
  <c r="I50" i="61" s="1"/>
  <c r="I9" i="61" l="1"/>
  <c r="I10" i="61" s="1"/>
  <c r="I12" i="61" s="1"/>
  <c r="I22" i="61" l="1"/>
  <c r="I39" i="61" l="1"/>
  <c r="I40" i="61" s="1"/>
  <c r="I24" i="61" l="1"/>
  <c r="I41" i="61" l="1"/>
  <c r="I23" i="61" l="1"/>
  <c r="I26" i="61" s="1"/>
  <c r="I19" i="61"/>
  <c r="I20" i="61" s="1"/>
  <c r="J49" i="61" l="1"/>
  <c r="J50" i="61" s="1"/>
  <c r="J9" i="61" l="1"/>
  <c r="J10" i="61" s="1"/>
  <c r="J12" i="61" s="1"/>
  <c r="J22" i="61" l="1"/>
  <c r="J39" i="61" l="1"/>
  <c r="J40" i="61" s="1"/>
  <c r="J24" i="61" l="1"/>
  <c r="J41" i="61" l="1"/>
  <c r="J23" i="61" l="1"/>
  <c r="J26" i="61" s="1"/>
  <c r="J19" i="61"/>
  <c r="J20" i="61" s="1"/>
  <c r="K49" i="61" l="1"/>
  <c r="K50" i="61" s="1"/>
  <c r="K9" i="61" l="1"/>
  <c r="K10" i="61" s="1"/>
  <c r="K12" i="61" s="1"/>
  <c r="K22" i="61" l="1"/>
  <c r="K39" i="61" l="1"/>
  <c r="K40" i="61" s="1"/>
  <c r="K24" i="61" l="1"/>
  <c r="K41" i="61" l="1"/>
  <c r="K19" i="61" l="1"/>
  <c r="K20" i="61" s="1"/>
  <c r="K23" i="61"/>
  <c r="K26" i="61" s="1"/>
  <c r="L49" i="61" l="1"/>
  <c r="L50" i="61" s="1"/>
  <c r="L9" i="61" l="1"/>
  <c r="L10" i="61" s="1"/>
  <c r="L12" i="61" s="1"/>
  <c r="L22" i="61" l="1"/>
  <c r="L39" i="61" l="1"/>
  <c r="L40" i="61" s="1"/>
  <c r="L24" i="61" l="1"/>
  <c r="L41" i="61" l="1"/>
  <c r="L23" i="61" l="1"/>
  <c r="L26" i="61" s="1"/>
  <c r="L19" i="61"/>
  <c r="L20" i="61" s="1"/>
  <c r="M49" i="61" l="1"/>
  <c r="M50" i="61" s="1"/>
  <c r="M9" i="61" l="1"/>
  <c r="M10" i="61" s="1"/>
  <c r="M12" i="61" s="1"/>
  <c r="M22" i="61" l="1"/>
  <c r="M39" i="61" l="1"/>
  <c r="M40" i="61" s="1"/>
  <c r="M24" i="61" l="1"/>
  <c r="M41" i="61" l="1"/>
  <c r="M23" i="61" l="1"/>
  <c r="M26" i="61" s="1"/>
  <c r="M19" i="61" l="1"/>
  <c r="M20" i="61" s="1"/>
  <c r="Q39" i="60" l="1"/>
  <c r="V39" i="60" l="1"/>
  <c r="Z39" i="60" s="1"/>
  <c r="U39" i="60"/>
  <c r="Y39" i="60" s="1"/>
  <c r="W39" i="60"/>
  <c r="AA39" i="60" s="1"/>
  <c r="K242" i="59" l="1"/>
  <c r="K290" i="59"/>
  <c r="K289" i="59"/>
  <c r="R158" i="59"/>
  <c r="K170" i="59"/>
  <c r="K283" i="59"/>
  <c r="K73" i="59"/>
  <c r="K57" i="59"/>
  <c r="K39" i="59"/>
  <c r="K31" i="59"/>
  <c r="O158" i="59"/>
  <c r="K287" i="59" l="1"/>
  <c r="J172" i="59"/>
  <c r="C33" i="51" l="1"/>
  <c r="C32" i="51"/>
  <c r="J290" i="59"/>
  <c r="I290" i="59"/>
  <c r="J242" i="59"/>
  <c r="I242" i="59"/>
  <c r="I57" i="59"/>
  <c r="J57" i="59"/>
  <c r="J56" i="59" s="1"/>
  <c r="H290" i="59"/>
  <c r="K56" i="59"/>
  <c r="H31" i="59"/>
  <c r="H50" i="59" s="1"/>
  <c r="I31" i="59"/>
  <c r="H39" i="59"/>
  <c r="I39" i="59"/>
  <c r="K30" i="59"/>
  <c r="J39" i="59"/>
  <c r="C11" i="51" s="1"/>
  <c r="J31" i="59"/>
  <c r="H30" i="59" l="1"/>
  <c r="J30" i="59"/>
  <c r="I30" i="59"/>
  <c r="I289" i="59"/>
  <c r="I287" i="59" s="1"/>
  <c r="J289" i="59" l="1"/>
  <c r="J287" i="59" s="1"/>
  <c r="J168" i="59"/>
  <c r="H294" i="59"/>
  <c r="I294" i="59"/>
  <c r="J294" i="59"/>
  <c r="J170" i="59" l="1"/>
  <c r="H287" i="59" l="1"/>
  <c r="H70" i="59"/>
  <c r="I170" i="59"/>
  <c r="I172" i="59"/>
  <c r="K172" i="59"/>
  <c r="H170" i="59"/>
  <c r="J283" i="59"/>
  <c r="J160" i="59"/>
  <c r="I160" i="59"/>
  <c r="H160" i="59"/>
  <c r="I168" i="59"/>
  <c r="J12" i="59" l="1"/>
  <c r="K12" i="59"/>
  <c r="I192" i="59"/>
  <c r="H168" i="59"/>
  <c r="H165" i="59" s="1"/>
  <c r="I283" i="59"/>
  <c r="H283" i="59"/>
  <c r="I29" i="59"/>
  <c r="I56" i="59" s="1"/>
  <c r="H220" i="59"/>
  <c r="H29" i="59"/>
  <c r="E100" i="32"/>
  <c r="H282" i="59" l="1"/>
  <c r="AH100" i="32" l="1"/>
  <c r="AG100" i="32"/>
  <c r="AF100" i="32"/>
  <c r="AE100" i="32"/>
  <c r="AD100" i="32"/>
  <c r="AC100" i="32"/>
  <c r="AB100" i="32"/>
  <c r="AA100" i="32"/>
  <c r="Z100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I12" i="59" l="1"/>
  <c r="K345" i="59"/>
  <c r="J345" i="59"/>
  <c r="I345" i="59"/>
  <c r="H345" i="59"/>
  <c r="J165" i="59" l="1"/>
  <c r="K165" i="59"/>
  <c r="J309" i="59"/>
  <c r="J304" i="59"/>
  <c r="J297" i="59"/>
  <c r="J292" i="59"/>
  <c r="J282" i="59"/>
  <c r="J277" i="59"/>
  <c r="J273" i="59"/>
  <c r="J269" i="59"/>
  <c r="J264" i="59"/>
  <c r="J241" i="59"/>
  <c r="J236" i="59"/>
  <c r="J225" i="59"/>
  <c r="J218" i="59" s="1"/>
  <c r="J220" i="59"/>
  <c r="J211" i="59"/>
  <c r="J208" i="59"/>
  <c r="J204" i="59"/>
  <c r="J192" i="59"/>
  <c r="J188" i="59"/>
  <c r="J182" i="59"/>
  <c r="J149" i="59"/>
  <c r="J147" i="59"/>
  <c r="J131" i="59"/>
  <c r="J127" i="59"/>
  <c r="J123" i="59"/>
  <c r="J121" i="59"/>
  <c r="J110" i="59"/>
  <c r="J99" i="59"/>
  <c r="J95" i="59"/>
  <c r="J91" i="59"/>
  <c r="J84" i="59"/>
  <c r="J79" i="59"/>
  <c r="J73" i="59"/>
  <c r="J29" i="59"/>
  <c r="J315" i="59" l="1"/>
  <c r="J27" i="59"/>
  <c r="J98" i="59"/>
  <c r="J70" i="59"/>
  <c r="J138" i="59" l="1"/>
  <c r="I309" i="59"/>
  <c r="I304" i="59"/>
  <c r="I297" i="59"/>
  <c r="I292" i="59"/>
  <c r="I282" i="59"/>
  <c r="I277" i="59"/>
  <c r="I273" i="59"/>
  <c r="I269" i="59"/>
  <c r="I264" i="59"/>
  <c r="I241" i="59" l="1"/>
  <c r="I236" i="59"/>
  <c r="I225" i="59"/>
  <c r="I220" i="59"/>
  <c r="I218" i="59"/>
  <c r="I211" i="59"/>
  <c r="I208" i="59"/>
  <c r="I204" i="59"/>
  <c r="I188" i="59"/>
  <c r="I182" i="59"/>
  <c r="I149" i="59"/>
  <c r="I147" i="59"/>
  <c r="I131" i="59"/>
  <c r="I127" i="59"/>
  <c r="I123" i="59"/>
  <c r="I121" i="59"/>
  <c r="I110" i="59"/>
  <c r="I99" i="59"/>
  <c r="I95" i="59"/>
  <c r="I91" i="59"/>
  <c r="I84" i="59"/>
  <c r="I79" i="59"/>
  <c r="B96" i="42"/>
  <c r="B97" i="42"/>
  <c r="B105" i="42"/>
  <c r="B104" i="42"/>
  <c r="B102" i="42"/>
  <c r="B95" i="42"/>
  <c r="B90" i="42"/>
  <c r="I315" i="59" l="1"/>
  <c r="I27" i="59"/>
  <c r="I165" i="59"/>
  <c r="I70" i="59"/>
  <c r="I98" i="59"/>
  <c r="B94" i="42"/>
  <c r="I154" i="59" l="1"/>
  <c r="I139" i="59"/>
  <c r="I159" i="59"/>
  <c r="H87" i="29"/>
  <c r="I75" i="29"/>
  <c r="H4" i="59" a="1"/>
  <c r="H4" i="59" s="1"/>
  <c r="K309" i="59"/>
  <c r="K304" i="59"/>
  <c r="K297" i="59"/>
  <c r="K292" i="59"/>
  <c r="K282" i="59"/>
  <c r="K277" i="59"/>
  <c r="K273" i="59"/>
  <c r="K269" i="59"/>
  <c r="K264" i="59"/>
  <c r="K241" i="59"/>
  <c r="K236" i="59"/>
  <c r="K225" i="59"/>
  <c r="K218" i="59" s="1"/>
  <c r="K220" i="59"/>
  <c r="K211" i="59"/>
  <c r="K208" i="59"/>
  <c r="K204" i="59"/>
  <c r="K192" i="59"/>
  <c r="K188" i="59"/>
  <c r="K182" i="59"/>
  <c r="K160" i="59"/>
  <c r="K149" i="59"/>
  <c r="K147" i="59"/>
  <c r="K131" i="59"/>
  <c r="K127" i="59"/>
  <c r="K123" i="59"/>
  <c r="K121" i="59"/>
  <c r="K110" i="59"/>
  <c r="K99" i="59"/>
  <c r="K95" i="59"/>
  <c r="K91" i="59"/>
  <c r="K84" i="59"/>
  <c r="K79" i="59"/>
  <c r="K29" i="59"/>
  <c r="K27" i="59" s="1"/>
  <c r="K315" i="59" l="1"/>
  <c r="I138" i="59"/>
  <c r="I4" i="59"/>
  <c r="K70" i="59"/>
  <c r="K98" i="59"/>
  <c r="K159" i="59"/>
  <c r="H358" i="59"/>
  <c r="A13" i="47"/>
  <c r="H309" i="59"/>
  <c r="H304" i="59"/>
  <c r="K139" i="59" l="1"/>
  <c r="K154" i="59"/>
  <c r="I358" i="59"/>
  <c r="J4" i="59"/>
  <c r="H297" i="59"/>
  <c r="H292" i="59"/>
  <c r="H277" i="59"/>
  <c r="H273" i="59"/>
  <c r="H269" i="59"/>
  <c r="H264" i="59"/>
  <c r="H241" i="59"/>
  <c r="J358" i="59" l="1"/>
  <c r="K4" i="59"/>
  <c r="L4" i="59" s="1"/>
  <c r="M4" i="59" s="1"/>
  <c r="E310" i="59" a="1"/>
  <c r="E310" i="59" s="1"/>
  <c r="C71" i="50" s="1"/>
  <c r="E158" i="59" a="1"/>
  <c r="E158" i="59" s="1"/>
  <c r="C115" i="51" s="1"/>
  <c r="K138" i="59"/>
  <c r="E11" i="59" l="1" a="1"/>
  <c r="E11" i="59" s="1"/>
  <c r="D68" i="32" s="1"/>
  <c r="E93" i="59" a="1"/>
  <c r="E93" i="59" s="1"/>
  <c r="E72" i="59" a="1"/>
  <c r="E72" i="59" s="1"/>
  <c r="E191" i="59" a="1"/>
  <c r="E191" i="59" s="1"/>
  <c r="E262" i="59" a="1"/>
  <c r="E262" i="59" s="1"/>
  <c r="C52" i="50" s="1"/>
  <c r="E60" i="59" a="1"/>
  <c r="E60" i="59" s="1"/>
  <c r="E69" i="59" a="1"/>
  <c r="E69" i="59" s="1"/>
  <c r="E290" i="59" a="1"/>
  <c r="E290" i="59" s="1"/>
  <c r="C51" i="50" s="1"/>
  <c r="E18" i="59" a="1"/>
  <c r="E18" i="59" s="1"/>
  <c r="E335" i="59" a="1"/>
  <c r="E335" i="59" s="1"/>
  <c r="E331" i="59" a="1"/>
  <c r="E331" i="59" s="1"/>
  <c r="B34" i="5" s="1"/>
  <c r="E352" i="59" a="1"/>
  <c r="E352" i="59" s="1"/>
  <c r="D22" i="47" s="1"/>
  <c r="E328" i="59" a="1"/>
  <c r="E328" i="59" s="1"/>
  <c r="E210" i="59" a="1"/>
  <c r="E210" i="59" s="1"/>
  <c r="E334" i="59" a="1"/>
  <c r="E334" i="59" s="1"/>
  <c r="E325" i="59" a="1"/>
  <c r="E325" i="59" s="1"/>
  <c r="B103" i="32" s="1"/>
  <c r="E251" i="59" a="1"/>
  <c r="E251" i="59" s="1"/>
  <c r="C16" i="50" s="1"/>
  <c r="E104" i="59" a="1"/>
  <c r="E104" i="59" s="1"/>
  <c r="E261" i="59" a="1"/>
  <c r="E261" i="59" s="1"/>
  <c r="E246" i="59" a="1"/>
  <c r="E246" i="59" s="1"/>
  <c r="C13" i="50" s="1"/>
  <c r="E15" i="59" a="1"/>
  <c r="E15" i="59" s="1"/>
  <c r="E203" i="59" a="1"/>
  <c r="E203" i="59" s="1"/>
  <c r="E16" i="59" a="1"/>
  <c r="E16" i="59" s="1"/>
  <c r="E115" i="59" a="1"/>
  <c r="E115" i="59" s="1"/>
  <c r="E270" i="59" a="1"/>
  <c r="E270" i="59" s="1"/>
  <c r="C32" i="50" s="1"/>
  <c r="E222" i="59" a="1"/>
  <c r="E222" i="59" s="1"/>
  <c r="E355" i="59" a="1"/>
  <c r="E355" i="59" s="1"/>
  <c r="E288" i="59" a="1"/>
  <c r="E288" i="59" s="1"/>
  <c r="C49" i="50" s="1"/>
  <c r="E268" i="59" a="1"/>
  <c r="E268" i="59" s="1"/>
  <c r="C30" i="50" s="1"/>
  <c r="E54" i="59" a="1"/>
  <c r="E54" i="59" s="1"/>
  <c r="E201" i="59" a="1"/>
  <c r="E201" i="59" s="1"/>
  <c r="E41" i="59" a="1"/>
  <c r="E41" i="59" s="1"/>
  <c r="E143" i="59" a="1"/>
  <c r="E143" i="59" s="1"/>
  <c r="E170" i="59" a="1"/>
  <c r="E170" i="59" s="1"/>
  <c r="E124" i="59" a="1"/>
  <c r="E124" i="59" s="1"/>
  <c r="E254" i="59" a="1"/>
  <c r="E254" i="59" s="1"/>
  <c r="C19" i="50" s="1"/>
  <c r="E260" i="59" a="1"/>
  <c r="E260" i="59" s="1"/>
  <c r="C25" i="50" s="1"/>
  <c r="E55" i="59" a="1"/>
  <c r="E55" i="59" s="1"/>
  <c r="E324" i="59" a="1"/>
  <c r="E324" i="59" s="1"/>
  <c r="B102" i="32" s="1"/>
  <c r="E66" i="59" a="1"/>
  <c r="E66" i="59" s="1"/>
  <c r="E332" i="59" a="1"/>
  <c r="E332" i="59" s="1"/>
  <c r="E92" i="59" a="1"/>
  <c r="E92" i="59" s="1"/>
  <c r="E263" i="59" a="1"/>
  <c r="E263" i="59" s="1"/>
  <c r="C44" i="50" s="1"/>
  <c r="E271" i="59" a="1"/>
  <c r="E271" i="59" s="1"/>
  <c r="C33" i="50" s="1"/>
  <c r="E32" i="59" a="1"/>
  <c r="E32" i="59" s="1"/>
  <c r="E256" i="59" a="1"/>
  <c r="E256" i="59" s="1"/>
  <c r="C21" i="50" s="1"/>
  <c r="E146" i="59" a="1"/>
  <c r="E146" i="59" s="1"/>
  <c r="E14" i="59" a="1"/>
  <c r="E14" i="59" s="1"/>
  <c r="E309" i="59" a="1"/>
  <c r="E309" i="59" s="1"/>
  <c r="E255" i="59" a="1"/>
  <c r="E255" i="59" s="1"/>
  <c r="C20" i="50" s="1"/>
  <c r="E228" i="59" a="1"/>
  <c r="E228" i="59" s="1"/>
  <c r="E50" i="59" a="1"/>
  <c r="E50" i="59" s="1"/>
  <c r="C12" i="51" s="1"/>
  <c r="E145" i="59" a="1"/>
  <c r="E145" i="59" s="1"/>
  <c r="E303" i="59" a="1"/>
  <c r="E303" i="59" s="1"/>
  <c r="C64" i="50" s="1"/>
  <c r="E152" i="59" a="1"/>
  <c r="E152" i="59" s="1"/>
  <c r="E144" i="59" a="1"/>
  <c r="E144" i="59" s="1"/>
  <c r="E217" i="59" a="1"/>
  <c r="E217" i="59" s="1"/>
  <c r="E258" i="59" a="1"/>
  <c r="E258" i="59" s="1"/>
  <c r="C23" i="50" s="1"/>
  <c r="E23" i="59" a="1"/>
  <c r="E23" i="59" s="1"/>
  <c r="E51" i="59" a="1"/>
  <c r="E51" i="59" s="1"/>
  <c r="E330" i="59" a="1"/>
  <c r="E330" i="59" s="1"/>
  <c r="E19" i="59" a="1"/>
  <c r="E19" i="59" s="1"/>
  <c r="E82" i="59" a="1"/>
  <c r="E82" i="59" s="1"/>
  <c r="E183" i="59" a="1"/>
  <c r="E183" i="59" s="1"/>
  <c r="E166" i="59" a="1"/>
  <c r="E166" i="59" s="1"/>
  <c r="E273" i="59" a="1"/>
  <c r="E273" i="59" s="1"/>
  <c r="E241" i="59" a="1"/>
  <c r="E241" i="59" s="1"/>
  <c r="E304" i="59" a="1"/>
  <c r="E304" i="59" s="1"/>
  <c r="E341" i="59" a="1"/>
  <c r="E341" i="59" s="1"/>
  <c r="E243" i="59" a="1"/>
  <c r="E243" i="59" s="1"/>
  <c r="C10" i="50" s="1"/>
  <c r="E196" i="59" a="1"/>
  <c r="E196" i="59" s="1"/>
  <c r="E161" i="59" a="1"/>
  <c r="E161" i="59" s="1"/>
  <c r="E178" i="59" a="1"/>
  <c r="E178" i="59" s="1"/>
  <c r="E230" i="59" a="1"/>
  <c r="E230" i="59" s="1"/>
  <c r="E209" i="59" a="1"/>
  <c r="E209" i="59" s="1"/>
  <c r="E90" i="59" a="1"/>
  <c r="E90" i="59" s="1"/>
  <c r="E125" i="59" a="1"/>
  <c r="E125" i="59" s="1"/>
  <c r="E257" i="59" a="1"/>
  <c r="E257" i="59" s="1"/>
  <c r="C22" i="50" s="1"/>
  <c r="E22" i="59" a="1"/>
  <c r="E22" i="59" s="1"/>
  <c r="E53" i="59" a="1"/>
  <c r="E53" i="59" s="1"/>
  <c r="E329" i="59" a="1"/>
  <c r="E329" i="59" s="1"/>
  <c r="E109" i="59" a="1"/>
  <c r="E109" i="59" s="1"/>
  <c r="E284" i="59" a="1"/>
  <c r="E284" i="59" s="1"/>
  <c r="E20" i="59" a="1"/>
  <c r="E20" i="59" s="1"/>
  <c r="E169" i="59" a="1"/>
  <c r="E169" i="59" s="1"/>
  <c r="E244" i="59" a="1"/>
  <c r="E244" i="59" s="1"/>
  <c r="C11" i="50" s="1"/>
  <c r="E135" i="59" a="1"/>
  <c r="E135" i="59" s="1"/>
  <c r="E333" i="59" a="1"/>
  <c r="E333" i="59" s="1"/>
  <c r="B118" i="32" s="1"/>
  <c r="E68" i="59" a="1"/>
  <c r="E68" i="59" s="1"/>
  <c r="E253" i="59" a="1"/>
  <c r="E253" i="59" s="1"/>
  <c r="C18" i="50" s="1"/>
  <c r="E36" i="59" a="1"/>
  <c r="E36" i="59" s="1"/>
  <c r="E252" i="59" a="1"/>
  <c r="E252" i="59" s="1"/>
  <c r="C17" i="50" s="1"/>
  <c r="E250" i="59" a="1"/>
  <c r="E250" i="59" s="1"/>
  <c r="E134" i="59" a="1"/>
  <c r="E134" i="59" s="1"/>
  <c r="E282" i="59" a="1"/>
  <c r="E282" i="59" s="1"/>
  <c r="E37" i="59" a="1"/>
  <c r="E37" i="59" s="1"/>
  <c r="E74" i="59" a="1"/>
  <c r="E74" i="59" s="1"/>
  <c r="E151" i="59" a="1"/>
  <c r="E151" i="59" s="1"/>
  <c r="E111" i="59" a="1"/>
  <c r="E111" i="59" s="1"/>
  <c r="E58" i="59" a="1"/>
  <c r="E58" i="59" s="1"/>
  <c r="E259" i="59" a="1"/>
  <c r="E259" i="59" s="1"/>
  <c r="C24" i="50" s="1"/>
  <c r="E21" i="59" a="1"/>
  <c r="E21" i="59" s="1"/>
  <c r="E52" i="59" a="1"/>
  <c r="E52" i="59" s="1"/>
  <c r="E17" i="59" a="1"/>
  <c r="E17" i="59" s="1"/>
  <c r="C106" i="32"/>
  <c r="B119" i="32"/>
  <c r="F12" i="51"/>
  <c r="J12" i="51"/>
  <c r="K358" i="59"/>
  <c r="E347" i="59" a="1"/>
  <c r="E347" i="59" s="1"/>
  <c r="E62" i="59" a="1"/>
  <c r="E62" i="59" s="1"/>
  <c r="E264" i="59" a="1"/>
  <c r="E264" i="59" s="1"/>
  <c r="E322" i="59" a="1"/>
  <c r="E322" i="59" s="1"/>
  <c r="E232" i="59" a="1"/>
  <c r="E232" i="59" s="1"/>
  <c r="E181" i="59" a="1"/>
  <c r="E181" i="59" s="1"/>
  <c r="E101" i="59" a="1"/>
  <c r="E101" i="59" s="1"/>
  <c r="E97" i="59" a="1"/>
  <c r="E97" i="59" s="1"/>
  <c r="E80" i="59" a="1"/>
  <c r="E80" i="59" s="1"/>
  <c r="C25" i="51" s="1"/>
  <c r="E239" i="59" a="1"/>
  <c r="E239" i="59" s="1"/>
  <c r="C6" i="50" s="1"/>
  <c r="E168" i="59" a="1"/>
  <c r="E168" i="59" s="1"/>
  <c r="E301" i="59" a="1"/>
  <c r="E301" i="59" s="1"/>
  <c r="C62" i="50" s="1"/>
  <c r="E280" i="59" a="1"/>
  <c r="E280" i="59" s="1"/>
  <c r="C42" i="50" s="1"/>
  <c r="E286" i="59" a="1"/>
  <c r="E286" i="59" s="1"/>
  <c r="C47" i="50" s="1"/>
  <c r="E162" i="59" a="1"/>
  <c r="E162" i="59" s="1"/>
  <c r="E281" i="59" a="1"/>
  <c r="E281" i="59" s="1"/>
  <c r="C43" i="50" s="1"/>
  <c r="E312" i="59" a="1"/>
  <c r="E312" i="59" s="1"/>
  <c r="C73" i="50" s="1"/>
  <c r="E167" i="59" a="1"/>
  <c r="E167" i="59" s="1"/>
  <c r="E117" i="59" a="1"/>
  <c r="E117" i="59" s="1"/>
  <c r="E226" i="59" a="1"/>
  <c r="E226" i="59" s="1"/>
  <c r="E346" i="59" a="1"/>
  <c r="E346" i="59" s="1"/>
  <c r="E297" i="59" a="1"/>
  <c r="E297" i="59" s="1"/>
  <c r="E61" i="59" a="1"/>
  <c r="E61" i="59" s="1"/>
  <c r="E269" i="59" a="1"/>
  <c r="E269" i="59" s="1"/>
  <c r="E326" i="59" a="1"/>
  <c r="E326" i="59" s="1"/>
  <c r="E133" i="59" a="1"/>
  <c r="E133" i="59" s="1"/>
  <c r="E33" i="59" a="1"/>
  <c r="E33" i="59" s="1"/>
  <c r="E150" i="59" a="1"/>
  <c r="E150" i="59" s="1"/>
  <c r="E164" i="59" a="1"/>
  <c r="E164" i="59" s="1"/>
  <c r="E141" i="59" a="1"/>
  <c r="E141" i="59" s="1"/>
  <c r="E305" i="59" a="1"/>
  <c r="E305" i="59" s="1"/>
  <c r="C66" i="50" s="1"/>
  <c r="E184" i="59" a="1"/>
  <c r="E184" i="59" s="1"/>
  <c r="E300" i="59" a="1"/>
  <c r="E300" i="59" s="1"/>
  <c r="C61" i="50" s="1"/>
  <c r="E279" i="59" a="1"/>
  <c r="E279" i="59" s="1"/>
  <c r="C41" i="50" s="1"/>
  <c r="E59" i="59" a="1"/>
  <c r="E59" i="59" s="1"/>
  <c r="E274" i="59" a="1"/>
  <c r="E274" i="59" s="1"/>
  <c r="C36" i="50" s="1"/>
  <c r="E112" i="59" a="1"/>
  <c r="E112" i="59" s="1"/>
  <c r="E298" i="59" a="1"/>
  <c r="E298" i="59" s="1"/>
  <c r="C59" i="50" s="1"/>
  <c r="E96" i="59" a="1"/>
  <c r="E96" i="59" s="1"/>
  <c r="E175" i="59" a="1"/>
  <c r="E175" i="59" s="1"/>
  <c r="E265" i="59" a="1"/>
  <c r="E265" i="59" s="1"/>
  <c r="C27" i="50" s="1"/>
  <c r="E339" i="59" a="1"/>
  <c r="E339" i="59" s="1"/>
  <c r="E65" i="59" a="1"/>
  <c r="E65" i="59" s="1"/>
  <c r="E287" i="59" a="1"/>
  <c r="E287" i="59" s="1"/>
  <c r="E34" i="59" a="1"/>
  <c r="E34" i="59" s="1"/>
  <c r="E275" i="59" a="1"/>
  <c r="E275" i="59" s="1"/>
  <c r="C37" i="50" s="1"/>
  <c r="E88" i="59" a="1"/>
  <c r="E88" i="59" s="1"/>
  <c r="E38" i="59" a="1"/>
  <c r="E38" i="59" s="1"/>
  <c r="E142" i="59" a="1"/>
  <c r="E142" i="59" s="1"/>
  <c r="E212" i="59" a="1"/>
  <c r="E212" i="59" s="1"/>
  <c r="E116" i="59" a="1"/>
  <c r="E116" i="59" s="1"/>
  <c r="E227" i="59" a="1"/>
  <c r="E227" i="59" s="1"/>
  <c r="E193" i="59" a="1"/>
  <c r="E193" i="59" s="1"/>
  <c r="E299" i="59" a="1"/>
  <c r="E299" i="59" s="1"/>
  <c r="C60" i="50" s="1"/>
  <c r="E240" i="59" a="1"/>
  <c r="E240" i="59" s="1"/>
  <c r="C7" i="50" s="1"/>
  <c r="E89" i="59" a="1"/>
  <c r="E89" i="59" s="1"/>
  <c r="E247" i="59" a="1"/>
  <c r="E247" i="59" s="1"/>
  <c r="C14" i="50" s="1"/>
  <c r="E103" i="59" a="1"/>
  <c r="E103" i="59" s="1"/>
  <c r="E114" i="59" a="1"/>
  <c r="E114" i="59" s="1"/>
  <c r="E278" i="59" a="1"/>
  <c r="E278" i="59" s="1"/>
  <c r="C40" i="50" s="1"/>
  <c r="E176" i="59" a="1"/>
  <c r="E176" i="59" s="1"/>
  <c r="E248" i="59" a="1"/>
  <c r="E248" i="59" s="1"/>
  <c r="C15" i="50" s="1"/>
  <c r="E306" i="59" a="1"/>
  <c r="E306" i="59" s="1"/>
  <c r="C67" i="50" s="1"/>
  <c r="E45" i="59" a="1"/>
  <c r="E45" i="59" s="1"/>
  <c r="E353" i="59" a="1"/>
  <c r="E353" i="59" s="1"/>
  <c r="D9" i="32" s="1"/>
  <c r="E292" i="59" a="1"/>
  <c r="E292" i="59" s="1"/>
  <c r="E205" i="59" a="1"/>
  <c r="E205" i="59" s="1"/>
  <c r="E100" i="59" a="1"/>
  <c r="E100" i="59" s="1"/>
  <c r="E214" i="59" a="1"/>
  <c r="E214" i="59" s="1"/>
  <c r="E35" i="59" a="1"/>
  <c r="E35" i="59" s="1"/>
  <c r="E173" i="59" a="1"/>
  <c r="E173" i="59" s="1"/>
  <c r="E122" i="59" a="1"/>
  <c r="E122" i="59" s="1"/>
  <c r="E267" i="59" a="1"/>
  <c r="E267" i="59" s="1"/>
  <c r="C29" i="50" s="1"/>
  <c r="E195" i="59" a="1"/>
  <c r="E195" i="59" s="1"/>
  <c r="E276" i="59" a="1"/>
  <c r="E276" i="59" s="1"/>
  <c r="C38" i="50" s="1"/>
  <c r="E107" i="59" a="1"/>
  <c r="E107" i="59" s="1"/>
  <c r="E42" i="59" a="1"/>
  <c r="E42" i="59" s="1"/>
  <c r="E102" i="59" a="1"/>
  <c r="E102" i="59" s="1"/>
  <c r="E194" i="59" a="1"/>
  <c r="E194" i="59" s="1"/>
  <c r="E113" i="59" a="1"/>
  <c r="E113" i="59" s="1"/>
  <c r="E323" i="59" a="1"/>
  <c r="E323" i="59" s="1"/>
  <c r="E128" i="59" a="1"/>
  <c r="E128" i="59" s="1"/>
  <c r="E295" i="59" a="1"/>
  <c r="E295" i="59" s="1"/>
  <c r="C56" i="50" s="1"/>
  <c r="E320" i="59" a="1"/>
  <c r="E320" i="59" s="1"/>
  <c r="E48" i="59" a="1"/>
  <c r="E48" i="59" s="1"/>
  <c r="E294" i="59" a="1"/>
  <c r="E294" i="59" s="1"/>
  <c r="C55" i="50" s="1"/>
  <c r="E179" i="59" a="1"/>
  <c r="E179" i="59" s="1"/>
  <c r="E215" i="59" a="1"/>
  <c r="E215" i="59" s="1"/>
  <c r="E28" i="59" a="1"/>
  <c r="E28" i="59" s="1"/>
  <c r="E63" i="59" a="1"/>
  <c r="E63" i="59" s="1"/>
  <c r="E293" i="59" a="1"/>
  <c r="E293" i="59" s="1"/>
  <c r="C54" i="50" s="1"/>
  <c r="E307" i="59" a="1"/>
  <c r="E307" i="59" s="1"/>
  <c r="C68" i="50" s="1"/>
  <c r="E321" i="59" a="1"/>
  <c r="E321" i="59" s="1"/>
  <c r="E314" i="59" a="1"/>
  <c r="E314" i="59" s="1"/>
  <c r="C75" i="50" s="1"/>
  <c r="E206" i="59" a="1"/>
  <c r="E206" i="59" s="1"/>
  <c r="E10" i="59" a="1"/>
  <c r="E10" i="59" s="1"/>
  <c r="D64" i="32" s="1"/>
  <c r="D54" i="32" s="1"/>
  <c r="E291" i="59" a="1"/>
  <c r="E291" i="59" s="1"/>
  <c r="E163" i="59" a="1"/>
  <c r="E163" i="59" s="1"/>
  <c r="E245" i="59" a="1"/>
  <c r="E245" i="59" s="1"/>
  <c r="C12" i="50" s="1"/>
  <c r="E136" i="59" a="1"/>
  <c r="E136" i="59" s="1"/>
  <c r="E40" i="59" a="1"/>
  <c r="E40" i="59" s="1"/>
  <c r="E223" i="59" a="1"/>
  <c r="E223" i="59" s="1"/>
  <c r="E354" i="59" a="1"/>
  <c r="E354" i="59" s="1"/>
  <c r="D10" i="32" s="1"/>
  <c r="E340" i="59" a="1"/>
  <c r="E340" i="59" s="1"/>
  <c r="E272" i="59" a="1"/>
  <c r="E272" i="59" s="1"/>
  <c r="C34" i="50" s="1"/>
  <c r="E285" i="59" a="1"/>
  <c r="E285" i="59" s="1"/>
  <c r="E296" i="59" a="1"/>
  <c r="E296" i="59" s="1"/>
  <c r="C57" i="50" s="1"/>
  <c r="E221" i="59" a="1"/>
  <c r="E221" i="59" s="1"/>
  <c r="E224" i="59" a="1"/>
  <c r="E224" i="59" s="1"/>
  <c r="E283" i="59" a="1"/>
  <c r="E283" i="59" s="1"/>
  <c r="C46" i="50" s="1"/>
  <c r="E77" i="59" a="1"/>
  <c r="E77" i="59" s="1"/>
  <c r="E81" i="59" a="1"/>
  <c r="E81" i="59" s="1"/>
  <c r="E315" i="59" a="1"/>
  <c r="E315" i="59" s="1"/>
  <c r="E308" i="59" a="1"/>
  <c r="E308" i="59" s="1"/>
  <c r="C69" i="50" s="1"/>
  <c r="E148" i="59" a="1"/>
  <c r="E148" i="59" s="1"/>
  <c r="E231" i="59" a="1"/>
  <c r="E231" i="59" s="1"/>
  <c r="E351" i="59" a="1"/>
  <c r="E351" i="59" s="1"/>
  <c r="C22" i="47" s="1"/>
  <c r="E64" i="59" a="1"/>
  <c r="E64" i="59" s="1"/>
  <c r="E345" i="59" a="1"/>
  <c r="E345" i="59" s="1"/>
  <c r="E132" i="59" a="1"/>
  <c r="E132" i="59" s="1"/>
  <c r="E200" i="59" a="1"/>
  <c r="E200" i="59" s="1"/>
  <c r="E87" i="59" a="1"/>
  <c r="E87" i="59" s="1"/>
  <c r="E120" i="59" a="1"/>
  <c r="E120" i="59" s="1"/>
  <c r="E78" i="59" a="1"/>
  <c r="E78" i="59" s="1"/>
  <c r="E213" i="59" a="1"/>
  <c r="E213" i="59" s="1"/>
  <c r="E242" i="59" a="1"/>
  <c r="E242" i="59" s="1"/>
  <c r="C9" i="50" s="1"/>
  <c r="E180" i="59" a="1"/>
  <c r="E180" i="59" s="1"/>
  <c r="E197" i="59" a="1"/>
  <c r="E197" i="59" s="1"/>
  <c r="E219" i="59" a="1"/>
  <c r="E219" i="59" s="1"/>
  <c r="E43" i="59" a="1"/>
  <c r="E43" i="59" s="1"/>
  <c r="E238" i="59" a="1"/>
  <c r="E238" i="59" s="1"/>
  <c r="C5" i="50" s="1"/>
  <c r="E350" i="59" a="1"/>
  <c r="E350" i="59" s="1"/>
  <c r="B22" i="47" s="1"/>
  <c r="E313" i="59" a="1"/>
  <c r="E313" i="59" s="1"/>
  <c r="C74" i="50" s="1"/>
  <c r="E76" i="59" a="1"/>
  <c r="E76" i="59" s="1"/>
  <c r="E8" i="59" a="1"/>
  <c r="E8" i="59" s="1"/>
  <c r="E187" i="59" a="1"/>
  <c r="E187" i="59" s="1"/>
  <c r="E119" i="59" a="1"/>
  <c r="E119" i="59" s="1"/>
  <c r="E302" i="59" a="1"/>
  <c r="E302" i="59" s="1"/>
  <c r="C63" i="50" s="1"/>
  <c r="E199" i="59" a="1"/>
  <c r="E199" i="59" s="1"/>
  <c r="E94" i="59" a="1"/>
  <c r="E94" i="59" s="1"/>
  <c r="E349" i="59" a="1"/>
  <c r="E349" i="59" s="1"/>
  <c r="D225" i="32" s="1"/>
  <c r="E348" i="59" a="1"/>
  <c r="E348" i="59" s="1"/>
  <c r="D230" i="32" s="1"/>
  <c r="E118" i="59" a="1"/>
  <c r="E118" i="59" s="1"/>
  <c r="E137" i="59" a="1"/>
  <c r="E137" i="59" s="1"/>
  <c r="E83" i="59" a="1"/>
  <c r="E83" i="59" s="1"/>
  <c r="E289" i="59" a="1"/>
  <c r="E289" i="59" s="1"/>
  <c r="C50" i="50" s="1"/>
  <c r="E106" i="59" a="1"/>
  <c r="E106" i="59" s="1"/>
  <c r="E130" i="59" a="1"/>
  <c r="E130" i="59" s="1"/>
  <c r="E311" i="59" a="1"/>
  <c r="E311" i="59" s="1"/>
  <c r="C72" i="50" s="1"/>
  <c r="E229" i="59" a="1"/>
  <c r="E229" i="59" s="1"/>
  <c r="E174" i="59" a="1"/>
  <c r="E174" i="59" s="1"/>
  <c r="E85" i="59" a="1"/>
  <c r="E85" i="59" s="1"/>
  <c r="E185" i="59" a="1"/>
  <c r="E185" i="59" s="1"/>
  <c r="E189" i="59" a="1"/>
  <c r="E189" i="59" s="1"/>
  <c r="E46" i="59" a="1"/>
  <c r="E46" i="59" s="1"/>
  <c r="E266" i="59" a="1"/>
  <c r="E266" i="59" s="1"/>
  <c r="C28" i="50" s="1"/>
  <c r="E207" i="59" a="1"/>
  <c r="E207" i="59" s="1"/>
  <c r="E75" i="59" a="1"/>
  <c r="E75" i="59" s="1"/>
  <c r="E249" i="59" a="1"/>
  <c r="E249" i="59" s="1"/>
  <c r="E9" i="59" a="1"/>
  <c r="E9" i="59" s="1"/>
  <c r="E198" i="59" a="1"/>
  <c r="E198" i="59" s="1"/>
  <c r="E202" i="59" a="1"/>
  <c r="E202" i="59" s="1"/>
  <c r="E49" i="59" a="1"/>
  <c r="E49" i="59" s="1"/>
  <c r="E140" i="59" a="1"/>
  <c r="E140" i="59" s="1"/>
  <c r="E129" i="59" a="1"/>
  <c r="E129" i="59" s="1"/>
  <c r="E277" i="59" a="1"/>
  <c r="E277" i="59" s="1"/>
  <c r="E44" i="59" a="1"/>
  <c r="E44" i="59" s="1"/>
  <c r="E108" i="59" a="1"/>
  <c r="E108" i="59" s="1"/>
  <c r="E186" i="59" a="1"/>
  <c r="E186" i="59" s="1"/>
  <c r="E157" i="59" a="1"/>
  <c r="E157" i="59" s="1"/>
  <c r="E177" i="59" a="1"/>
  <c r="E177" i="59" s="1"/>
  <c r="E155" i="59" a="1"/>
  <c r="E155" i="59" s="1"/>
  <c r="E316" i="59" a="1"/>
  <c r="E316" i="59" s="1"/>
  <c r="E126" i="59" a="1"/>
  <c r="E126" i="59" s="1"/>
  <c r="E190" i="59" a="1"/>
  <c r="E190" i="59" s="1"/>
  <c r="E216" i="59" a="1"/>
  <c r="E216" i="59" s="1"/>
  <c r="E171" i="59" a="1"/>
  <c r="E171" i="59" s="1"/>
  <c r="E86" i="59" a="1"/>
  <c r="E86" i="59" s="1"/>
  <c r="E105" i="59" a="1"/>
  <c r="E105" i="59" s="1"/>
  <c r="E29" i="59" a="1"/>
  <c r="E29" i="59" s="1"/>
  <c r="E47" i="59" a="1"/>
  <c r="E47" i="59" s="1"/>
  <c r="N81" i="51"/>
  <c r="N80" i="51"/>
  <c r="H211" i="59"/>
  <c r="E211" i="59" s="1" a="1"/>
  <c r="E211" i="59" s="1"/>
  <c r="F256" i="59" l="1"/>
  <c r="B37" i="5"/>
  <c r="B33" i="5"/>
  <c r="G22" i="47"/>
  <c r="A122" i="32"/>
  <c r="F53" i="59"/>
  <c r="F54" i="59"/>
  <c r="F52" i="59"/>
  <c r="F238" i="59"/>
  <c r="C8" i="50"/>
  <c r="F47" i="59"/>
  <c r="F259" i="59"/>
  <c r="F253" i="59"/>
  <c r="F257" i="59"/>
  <c r="F250" i="59"/>
  <c r="F252" i="59"/>
  <c r="F260" i="59"/>
  <c r="F258" i="59"/>
  <c r="F251" i="59"/>
  <c r="F263" i="59"/>
  <c r="F262" i="59"/>
  <c r="F254" i="59"/>
  <c r="F255" i="59"/>
  <c r="F261" i="59"/>
  <c r="F282" i="59"/>
  <c r="F50" i="59"/>
  <c r="F44" i="59"/>
  <c r="F61" i="59"/>
  <c r="F46" i="59"/>
  <c r="F43" i="59"/>
  <c r="F63" i="59"/>
  <c r="F45" i="59"/>
  <c r="F48" i="59"/>
  <c r="F64" i="59"/>
  <c r="F62" i="59"/>
  <c r="H208" i="59"/>
  <c r="H204" i="59"/>
  <c r="H192" i="59"/>
  <c r="E192" i="59" s="1" a="1"/>
  <c r="E192" i="59" s="1"/>
  <c r="E204" i="59" l="1" a="1"/>
  <c r="E204" i="59" s="1"/>
  <c r="E208" i="59" a="1"/>
  <c r="E208" i="59" s="1"/>
  <c r="H188" i="59"/>
  <c r="E188" i="59" s="1" a="1"/>
  <c r="E188" i="59" s="1"/>
  <c r="H182" i="59"/>
  <c r="H172" i="59"/>
  <c r="E172" i="59" s="1" a="1"/>
  <c r="E172" i="59" s="1"/>
  <c r="H225" i="59"/>
  <c r="E225" i="59" s="1" a="1"/>
  <c r="E225" i="59" s="1"/>
  <c r="E220" i="59" a="1"/>
  <c r="E220" i="59" s="1"/>
  <c r="H149" i="59"/>
  <c r="E149" i="59" s="1" a="1"/>
  <c r="E149" i="59" s="1"/>
  <c r="C110" i="51"/>
  <c r="C109" i="51"/>
  <c r="C108" i="51"/>
  <c r="E182" i="59" l="1" a="1"/>
  <c r="E182" i="59" s="1"/>
  <c r="H159" i="59"/>
  <c r="H218" i="59"/>
  <c r="E218" i="59" s="1" a="1"/>
  <c r="E218" i="59" s="1"/>
  <c r="E165" i="59" a="1"/>
  <c r="E165" i="59" s="1"/>
  <c r="E160" i="59" a="1"/>
  <c r="E160" i="59" s="1"/>
  <c r="C104" i="51"/>
  <c r="C103" i="51"/>
  <c r="C102" i="51"/>
  <c r="C101" i="51"/>
  <c r="C100" i="51"/>
  <c r="C99" i="51"/>
  <c r="H131" i="59"/>
  <c r="E131" i="59" s="1" a="1"/>
  <c r="E131" i="59" s="1"/>
  <c r="C96" i="51"/>
  <c r="C95" i="51"/>
  <c r="C94" i="51"/>
  <c r="C92" i="51"/>
  <c r="H127" i="59"/>
  <c r="E127" i="59" s="1" a="1"/>
  <c r="E127" i="59" s="1"/>
  <c r="C88" i="51"/>
  <c r="C87" i="51"/>
  <c r="H147" i="59"/>
  <c r="E147" i="59" s="1" a="1"/>
  <c r="E147" i="59" s="1"/>
  <c r="H123" i="59"/>
  <c r="E123" i="59" s="1" a="1"/>
  <c r="E123" i="59" s="1"/>
  <c r="C85" i="51"/>
  <c r="C84" i="51"/>
  <c r="C83" i="51"/>
  <c r="H121" i="59"/>
  <c r="E121" i="59" s="1" a="1"/>
  <c r="E121" i="59" s="1"/>
  <c r="H110" i="59"/>
  <c r="E110" i="59" s="1" a="1"/>
  <c r="E110" i="59" s="1"/>
  <c r="H99" i="59"/>
  <c r="E99" i="59" s="1" a="1"/>
  <c r="E99" i="59" s="1"/>
  <c r="E159" i="59" l="1" a="1"/>
  <c r="E159" i="59" s="1"/>
  <c r="C111" i="51" s="1"/>
  <c r="C91" i="51"/>
  <c r="C93" i="51"/>
  <c r="C89" i="51"/>
  <c r="H98" i="59"/>
  <c r="E98" i="59" s="1" a="1"/>
  <c r="E98" i="59" s="1"/>
  <c r="B120" i="42" l="1"/>
  <c r="C81" i="51"/>
  <c r="C79" i="51"/>
  <c r="C78" i="51"/>
  <c r="C77" i="51"/>
  <c r="C76" i="51"/>
  <c r="C75" i="51"/>
  <c r="C74" i="51"/>
  <c r="C73" i="51"/>
  <c r="C72" i="51"/>
  <c r="C71" i="51"/>
  <c r="C70" i="51"/>
  <c r="C68" i="51"/>
  <c r="C67" i="51"/>
  <c r="C66" i="51"/>
  <c r="C65" i="51"/>
  <c r="C64" i="51"/>
  <c r="C63" i="51"/>
  <c r="C62" i="51"/>
  <c r="C61" i="51"/>
  <c r="C60" i="51"/>
  <c r="C59" i="51"/>
  <c r="H95" i="59"/>
  <c r="E95" i="59" s="1" a="1"/>
  <c r="E95" i="59" s="1"/>
  <c r="C56" i="51"/>
  <c r="C55" i="51"/>
  <c r="C52" i="51"/>
  <c r="C49" i="51"/>
  <c r="H91" i="59"/>
  <c r="E91" i="59" s="1" a="1"/>
  <c r="E91" i="59" s="1"/>
  <c r="C48" i="51"/>
  <c r="E71" i="59" a="1"/>
  <c r="E71" i="59" s="1"/>
  <c r="H84" i="59"/>
  <c r="C43" i="51"/>
  <c r="C42" i="51"/>
  <c r="C40" i="51"/>
  <c r="C34" i="51"/>
  <c r="E84" i="59" l="1" a="1"/>
  <c r="E84" i="59" s="1"/>
  <c r="E73" i="59" a="1"/>
  <c r="E73" i="59" s="1"/>
  <c r="F29" i="59"/>
  <c r="H27" i="59" l="1"/>
  <c r="E70" i="59" a="1"/>
  <c r="E70" i="59" s="1"/>
  <c r="E67" i="59" a="1"/>
  <c r="E67" i="59" s="1"/>
  <c r="H57" i="59"/>
  <c r="E39" i="59" a="1"/>
  <c r="E39" i="59" s="1"/>
  <c r="E57" i="59" l="1" a="1"/>
  <c r="E57" i="59" s="1"/>
  <c r="H56" i="59"/>
  <c r="E31" i="59" a="1"/>
  <c r="E31" i="59" s="1"/>
  <c r="E27" i="59" a="1"/>
  <c r="E27" i="59" s="1"/>
  <c r="E56" i="59" a="1"/>
  <c r="E56" i="59" s="1"/>
  <c r="E30" i="59" a="1"/>
  <c r="E30" i="59" s="1"/>
  <c r="C27" i="51"/>
  <c r="C19" i="51" l="1"/>
  <c r="C21" i="51"/>
  <c r="C20" i="51"/>
  <c r="C23" i="51"/>
  <c r="C26" i="51"/>
  <c r="C10" i="51"/>
  <c r="C9" i="51" s="1"/>
  <c r="H12" i="59"/>
  <c r="E12" i="59" s="1" a="1"/>
  <c r="E12" i="59" s="1"/>
  <c r="C17" i="51" l="1"/>
  <c r="C14" i="51"/>
  <c r="C15" i="51" l="1"/>
  <c r="C80" i="51" l="1"/>
  <c r="F382" i="32" s="1"/>
  <c r="J77" i="51"/>
  <c r="N76" i="51"/>
  <c r="N77" i="51"/>
  <c r="N65" i="51"/>
  <c r="N66" i="51"/>
  <c r="J81" i="51"/>
  <c r="J20" i="51"/>
  <c r="J76" i="51" l="1"/>
  <c r="J66" i="51"/>
  <c r="J65" i="51"/>
  <c r="J33" i="51" l="1"/>
  <c r="J34" i="51"/>
  <c r="J35" i="51"/>
  <c r="J37" i="51"/>
  <c r="J38" i="51"/>
  <c r="J39" i="51"/>
  <c r="J40" i="51"/>
  <c r="J41" i="51"/>
  <c r="J42" i="51"/>
  <c r="J43" i="51"/>
  <c r="J44" i="51"/>
  <c r="J26" i="51"/>
  <c r="J27" i="51"/>
  <c r="J28" i="51"/>
  <c r="J15" i="51"/>
  <c r="J29" i="51" l="1"/>
  <c r="J25" i="51"/>
  <c r="J183" i="32" l="1"/>
  <c r="J182" i="32"/>
  <c r="D202" i="32"/>
  <c r="D214" i="32" s="1"/>
  <c r="D196" i="32"/>
  <c r="B24" i="5"/>
  <c r="D78" i="32"/>
  <c r="D99" i="32" s="1"/>
  <c r="D84" i="32"/>
  <c r="D81" i="32"/>
  <c r="AI68" i="50" l="1"/>
  <c r="AA68" i="50"/>
  <c r="S68" i="50"/>
  <c r="K68" i="50"/>
  <c r="U68" i="50"/>
  <c r="AH68" i="50"/>
  <c r="Z68" i="50"/>
  <c r="R68" i="50"/>
  <c r="J68" i="50"/>
  <c r="Y68" i="50"/>
  <c r="Q68" i="50"/>
  <c r="I68" i="50"/>
  <c r="AF68" i="50"/>
  <c r="X68" i="50"/>
  <c r="P68" i="50"/>
  <c r="H68" i="50"/>
  <c r="W68" i="50"/>
  <c r="O68" i="50"/>
  <c r="G68" i="50"/>
  <c r="AD68" i="50"/>
  <c r="V68" i="50"/>
  <c r="N68" i="50"/>
  <c r="F68" i="50"/>
  <c r="M68" i="50"/>
  <c r="T68" i="50"/>
  <c r="AG68" i="50"/>
  <c r="L68" i="50"/>
  <c r="AE68" i="50"/>
  <c r="AC68" i="50"/>
  <c r="AB68" i="50"/>
  <c r="D6" i="29"/>
  <c r="F307" i="59"/>
  <c r="F314" i="59"/>
  <c r="F306" i="59"/>
  <c r="F313" i="59"/>
  <c r="F309" i="59"/>
  <c r="F304" i="59"/>
  <c r="F305" i="59"/>
  <c r="F311" i="59"/>
  <c r="F312" i="59"/>
  <c r="F308" i="59"/>
  <c r="F310" i="59"/>
  <c r="F301" i="59"/>
  <c r="F297" i="59"/>
  <c r="F300" i="59"/>
  <c r="F303" i="59"/>
  <c r="F298" i="59"/>
  <c r="F302" i="59"/>
  <c r="F299" i="59"/>
  <c r="F294" i="59"/>
  <c r="F289" i="59"/>
  <c r="F293" i="59"/>
  <c r="F290" i="59"/>
  <c r="F292" i="59"/>
  <c r="F295" i="59"/>
  <c r="F287" i="59"/>
  <c r="F288" i="59"/>
  <c r="F296" i="59"/>
  <c r="F283" i="59"/>
  <c r="F286" i="59"/>
  <c r="F265" i="59"/>
  <c r="F273" i="59"/>
  <c r="F267" i="59"/>
  <c r="F281" i="59"/>
  <c r="F268" i="59"/>
  <c r="F278" i="59"/>
  <c r="F277" i="59"/>
  <c r="F275" i="59"/>
  <c r="F280" i="59"/>
  <c r="F276" i="59"/>
  <c r="F279" i="59"/>
  <c r="F264" i="59"/>
  <c r="F269" i="59"/>
  <c r="F274" i="59"/>
  <c r="F266" i="59"/>
  <c r="F270" i="59"/>
  <c r="F271" i="59"/>
  <c r="F272" i="59"/>
  <c r="F242" i="59"/>
  <c r="F244" i="59"/>
  <c r="F243" i="59"/>
  <c r="F245" i="59"/>
  <c r="F247" i="59"/>
  <c r="F248" i="59"/>
  <c r="F241" i="59"/>
  <c r="F246" i="59"/>
  <c r="F249" i="59"/>
  <c r="F239" i="59"/>
  <c r="F240" i="59"/>
  <c r="F158" i="59"/>
  <c r="F223" i="59"/>
  <c r="F211" i="59"/>
  <c r="F217" i="59"/>
  <c r="F224" i="59"/>
  <c r="F219" i="59"/>
  <c r="F216" i="59"/>
  <c r="F209" i="59"/>
  <c r="F231" i="59"/>
  <c r="F212" i="59"/>
  <c r="F222" i="59"/>
  <c r="F214" i="59"/>
  <c r="F230" i="59"/>
  <c r="F215" i="59"/>
  <c r="F221" i="59"/>
  <c r="F228" i="59"/>
  <c r="F207" i="59"/>
  <c r="F232" i="59"/>
  <c r="F205" i="59"/>
  <c r="F213" i="59"/>
  <c r="F227" i="59"/>
  <c r="F229" i="59"/>
  <c r="F226" i="59"/>
  <c r="F196" i="59"/>
  <c r="F185" i="59"/>
  <c r="F199" i="59"/>
  <c r="F206" i="59"/>
  <c r="F181" i="59"/>
  <c r="F210" i="59"/>
  <c r="F203" i="59"/>
  <c r="F177" i="59"/>
  <c r="F194" i="59"/>
  <c r="F195" i="59"/>
  <c r="F184" i="59"/>
  <c r="F172" i="59"/>
  <c r="F200" i="59"/>
  <c r="F192" i="59"/>
  <c r="F201" i="59"/>
  <c r="F179" i="59"/>
  <c r="F204" i="59"/>
  <c r="F202" i="59"/>
  <c r="F178" i="59"/>
  <c r="F208" i="59"/>
  <c r="F193" i="59"/>
  <c r="F176" i="59"/>
  <c r="F198" i="59"/>
  <c r="F175" i="59"/>
  <c r="F174" i="59"/>
  <c r="F173" i="59"/>
  <c r="F167" i="59"/>
  <c r="F197" i="59"/>
  <c r="F166" i="59"/>
  <c r="F189" i="59"/>
  <c r="F187" i="59"/>
  <c r="F190" i="59"/>
  <c r="F180" i="59"/>
  <c r="F188" i="59"/>
  <c r="F220" i="59"/>
  <c r="F170" i="59"/>
  <c r="F191" i="59"/>
  <c r="F182" i="59"/>
  <c r="F168" i="59"/>
  <c r="F186" i="59"/>
  <c r="F183" i="59"/>
  <c r="F225" i="59"/>
  <c r="F218" i="59"/>
  <c r="F165" i="59"/>
  <c r="F159" i="59"/>
  <c r="F151" i="59"/>
  <c r="F152" i="59"/>
  <c r="F150" i="59"/>
  <c r="F146" i="59"/>
  <c r="F145" i="59"/>
  <c r="F137" i="59"/>
  <c r="F149" i="59"/>
  <c r="F144" i="59"/>
  <c r="F136" i="59"/>
  <c r="F143" i="59"/>
  <c r="F135" i="59"/>
  <c r="F134" i="59"/>
  <c r="F160" i="59"/>
  <c r="F131" i="59"/>
  <c r="F164" i="59"/>
  <c r="F161" i="59"/>
  <c r="F133" i="59"/>
  <c r="F141" i="59"/>
  <c r="F162" i="59"/>
  <c r="F142" i="59"/>
  <c r="F132" i="59"/>
  <c r="F163" i="59"/>
  <c r="F126" i="59"/>
  <c r="F129" i="59"/>
  <c r="F128" i="59"/>
  <c r="F130" i="59"/>
  <c r="F127" i="59"/>
  <c r="F125" i="59"/>
  <c r="F124" i="59"/>
  <c r="F123" i="59"/>
  <c r="F98" i="59"/>
  <c r="F95" i="59"/>
  <c r="F84" i="59"/>
  <c r="F91" i="59"/>
  <c r="F27" i="59"/>
  <c r="F70" i="59"/>
  <c r="F30" i="59"/>
  <c r="F56" i="59"/>
  <c r="F99" i="59"/>
  <c r="F117" i="59"/>
  <c r="F86" i="59"/>
  <c r="F106" i="59"/>
  <c r="F89" i="59"/>
  <c r="F118" i="59"/>
  <c r="F97" i="59"/>
  <c r="F112" i="59"/>
  <c r="F107" i="59"/>
  <c r="F109" i="59"/>
  <c r="F100" i="59"/>
  <c r="F101" i="59"/>
  <c r="F94" i="59"/>
  <c r="F122" i="59"/>
  <c r="F104" i="59"/>
  <c r="F113" i="59"/>
  <c r="F90" i="59"/>
  <c r="F121" i="59"/>
  <c r="F110" i="59"/>
  <c r="F85" i="59"/>
  <c r="F111" i="59"/>
  <c r="F114" i="59"/>
  <c r="F102" i="59"/>
  <c r="F92" i="59"/>
  <c r="F93" i="59"/>
  <c r="F108" i="59"/>
  <c r="F87" i="59"/>
  <c r="F119" i="59"/>
  <c r="F103" i="59"/>
  <c r="F115" i="59"/>
  <c r="F120" i="59"/>
  <c r="F116" i="59"/>
  <c r="F96" i="59"/>
  <c r="F88" i="59"/>
  <c r="F105" i="59"/>
  <c r="F49" i="59"/>
  <c r="F38" i="59"/>
  <c r="F36" i="59"/>
  <c r="F34" i="59"/>
  <c r="F33" i="59"/>
  <c r="F42" i="59"/>
  <c r="F40" i="59"/>
  <c r="F41" i="59"/>
  <c r="F76" i="59"/>
  <c r="F59" i="59"/>
  <c r="F65" i="59"/>
  <c r="F60" i="59"/>
  <c r="F74" i="59"/>
  <c r="F35" i="59"/>
  <c r="F75" i="59"/>
  <c r="F58" i="59"/>
  <c r="F37" i="59"/>
  <c r="F32" i="59"/>
  <c r="F80" i="59"/>
  <c r="F82" i="59"/>
  <c r="F31" i="59"/>
  <c r="F71" i="59"/>
  <c r="F73" i="59"/>
  <c r="F72" i="59"/>
  <c r="F78" i="59"/>
  <c r="F81" i="59"/>
  <c r="F57" i="59"/>
  <c r="F69" i="59"/>
  <c r="F39" i="59"/>
  <c r="F66" i="59"/>
  <c r="C68" i="32"/>
  <c r="D51" i="32"/>
  <c r="D213" i="32"/>
  <c r="G202" i="32"/>
  <c r="D80" i="32"/>
  <c r="E80" i="32" s="1"/>
  <c r="E76" i="51" l="1"/>
  <c r="F76" i="51" s="1"/>
  <c r="E77" i="51"/>
  <c r="F77" i="51" s="1"/>
  <c r="F81" i="51"/>
  <c r="F20" i="51"/>
  <c r="F65" i="51"/>
  <c r="F66" i="51"/>
  <c r="F39" i="51"/>
  <c r="F27" i="51"/>
  <c r="F40" i="51"/>
  <c r="F15" i="51"/>
  <c r="F26" i="51"/>
  <c r="F41" i="51"/>
  <c r="F37" i="51"/>
  <c r="F42" i="51"/>
  <c r="F43" i="51"/>
  <c r="F34" i="51"/>
  <c r="F44" i="51"/>
  <c r="F28" i="51"/>
  <c r="F33" i="51"/>
  <c r="F38" i="51"/>
  <c r="F35" i="51"/>
  <c r="F29" i="51"/>
  <c r="F25" i="51"/>
  <c r="G183" i="32"/>
  <c r="D182" i="32" s="1"/>
  <c r="D79" i="32"/>
  <c r="C7" i="51" l="1"/>
  <c r="F67" i="59"/>
  <c r="N56" i="51"/>
  <c r="D281" i="32"/>
  <c r="E89" i="51"/>
  <c r="E88" i="51"/>
  <c r="E87" i="51"/>
  <c r="E85" i="51"/>
  <c r="E79" i="51"/>
  <c r="E78" i="51"/>
  <c r="E75" i="51"/>
  <c r="E74" i="51"/>
  <c r="E73" i="51"/>
  <c r="E72" i="51"/>
  <c r="E71" i="51"/>
  <c r="E70" i="51"/>
  <c r="B101" i="42" l="1"/>
  <c r="B93" i="42" s="1"/>
  <c r="F7" i="51"/>
  <c r="C16" i="51"/>
  <c r="J36" i="51" l="1"/>
  <c r="F36" i="51"/>
  <c r="D282" i="32"/>
  <c r="D85" i="32" l="1"/>
  <c r="D59" i="6" l="1"/>
  <c r="C59" i="6" s="1"/>
  <c r="C152" i="32" l="1"/>
  <c r="D18" i="54" l="1"/>
  <c r="B123" i="5" l="1"/>
  <c r="B43" i="7" l="1"/>
  <c r="C57" i="6"/>
  <c r="A58" i="6"/>
  <c r="A57" i="6"/>
  <c r="C58" i="6"/>
  <c r="D415" i="32" l="1"/>
  <c r="B44" i="7" s="1"/>
  <c r="B21" i="5" l="1"/>
  <c r="B19" i="5"/>
  <c r="B17" i="5"/>
  <c r="B5" i="55" l="1"/>
  <c r="B7" i="55"/>
  <c r="F375" i="32" l="1"/>
  <c r="G375" i="32" s="1"/>
  <c r="H375" i="32" l="1"/>
  <c r="O146" i="51" l="1"/>
  <c r="P146" i="51" s="1"/>
  <c r="Q146" i="51" s="1"/>
  <c r="R146" i="51" s="1"/>
  <c r="S146" i="51" s="1"/>
  <c r="T146" i="51" s="1"/>
  <c r="U146" i="51" s="1"/>
  <c r="V146" i="51" s="1"/>
  <c r="W146" i="51" s="1"/>
  <c r="X146" i="51" s="1"/>
  <c r="Y146" i="51" s="1"/>
  <c r="Z146" i="51" s="1"/>
  <c r="AA146" i="51" s="1"/>
  <c r="AB146" i="51" s="1"/>
  <c r="AC146" i="51" s="1"/>
  <c r="AD146" i="51" s="1"/>
  <c r="AE146" i="51" s="1"/>
  <c r="AF146" i="51" s="1"/>
  <c r="AG146" i="51" s="1"/>
  <c r="AH146" i="51" s="1"/>
  <c r="AI146" i="51" s="1"/>
  <c r="AJ146" i="51" s="1"/>
  <c r="AK146" i="51" s="1"/>
  <c r="AL146" i="51" s="1"/>
  <c r="AM146" i="51" s="1"/>
  <c r="AN146" i="51" s="1"/>
  <c r="AO146" i="51" s="1"/>
  <c r="AP146" i="51" s="1"/>
  <c r="AQ146" i="51" s="1"/>
  <c r="N75" i="51" l="1"/>
  <c r="O142" i="51" l="1"/>
  <c r="P142" i="51" s="1"/>
  <c r="Q142" i="51" s="1"/>
  <c r="R142" i="51" s="1"/>
  <c r="S142" i="51" s="1"/>
  <c r="T142" i="51" s="1"/>
  <c r="U142" i="51" s="1"/>
  <c r="V142" i="51" s="1"/>
  <c r="W142" i="51" s="1"/>
  <c r="X142" i="51" s="1"/>
  <c r="Y142" i="51" s="1"/>
  <c r="Z142" i="51" s="1"/>
  <c r="AA142" i="51" s="1"/>
  <c r="AB142" i="51" s="1"/>
  <c r="AC142" i="51" s="1"/>
  <c r="AD142" i="51" s="1"/>
  <c r="AE142" i="51" s="1"/>
  <c r="AF142" i="51" s="1"/>
  <c r="AG142" i="51" s="1"/>
  <c r="AH142" i="51" s="1"/>
  <c r="AI142" i="51" s="1"/>
  <c r="AJ142" i="51" s="1"/>
  <c r="AK142" i="51" s="1"/>
  <c r="AL142" i="51" s="1"/>
  <c r="AM142" i="51" s="1"/>
  <c r="AN142" i="51" s="1"/>
  <c r="AO142" i="51" s="1"/>
  <c r="AP142" i="51" s="1"/>
  <c r="AQ142" i="51" s="1"/>
  <c r="F19" i="51"/>
  <c r="J19" i="51"/>
  <c r="J99" i="51"/>
  <c r="J100" i="51"/>
  <c r="J101" i="51"/>
  <c r="J102" i="51"/>
  <c r="J103" i="51"/>
  <c r="J104" i="51"/>
  <c r="F115" i="51"/>
  <c r="J7" i="51"/>
  <c r="D92" i="32" l="1"/>
  <c r="G206" i="32" l="1"/>
  <c r="G205" i="32"/>
  <c r="G204" i="32"/>
  <c r="G203" i="32"/>
  <c r="G151" i="5" l="1"/>
  <c r="D203" i="32" l="1"/>
  <c r="F109" i="51" l="1"/>
  <c r="F94" i="51"/>
  <c r="J95" i="51"/>
  <c r="F88" i="51"/>
  <c r="J79" i="51"/>
  <c r="N79" i="51"/>
  <c r="N67" i="51"/>
  <c r="J67" i="51"/>
  <c r="N51" i="51"/>
  <c r="N50" i="51"/>
  <c r="J50" i="51"/>
  <c r="J51" i="51"/>
  <c r="F10" i="51"/>
  <c r="F95" i="51" l="1"/>
  <c r="J109" i="51"/>
  <c r="F103" i="51"/>
  <c r="J94" i="51"/>
  <c r="F79" i="51"/>
  <c r="F67" i="51"/>
  <c r="F51" i="51"/>
  <c r="F50" i="51"/>
  <c r="J10" i="51"/>
  <c r="C182" i="32" l="1"/>
  <c r="G101" i="5" l="1"/>
  <c r="G87" i="5"/>
  <c r="C137" i="51" l="1"/>
  <c r="B75" i="42" l="1"/>
  <c r="B39" i="42"/>
  <c r="C90" i="51" l="1"/>
  <c r="F48" i="51" l="1"/>
  <c r="J48" i="51"/>
  <c r="N48" i="51"/>
  <c r="N49" i="51"/>
  <c r="F52" i="51"/>
  <c r="J52" i="51"/>
  <c r="F53" i="51"/>
  <c r="N53" i="51"/>
  <c r="F17" i="51"/>
  <c r="J17" i="51"/>
  <c r="F21" i="51"/>
  <c r="J21" i="51"/>
  <c r="F23" i="51"/>
  <c r="J23" i="51"/>
  <c r="F32" i="51"/>
  <c r="J32" i="51"/>
  <c r="F45" i="51"/>
  <c r="J45" i="51"/>
  <c r="F16" i="51"/>
  <c r="J16" i="51"/>
  <c r="O3" i="51"/>
  <c r="O75" i="51" l="1"/>
  <c r="O76" i="51"/>
  <c r="O65" i="51"/>
  <c r="O81" i="51"/>
  <c r="O77" i="51"/>
  <c r="O66" i="51"/>
  <c r="O67" i="51"/>
  <c r="O79" i="51"/>
  <c r="J53" i="51"/>
  <c r="P3" i="51"/>
  <c r="F99" i="51"/>
  <c r="P75" i="51" l="1"/>
  <c r="P76" i="51"/>
  <c r="P65" i="51"/>
  <c r="P81" i="51"/>
  <c r="P77" i="51"/>
  <c r="P66" i="51"/>
  <c r="Q3" i="51"/>
  <c r="R3" i="51" s="1"/>
  <c r="P67" i="51"/>
  <c r="P79" i="51"/>
  <c r="R75" i="51" l="1"/>
  <c r="R77" i="51"/>
  <c r="R66" i="51"/>
  <c r="R81" i="51"/>
  <c r="R76" i="51"/>
  <c r="R65" i="51"/>
  <c r="Q75" i="51"/>
  <c r="Q81" i="51"/>
  <c r="Q76" i="51"/>
  <c r="Q65" i="51"/>
  <c r="Q77" i="51"/>
  <c r="Q66" i="51"/>
  <c r="R79" i="51"/>
  <c r="R67" i="51"/>
  <c r="Q79" i="51"/>
  <c r="Q67" i="51"/>
  <c r="S3" i="51"/>
  <c r="S75" i="51" l="1"/>
  <c r="S77" i="51"/>
  <c r="S66" i="51"/>
  <c r="S81" i="51"/>
  <c r="S76" i="51"/>
  <c r="S65" i="51"/>
  <c r="S67" i="51"/>
  <c r="S79" i="51"/>
  <c r="T3" i="51"/>
  <c r="T75" i="51" l="1"/>
  <c r="T81" i="51"/>
  <c r="T77" i="51"/>
  <c r="T66" i="51"/>
  <c r="T76" i="51"/>
  <c r="T65" i="51"/>
  <c r="T79" i="51"/>
  <c r="T67" i="51"/>
  <c r="U3" i="51"/>
  <c r="U75" i="51" l="1"/>
  <c r="U81" i="51"/>
  <c r="U77" i="51"/>
  <c r="U66" i="51"/>
  <c r="U76" i="51"/>
  <c r="U65" i="51"/>
  <c r="U79" i="51"/>
  <c r="U67" i="51"/>
  <c r="V3" i="51"/>
  <c r="V75" i="51" l="1"/>
  <c r="V77" i="51"/>
  <c r="V66" i="51"/>
  <c r="V76" i="51"/>
  <c r="V65" i="51"/>
  <c r="V81" i="51"/>
  <c r="V79" i="51"/>
  <c r="V67" i="51"/>
  <c r="W3" i="51"/>
  <c r="W75" i="51" l="1"/>
  <c r="W77" i="51"/>
  <c r="W66" i="51"/>
  <c r="W81" i="51"/>
  <c r="W76" i="51"/>
  <c r="W65" i="51"/>
  <c r="W67" i="51"/>
  <c r="W79" i="51"/>
  <c r="X3" i="51"/>
  <c r="C26" i="50"/>
  <c r="C35" i="50"/>
  <c r="C45" i="50"/>
  <c r="C53" i="50"/>
  <c r="C58" i="50"/>
  <c r="C65" i="50"/>
  <c r="C70" i="50"/>
  <c r="X75" i="51" l="1"/>
  <c r="X76" i="51"/>
  <c r="X65" i="51"/>
  <c r="X77" i="51"/>
  <c r="X66" i="51"/>
  <c r="X81" i="51"/>
  <c r="X67" i="51"/>
  <c r="X79" i="51"/>
  <c r="Y3" i="51"/>
  <c r="Y75" i="51" l="1"/>
  <c r="Y76" i="51"/>
  <c r="Y65" i="51"/>
  <c r="Y77" i="51"/>
  <c r="Y66" i="51"/>
  <c r="Y81" i="51"/>
  <c r="Y79" i="51"/>
  <c r="Y67" i="51"/>
  <c r="Z3" i="51"/>
  <c r="Z75" i="51" l="1"/>
  <c r="Z76" i="51"/>
  <c r="Z65" i="51"/>
  <c r="Z81" i="51"/>
  <c r="Z77" i="51"/>
  <c r="Z66" i="51"/>
  <c r="Z79" i="51"/>
  <c r="Z67" i="51"/>
  <c r="AA3" i="51"/>
  <c r="B7" i="2"/>
  <c r="AA75" i="51" l="1"/>
  <c r="AA81" i="51"/>
  <c r="AA76" i="51"/>
  <c r="AA65" i="51"/>
  <c r="AA77" i="51"/>
  <c r="AA66" i="51"/>
  <c r="AA67" i="51"/>
  <c r="AA79" i="51"/>
  <c r="AB3" i="51"/>
  <c r="AB75" i="51" l="1"/>
  <c r="AB81" i="51"/>
  <c r="AB76" i="51"/>
  <c r="AB65" i="51"/>
  <c r="AB77" i="51"/>
  <c r="AB66" i="51"/>
  <c r="AB67" i="51"/>
  <c r="AB79" i="51"/>
  <c r="AC3" i="51"/>
  <c r="AC75" i="51" l="1"/>
  <c r="AC81" i="51"/>
  <c r="AC76" i="51"/>
  <c r="AC65" i="51"/>
  <c r="AC77" i="51"/>
  <c r="AC66" i="51"/>
  <c r="AC79" i="51"/>
  <c r="AC67" i="51"/>
  <c r="AD3" i="51"/>
  <c r="AD75" i="51" l="1"/>
  <c r="AD77" i="51"/>
  <c r="AD66" i="51"/>
  <c r="AD81" i="51"/>
  <c r="AD76" i="51"/>
  <c r="AD65" i="51"/>
  <c r="AD79" i="51"/>
  <c r="AD67" i="51"/>
  <c r="AE3" i="51"/>
  <c r="AE75" i="51" l="1"/>
  <c r="AE77" i="51"/>
  <c r="AE66" i="51"/>
  <c r="AE81" i="51"/>
  <c r="AE76" i="51"/>
  <c r="AE65" i="51"/>
  <c r="AE67" i="51"/>
  <c r="AE79" i="51"/>
  <c r="AF3" i="51"/>
  <c r="AF75" i="51" l="1"/>
  <c r="AF81" i="51"/>
  <c r="AF77" i="51"/>
  <c r="AF66" i="51"/>
  <c r="AF76" i="51"/>
  <c r="AF65" i="51"/>
  <c r="AF79" i="51"/>
  <c r="AF67" i="51"/>
  <c r="AG3" i="51"/>
  <c r="C331" i="32"/>
  <c r="C329" i="32" s="1"/>
  <c r="C318" i="32"/>
  <c r="AG75" i="51" l="1"/>
  <c r="AG81" i="51"/>
  <c r="AG77" i="51"/>
  <c r="AG66" i="51"/>
  <c r="AG76" i="51"/>
  <c r="AG65" i="51"/>
  <c r="B53" i="43"/>
  <c r="B57" i="42"/>
  <c r="AG79" i="51"/>
  <c r="AG67" i="51"/>
  <c r="AH3" i="51"/>
  <c r="C316" i="32"/>
  <c r="D251" i="32"/>
  <c r="B44" i="5" s="1"/>
  <c r="J115" i="51"/>
  <c r="D57" i="43"/>
  <c r="C128" i="51" s="1"/>
  <c r="J128" i="51" s="1"/>
  <c r="D55" i="43"/>
  <c r="C130" i="51" s="1"/>
  <c r="D58" i="43"/>
  <c r="C131" i="51" s="1"/>
  <c r="D56" i="43"/>
  <c r="C133" i="51" s="1"/>
  <c r="J137" i="51"/>
  <c r="C124" i="51"/>
  <c r="J124" i="51" s="1"/>
  <c r="C39" i="32"/>
  <c r="G166" i="32" s="1"/>
  <c r="O38" i="29" s="1"/>
  <c r="C40" i="32"/>
  <c r="G167" i="32" s="1"/>
  <c r="H20" i="47"/>
  <c r="I20" i="47"/>
  <c r="J20" i="47"/>
  <c r="K20" i="47"/>
  <c r="L20" i="47"/>
  <c r="M20" i="47"/>
  <c r="N20" i="47"/>
  <c r="O20" i="47"/>
  <c r="P20" i="47"/>
  <c r="Q20" i="47"/>
  <c r="R20" i="47"/>
  <c r="S20" i="47"/>
  <c r="T20" i="47"/>
  <c r="U20" i="47"/>
  <c r="V20" i="47"/>
  <c r="W20" i="47"/>
  <c r="X20" i="47"/>
  <c r="Y20" i="47"/>
  <c r="Z20" i="47"/>
  <c r="AA20" i="47"/>
  <c r="AB20" i="47"/>
  <c r="AC20" i="47"/>
  <c r="AD20" i="47"/>
  <c r="AE20" i="47"/>
  <c r="AF20" i="47"/>
  <c r="AG20" i="47"/>
  <c r="AH20" i="47"/>
  <c r="AI20" i="47"/>
  <c r="AJ20" i="47"/>
  <c r="AK20" i="47"/>
  <c r="AL20" i="47"/>
  <c r="AM20" i="47"/>
  <c r="AN20" i="47"/>
  <c r="AO20" i="47"/>
  <c r="AP20" i="47"/>
  <c r="AQ20" i="47"/>
  <c r="AR20" i="47"/>
  <c r="AS20" i="47"/>
  <c r="AT20" i="47"/>
  <c r="AU20" i="47"/>
  <c r="AV20" i="47"/>
  <c r="AW20" i="47"/>
  <c r="AX20" i="47"/>
  <c r="AY20" i="47"/>
  <c r="AZ20" i="47"/>
  <c r="BA20" i="47"/>
  <c r="BB20" i="47"/>
  <c r="BC20" i="47"/>
  <c r="BD20" i="47"/>
  <c r="BE20" i="47"/>
  <c r="BF20" i="47"/>
  <c r="BG20" i="47"/>
  <c r="BH20" i="47"/>
  <c r="BI20" i="47"/>
  <c r="BJ20" i="47"/>
  <c r="BK20" i="47"/>
  <c r="BL20" i="47"/>
  <c r="BM20" i="47"/>
  <c r="BN20" i="47"/>
  <c r="BO20" i="47"/>
  <c r="G20" i="47"/>
  <c r="D7" i="29"/>
  <c r="J59" i="51"/>
  <c r="J55" i="51"/>
  <c r="C27" i="2"/>
  <c r="C66" i="43"/>
  <c r="C59" i="43"/>
  <c r="C60" i="43"/>
  <c r="C58" i="43"/>
  <c r="B88" i="5"/>
  <c r="B102" i="5"/>
  <c r="A49" i="42"/>
  <c r="A48" i="42"/>
  <c r="A67" i="42"/>
  <c r="A66" i="42"/>
  <c r="A65" i="42"/>
  <c r="A63" i="42"/>
  <c r="A47" i="42"/>
  <c r="A45" i="42"/>
  <c r="A83" i="42"/>
  <c r="A82" i="42"/>
  <c r="A81" i="42"/>
  <c r="A80" i="42"/>
  <c r="A64" i="42"/>
  <c r="A62" i="42"/>
  <c r="A10" i="42"/>
  <c r="A9" i="42"/>
  <c r="B37" i="6"/>
  <c r="B12" i="55"/>
  <c r="B6" i="5" s="1"/>
  <c r="B22" i="55"/>
  <c r="B42" i="55"/>
  <c r="A85" i="42"/>
  <c r="A84" i="42"/>
  <c r="A76" i="42"/>
  <c r="A58" i="42"/>
  <c r="A40" i="42"/>
  <c r="C156" i="51"/>
  <c r="H12" i="51" s="1"/>
  <c r="C152" i="51"/>
  <c r="C149" i="51"/>
  <c r="B23" i="47"/>
  <c r="B89" i="47"/>
  <c r="B60" i="47"/>
  <c r="C42" i="5"/>
  <c r="B42" i="5"/>
  <c r="C29" i="47"/>
  <c r="B29" i="47"/>
  <c r="E97" i="32"/>
  <c r="F145" i="32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Q145" i="32" s="1"/>
  <c r="R145" i="32" s="1"/>
  <c r="S145" i="32" s="1"/>
  <c r="T145" i="32" s="1"/>
  <c r="U145" i="32" s="1"/>
  <c r="V145" i="32" s="1"/>
  <c r="W145" i="32" s="1"/>
  <c r="X145" i="32" s="1"/>
  <c r="Y145" i="32" s="1"/>
  <c r="Z145" i="32" s="1"/>
  <c r="AA145" i="32" s="1"/>
  <c r="AB145" i="32" s="1"/>
  <c r="AC145" i="32" s="1"/>
  <c r="AD145" i="32" s="1"/>
  <c r="AE145" i="32" s="1"/>
  <c r="AF145" i="32" s="1"/>
  <c r="AG145" i="32" s="1"/>
  <c r="AH145" i="32" s="1"/>
  <c r="D83" i="32"/>
  <c r="D280" i="32"/>
  <c r="B33" i="47" s="1"/>
  <c r="G30" i="47"/>
  <c r="D246" i="32"/>
  <c r="D245" i="32" s="1"/>
  <c r="D243" i="32" s="1"/>
  <c r="B88" i="47" s="1"/>
  <c r="G85" i="47"/>
  <c r="D263" i="32"/>
  <c r="B86" i="5"/>
  <c r="D180" i="32"/>
  <c r="N40" i="54" s="1"/>
  <c r="N44" i="6" s="1"/>
  <c r="N77" i="5" s="1"/>
  <c r="B19" i="6"/>
  <c r="B21" i="6"/>
  <c r="D294" i="32"/>
  <c r="B109" i="5"/>
  <c r="C42" i="32"/>
  <c r="B17" i="2"/>
  <c r="B19" i="2"/>
  <c r="B20" i="2"/>
  <c r="B8" i="2"/>
  <c r="B9" i="2"/>
  <c r="B10" i="2"/>
  <c r="B11" i="2"/>
  <c r="B12" i="2"/>
  <c r="B13" i="2"/>
  <c r="B14" i="2"/>
  <c r="B15" i="2"/>
  <c r="F383" i="32"/>
  <c r="G383" i="32" s="1"/>
  <c r="C15" i="2" s="1"/>
  <c r="B16" i="2"/>
  <c r="B18" i="2"/>
  <c r="B21" i="2"/>
  <c r="F389" i="32"/>
  <c r="G389" i="32" s="1"/>
  <c r="B22" i="2"/>
  <c r="B28" i="6"/>
  <c r="C37" i="32"/>
  <c r="C23" i="43" s="1"/>
  <c r="B100" i="5"/>
  <c r="E362" i="32"/>
  <c r="D367" i="32" s="1"/>
  <c r="G40" i="55"/>
  <c r="G4" i="43" s="1"/>
  <c r="A6" i="54"/>
  <c r="A7" i="54"/>
  <c r="A8" i="54"/>
  <c r="A5" i="54"/>
  <c r="C96" i="47"/>
  <c r="A8" i="47"/>
  <c r="C39" i="47"/>
  <c r="A12" i="5"/>
  <c r="B147" i="5"/>
  <c r="H21" i="29"/>
  <c r="A7" i="42"/>
  <c r="B32" i="55"/>
  <c r="B24" i="42"/>
  <c r="B111" i="47"/>
  <c r="B54" i="47"/>
  <c r="A36" i="54"/>
  <c r="A25" i="54"/>
  <c r="A24" i="54"/>
  <c r="A23" i="54"/>
  <c r="A21" i="54"/>
  <c r="A34" i="54"/>
  <c r="A33" i="54"/>
  <c r="J92" i="55"/>
  <c r="I92" i="55"/>
  <c r="B16" i="55"/>
  <c r="B7" i="42" s="1"/>
  <c r="G8" i="55"/>
  <c r="H8" i="55" s="1"/>
  <c r="I8" i="55" s="1"/>
  <c r="J8" i="55" s="1"/>
  <c r="K8" i="55" s="1"/>
  <c r="L8" i="55" s="1"/>
  <c r="M8" i="55" s="1"/>
  <c r="N8" i="55" s="1"/>
  <c r="O8" i="55" s="1"/>
  <c r="P8" i="55" s="1"/>
  <c r="Q8" i="55" s="1"/>
  <c r="R8" i="55" s="1"/>
  <c r="S8" i="55" s="1"/>
  <c r="T8" i="55" s="1"/>
  <c r="U8" i="55" s="1"/>
  <c r="V8" i="55" s="1"/>
  <c r="W8" i="55" s="1"/>
  <c r="X8" i="55" s="1"/>
  <c r="Y8" i="55" s="1"/>
  <c r="Z8" i="55" s="1"/>
  <c r="AA8" i="55" s="1"/>
  <c r="AB8" i="55" s="1"/>
  <c r="AC8" i="55" s="1"/>
  <c r="AD8" i="55" s="1"/>
  <c r="AE8" i="55" s="1"/>
  <c r="AF8" i="55" s="1"/>
  <c r="AG8" i="55" s="1"/>
  <c r="AH8" i="55" s="1"/>
  <c r="AI8" i="55" s="1"/>
  <c r="AJ8" i="55" s="1"/>
  <c r="AK8" i="55" s="1"/>
  <c r="A79" i="42"/>
  <c r="A78" i="42"/>
  <c r="A70" i="42"/>
  <c r="A60" i="42"/>
  <c r="A53" i="42"/>
  <c r="A61" i="42" s="1"/>
  <c r="A52" i="42"/>
  <c r="A46" i="42"/>
  <c r="A44" i="42"/>
  <c r="A42" i="42"/>
  <c r="A35" i="42"/>
  <c r="A43" i="42" s="1"/>
  <c r="A34" i="42"/>
  <c r="A27" i="42"/>
  <c r="A26" i="42"/>
  <c r="A25" i="42"/>
  <c r="A24" i="42"/>
  <c r="A6" i="42"/>
  <c r="A5" i="42"/>
  <c r="A3" i="42"/>
  <c r="B161" i="47"/>
  <c r="G158" i="47"/>
  <c r="A156" i="47"/>
  <c r="A165" i="47" s="1"/>
  <c r="A153" i="47"/>
  <c r="A164" i="47" s="1"/>
  <c r="A152" i="47"/>
  <c r="A163" i="47" s="1"/>
  <c r="A151" i="47"/>
  <c r="A162" i="47" s="1"/>
  <c r="B150" i="47"/>
  <c r="A150" i="47"/>
  <c r="A148" i="47"/>
  <c r="A159" i="47" s="1"/>
  <c r="G147" i="47"/>
  <c r="A147" i="47"/>
  <c r="A158" i="47" s="1"/>
  <c r="A146" i="47"/>
  <c r="A157" i="47" s="1"/>
  <c r="A145" i="47"/>
  <c r="A154" i="47" s="1"/>
  <c r="B139" i="47"/>
  <c r="A139" i="47"/>
  <c r="G136" i="47"/>
  <c r="A134" i="47"/>
  <c r="A143" i="47" s="1"/>
  <c r="A120" i="47"/>
  <c r="A119" i="47"/>
  <c r="A118" i="47"/>
  <c r="A117" i="47"/>
  <c r="G107" i="47"/>
  <c r="B97" i="47"/>
  <c r="B96" i="47" s="1"/>
  <c r="A75" i="47"/>
  <c r="A73" i="47"/>
  <c r="G71" i="47"/>
  <c r="A70" i="47"/>
  <c r="A78" i="47" s="1"/>
  <c r="A65" i="47"/>
  <c r="A63" i="47"/>
  <c r="A60" i="47"/>
  <c r="A68" i="47" s="1"/>
  <c r="B40" i="47"/>
  <c r="B39" i="47" s="1"/>
  <c r="A28" i="47"/>
  <c r="A29" i="47" s="1"/>
  <c r="B26" i="47"/>
  <c r="A25" i="47"/>
  <c r="A22" i="47"/>
  <c r="A20" i="47"/>
  <c r="A14" i="47"/>
  <c r="A12" i="47"/>
  <c r="A11" i="47"/>
  <c r="A10" i="47"/>
  <c r="A7" i="47"/>
  <c r="A9" i="47"/>
  <c r="A5" i="47"/>
  <c r="A3" i="47"/>
  <c r="A5" i="2"/>
  <c r="A3" i="2"/>
  <c r="A27" i="7"/>
  <c r="A26" i="7"/>
  <c r="A25" i="7"/>
  <c r="A24" i="7"/>
  <c r="A22" i="7"/>
  <c r="A21" i="7"/>
  <c r="A3" i="7"/>
  <c r="A44" i="6"/>
  <c r="B43" i="6"/>
  <c r="B36" i="6"/>
  <c r="A21" i="6"/>
  <c r="A6" i="6"/>
  <c r="A5" i="6"/>
  <c r="A3" i="6"/>
  <c r="A136" i="5"/>
  <c r="A128" i="5"/>
  <c r="A105" i="5"/>
  <c r="A104" i="5"/>
  <c r="A103" i="5"/>
  <c r="A102" i="5"/>
  <c r="A101" i="5"/>
  <c r="A100" i="5"/>
  <c r="A99" i="5"/>
  <c r="A106" i="5" s="1"/>
  <c r="A13" i="7" s="1"/>
  <c r="A97" i="5"/>
  <c r="A96" i="5"/>
  <c r="A85" i="5"/>
  <c r="A92" i="5" s="1"/>
  <c r="A83" i="5"/>
  <c r="A77" i="5"/>
  <c r="B74" i="5"/>
  <c r="A71" i="5"/>
  <c r="A42" i="5"/>
  <c r="A15" i="5"/>
  <c r="A14" i="5"/>
  <c r="A13" i="5"/>
  <c r="A11" i="5"/>
  <c r="A9" i="5"/>
  <c r="A8" i="5"/>
  <c r="A7" i="5"/>
  <c r="A6" i="5"/>
  <c r="A4" i="5"/>
  <c r="C65" i="43"/>
  <c r="A63" i="43"/>
  <c r="A69" i="43" s="1"/>
  <c r="A59" i="43"/>
  <c r="B58" i="43"/>
  <c r="B57" i="43"/>
  <c r="B56" i="43"/>
  <c r="B55" i="43"/>
  <c r="B52" i="43"/>
  <c r="B51" i="43"/>
  <c r="G50" i="43"/>
  <c r="A45" i="43"/>
  <c r="A30" i="43"/>
  <c r="A28" i="43"/>
  <c r="B27" i="43"/>
  <c r="A26" i="43"/>
  <c r="A25" i="43"/>
  <c r="A6" i="43"/>
  <c r="A5" i="43"/>
  <c r="A3" i="43"/>
  <c r="C484" i="32"/>
  <c r="L475" i="32"/>
  <c r="K474" i="32"/>
  <c r="K473" i="32"/>
  <c r="B428" i="32"/>
  <c r="B427" i="32"/>
  <c r="B426" i="32"/>
  <c r="B425" i="32"/>
  <c r="B424" i="32"/>
  <c r="B423" i="32"/>
  <c r="A396" i="32"/>
  <c r="A28" i="2" s="1"/>
  <c r="A394" i="32"/>
  <c r="A26" i="2" s="1"/>
  <c r="A392" i="32"/>
  <c r="A24" i="2" s="1"/>
  <c r="A391" i="32"/>
  <c r="A23" i="2" s="1"/>
  <c r="A356" i="32"/>
  <c r="A355" i="32"/>
  <c r="A354" i="32"/>
  <c r="A331" i="32"/>
  <c r="A330" i="32"/>
  <c r="A328" i="32"/>
  <c r="B300" i="32"/>
  <c r="C300" i="32" s="1"/>
  <c r="D300" i="32" s="1"/>
  <c r="E300" i="32" s="1"/>
  <c r="F300" i="32" s="1"/>
  <c r="G300" i="32" s="1"/>
  <c r="H300" i="32" s="1"/>
  <c r="I300" i="32" s="1"/>
  <c r="J300" i="32" s="1"/>
  <c r="K300" i="32" s="1"/>
  <c r="L300" i="32" s="1"/>
  <c r="M300" i="32" s="1"/>
  <c r="N300" i="32" s="1"/>
  <c r="O300" i="32" s="1"/>
  <c r="P300" i="32" s="1"/>
  <c r="Q300" i="32" s="1"/>
  <c r="R300" i="32" s="1"/>
  <c r="S300" i="32" s="1"/>
  <c r="T300" i="32" s="1"/>
  <c r="U300" i="32" s="1"/>
  <c r="V300" i="32" s="1"/>
  <c r="W300" i="32" s="1"/>
  <c r="X300" i="32" s="1"/>
  <c r="E287" i="32"/>
  <c r="C69" i="43" s="1"/>
  <c r="A285" i="32"/>
  <c r="A267" i="32"/>
  <c r="A269" i="32"/>
  <c r="A257" i="32"/>
  <c r="D210" i="32"/>
  <c r="B70" i="47" s="1"/>
  <c r="D204" i="32"/>
  <c r="C40" i="47" s="1"/>
  <c r="E171" i="32"/>
  <c r="M42" i="29" s="1"/>
  <c r="E170" i="32"/>
  <c r="M41" i="29" s="1"/>
  <c r="A168" i="32"/>
  <c r="A48" i="43" s="1"/>
  <c r="E167" i="32"/>
  <c r="A167" i="32"/>
  <c r="A95" i="47" s="1"/>
  <c r="E166" i="32"/>
  <c r="M38" i="29" s="1"/>
  <c r="A166" i="32"/>
  <c r="A46" i="43" s="1"/>
  <c r="C160" i="32"/>
  <c r="A160" i="32"/>
  <c r="A70" i="5" s="1"/>
  <c r="C159" i="32"/>
  <c r="A159" i="32"/>
  <c r="A69" i="5" s="1"/>
  <c r="C158" i="32"/>
  <c r="A158" i="32"/>
  <c r="A68" i="5" s="1"/>
  <c r="C157" i="32"/>
  <c r="A157" i="32"/>
  <c r="A67" i="5" s="1"/>
  <c r="C156" i="32"/>
  <c r="A156" i="32"/>
  <c r="A66" i="5" s="1"/>
  <c r="C155" i="32"/>
  <c r="A155" i="32"/>
  <c r="C154" i="32"/>
  <c r="A154" i="32"/>
  <c r="A64" i="5" s="1"/>
  <c r="C153" i="32"/>
  <c r="A153" i="32"/>
  <c r="A63" i="5" s="1"/>
  <c r="A152" i="32"/>
  <c r="A62" i="5" s="1"/>
  <c r="C151" i="32"/>
  <c r="A151" i="32"/>
  <c r="A61" i="5" s="1"/>
  <c r="C150" i="32"/>
  <c r="A150" i="32"/>
  <c r="A60" i="5" s="1"/>
  <c r="C149" i="32"/>
  <c r="A149" i="32"/>
  <c r="A59" i="5" s="1"/>
  <c r="C148" i="32"/>
  <c r="A148" i="32"/>
  <c r="A58" i="5" s="1"/>
  <c r="C147" i="32"/>
  <c r="A147" i="32"/>
  <c r="A57" i="5" s="1"/>
  <c r="C146" i="32"/>
  <c r="A146" i="32"/>
  <c r="A56" i="5" s="1"/>
  <c r="A43" i="32"/>
  <c r="E169" i="32" s="1"/>
  <c r="A41" i="32"/>
  <c r="E168" i="32" s="1"/>
  <c r="M39" i="29" s="1"/>
  <c r="A38" i="32"/>
  <c r="A390" i="32" s="1"/>
  <c r="A22" i="2" s="1"/>
  <c r="A37" i="32"/>
  <c r="A389" i="32" s="1"/>
  <c r="A21" i="2" s="1"/>
  <c r="A36" i="32"/>
  <c r="A35" i="32"/>
  <c r="A21" i="43" s="1"/>
  <c r="A34" i="32"/>
  <c r="A20" i="43" s="1"/>
  <c r="A33" i="32"/>
  <c r="A19" i="43" s="1"/>
  <c r="A32" i="32"/>
  <c r="A384" i="32" s="1"/>
  <c r="A16" i="2" s="1"/>
  <c r="A31" i="32"/>
  <c r="A17" i="43" s="1"/>
  <c r="A30" i="32"/>
  <c r="A16" i="43" s="1"/>
  <c r="A29" i="32"/>
  <c r="A381" i="32" s="1"/>
  <c r="A13" i="2" s="1"/>
  <c r="A28" i="32"/>
  <c r="A380" i="32" s="1"/>
  <c r="A12" i="2" s="1"/>
  <c r="A27" i="32"/>
  <c r="A13" i="43" s="1"/>
  <c r="A26" i="32"/>
  <c r="A25" i="32"/>
  <c r="A11" i="43" s="1"/>
  <c r="A24" i="32"/>
  <c r="A376" i="32" s="1"/>
  <c r="A8" i="2" s="1"/>
  <c r="A23" i="32"/>
  <c r="C104" i="50"/>
  <c r="B104" i="50"/>
  <c r="B91" i="50" s="1"/>
  <c r="B102" i="50"/>
  <c r="B101" i="50"/>
  <c r="C100" i="50"/>
  <c r="B100" i="50"/>
  <c r="B98" i="50"/>
  <c r="C90" i="50"/>
  <c r="AI86" i="50"/>
  <c r="AH86" i="50"/>
  <c r="AG86" i="50"/>
  <c r="AF86" i="50"/>
  <c r="AE86" i="50"/>
  <c r="AD86" i="50"/>
  <c r="AC86" i="50"/>
  <c r="AB86" i="50"/>
  <c r="AA86" i="50"/>
  <c r="Z86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C86" i="50"/>
  <c r="C82" i="50"/>
  <c r="G2" i="50"/>
  <c r="G45" i="50" s="1"/>
  <c r="B152" i="51"/>
  <c r="C151" i="51"/>
  <c r="B151" i="51"/>
  <c r="B150" i="51"/>
  <c r="B149" i="51"/>
  <c r="J138" i="51"/>
  <c r="J135" i="51"/>
  <c r="J134" i="51"/>
  <c r="J123" i="51"/>
  <c r="J111" i="51"/>
  <c r="F111" i="51"/>
  <c r="F104" i="51"/>
  <c r="F102" i="51"/>
  <c r="F101" i="51"/>
  <c r="F100" i="51"/>
  <c r="J96" i="51"/>
  <c r="F96" i="51"/>
  <c r="J93" i="51"/>
  <c r="F93" i="51"/>
  <c r="J92" i="51"/>
  <c r="F92" i="51"/>
  <c r="J91" i="51"/>
  <c r="F91" i="51"/>
  <c r="F89" i="51"/>
  <c r="F85" i="51"/>
  <c r="F84" i="51"/>
  <c r="J83" i="51"/>
  <c r="F83" i="51"/>
  <c r="C82" i="51"/>
  <c r="N78" i="51"/>
  <c r="J78" i="51"/>
  <c r="F78" i="51"/>
  <c r="J75" i="51"/>
  <c r="F75" i="51"/>
  <c r="N74" i="51"/>
  <c r="J74" i="51"/>
  <c r="F74" i="51"/>
  <c r="N73" i="51"/>
  <c r="J73" i="51"/>
  <c r="F73" i="51"/>
  <c r="N72" i="51"/>
  <c r="F72" i="51"/>
  <c r="N71" i="51"/>
  <c r="F71" i="51"/>
  <c r="N70" i="51"/>
  <c r="F70" i="51"/>
  <c r="N68" i="51"/>
  <c r="J68" i="51"/>
  <c r="F68" i="51"/>
  <c r="N64" i="51"/>
  <c r="J64" i="51"/>
  <c r="F64" i="51"/>
  <c r="N63" i="51"/>
  <c r="J63" i="51"/>
  <c r="F63" i="51"/>
  <c r="N62" i="51"/>
  <c r="J62" i="51"/>
  <c r="F62" i="51"/>
  <c r="N61" i="51"/>
  <c r="J61" i="51"/>
  <c r="F61" i="51"/>
  <c r="N60" i="51"/>
  <c r="J60" i="51"/>
  <c r="F60" i="51"/>
  <c r="N59" i="51"/>
  <c r="B95" i="29"/>
  <c r="B94" i="29"/>
  <c r="B93" i="29"/>
  <c r="B91" i="29"/>
  <c r="B90" i="29"/>
  <c r="B89" i="29"/>
  <c r="E75" i="29"/>
  <c r="F75" i="29" s="1"/>
  <c r="G75" i="29" s="1"/>
  <c r="H75" i="29" s="1"/>
  <c r="J75" i="29" s="1"/>
  <c r="K75" i="29" s="1"/>
  <c r="L75" i="29" s="1"/>
  <c r="M75" i="29" s="1"/>
  <c r="N75" i="29" s="1"/>
  <c r="O75" i="29" s="1"/>
  <c r="P75" i="29" s="1"/>
  <c r="Q75" i="29" s="1"/>
  <c r="R75" i="29" s="1"/>
  <c r="S75" i="29" s="1"/>
  <c r="T75" i="29" s="1"/>
  <c r="U75" i="29" s="1"/>
  <c r="V75" i="29" s="1"/>
  <c r="W75" i="29" s="1"/>
  <c r="X75" i="29" s="1"/>
  <c r="Y75" i="29" s="1"/>
  <c r="Z75" i="29" s="1"/>
  <c r="AA75" i="29" s="1"/>
  <c r="AB75" i="29" s="1"/>
  <c r="AC75" i="29" s="1"/>
  <c r="C48" i="29"/>
  <c r="F43" i="29"/>
  <c r="M37" i="29"/>
  <c r="J37" i="29"/>
  <c r="H36" i="29"/>
  <c r="B27" i="29"/>
  <c r="B24" i="29"/>
  <c r="F34" i="29" s="1"/>
  <c r="F21" i="29"/>
  <c r="F20" i="29"/>
  <c r="F19" i="29"/>
  <c r="F18" i="29"/>
  <c r="B12" i="29"/>
  <c r="H6" i="29"/>
  <c r="F6" i="29"/>
  <c r="F5" i="29"/>
  <c r="B5" i="29"/>
  <c r="D3" i="29"/>
  <c r="F35" i="32"/>
  <c r="H21" i="43" s="1"/>
  <c r="H35" i="32"/>
  <c r="J21" i="43" s="1"/>
  <c r="E35" i="32"/>
  <c r="G21" i="43" s="1"/>
  <c r="G35" i="32"/>
  <c r="I21" i="43" s="1"/>
  <c r="J126" i="51"/>
  <c r="J70" i="51"/>
  <c r="J56" i="51"/>
  <c r="F56" i="51"/>
  <c r="I35" i="32"/>
  <c r="K21" i="43" s="1"/>
  <c r="J125" i="51"/>
  <c r="J35" i="32"/>
  <c r="L21" i="43" s="1"/>
  <c r="K35" i="32"/>
  <c r="M21" i="43" s="1"/>
  <c r="F59" i="51"/>
  <c r="C57" i="51"/>
  <c r="G382" i="32"/>
  <c r="C14" i="2" s="1"/>
  <c r="L35" i="32"/>
  <c r="N21" i="43" s="1"/>
  <c r="M35" i="32"/>
  <c r="O21" i="43" s="1"/>
  <c r="N35" i="32"/>
  <c r="P21" i="43" s="1"/>
  <c r="O35" i="32"/>
  <c r="Q21" i="43" s="1"/>
  <c r="P35" i="32"/>
  <c r="R21" i="43" s="1"/>
  <c r="Q35" i="32"/>
  <c r="S21" i="43" s="1"/>
  <c r="R35" i="32"/>
  <c r="T21" i="43" s="1"/>
  <c r="S35" i="32"/>
  <c r="U21" i="43" s="1"/>
  <c r="T35" i="32"/>
  <c r="V21" i="43" s="1"/>
  <c r="U35" i="32"/>
  <c r="W21" i="43" s="1"/>
  <c r="V35" i="32"/>
  <c r="X21" i="43" s="1"/>
  <c r="W35" i="32"/>
  <c r="Y21" i="43" s="1"/>
  <c r="X35" i="32"/>
  <c r="Z21" i="43" s="1"/>
  <c r="Y35" i="32"/>
  <c r="AA21" i="43" s="1"/>
  <c r="Z35" i="32"/>
  <c r="AB21" i="43" s="1"/>
  <c r="AA35" i="32"/>
  <c r="AC21" i="43" s="1"/>
  <c r="AB35" i="32"/>
  <c r="AD21" i="43" s="1"/>
  <c r="AC35" i="32"/>
  <c r="AE21" i="43" s="1"/>
  <c r="AD35" i="32"/>
  <c r="AF21" i="43" s="1"/>
  <c r="AE35" i="32"/>
  <c r="AG21" i="43" s="1"/>
  <c r="AF35" i="32"/>
  <c r="AH21" i="43" s="1"/>
  <c r="AG35" i="32"/>
  <c r="AI21" i="43" s="1"/>
  <c r="AH35" i="32"/>
  <c r="AJ21" i="43" s="1"/>
  <c r="D98" i="32" l="1"/>
  <c r="A65" i="5"/>
  <c r="AO12" i="51"/>
  <c r="AK12" i="51"/>
  <c r="AC12" i="51"/>
  <c r="U12" i="51"/>
  <c r="AJ12" i="51"/>
  <c r="AB12" i="51"/>
  <c r="T12" i="51"/>
  <c r="AQ12" i="51"/>
  <c r="AI12" i="51"/>
  <c r="AA12" i="51"/>
  <c r="S12" i="51"/>
  <c r="AP12" i="51"/>
  <c r="AH12" i="51"/>
  <c r="Z12" i="51"/>
  <c r="R12" i="51"/>
  <c r="AG12" i="51"/>
  <c r="Y12" i="51"/>
  <c r="Q12" i="51"/>
  <c r="AN12" i="51"/>
  <c r="AF12" i="51"/>
  <c r="X12" i="51"/>
  <c r="P12" i="51"/>
  <c r="AM12" i="51"/>
  <c r="AE12" i="51"/>
  <c r="W12" i="51"/>
  <c r="O12" i="51"/>
  <c r="AL12" i="51"/>
  <c r="AD12" i="51"/>
  <c r="V12" i="51"/>
  <c r="N12" i="51"/>
  <c r="Z60" i="43"/>
  <c r="Z59" i="43" s="1"/>
  <c r="N60" i="43"/>
  <c r="N59" i="43" s="1"/>
  <c r="Y60" i="43"/>
  <c r="Y59" i="43" s="1"/>
  <c r="M60" i="43"/>
  <c r="M59" i="43" s="1"/>
  <c r="I60" i="43"/>
  <c r="I59" i="43" s="1"/>
  <c r="T60" i="43"/>
  <c r="T59" i="43" s="1"/>
  <c r="G60" i="43"/>
  <c r="G59" i="43" s="1"/>
  <c r="AC60" i="43"/>
  <c r="AC59" i="43" s="1"/>
  <c r="AA60" i="43"/>
  <c r="AA59" i="43" s="1"/>
  <c r="AJ60" i="43"/>
  <c r="AJ59" i="43" s="1"/>
  <c r="X60" i="43"/>
  <c r="X59" i="43" s="1"/>
  <c r="L60" i="43"/>
  <c r="L59" i="43" s="1"/>
  <c r="J60" i="43"/>
  <c r="J59" i="43" s="1"/>
  <c r="AF60" i="43"/>
  <c r="AF59" i="43" s="1"/>
  <c r="AE60" i="43"/>
  <c r="AE59" i="43" s="1"/>
  <c r="R60" i="43"/>
  <c r="R59" i="43" s="1"/>
  <c r="AB60" i="43"/>
  <c r="AB59" i="43" s="1"/>
  <c r="O60" i="43"/>
  <c r="O59" i="43" s="1"/>
  <c r="AI60" i="43"/>
  <c r="AI59" i="43" s="1"/>
  <c r="W60" i="43"/>
  <c r="W59" i="43" s="1"/>
  <c r="K60" i="43"/>
  <c r="K59" i="43" s="1"/>
  <c r="V60" i="43"/>
  <c r="V59" i="43" s="1"/>
  <c r="U60" i="43"/>
  <c r="U59" i="43" s="1"/>
  <c r="H60" i="43"/>
  <c r="H59" i="43" s="1"/>
  <c r="S60" i="43"/>
  <c r="S59" i="43" s="1"/>
  <c r="Q60" i="43"/>
  <c r="Q59" i="43" s="1"/>
  <c r="P60" i="43"/>
  <c r="P59" i="43" s="1"/>
  <c r="AH60" i="43"/>
  <c r="AH59" i="43" s="1"/>
  <c r="AG60" i="43"/>
  <c r="AG59" i="43" s="1"/>
  <c r="AD60" i="43"/>
  <c r="AD59" i="43" s="1"/>
  <c r="H81" i="51"/>
  <c r="H76" i="51"/>
  <c r="H77" i="51"/>
  <c r="AH75" i="51"/>
  <c r="AH77" i="51"/>
  <c r="AH66" i="51"/>
  <c r="AH76" i="51"/>
  <c r="AH65" i="51"/>
  <c r="AH81" i="51"/>
  <c r="H66" i="51"/>
  <c r="H65" i="51"/>
  <c r="Q20" i="51"/>
  <c r="AC20" i="51"/>
  <c r="R20" i="51"/>
  <c r="AD20" i="51"/>
  <c r="S20" i="51"/>
  <c r="AE20" i="51"/>
  <c r="T20" i="51"/>
  <c r="U20" i="51"/>
  <c r="V20" i="51"/>
  <c r="W20" i="51"/>
  <c r="X20" i="51"/>
  <c r="Z20" i="51"/>
  <c r="O20" i="51"/>
  <c r="AA20" i="51"/>
  <c r="P20" i="51"/>
  <c r="AB20" i="51"/>
  <c r="Y20" i="51"/>
  <c r="N20" i="51"/>
  <c r="H20" i="51"/>
  <c r="N22" i="51"/>
  <c r="O22" i="51"/>
  <c r="AB22" i="51"/>
  <c r="P22" i="51"/>
  <c r="Q22" i="51"/>
  <c r="AC22" i="51"/>
  <c r="S22" i="51"/>
  <c r="AE22" i="51"/>
  <c r="AD22" i="51"/>
  <c r="T22" i="51"/>
  <c r="Y22" i="51"/>
  <c r="Z22" i="51"/>
  <c r="U22" i="51"/>
  <c r="X22" i="51"/>
  <c r="V22" i="51"/>
  <c r="W22" i="51"/>
  <c r="AA22" i="51"/>
  <c r="R22" i="51"/>
  <c r="AE30" i="51"/>
  <c r="S30" i="51"/>
  <c r="AB29" i="51"/>
  <c r="P29" i="51"/>
  <c r="Y28" i="51"/>
  <c r="AE27" i="51"/>
  <c r="S27" i="51"/>
  <c r="Y26" i="51"/>
  <c r="AE25" i="51"/>
  <c r="S25" i="51"/>
  <c r="Q27" i="51"/>
  <c r="Q25" i="51"/>
  <c r="AB30" i="51"/>
  <c r="P25" i="51"/>
  <c r="O27" i="51"/>
  <c r="AA25" i="51"/>
  <c r="Z27" i="51"/>
  <c r="Z25" i="51"/>
  <c r="V29" i="51"/>
  <c r="AE26" i="51"/>
  <c r="Y25" i="51"/>
  <c r="AD28" i="51"/>
  <c r="P28" i="51"/>
  <c r="AD30" i="51"/>
  <c r="R30" i="51"/>
  <c r="AA29" i="51"/>
  <c r="O29" i="51"/>
  <c r="X28" i="51"/>
  <c r="AD27" i="51"/>
  <c r="R27" i="51"/>
  <c r="X26" i="51"/>
  <c r="AD25" i="51"/>
  <c r="R25" i="51"/>
  <c r="Y29" i="51"/>
  <c r="AB27" i="51"/>
  <c r="V26" i="51"/>
  <c r="AA30" i="51"/>
  <c r="X29" i="51"/>
  <c r="AA27" i="51"/>
  <c r="U26" i="51"/>
  <c r="W29" i="51"/>
  <c r="N27" i="51"/>
  <c r="AG29" i="51"/>
  <c r="R26" i="51"/>
  <c r="T29" i="51"/>
  <c r="V27" i="51"/>
  <c r="AD29" i="51"/>
  <c r="AA26" i="51"/>
  <c r="AC30" i="51"/>
  <c r="Q30" i="51"/>
  <c r="Z29" i="51"/>
  <c r="N29" i="51"/>
  <c r="W28" i="51"/>
  <c r="AC27" i="51"/>
  <c r="W26" i="51"/>
  <c r="AC25" i="51"/>
  <c r="V28" i="51"/>
  <c r="P27" i="51"/>
  <c r="AB25" i="51"/>
  <c r="O30" i="51"/>
  <c r="U28" i="51"/>
  <c r="N25" i="51"/>
  <c r="AE28" i="51"/>
  <c r="S26" i="51"/>
  <c r="R28" i="51"/>
  <c r="Q26" i="51"/>
  <c r="S29" i="51"/>
  <c r="AH25" i="51"/>
  <c r="R29" i="51"/>
  <c r="O26" i="51"/>
  <c r="Q29" i="51"/>
  <c r="P30" i="51"/>
  <c r="O25" i="51"/>
  <c r="T28" i="51"/>
  <c r="AH29" i="51"/>
  <c r="Y27" i="51"/>
  <c r="U29" i="51"/>
  <c r="X27" i="51"/>
  <c r="X25" i="51"/>
  <c r="AC28" i="51"/>
  <c r="W25" i="51"/>
  <c r="AB26" i="51"/>
  <c r="AG25" i="51"/>
  <c r="Z28" i="51"/>
  <c r="AF25" i="51"/>
  <c r="X30" i="51"/>
  <c r="AD26" i="51"/>
  <c r="Q28" i="51"/>
  <c r="AE29" i="51"/>
  <c r="U27" i="51"/>
  <c r="AC29" i="51"/>
  <c r="Z26" i="51"/>
  <c r="Z30" i="51"/>
  <c r="N30" i="51"/>
  <c r="T26" i="51"/>
  <c r="AF29" i="51"/>
  <c r="AC26" i="51"/>
  <c r="AA28" i="51"/>
  <c r="U25" i="51"/>
  <c r="T27" i="51"/>
  <c r="T25" i="51"/>
  <c r="Y30" i="51"/>
  <c r="S28" i="51"/>
  <c r="W30" i="51"/>
  <c r="W27" i="51"/>
  <c r="AB28" i="51"/>
  <c r="V25" i="51"/>
  <c r="O28" i="51"/>
  <c r="T30" i="51"/>
  <c r="N26" i="51"/>
  <c r="U30" i="51"/>
  <c r="N28" i="51"/>
  <c r="AH30" i="51"/>
  <c r="V30" i="51"/>
  <c r="P26" i="51"/>
  <c r="AF30" i="51"/>
  <c r="AG30" i="51"/>
  <c r="H43" i="51"/>
  <c r="H44" i="51"/>
  <c r="H35" i="51"/>
  <c r="H42" i="51"/>
  <c r="H33" i="51"/>
  <c r="H34" i="51"/>
  <c r="H15" i="51"/>
  <c r="H36" i="51"/>
  <c r="H38" i="51"/>
  <c r="H37" i="51"/>
  <c r="H26" i="51"/>
  <c r="H39" i="51"/>
  <c r="H27" i="51"/>
  <c r="H28" i="51"/>
  <c r="H40" i="51"/>
  <c r="H41" i="51"/>
  <c r="H25" i="51"/>
  <c r="H29" i="51"/>
  <c r="Y34" i="51"/>
  <c r="S35" i="51"/>
  <c r="AE35" i="51"/>
  <c r="Y36" i="51"/>
  <c r="S37" i="51"/>
  <c r="AE37" i="51"/>
  <c r="Y38" i="51"/>
  <c r="S39" i="51"/>
  <c r="AE39" i="51"/>
  <c r="Y40" i="51"/>
  <c r="S41" i="51"/>
  <c r="AE41" i="51"/>
  <c r="Y42" i="51"/>
  <c r="S43" i="51"/>
  <c r="AE43" i="51"/>
  <c r="Y43" i="51"/>
  <c r="Z37" i="51"/>
  <c r="T40" i="51"/>
  <c r="O35" i="51"/>
  <c r="AA41" i="51"/>
  <c r="W42" i="51"/>
  <c r="X40" i="51"/>
  <c r="N34" i="51"/>
  <c r="Z34" i="51"/>
  <c r="T35" i="51"/>
  <c r="N36" i="51"/>
  <c r="Z36" i="51"/>
  <c r="T37" i="51"/>
  <c r="N38" i="51"/>
  <c r="Z38" i="51"/>
  <c r="T39" i="51"/>
  <c r="N40" i="51"/>
  <c r="Z40" i="51"/>
  <c r="T41" i="51"/>
  <c r="N42" i="51"/>
  <c r="Z42" i="51"/>
  <c r="T43" i="51"/>
  <c r="N37" i="51"/>
  <c r="N41" i="51"/>
  <c r="AA37" i="51"/>
  <c r="U42" i="51"/>
  <c r="Q39" i="51"/>
  <c r="R39" i="51"/>
  <c r="O34" i="51"/>
  <c r="AA34" i="51"/>
  <c r="U35" i="51"/>
  <c r="O36" i="51"/>
  <c r="AA36" i="51"/>
  <c r="U37" i="51"/>
  <c r="O38" i="51"/>
  <c r="AA38" i="51"/>
  <c r="U39" i="51"/>
  <c r="O40" i="51"/>
  <c r="AA40" i="51"/>
  <c r="U41" i="51"/>
  <c r="O42" i="51"/>
  <c r="AA42" i="51"/>
  <c r="U43" i="51"/>
  <c r="Z35" i="51"/>
  <c r="U36" i="51"/>
  <c r="AB43" i="51"/>
  <c r="W40" i="51"/>
  <c r="AD41" i="51"/>
  <c r="P34" i="51"/>
  <c r="AB34" i="51"/>
  <c r="V35" i="51"/>
  <c r="P36" i="51"/>
  <c r="AB36" i="51"/>
  <c r="V37" i="51"/>
  <c r="P38" i="51"/>
  <c r="AB38" i="51"/>
  <c r="V39" i="51"/>
  <c r="P40" i="51"/>
  <c r="AB40" i="51"/>
  <c r="V41" i="51"/>
  <c r="P42" i="51"/>
  <c r="AB42" i="51"/>
  <c r="V43" i="51"/>
  <c r="T36" i="51"/>
  <c r="T42" i="51"/>
  <c r="U38" i="51"/>
  <c r="AA43" i="51"/>
  <c r="AC37" i="51"/>
  <c r="R43" i="51"/>
  <c r="Q34" i="51"/>
  <c r="AC34" i="51"/>
  <c r="W35" i="51"/>
  <c r="Q36" i="51"/>
  <c r="AC36" i="51"/>
  <c r="W37" i="51"/>
  <c r="Q38" i="51"/>
  <c r="AC38" i="51"/>
  <c r="W39" i="51"/>
  <c r="Q40" i="51"/>
  <c r="AC40" i="51"/>
  <c r="W41" i="51"/>
  <c r="Q42" i="51"/>
  <c r="AC42" i="51"/>
  <c r="W43" i="51"/>
  <c r="AE42" i="51"/>
  <c r="N39" i="51"/>
  <c r="Z41" i="51"/>
  <c r="O37" i="51"/>
  <c r="U40" i="51"/>
  <c r="AB41" i="51"/>
  <c r="AC41" i="51"/>
  <c r="R41" i="51"/>
  <c r="R34" i="51"/>
  <c r="AD34" i="51"/>
  <c r="X35" i="51"/>
  <c r="R36" i="51"/>
  <c r="AD36" i="51"/>
  <c r="X37" i="51"/>
  <c r="R38" i="51"/>
  <c r="AD38" i="51"/>
  <c r="X39" i="51"/>
  <c r="R40" i="51"/>
  <c r="AD40" i="51"/>
  <c r="X41" i="51"/>
  <c r="R42" i="51"/>
  <c r="AD42" i="51"/>
  <c r="X43" i="51"/>
  <c r="N35" i="51"/>
  <c r="Z43" i="51"/>
  <c r="O39" i="51"/>
  <c r="O41" i="51"/>
  <c r="P41" i="51"/>
  <c r="Q41" i="51"/>
  <c r="S34" i="51"/>
  <c r="AE34" i="51"/>
  <c r="Y35" i="51"/>
  <c r="S36" i="51"/>
  <c r="AE36" i="51"/>
  <c r="Y37" i="51"/>
  <c r="S38" i="51"/>
  <c r="AE38" i="51"/>
  <c r="Y39" i="51"/>
  <c r="S40" i="51"/>
  <c r="AE40" i="51"/>
  <c r="Y41" i="51"/>
  <c r="S42" i="51"/>
  <c r="T38" i="51"/>
  <c r="Z39" i="51"/>
  <c r="N43" i="51"/>
  <c r="AA35" i="51"/>
  <c r="O43" i="51"/>
  <c r="Q37" i="51"/>
  <c r="Q43" i="51"/>
  <c r="AD43" i="51"/>
  <c r="T34" i="51"/>
  <c r="AA39" i="51"/>
  <c r="V42" i="51"/>
  <c r="W38" i="51"/>
  <c r="AC43" i="51"/>
  <c r="U34" i="51"/>
  <c r="V34" i="51"/>
  <c r="P35" i="51"/>
  <c r="AB35" i="51"/>
  <c r="V36" i="51"/>
  <c r="P37" i="51"/>
  <c r="AB37" i="51"/>
  <c r="V38" i="51"/>
  <c r="P39" i="51"/>
  <c r="AB39" i="51"/>
  <c r="V40" i="51"/>
  <c r="P43" i="51"/>
  <c r="X38" i="51"/>
  <c r="W34" i="51"/>
  <c r="Q35" i="51"/>
  <c r="AC35" i="51"/>
  <c r="W36" i="51"/>
  <c r="AC39" i="51"/>
  <c r="X42" i="51"/>
  <c r="X34" i="51"/>
  <c r="R35" i="51"/>
  <c r="AD35" i="51"/>
  <c r="X36" i="51"/>
  <c r="R37" i="51"/>
  <c r="AD37" i="51"/>
  <c r="AD39" i="51"/>
  <c r="N33" i="51"/>
  <c r="V33" i="51"/>
  <c r="P44" i="51"/>
  <c r="AB44" i="51"/>
  <c r="V15" i="51"/>
  <c r="AE44" i="51"/>
  <c r="Z15" i="51"/>
  <c r="O33" i="51"/>
  <c r="V44" i="51"/>
  <c r="W44" i="51"/>
  <c r="Q15" i="51"/>
  <c r="AD33" i="51"/>
  <c r="S33" i="51"/>
  <c r="S15" i="51"/>
  <c r="N44" i="51"/>
  <c r="O44" i="51"/>
  <c r="U15" i="51"/>
  <c r="W33" i="51"/>
  <c r="Q44" i="51"/>
  <c r="AC44" i="51"/>
  <c r="W15" i="51"/>
  <c r="S44" i="51"/>
  <c r="Z33" i="51"/>
  <c r="AA33" i="51"/>
  <c r="AA15" i="51"/>
  <c r="AB33" i="51"/>
  <c r="P15" i="51"/>
  <c r="Q33" i="51"/>
  <c r="R33" i="51"/>
  <c r="AD15" i="51"/>
  <c r="Y44" i="51"/>
  <c r="T33" i="51"/>
  <c r="T15" i="51"/>
  <c r="AA44" i="51"/>
  <c r="X33" i="51"/>
  <c r="R44" i="51"/>
  <c r="AD44" i="51"/>
  <c r="X15" i="51"/>
  <c r="Y33" i="51"/>
  <c r="Y15" i="51"/>
  <c r="T44" i="51"/>
  <c r="N15" i="51"/>
  <c r="U44" i="51"/>
  <c r="O15" i="51"/>
  <c r="P33" i="51"/>
  <c r="AB15" i="51"/>
  <c r="AC33" i="51"/>
  <c r="AC15" i="51"/>
  <c r="X44" i="51"/>
  <c r="R15" i="51"/>
  <c r="AE33" i="51"/>
  <c r="AE15" i="51"/>
  <c r="Z44" i="51"/>
  <c r="U33" i="51"/>
  <c r="F97" i="32"/>
  <c r="G97" i="32" s="1"/>
  <c r="H97" i="32" s="1"/>
  <c r="I97" i="32" s="1"/>
  <c r="J97" i="32" s="1"/>
  <c r="K97" i="32" s="1"/>
  <c r="E140" i="32"/>
  <c r="F140" i="32" s="1"/>
  <c r="G140" i="32" s="1"/>
  <c r="H140" i="32" s="1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AG140" i="32" s="1"/>
  <c r="AH140" i="32" s="1"/>
  <c r="AF96" i="51"/>
  <c r="AB96" i="51"/>
  <c r="X96" i="51"/>
  <c r="T96" i="51"/>
  <c r="P96" i="51"/>
  <c r="AH95" i="51"/>
  <c r="AD95" i="51"/>
  <c r="Z95" i="51"/>
  <c r="V95" i="51"/>
  <c r="R95" i="51"/>
  <c r="N95" i="51"/>
  <c r="AF94" i="51"/>
  <c r="AB94" i="51"/>
  <c r="X94" i="51"/>
  <c r="T94" i="51"/>
  <c r="P94" i="51"/>
  <c r="AH93" i="51"/>
  <c r="AD93" i="51"/>
  <c r="Z93" i="51"/>
  <c r="V93" i="51"/>
  <c r="R93" i="51"/>
  <c r="N93" i="51"/>
  <c r="AF92" i="51"/>
  <c r="AB92" i="51"/>
  <c r="X92" i="51"/>
  <c r="T92" i="51"/>
  <c r="P92" i="51"/>
  <c r="AH91" i="51"/>
  <c r="AD91" i="51"/>
  <c r="Z91" i="51"/>
  <c r="V91" i="51"/>
  <c r="R91" i="51"/>
  <c r="N91" i="51"/>
  <c r="AG8" i="51"/>
  <c r="AC8" i="51"/>
  <c r="Y8" i="51"/>
  <c r="U8" i="51"/>
  <c r="Q8" i="51"/>
  <c r="AE7" i="51"/>
  <c r="AA7" i="51"/>
  <c r="W7" i="51"/>
  <c r="S7" i="51"/>
  <c r="O7" i="51"/>
  <c r="AG11" i="51"/>
  <c r="AC11" i="51"/>
  <c r="Y11" i="51"/>
  <c r="U11" i="51"/>
  <c r="Q11" i="51"/>
  <c r="AE96" i="51"/>
  <c r="AA96" i="51"/>
  <c r="W96" i="51"/>
  <c r="S96" i="51"/>
  <c r="O96" i="51"/>
  <c r="AG95" i="51"/>
  <c r="AC95" i="51"/>
  <c r="Y95" i="51"/>
  <c r="U95" i="51"/>
  <c r="Q95" i="51"/>
  <c r="AE94" i="51"/>
  <c r="AA94" i="51"/>
  <c r="W94" i="51"/>
  <c r="S94" i="51"/>
  <c r="O94" i="51"/>
  <c r="AG93" i="51"/>
  <c r="AC93" i="51"/>
  <c r="Y93" i="51"/>
  <c r="U93" i="51"/>
  <c r="Q93" i="51"/>
  <c r="AE92" i="51"/>
  <c r="AA92" i="51"/>
  <c r="W92" i="51"/>
  <c r="S92" i="51"/>
  <c r="O92" i="51"/>
  <c r="AG91" i="51"/>
  <c r="AC91" i="51"/>
  <c r="Y91" i="51"/>
  <c r="U91" i="51"/>
  <c r="Q91" i="51"/>
  <c r="AF8" i="51"/>
  <c r="AB8" i="51"/>
  <c r="X8" i="51"/>
  <c r="T8" i="51"/>
  <c r="P8" i="51"/>
  <c r="AH7" i="51"/>
  <c r="AD7" i="51"/>
  <c r="Z7" i="51"/>
  <c r="V7" i="51"/>
  <c r="R7" i="51"/>
  <c r="N7" i="51"/>
  <c r="AF11" i="51"/>
  <c r="AB11" i="51"/>
  <c r="X11" i="51"/>
  <c r="T11" i="51"/>
  <c r="P11" i="51"/>
  <c r="AH10" i="51"/>
  <c r="AH96" i="51"/>
  <c r="AD96" i="51"/>
  <c r="Z96" i="51"/>
  <c r="V96" i="51"/>
  <c r="R96" i="51"/>
  <c r="N96" i="51"/>
  <c r="AF95" i="51"/>
  <c r="AB95" i="51"/>
  <c r="X95" i="51"/>
  <c r="T95" i="51"/>
  <c r="P95" i="51"/>
  <c r="AH94" i="51"/>
  <c r="AD94" i="51"/>
  <c r="Z94" i="51"/>
  <c r="V94" i="51"/>
  <c r="R94" i="51"/>
  <c r="N94" i="51"/>
  <c r="AF93" i="51"/>
  <c r="AB93" i="51"/>
  <c r="X93" i="51"/>
  <c r="T93" i="51"/>
  <c r="P93" i="51"/>
  <c r="AH92" i="51"/>
  <c r="AD92" i="51"/>
  <c r="Z92" i="51"/>
  <c r="V92" i="51"/>
  <c r="R92" i="51"/>
  <c r="N92" i="51"/>
  <c r="AF91" i="51"/>
  <c r="AB91" i="51"/>
  <c r="X91" i="51"/>
  <c r="T91" i="51"/>
  <c r="P91" i="51"/>
  <c r="AE8" i="51"/>
  <c r="AA8" i="51"/>
  <c r="W8" i="51"/>
  <c r="S8" i="51"/>
  <c r="O8" i="51"/>
  <c r="AG7" i="51"/>
  <c r="AC7" i="51"/>
  <c r="Y7" i="51"/>
  <c r="U7" i="51"/>
  <c r="Q7" i="51"/>
  <c r="AE11" i="51"/>
  <c r="AA11" i="51"/>
  <c r="W11" i="51"/>
  <c r="S11" i="51"/>
  <c r="O11" i="51"/>
  <c r="AC96" i="51"/>
  <c r="AA95" i="51"/>
  <c r="Y94" i="51"/>
  <c r="W93" i="51"/>
  <c r="U92" i="51"/>
  <c r="S91" i="51"/>
  <c r="V8" i="51"/>
  <c r="T7" i="51"/>
  <c r="AD11" i="51"/>
  <c r="N11" i="51"/>
  <c r="AF10" i="51"/>
  <c r="AB10" i="51"/>
  <c r="X10" i="51"/>
  <c r="T10" i="51"/>
  <c r="P10" i="51"/>
  <c r="AH17" i="51"/>
  <c r="AD17" i="51"/>
  <c r="Z17" i="51"/>
  <c r="V17" i="51"/>
  <c r="R17" i="51"/>
  <c r="N17" i="51"/>
  <c r="AF16" i="51"/>
  <c r="AB16" i="51"/>
  <c r="X16" i="51"/>
  <c r="T16" i="51"/>
  <c r="P16" i="51"/>
  <c r="AH14" i="51"/>
  <c r="AD14" i="51"/>
  <c r="Z14" i="51"/>
  <c r="V14" i="51"/>
  <c r="R14" i="51"/>
  <c r="N14" i="51"/>
  <c r="AF23" i="51"/>
  <c r="AB23" i="51"/>
  <c r="X23" i="51"/>
  <c r="T23" i="51"/>
  <c r="P23" i="51"/>
  <c r="AH21" i="51"/>
  <c r="AD21" i="51"/>
  <c r="Z21" i="51"/>
  <c r="V21" i="51"/>
  <c r="R21" i="51"/>
  <c r="N21" i="51"/>
  <c r="AF19" i="51"/>
  <c r="AB19" i="51"/>
  <c r="X19" i="51"/>
  <c r="T19" i="51"/>
  <c r="P19" i="51"/>
  <c r="AF46" i="51"/>
  <c r="AB46" i="51"/>
  <c r="X46" i="51"/>
  <c r="T46" i="51"/>
  <c r="P46" i="51"/>
  <c r="AG45" i="51"/>
  <c r="AC45" i="51"/>
  <c r="Y45" i="51"/>
  <c r="U45" i="51"/>
  <c r="Q45" i="51"/>
  <c r="AH32" i="51"/>
  <c r="AD32" i="51"/>
  <c r="Z32" i="51"/>
  <c r="V32" i="51"/>
  <c r="R32" i="51"/>
  <c r="N46" i="51"/>
  <c r="T32" i="51"/>
  <c r="AG96" i="51"/>
  <c r="AC94" i="51"/>
  <c r="Y92" i="51"/>
  <c r="X7" i="51"/>
  <c r="R11" i="51"/>
  <c r="Y10" i="51"/>
  <c r="Q10" i="51"/>
  <c r="AA17" i="51"/>
  <c r="O17" i="51"/>
  <c r="AG16" i="51"/>
  <c r="U16" i="51"/>
  <c r="AA14" i="51"/>
  <c r="S14" i="51"/>
  <c r="AC23" i="51"/>
  <c r="U23" i="51"/>
  <c r="AE21" i="51"/>
  <c r="W21" i="51"/>
  <c r="AC19" i="51"/>
  <c r="U19" i="51"/>
  <c r="AC46" i="51"/>
  <c r="Q46" i="51"/>
  <c r="AH45" i="51"/>
  <c r="Z45" i="51"/>
  <c r="AE32" i="51"/>
  <c r="S32" i="51"/>
  <c r="O32" i="51"/>
  <c r="Y96" i="51"/>
  <c r="W95" i="51"/>
  <c r="U94" i="51"/>
  <c r="S93" i="51"/>
  <c r="AG92" i="51"/>
  <c r="Q92" i="51"/>
  <c r="AE91" i="51"/>
  <c r="O91" i="51"/>
  <c r="AH8" i="51"/>
  <c r="R8" i="51"/>
  <c r="AF7" i="51"/>
  <c r="P7" i="51"/>
  <c r="Z11" i="51"/>
  <c r="AE10" i="51"/>
  <c r="AA10" i="51"/>
  <c r="W10" i="51"/>
  <c r="S10" i="51"/>
  <c r="O10" i="51"/>
  <c r="AG17" i="51"/>
  <c r="AC17" i="51"/>
  <c r="Y17" i="51"/>
  <c r="U17" i="51"/>
  <c r="Q17" i="51"/>
  <c r="AE16" i="51"/>
  <c r="AA16" i="51"/>
  <c r="W16" i="51"/>
  <c r="S16" i="51"/>
  <c r="O16" i="51"/>
  <c r="AG14" i="51"/>
  <c r="AC14" i="51"/>
  <c r="Y14" i="51"/>
  <c r="U14" i="51"/>
  <c r="Q14" i="51"/>
  <c r="AE23" i="51"/>
  <c r="AA23" i="51"/>
  <c r="W23" i="51"/>
  <c r="S23" i="51"/>
  <c r="O23" i="51"/>
  <c r="AG21" i="51"/>
  <c r="AC21" i="51"/>
  <c r="Y21" i="51"/>
  <c r="U21" i="51"/>
  <c r="Q21" i="51"/>
  <c r="AE19" i="51"/>
  <c r="AA19" i="51"/>
  <c r="W19" i="51"/>
  <c r="S19" i="51"/>
  <c r="O19" i="51"/>
  <c r="AE46" i="51"/>
  <c r="AA46" i="51"/>
  <c r="W46" i="51"/>
  <c r="S46" i="51"/>
  <c r="O46" i="51"/>
  <c r="AF45" i="51"/>
  <c r="AB45" i="51"/>
  <c r="X45" i="51"/>
  <c r="T45" i="51"/>
  <c r="P45" i="51"/>
  <c r="AG32" i="51"/>
  <c r="AC32" i="51"/>
  <c r="Y32" i="51"/>
  <c r="U32" i="51"/>
  <c r="Q32" i="51"/>
  <c r="N45" i="51"/>
  <c r="P32" i="51"/>
  <c r="Q96" i="51"/>
  <c r="O95" i="51"/>
  <c r="AA93" i="51"/>
  <c r="W91" i="51"/>
  <c r="AH11" i="51"/>
  <c r="AG10" i="51"/>
  <c r="U10" i="51"/>
  <c r="AE17" i="51"/>
  <c r="W17" i="51"/>
  <c r="AC16" i="51"/>
  <c r="Q16" i="51"/>
  <c r="AE14" i="51"/>
  <c r="O14" i="51"/>
  <c r="AG23" i="51"/>
  <c r="Y23" i="51"/>
  <c r="Q23" i="51"/>
  <c r="S21" i="51"/>
  <c r="Y19" i="51"/>
  <c r="AG46" i="51"/>
  <c r="U46" i="51"/>
  <c r="AD45" i="51"/>
  <c r="R45" i="51"/>
  <c r="W32" i="51"/>
  <c r="U96" i="51"/>
  <c r="S95" i="51"/>
  <c r="AG94" i="51"/>
  <c r="Q94" i="51"/>
  <c r="AE93" i="51"/>
  <c r="O93" i="51"/>
  <c r="AC92" i="51"/>
  <c r="AA91" i="51"/>
  <c r="AD8" i="51"/>
  <c r="N8" i="51"/>
  <c r="AB7" i="51"/>
  <c r="V11" i="51"/>
  <c r="AD10" i="51"/>
  <c r="Z10" i="51"/>
  <c r="V10" i="51"/>
  <c r="R10" i="51"/>
  <c r="N10" i="51"/>
  <c r="AF17" i="51"/>
  <c r="AB17" i="51"/>
  <c r="X17" i="51"/>
  <c r="T17" i="51"/>
  <c r="P17" i="51"/>
  <c r="AH16" i="51"/>
  <c r="AD16" i="51"/>
  <c r="Z16" i="51"/>
  <c r="V16" i="51"/>
  <c r="R16" i="51"/>
  <c r="N16" i="51"/>
  <c r="AF14" i="51"/>
  <c r="AB14" i="51"/>
  <c r="X14" i="51"/>
  <c r="T14" i="51"/>
  <c r="P14" i="51"/>
  <c r="AH23" i="51"/>
  <c r="AD23" i="51"/>
  <c r="Z23" i="51"/>
  <c r="V23" i="51"/>
  <c r="R23" i="51"/>
  <c r="N23" i="51"/>
  <c r="AF21" i="51"/>
  <c r="AB21" i="51"/>
  <c r="X21" i="51"/>
  <c r="T21" i="51"/>
  <c r="P21" i="51"/>
  <c r="AH19" i="51"/>
  <c r="AD19" i="51"/>
  <c r="Z19" i="51"/>
  <c r="V19" i="51"/>
  <c r="R19" i="51"/>
  <c r="N19" i="51"/>
  <c r="AH46" i="51"/>
  <c r="AD46" i="51"/>
  <c r="Z46" i="51"/>
  <c r="V46" i="51"/>
  <c r="R46" i="51"/>
  <c r="AE45" i="51"/>
  <c r="AA45" i="51"/>
  <c r="W45" i="51"/>
  <c r="S45" i="51"/>
  <c r="O45" i="51"/>
  <c r="AF32" i="51"/>
  <c r="AB32" i="51"/>
  <c r="X32" i="51"/>
  <c r="N32" i="51"/>
  <c r="AE95" i="51"/>
  <c r="Z8" i="51"/>
  <c r="AC10" i="51"/>
  <c r="S17" i="51"/>
  <c r="Y16" i="51"/>
  <c r="W14" i="51"/>
  <c r="AA21" i="51"/>
  <c r="O21" i="51"/>
  <c r="AG19" i="51"/>
  <c r="Q19" i="51"/>
  <c r="Y46" i="51"/>
  <c r="V45" i="51"/>
  <c r="AA32" i="51"/>
  <c r="E99" i="32"/>
  <c r="E98" i="32" s="1"/>
  <c r="G42" i="55"/>
  <c r="G5" i="43" s="1"/>
  <c r="B4" i="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E12" i="55" s="1"/>
  <c r="AF7" i="55"/>
  <c r="AF12" i="55" s="1"/>
  <c r="AG7" i="55"/>
  <c r="AG12" i="55" s="1"/>
  <c r="AH7" i="55"/>
  <c r="AH12" i="55" s="1"/>
  <c r="AI7" i="55"/>
  <c r="AI12" i="55" s="1"/>
  <c r="AJ7" i="55"/>
  <c r="AJ12" i="55" s="1"/>
  <c r="AK7" i="55"/>
  <c r="AK12" i="55" s="1"/>
  <c r="G66" i="43"/>
  <c r="N57" i="51"/>
  <c r="H101" i="51"/>
  <c r="H115" i="51"/>
  <c r="H19" i="51"/>
  <c r="AB65" i="43"/>
  <c r="G65" i="43"/>
  <c r="W82" i="51"/>
  <c r="N31" i="32" s="1"/>
  <c r="P17" i="43" s="1"/>
  <c r="N82" i="51"/>
  <c r="E31" i="32" s="1"/>
  <c r="G17" i="43" s="1"/>
  <c r="AH111" i="51"/>
  <c r="N111" i="51"/>
  <c r="E37" i="32" s="1"/>
  <c r="G23" i="43" s="1"/>
  <c r="O111" i="51"/>
  <c r="F37" i="32" s="1"/>
  <c r="H23" i="43" s="1"/>
  <c r="P111" i="51"/>
  <c r="R111" i="51"/>
  <c r="Q111" i="51"/>
  <c r="S111" i="51"/>
  <c r="T111" i="51"/>
  <c r="U111" i="51"/>
  <c r="V111" i="51"/>
  <c r="W111" i="51"/>
  <c r="X111" i="51"/>
  <c r="Y111" i="51"/>
  <c r="Z111" i="51"/>
  <c r="AA111" i="51"/>
  <c r="AB111" i="51"/>
  <c r="AC111" i="51"/>
  <c r="AD111" i="51"/>
  <c r="AE111" i="51"/>
  <c r="AF111" i="51"/>
  <c r="AG111" i="51"/>
  <c r="A51" i="43"/>
  <c r="B128" i="5"/>
  <c r="H103" i="51"/>
  <c r="H109" i="51"/>
  <c r="H88" i="51"/>
  <c r="H95" i="51"/>
  <c r="H94" i="51"/>
  <c r="J88" i="51"/>
  <c r="H67" i="51"/>
  <c r="H79" i="51"/>
  <c r="AH79" i="51"/>
  <c r="AH67" i="51"/>
  <c r="H10" i="51"/>
  <c r="H50" i="51"/>
  <c r="H51" i="51"/>
  <c r="C102" i="50"/>
  <c r="D11" i="29"/>
  <c r="J40" i="29"/>
  <c r="B88" i="29" s="1"/>
  <c r="J39" i="29"/>
  <c r="F17" i="29" s="1"/>
  <c r="H52" i="51"/>
  <c r="H48" i="51"/>
  <c r="H53" i="51"/>
  <c r="A15" i="43"/>
  <c r="H17" i="51"/>
  <c r="H45" i="51"/>
  <c r="H21" i="51"/>
  <c r="H32" i="51"/>
  <c r="H23" i="51"/>
  <c r="H16" i="51"/>
  <c r="AI3" i="51"/>
  <c r="H99" i="51"/>
  <c r="J72" i="51"/>
  <c r="AR40" i="54"/>
  <c r="AR44" i="6" s="1"/>
  <c r="AR77" i="5" s="1"/>
  <c r="AP82" i="51"/>
  <c r="AG31" i="32" s="1"/>
  <c r="AI17" i="43" s="1"/>
  <c r="G46" i="54"/>
  <c r="G11" i="6" s="1"/>
  <c r="CF40" i="54"/>
  <c r="BZ46" i="54"/>
  <c r="C155" i="51"/>
  <c r="DT40" i="54"/>
  <c r="BD40" i="54"/>
  <c r="BD44" i="6" s="1"/>
  <c r="BD77" i="5" s="1"/>
  <c r="BX40" i="54"/>
  <c r="DO46" i="54"/>
  <c r="CX40" i="54"/>
  <c r="AS40" i="54"/>
  <c r="AS44" i="6" s="1"/>
  <c r="AS77" i="5" s="1"/>
  <c r="DV40" i="54"/>
  <c r="CS46" i="54"/>
  <c r="BR40" i="54"/>
  <c r="CG40" i="54"/>
  <c r="CZ46" i="54"/>
  <c r="BW46" i="54"/>
  <c r="DF46" i="54"/>
  <c r="V82" i="51"/>
  <c r="M31" i="32" s="1"/>
  <c r="O17" i="43" s="1"/>
  <c r="G40" i="54"/>
  <c r="G44" i="6" s="1"/>
  <c r="G77" i="5" s="1"/>
  <c r="AA40" i="54"/>
  <c r="AA44" i="6" s="1"/>
  <c r="AA77" i="5" s="1"/>
  <c r="AY40" i="54"/>
  <c r="AY44" i="6" s="1"/>
  <c r="AY77" i="5" s="1"/>
  <c r="BO40" i="54"/>
  <c r="BO44" i="6" s="1"/>
  <c r="BO77" i="5" s="1"/>
  <c r="Q46" i="54"/>
  <c r="Q11" i="6" s="1"/>
  <c r="AG46" i="54"/>
  <c r="AG11" i="6" s="1"/>
  <c r="AT40" i="54"/>
  <c r="AT44" i="6" s="1"/>
  <c r="AT77" i="5" s="1"/>
  <c r="BF40" i="54"/>
  <c r="BF44" i="6" s="1"/>
  <c r="BF77" i="5" s="1"/>
  <c r="BV40" i="54"/>
  <c r="P46" i="54"/>
  <c r="P11" i="6" s="1"/>
  <c r="Y40" i="54"/>
  <c r="Y44" i="6" s="1"/>
  <c r="Y77" i="5" s="1"/>
  <c r="AK40" i="54"/>
  <c r="AK44" i="6" s="1"/>
  <c r="AK77" i="5" s="1"/>
  <c r="AV46" i="54"/>
  <c r="AV73" i="5" s="1"/>
  <c r="BE40" i="54"/>
  <c r="BE44" i="6" s="1"/>
  <c r="BE77" i="5" s="1"/>
  <c r="BQ40" i="54"/>
  <c r="L40" i="54"/>
  <c r="L44" i="6" s="1"/>
  <c r="L77" i="5" s="1"/>
  <c r="AY46" i="54"/>
  <c r="AY73" i="5" s="1"/>
  <c r="CD46" i="54"/>
  <c r="CM40" i="54"/>
  <c r="CX46" i="54"/>
  <c r="DG40" i="54"/>
  <c r="DO40" i="54"/>
  <c r="DW46" i="54"/>
  <c r="AE46" i="54"/>
  <c r="AE73" i="5" s="1"/>
  <c r="BK46" i="54"/>
  <c r="BK11" i="6" s="1"/>
  <c r="BG46" i="54"/>
  <c r="BG11" i="6" s="1"/>
  <c r="CH40" i="54"/>
  <c r="CR46" i="54"/>
  <c r="DD40" i="54"/>
  <c r="DN40" i="54"/>
  <c r="DW40" i="54"/>
  <c r="BC46" i="54"/>
  <c r="BC11" i="6" s="1"/>
  <c r="CC46" i="54"/>
  <c r="CO40" i="54"/>
  <c r="CY46" i="54"/>
  <c r="DI46" i="54"/>
  <c r="DU40" i="54"/>
  <c r="AZ40" i="54"/>
  <c r="AZ44" i="6" s="1"/>
  <c r="AZ77" i="5" s="1"/>
  <c r="CJ46" i="54"/>
  <c r="CV40" i="54"/>
  <c r="DF40" i="54"/>
  <c r="DP46" i="54"/>
  <c r="CK46" i="54"/>
  <c r="CW40" i="54"/>
  <c r="DD46" i="54"/>
  <c r="DP40" i="54"/>
  <c r="DT46" i="54"/>
  <c r="CA46" i="54"/>
  <c r="V40" i="54"/>
  <c r="V44" i="6" s="1"/>
  <c r="V77" i="5" s="1"/>
  <c r="BM46" i="54"/>
  <c r="BM73" i="5" s="1"/>
  <c r="Q40" i="54"/>
  <c r="Q44" i="6" s="1"/>
  <c r="Q77" i="5" s="1"/>
  <c r="AN46" i="54"/>
  <c r="AN11" i="6" s="1"/>
  <c r="BI40" i="54"/>
  <c r="BI44" i="6" s="1"/>
  <c r="BI77" i="5" s="1"/>
  <c r="S46" i="54"/>
  <c r="S73" i="5" s="1"/>
  <c r="CE40" i="54"/>
  <c r="DB46" i="54"/>
  <c r="DR46" i="54"/>
  <c r="AN40" i="54"/>
  <c r="AN44" i="6" s="1"/>
  <c r="AN77" i="5" s="1"/>
  <c r="BP40" i="54"/>
  <c r="CU46" i="54"/>
  <c r="E52" i="32"/>
  <c r="E58" i="29" s="1"/>
  <c r="D58" i="29" s="1"/>
  <c r="C58" i="29" s="1"/>
  <c r="CR40" i="54"/>
  <c r="DL46" i="54"/>
  <c r="CC40" i="54"/>
  <c r="CM46" i="54"/>
  <c r="DI40" i="54"/>
  <c r="CN46" i="54"/>
  <c r="DG46" i="54"/>
  <c r="BS46" i="54"/>
  <c r="S40" i="54"/>
  <c r="S44" i="6" s="1"/>
  <c r="S77" i="5" s="1"/>
  <c r="BG40" i="54"/>
  <c r="BG44" i="6" s="1"/>
  <c r="BG77" i="5" s="1"/>
  <c r="J40" i="54"/>
  <c r="J44" i="6" s="1"/>
  <c r="J77" i="5" s="1"/>
  <c r="AL40" i="54"/>
  <c r="AL44" i="6" s="1"/>
  <c r="AL77" i="5" s="1"/>
  <c r="BN40" i="54"/>
  <c r="BN44" i="6" s="1"/>
  <c r="BN77" i="5" s="1"/>
  <c r="U40" i="54"/>
  <c r="U44" i="6" s="1"/>
  <c r="U77" i="5" s="1"/>
  <c r="AO40" i="54"/>
  <c r="AO44" i="6" s="1"/>
  <c r="AO77" i="5" s="1"/>
  <c r="BL46" i="54"/>
  <c r="BL73" i="5" s="1"/>
  <c r="AI46" i="54"/>
  <c r="AI11" i="6" s="1"/>
  <c r="CH46" i="54"/>
  <c r="DC40" i="54"/>
  <c r="DS40" i="54"/>
  <c r="AU46" i="54"/>
  <c r="AU11" i="6" s="1"/>
  <c r="CB46" i="54"/>
  <c r="K40" i="54"/>
  <c r="K44" i="6" s="1"/>
  <c r="K77" i="5" s="1"/>
  <c r="AI40" i="54"/>
  <c r="AI44" i="6" s="1"/>
  <c r="AI77" i="5" s="1"/>
  <c r="BC40" i="54"/>
  <c r="BC44" i="6" s="1"/>
  <c r="BC77" i="5" s="1"/>
  <c r="BS40" i="54"/>
  <c r="AH40" i="54"/>
  <c r="AH44" i="6" s="1"/>
  <c r="AH77" i="5" s="1"/>
  <c r="AW46" i="54"/>
  <c r="AW73" i="5" s="1"/>
  <c r="BZ40" i="54"/>
  <c r="AC40" i="54"/>
  <c r="AC44" i="6" s="1"/>
  <c r="AC77" i="5" s="1"/>
  <c r="AW40" i="54"/>
  <c r="AW44" i="6" s="1"/>
  <c r="AW77" i="5" s="1"/>
  <c r="BT46" i="54"/>
  <c r="BO46" i="54"/>
  <c r="BO11" i="6" s="1"/>
  <c r="CP46" i="54"/>
  <c r="DJ46" i="54"/>
  <c r="H40" i="54"/>
  <c r="H44" i="6" s="1"/>
  <c r="H77" i="5" s="1"/>
  <c r="BT40" i="54"/>
  <c r="CK40" i="54"/>
  <c r="DE46" i="54"/>
  <c r="DQ40" i="54"/>
  <c r="BL40" i="54"/>
  <c r="BL44" i="6" s="1"/>
  <c r="BL77" i="5" s="1"/>
  <c r="CF46" i="54"/>
  <c r="DB40" i="54"/>
  <c r="K46" i="54"/>
  <c r="K11" i="6" s="1"/>
  <c r="CW46" i="54"/>
  <c r="DS46" i="54"/>
  <c r="CZ40" i="54"/>
  <c r="AV40" i="54"/>
  <c r="AV44" i="6" s="1"/>
  <c r="AV77" i="5" s="1"/>
  <c r="CD40" i="54"/>
  <c r="AM40" i="54"/>
  <c r="AM44" i="6" s="1"/>
  <c r="AM77" i="5" s="1"/>
  <c r="Y46" i="54"/>
  <c r="Y73" i="5" s="1"/>
  <c r="BB40" i="54"/>
  <c r="BB44" i="6" s="1"/>
  <c r="BB77" i="5" s="1"/>
  <c r="I40" i="54"/>
  <c r="I44" i="6" s="1"/>
  <c r="I77" i="5" s="1"/>
  <c r="AF46" i="54"/>
  <c r="AF11" i="6" s="1"/>
  <c r="BA40" i="54"/>
  <c r="BA44" i="6" s="1"/>
  <c r="BA77" i="5" s="1"/>
  <c r="BU40" i="54"/>
  <c r="BV46" i="54"/>
  <c r="CT46" i="54"/>
  <c r="DK40" i="54"/>
  <c r="O46" i="54"/>
  <c r="O11" i="6" s="1"/>
  <c r="AA46" i="54"/>
  <c r="AA11" i="6" s="1"/>
  <c r="CN40" i="54"/>
  <c r="C150" i="51"/>
  <c r="I473" i="32"/>
  <c r="H28" i="29" s="1"/>
  <c r="DM40" i="54"/>
  <c r="DM46" i="54"/>
  <c r="DH40" i="54"/>
  <c r="AF40" i="54"/>
  <c r="AF44" i="6" s="1"/>
  <c r="AF77" i="5" s="1"/>
  <c r="CO46" i="54"/>
  <c r="CU40" i="54"/>
  <c r="CJ40" i="54"/>
  <c r="DJ40" i="54"/>
  <c r="CQ46" i="54"/>
  <c r="DL40" i="54"/>
  <c r="CP40" i="54"/>
  <c r="T40" i="54"/>
  <c r="T44" i="6" s="1"/>
  <c r="T77" i="5" s="1"/>
  <c r="DE40" i="54"/>
  <c r="CI46" i="54"/>
  <c r="W46" i="54"/>
  <c r="W11" i="6" s="1"/>
  <c r="DH46" i="54"/>
  <c r="CE46" i="54"/>
  <c r="DV46" i="54"/>
  <c r="CL46" i="54"/>
  <c r="BM40" i="54"/>
  <c r="BM44" i="6" s="1"/>
  <c r="BM77" i="5" s="1"/>
  <c r="X46" i="54"/>
  <c r="X11" i="6" s="1"/>
  <c r="AP40" i="54"/>
  <c r="AP44" i="6" s="1"/>
  <c r="AP77" i="5" s="1"/>
  <c r="AQ40" i="54"/>
  <c r="AQ44" i="6" s="1"/>
  <c r="AQ77" i="5" s="1"/>
  <c r="P40" i="54"/>
  <c r="P44" i="6" s="1"/>
  <c r="P77" i="5" s="1"/>
  <c r="CT40" i="54"/>
  <c r="CS40" i="54"/>
  <c r="AQ46" i="54"/>
  <c r="AQ11" i="6" s="1"/>
  <c r="CL40" i="54"/>
  <c r="DK46" i="54"/>
  <c r="X40" i="54"/>
  <c r="X44" i="6" s="1"/>
  <c r="X77" i="5" s="1"/>
  <c r="BY40" i="54"/>
  <c r="AG40" i="54"/>
  <c r="AG44" i="6" s="1"/>
  <c r="AG77" i="5" s="1"/>
  <c r="BE46" i="54"/>
  <c r="BE11" i="6" s="1"/>
  <c r="BN46" i="54"/>
  <c r="BN73" i="5" s="1"/>
  <c r="DQ46" i="54"/>
  <c r="DA46" i="54"/>
  <c r="AM46" i="54"/>
  <c r="AM73" i="5" s="1"/>
  <c r="DC46" i="54"/>
  <c r="CG46" i="54"/>
  <c r="DR40" i="54"/>
  <c r="CV46" i="54"/>
  <c r="CB40" i="54"/>
  <c r="DU46" i="54"/>
  <c r="DA40" i="54"/>
  <c r="AJ40" i="54"/>
  <c r="AJ44" i="6" s="1"/>
  <c r="AJ77" i="5" s="1"/>
  <c r="DN46" i="54"/>
  <c r="BW40" i="54"/>
  <c r="BD46" i="54"/>
  <c r="BD11" i="6" s="1"/>
  <c r="M40" i="54"/>
  <c r="M44" i="6" s="1"/>
  <c r="M77" i="5" s="1"/>
  <c r="Z40" i="54"/>
  <c r="Z44" i="6" s="1"/>
  <c r="Z77" i="5" s="1"/>
  <c r="W40" i="54"/>
  <c r="W44" i="6" s="1"/>
  <c r="W77" i="5" s="1"/>
  <c r="H74" i="51"/>
  <c r="F381" i="32"/>
  <c r="G381" i="32" s="1"/>
  <c r="C13" i="2" s="1"/>
  <c r="AE82" i="51"/>
  <c r="V31" i="32" s="1"/>
  <c r="X17" i="43" s="1"/>
  <c r="O61" i="51"/>
  <c r="F55" i="51"/>
  <c r="C54" i="51"/>
  <c r="Q82" i="51"/>
  <c r="H31" i="32" s="1"/>
  <c r="J17" i="43" s="1"/>
  <c r="J473" i="32"/>
  <c r="H2" i="50"/>
  <c r="H84" i="51"/>
  <c r="A47" i="43"/>
  <c r="A56" i="43" s="1"/>
  <c r="A12" i="54" s="1"/>
  <c r="O73" i="51"/>
  <c r="G4" i="2"/>
  <c r="G4" i="7"/>
  <c r="G5" i="5"/>
  <c r="O40" i="54"/>
  <c r="O44" i="6" s="1"/>
  <c r="O77" i="5" s="1"/>
  <c r="AE40" i="54"/>
  <c r="AE44" i="6" s="1"/>
  <c r="AE77" i="5" s="1"/>
  <c r="AU40" i="54"/>
  <c r="AU44" i="6" s="1"/>
  <c r="AU77" i="5" s="1"/>
  <c r="BK40" i="54"/>
  <c r="BK44" i="6" s="1"/>
  <c r="BK77" i="5" s="1"/>
  <c r="I46" i="54"/>
  <c r="I11" i="6" s="1"/>
  <c r="R40" i="54"/>
  <c r="R44" i="6" s="1"/>
  <c r="R77" i="5" s="1"/>
  <c r="AD40" i="54"/>
  <c r="AD44" i="6" s="1"/>
  <c r="AD77" i="5" s="1"/>
  <c r="AO46" i="54"/>
  <c r="AO11" i="6" s="1"/>
  <c r="AX40" i="54"/>
  <c r="AX44" i="6" s="1"/>
  <c r="AX77" i="5" s="1"/>
  <c r="BJ40" i="54"/>
  <c r="BJ44" i="6" s="1"/>
  <c r="BJ77" i="5" s="1"/>
  <c r="BU46" i="54"/>
  <c r="L46" i="54"/>
  <c r="L73" i="5" s="1"/>
  <c r="T46" i="54"/>
  <c r="T73" i="5" s="1"/>
  <c r="AB46" i="54"/>
  <c r="AB73" i="5" s="1"/>
  <c r="AJ46" i="54"/>
  <c r="AJ11" i="6" s="1"/>
  <c r="AR46" i="54"/>
  <c r="AR11" i="6" s="1"/>
  <c r="AZ46" i="54"/>
  <c r="AZ73" i="5" s="1"/>
  <c r="BH46" i="54"/>
  <c r="BH11" i="6" s="1"/>
  <c r="BP46" i="54"/>
  <c r="BX46" i="54"/>
  <c r="AB40" i="54"/>
  <c r="AB44" i="6" s="1"/>
  <c r="AB77" i="5" s="1"/>
  <c r="BH40" i="54"/>
  <c r="BH44" i="6" s="1"/>
  <c r="BH77" i="5" s="1"/>
  <c r="CA40" i="54"/>
  <c r="CI40" i="54"/>
  <c r="CQ40" i="54"/>
  <c r="CY40" i="54"/>
  <c r="H4" i="29"/>
  <c r="D338" i="32"/>
  <c r="B9" i="42" s="1"/>
  <c r="B37" i="55"/>
  <c r="G37" i="55" s="1"/>
  <c r="G5" i="54" s="1"/>
  <c r="D11" i="32"/>
  <c r="C101" i="50"/>
  <c r="AJ65" i="43"/>
  <c r="A383" i="32"/>
  <c r="A15" i="2" s="1"/>
  <c r="A387" i="32"/>
  <c r="A19" i="2" s="1"/>
  <c r="A27" i="43"/>
  <c r="A393" i="32"/>
  <c r="A25" i="2" s="1"/>
  <c r="A382" i="32"/>
  <c r="A14" i="2" s="1"/>
  <c r="I474" i="32"/>
  <c r="D285" i="32"/>
  <c r="C68" i="43" s="1"/>
  <c r="D18" i="29"/>
  <c r="D5" i="29"/>
  <c r="C97" i="47"/>
  <c r="A18" i="43"/>
  <c r="A10" i="43"/>
  <c r="A14" i="43"/>
  <c r="A377" i="32"/>
  <c r="A9" i="2" s="1"/>
  <c r="H64" i="51"/>
  <c r="A23" i="43"/>
  <c r="A385" i="32"/>
  <c r="A17" i="2" s="1"/>
  <c r="H91" i="51"/>
  <c r="H382" i="32"/>
  <c r="J85" i="51"/>
  <c r="J89" i="51"/>
  <c r="J71" i="51"/>
  <c r="J84" i="51"/>
  <c r="G25" i="43"/>
  <c r="E39" i="32" s="1"/>
  <c r="X65" i="43"/>
  <c r="B3" i="47"/>
  <c r="A57" i="43"/>
  <c r="A13" i="54" s="1"/>
  <c r="A58" i="43"/>
  <c r="A14" i="54" s="1"/>
  <c r="H389" i="32"/>
  <c r="C21" i="2"/>
  <c r="O63" i="51"/>
  <c r="A386" i="32"/>
  <c r="A18" i="2" s="1"/>
  <c r="D35" i="32"/>
  <c r="A24" i="43"/>
  <c r="O74" i="51"/>
  <c r="O70" i="51"/>
  <c r="O59" i="51"/>
  <c r="G4" i="6"/>
  <c r="G36" i="6" s="1"/>
  <c r="H383" i="32"/>
  <c r="O68" i="51"/>
  <c r="O71" i="51"/>
  <c r="O60" i="51"/>
  <c r="O72" i="51"/>
  <c r="A9" i="43"/>
  <c r="A375" i="32"/>
  <c r="A7" i="2" s="1"/>
  <c r="F392" i="32"/>
  <c r="G392" i="32" s="1"/>
  <c r="H392" i="32" s="1"/>
  <c r="H59" i="51"/>
  <c r="H68" i="51"/>
  <c r="J65" i="43"/>
  <c r="H92" i="51"/>
  <c r="H100" i="51"/>
  <c r="H93" i="51"/>
  <c r="A68" i="43"/>
  <c r="H56" i="51"/>
  <c r="H61" i="51"/>
  <c r="H89" i="51"/>
  <c r="H135" i="51"/>
  <c r="H73" i="51"/>
  <c r="H104" i="51"/>
  <c r="H123" i="51"/>
  <c r="H85" i="51"/>
  <c r="H125" i="51"/>
  <c r="H62" i="51"/>
  <c r="H126" i="51"/>
  <c r="H71" i="51"/>
  <c r="H96" i="51"/>
  <c r="H111" i="51"/>
  <c r="H70" i="51"/>
  <c r="H134" i="51"/>
  <c r="H138" i="51"/>
  <c r="H60" i="51"/>
  <c r="H75" i="51"/>
  <c r="H102" i="51"/>
  <c r="H55" i="51"/>
  <c r="H72" i="51"/>
  <c r="H78" i="51"/>
  <c r="H83" i="51"/>
  <c r="H63" i="51"/>
  <c r="A12" i="43"/>
  <c r="A378" i="32"/>
  <c r="A10" i="2" s="1"/>
  <c r="C28" i="43"/>
  <c r="F394" i="32"/>
  <c r="G394" i="32" s="1"/>
  <c r="C26" i="2" s="1"/>
  <c r="H46" i="54"/>
  <c r="H11" i="6" s="1"/>
  <c r="N46" i="54"/>
  <c r="N11" i="6" s="1"/>
  <c r="V46" i="54"/>
  <c r="V11" i="6" s="1"/>
  <c r="AD46" i="54"/>
  <c r="AL46" i="54"/>
  <c r="AL73" i="5" s="1"/>
  <c r="AT46" i="54"/>
  <c r="BB46" i="54"/>
  <c r="BB11" i="6" s="1"/>
  <c r="BJ46" i="54"/>
  <c r="BR46" i="54"/>
  <c r="M46" i="54"/>
  <c r="M11" i="6" s="1"/>
  <c r="U46" i="54"/>
  <c r="U11" i="6" s="1"/>
  <c r="AC46" i="54"/>
  <c r="AK46" i="54"/>
  <c r="AK73" i="5" s="1"/>
  <c r="AS46" i="54"/>
  <c r="BA46" i="54"/>
  <c r="BA11" i="6" s="1"/>
  <c r="BI46" i="54"/>
  <c r="BQ46" i="54"/>
  <c r="BY46" i="54"/>
  <c r="J46" i="54"/>
  <c r="J11" i="6" s="1"/>
  <c r="R46" i="54"/>
  <c r="R73" i="5" s="1"/>
  <c r="Z46" i="54"/>
  <c r="Z11" i="6" s="1"/>
  <c r="AH46" i="54"/>
  <c r="AH73" i="5" s="1"/>
  <c r="AP46" i="54"/>
  <c r="AP11" i="6" s="1"/>
  <c r="AX46" i="54"/>
  <c r="AX73" i="5" s="1"/>
  <c r="BF46" i="54"/>
  <c r="BF73" i="5" s="1"/>
  <c r="C30" i="32"/>
  <c r="C16" i="43" s="1"/>
  <c r="AH82" i="51"/>
  <c r="Y31" i="32" s="1"/>
  <c r="AA17" i="43" s="1"/>
  <c r="AB82" i="51"/>
  <c r="S31" i="32" s="1"/>
  <c r="U17" i="43" s="1"/>
  <c r="A22" i="43"/>
  <c r="A388" i="32"/>
  <c r="A20" i="2" s="1"/>
  <c r="M40" i="29"/>
  <c r="A29" i="43"/>
  <c r="A395" i="32"/>
  <c r="A27" i="2" s="1"/>
  <c r="AD65" i="43"/>
  <c r="V65" i="43"/>
  <c r="Y65" i="43"/>
  <c r="M65" i="43"/>
  <c r="O65" i="43"/>
  <c r="K65" i="43"/>
  <c r="AF65" i="43"/>
  <c r="W65" i="43"/>
  <c r="AI65" i="43"/>
  <c r="U65" i="43"/>
  <c r="L65" i="43"/>
  <c r="AC65" i="43"/>
  <c r="AE65" i="43"/>
  <c r="N65" i="43"/>
  <c r="AA65" i="43"/>
  <c r="T65" i="43"/>
  <c r="H65" i="43"/>
  <c r="R65" i="43"/>
  <c r="AH65" i="43"/>
  <c r="Q65" i="43"/>
  <c r="S65" i="43"/>
  <c r="AG65" i="43"/>
  <c r="P65" i="43"/>
  <c r="Z65" i="43"/>
  <c r="I65" i="43"/>
  <c r="G8" i="54"/>
  <c r="H40" i="55"/>
  <c r="H42" i="55" s="1"/>
  <c r="D21" i="43"/>
  <c r="AL82" i="51"/>
  <c r="AC31" i="32" s="1"/>
  <c r="AE17" i="43" s="1"/>
  <c r="R82" i="51"/>
  <c r="I31" i="32" s="1"/>
  <c r="K17" i="43" s="1"/>
  <c r="S82" i="51"/>
  <c r="J31" i="32" s="1"/>
  <c r="L17" i="43" s="1"/>
  <c r="AI82" i="51"/>
  <c r="Z31" i="32" s="1"/>
  <c r="AB17" i="43" s="1"/>
  <c r="Z82" i="51"/>
  <c r="Q31" i="32" s="1"/>
  <c r="S17" i="43" s="1"/>
  <c r="U82" i="51"/>
  <c r="L31" i="32" s="1"/>
  <c r="N17" i="43" s="1"/>
  <c r="AF82" i="51"/>
  <c r="W31" i="32" s="1"/>
  <c r="Y17" i="43" s="1"/>
  <c r="AG82" i="51"/>
  <c r="X31" i="32" s="1"/>
  <c r="Z17" i="43" s="1"/>
  <c r="AM82" i="51"/>
  <c r="AD31" i="32" s="1"/>
  <c r="AF17" i="43" s="1"/>
  <c r="AJ82" i="51"/>
  <c r="AA31" i="32" s="1"/>
  <c r="AC17" i="43" s="1"/>
  <c r="O82" i="51"/>
  <c r="F31" i="32" s="1"/>
  <c r="H17" i="43" s="1"/>
  <c r="AA82" i="51"/>
  <c r="R31" i="32" s="1"/>
  <c r="T17" i="43" s="1"/>
  <c r="C31" i="32"/>
  <c r="C17" i="43" s="1"/>
  <c r="AO82" i="51"/>
  <c r="AF31" i="32" s="1"/>
  <c r="AH17" i="43" s="1"/>
  <c r="AC82" i="51"/>
  <c r="T31" i="32" s="1"/>
  <c r="V17" i="43" s="1"/>
  <c r="AD82" i="51"/>
  <c r="U31" i="32" s="1"/>
  <c r="W17" i="43" s="1"/>
  <c r="Y82" i="51"/>
  <c r="P31" i="32" s="1"/>
  <c r="R17" i="43" s="1"/>
  <c r="X82" i="51"/>
  <c r="O31" i="32" s="1"/>
  <c r="Q17" i="43" s="1"/>
  <c r="T82" i="51"/>
  <c r="K31" i="32" s="1"/>
  <c r="M17" i="43" s="1"/>
  <c r="AK82" i="51"/>
  <c r="AB31" i="32" s="1"/>
  <c r="AD17" i="43" s="1"/>
  <c r="P82" i="51"/>
  <c r="G31" i="32" s="1"/>
  <c r="I17" i="43" s="1"/>
  <c r="AQ82" i="51"/>
  <c r="AH31" i="32" s="1"/>
  <c r="AJ17" i="43" s="1"/>
  <c r="AN82" i="51"/>
  <c r="AE31" i="32" s="1"/>
  <c r="AG17" i="43" s="1"/>
  <c r="C177" i="32"/>
  <c r="G7" i="55"/>
  <c r="D240" i="32"/>
  <c r="C26" i="43"/>
  <c r="J130" i="51"/>
  <c r="J131" i="51"/>
  <c r="J133" i="51"/>
  <c r="F391" i="32"/>
  <c r="G391" i="32" s="1"/>
  <c r="C23" i="2" s="1"/>
  <c r="G26" i="43"/>
  <c r="E40" i="32" s="1"/>
  <c r="C25" i="43"/>
  <c r="A53" i="43"/>
  <c r="A52" i="43"/>
  <c r="A379" i="32"/>
  <c r="A11" i="2" s="1"/>
  <c r="J38" i="29"/>
  <c r="O62" i="51"/>
  <c r="O64" i="51"/>
  <c r="O78" i="51"/>
  <c r="G34" i="54"/>
  <c r="H128" i="51"/>
  <c r="H137" i="51"/>
  <c r="E22" i="32"/>
  <c r="G4" i="42"/>
  <c r="G4" i="47"/>
  <c r="B52" i="42"/>
  <c r="H133" i="51"/>
  <c r="H124" i="51"/>
  <c r="C41" i="32"/>
  <c r="H131" i="51"/>
  <c r="H130" i="51"/>
  <c r="Y9" i="51" l="1"/>
  <c r="AC9" i="51"/>
  <c r="AA9" i="51"/>
  <c r="AG9" i="51"/>
  <c r="T9" i="51"/>
  <c r="AE9" i="51"/>
  <c r="X9" i="51"/>
  <c r="S9" i="51"/>
  <c r="V9" i="51"/>
  <c r="AD9" i="51"/>
  <c r="Q9" i="51"/>
  <c r="R9" i="51"/>
  <c r="W9" i="51"/>
  <c r="AF9" i="51"/>
  <c r="Z9" i="51"/>
  <c r="P9" i="51"/>
  <c r="O9" i="51"/>
  <c r="N9" i="51"/>
  <c r="AB9" i="51"/>
  <c r="U9" i="51"/>
  <c r="AH9" i="51"/>
  <c r="F45" i="50"/>
  <c r="D65" i="50"/>
  <c r="D77" i="51"/>
  <c r="D76" i="51"/>
  <c r="D81" i="51"/>
  <c r="D80" i="51"/>
  <c r="AI75" i="51"/>
  <c r="AI66" i="51"/>
  <c r="AI77" i="51"/>
  <c r="AI81" i="51"/>
  <c r="AI76" i="51"/>
  <c r="AI65" i="51"/>
  <c r="D66" i="51"/>
  <c r="D65" i="51"/>
  <c r="D20" i="51"/>
  <c r="D21" i="51"/>
  <c r="AI29" i="51"/>
  <c r="AI25" i="51"/>
  <c r="AI30" i="51"/>
  <c r="D37" i="51"/>
  <c r="D38" i="51"/>
  <c r="D27" i="51"/>
  <c r="D28" i="51"/>
  <c r="D40" i="51"/>
  <c r="D41" i="51"/>
  <c r="D44" i="51"/>
  <c r="D34" i="51"/>
  <c r="D15" i="51"/>
  <c r="D26" i="51"/>
  <c r="D39" i="51"/>
  <c r="D29" i="51"/>
  <c r="D42" i="51"/>
  <c r="D36" i="51"/>
  <c r="D43" i="51"/>
  <c r="D32" i="51"/>
  <c r="D35" i="51"/>
  <c r="D33" i="51"/>
  <c r="D25" i="51"/>
  <c r="AI95" i="51"/>
  <c r="AI32" i="51"/>
  <c r="AI19" i="51"/>
  <c r="AI93" i="51"/>
  <c r="AI11" i="51"/>
  <c r="AI96" i="51"/>
  <c r="AI21" i="51"/>
  <c r="AI46" i="51"/>
  <c r="AI94" i="51"/>
  <c r="AI7" i="51"/>
  <c r="AI14" i="51"/>
  <c r="AI16" i="51"/>
  <c r="AI8" i="51"/>
  <c r="AI92" i="51"/>
  <c r="AI45" i="51"/>
  <c r="AI23" i="51"/>
  <c r="AI17" i="51"/>
  <c r="AI91" i="51"/>
  <c r="AI10" i="51"/>
  <c r="B6" i="55"/>
  <c r="G6" i="55" s="1"/>
  <c r="G2" i="2" s="1"/>
  <c r="D70" i="50"/>
  <c r="F70" i="50" s="1"/>
  <c r="E157" i="32" s="1"/>
  <c r="D3" i="50"/>
  <c r="G15" i="55"/>
  <c r="G5" i="2" s="1"/>
  <c r="AD12" i="55"/>
  <c r="V12" i="55"/>
  <c r="N12" i="55"/>
  <c r="AC12" i="55"/>
  <c r="U12" i="55"/>
  <c r="M12" i="55"/>
  <c r="G3" i="2"/>
  <c r="G12" i="55"/>
  <c r="G13" i="55" s="1"/>
  <c r="G5" i="55"/>
  <c r="AB12" i="55"/>
  <c r="T12" i="55"/>
  <c r="L12" i="55"/>
  <c r="AA12" i="55"/>
  <c r="S12" i="55"/>
  <c r="K12" i="55"/>
  <c r="Z12" i="55"/>
  <c r="R12" i="55"/>
  <c r="J12" i="55"/>
  <c r="Y12" i="55"/>
  <c r="Q12" i="55"/>
  <c r="I12" i="55"/>
  <c r="X12" i="55"/>
  <c r="P12" i="55"/>
  <c r="H12" i="55"/>
  <c r="W12" i="55"/>
  <c r="O12" i="55"/>
  <c r="F11" i="29"/>
  <c r="N90" i="51"/>
  <c r="C29" i="32"/>
  <c r="C15" i="43" s="1"/>
  <c r="N54" i="51"/>
  <c r="E29" i="32" s="1"/>
  <c r="AI111" i="51"/>
  <c r="D339" i="32"/>
  <c r="D340" i="32" s="1"/>
  <c r="D260" i="32"/>
  <c r="D103" i="51"/>
  <c r="D108" i="51"/>
  <c r="D109" i="51"/>
  <c r="D88" i="51"/>
  <c r="D95" i="51"/>
  <c r="D94" i="51"/>
  <c r="AI67" i="51"/>
  <c r="AI79" i="51"/>
  <c r="D67" i="51"/>
  <c r="D79" i="51"/>
  <c r="D10" i="51"/>
  <c r="D50" i="51"/>
  <c r="D51" i="51"/>
  <c r="D58" i="50"/>
  <c r="H58" i="50" s="1"/>
  <c r="G155" i="32" s="1"/>
  <c r="D8" i="50"/>
  <c r="D39" i="50"/>
  <c r="D82" i="50"/>
  <c r="D26" i="50"/>
  <c r="H26" i="50" s="1"/>
  <c r="G148" i="32" s="1"/>
  <c r="H45" i="50"/>
  <c r="G152" i="32" s="1"/>
  <c r="D90" i="50"/>
  <c r="F90" i="50" s="1"/>
  <c r="E159" i="32" s="1"/>
  <c r="H53" i="50"/>
  <c r="G154" i="32" s="1"/>
  <c r="D31" i="50"/>
  <c r="G31" i="50" s="1"/>
  <c r="F149" i="32" s="1"/>
  <c r="D35" i="50"/>
  <c r="H35" i="50" s="1"/>
  <c r="G150" i="32" s="1"/>
  <c r="B92" i="29"/>
  <c r="H5" i="43"/>
  <c r="H4" i="43"/>
  <c r="H66" i="43" s="1"/>
  <c r="D52" i="51"/>
  <c r="D53" i="51"/>
  <c r="D48" i="51"/>
  <c r="D17" i="51"/>
  <c r="D23" i="51"/>
  <c r="D45" i="51"/>
  <c r="D19" i="51"/>
  <c r="D16" i="51"/>
  <c r="D7" i="51"/>
  <c r="C6" i="51"/>
  <c r="H7" i="51"/>
  <c r="D92" i="51"/>
  <c r="AJ3" i="51"/>
  <c r="D8" i="51"/>
  <c r="H8" i="51"/>
  <c r="J87" i="51"/>
  <c r="H87" i="51"/>
  <c r="C31" i="50"/>
  <c r="C86" i="51"/>
  <c r="F87" i="51"/>
  <c r="F384" i="32"/>
  <c r="D118" i="51"/>
  <c r="D71" i="51"/>
  <c r="D122" i="51"/>
  <c r="D125" i="51"/>
  <c r="P73" i="5"/>
  <c r="AG73" i="5"/>
  <c r="AU73" i="5"/>
  <c r="AI73" i="5"/>
  <c r="G73" i="5"/>
  <c r="BM11" i="6"/>
  <c r="S11" i="6"/>
  <c r="BG73" i="5"/>
  <c r="AM11" i="6"/>
  <c r="AA73" i="5"/>
  <c r="D85" i="51"/>
  <c r="AY11" i="6"/>
  <c r="D131" i="51"/>
  <c r="D69" i="51"/>
  <c r="D57" i="51"/>
  <c r="D73" i="51"/>
  <c r="BE73" i="5"/>
  <c r="Y11" i="6"/>
  <c r="AE11" i="6"/>
  <c r="X73" i="5"/>
  <c r="BO73" i="5"/>
  <c r="W73" i="5"/>
  <c r="AV11" i="6"/>
  <c r="K73" i="5"/>
  <c r="BL11" i="6"/>
  <c r="BK73" i="5"/>
  <c r="Q73" i="5"/>
  <c r="BD73" i="5"/>
  <c r="D135" i="51"/>
  <c r="D91" i="51"/>
  <c r="D54" i="51"/>
  <c r="AW11" i="6"/>
  <c r="O73" i="5"/>
  <c r="L473" i="32"/>
  <c r="D104" i="51"/>
  <c r="D60" i="51"/>
  <c r="AF73" i="5"/>
  <c r="BN11" i="6"/>
  <c r="P64" i="51"/>
  <c r="P62" i="51"/>
  <c r="AB11" i="6"/>
  <c r="D130" i="51"/>
  <c r="D83" i="51"/>
  <c r="O54" i="51"/>
  <c r="F29" i="32" s="1"/>
  <c r="H15" i="43" s="1"/>
  <c r="D101" i="51"/>
  <c r="D62" i="51"/>
  <c r="D96" i="51"/>
  <c r="D55" i="51"/>
  <c r="D82" i="51"/>
  <c r="D59" i="51"/>
  <c r="P59" i="51"/>
  <c r="P71" i="51"/>
  <c r="D84" i="51"/>
  <c r="D93" i="51"/>
  <c r="D134" i="51"/>
  <c r="D89" i="51"/>
  <c r="D124" i="51"/>
  <c r="D63" i="51"/>
  <c r="D102" i="51"/>
  <c r="D56" i="51"/>
  <c r="BC73" i="5"/>
  <c r="D58" i="51"/>
  <c r="D127" i="51"/>
  <c r="AN73" i="5"/>
  <c r="D137" i="51"/>
  <c r="D61" i="51"/>
  <c r="D138" i="51"/>
  <c r="D87" i="51"/>
  <c r="D72" i="51"/>
  <c r="D75" i="51"/>
  <c r="D133" i="51"/>
  <c r="D128" i="51"/>
  <c r="D100" i="51"/>
  <c r="A55" i="43"/>
  <c r="A11" i="54" s="1"/>
  <c r="D126" i="51"/>
  <c r="D68" i="51"/>
  <c r="D78" i="51"/>
  <c r="D123" i="51"/>
  <c r="D64" i="51"/>
  <c r="AQ73" i="5"/>
  <c r="D74" i="51"/>
  <c r="D70" i="51"/>
  <c r="D115" i="51"/>
  <c r="P54" i="51"/>
  <c r="G29" i="32" s="1"/>
  <c r="I15" i="43" s="1"/>
  <c r="P68" i="51"/>
  <c r="D111" i="51"/>
  <c r="AJ73" i="5"/>
  <c r="P73" i="51"/>
  <c r="P74" i="51"/>
  <c r="P78" i="51"/>
  <c r="BH73" i="5"/>
  <c r="Q59" i="51"/>
  <c r="P70" i="51"/>
  <c r="P61" i="51"/>
  <c r="P63" i="51"/>
  <c r="G37" i="32"/>
  <c r="I23" i="43" s="1"/>
  <c r="AZ11" i="6"/>
  <c r="I73" i="5"/>
  <c r="T11" i="6"/>
  <c r="H5" i="29"/>
  <c r="C24" i="2"/>
  <c r="AR73" i="5"/>
  <c r="AO73" i="5"/>
  <c r="I2" i="50"/>
  <c r="P72" i="51"/>
  <c r="P60" i="51"/>
  <c r="L11" i="6"/>
  <c r="D12" i="32"/>
  <c r="D96" i="32" s="1"/>
  <c r="D293" i="32"/>
  <c r="E361" i="32"/>
  <c r="L474" i="32"/>
  <c r="H29" i="29"/>
  <c r="D31" i="32"/>
  <c r="G16" i="55"/>
  <c r="G7" i="42" s="1"/>
  <c r="F22" i="32"/>
  <c r="F43" i="32" s="1"/>
  <c r="H381" i="32"/>
  <c r="M73" i="5"/>
  <c r="N73" i="5"/>
  <c r="AH11" i="6"/>
  <c r="AL11" i="6"/>
  <c r="Z73" i="5"/>
  <c r="BF11" i="6"/>
  <c r="AK11" i="6"/>
  <c r="G3" i="47"/>
  <c r="H73" i="5"/>
  <c r="H15" i="29"/>
  <c r="G3" i="42"/>
  <c r="D221" i="32"/>
  <c r="G33" i="54"/>
  <c r="AX11" i="6"/>
  <c r="D224" i="32"/>
  <c r="V73" i="5"/>
  <c r="BB73" i="5"/>
  <c r="U73" i="5"/>
  <c r="BA73" i="5"/>
  <c r="AP73" i="5"/>
  <c r="J73" i="5"/>
  <c r="D65" i="43"/>
  <c r="D17" i="43"/>
  <c r="R11" i="6"/>
  <c r="O57" i="51"/>
  <c r="F30" i="32" s="1"/>
  <c r="H16" i="43" s="1"/>
  <c r="H8" i="54"/>
  <c r="I40" i="55"/>
  <c r="BI73" i="5"/>
  <c r="BI11" i="6"/>
  <c r="AC73" i="5"/>
  <c r="AC11" i="6"/>
  <c r="BJ73" i="5"/>
  <c r="BJ11" i="6"/>
  <c r="AD73" i="5"/>
  <c r="AD11" i="6"/>
  <c r="G3" i="6"/>
  <c r="G4" i="5"/>
  <c r="G37" i="5" s="1"/>
  <c r="G3" i="7"/>
  <c r="G1" i="43"/>
  <c r="G38" i="55"/>
  <c r="AS11" i="6"/>
  <c r="AS73" i="5"/>
  <c r="AT11" i="6"/>
  <c r="AT73" i="5"/>
  <c r="H391" i="32"/>
  <c r="G168" i="32"/>
  <c r="O39" i="29" s="1"/>
  <c r="C27" i="43"/>
  <c r="F393" i="32"/>
  <c r="H4" i="42"/>
  <c r="H5" i="5"/>
  <c r="H4" i="2"/>
  <c r="H34" i="54"/>
  <c r="H4" i="47"/>
  <c r="H4" i="6"/>
  <c r="H4" i="7"/>
  <c r="E42" i="32"/>
  <c r="E43" i="32"/>
  <c r="E41" i="32"/>
  <c r="L97" i="32"/>
  <c r="H394" i="32"/>
  <c r="E30" i="32"/>
  <c r="D105" i="32" l="1"/>
  <c r="D122" i="32"/>
  <c r="D127" i="32" s="1"/>
  <c r="E96" i="32"/>
  <c r="E139" i="32" s="1"/>
  <c r="F139" i="32" s="1"/>
  <c r="G139" i="32" s="1"/>
  <c r="H139" i="32" s="1"/>
  <c r="I139" i="32" s="1"/>
  <c r="J139" i="32" s="1"/>
  <c r="K139" i="32" s="1"/>
  <c r="L139" i="32" s="1"/>
  <c r="M139" i="32" s="1"/>
  <c r="N139" i="32" s="1"/>
  <c r="O139" i="32" s="1"/>
  <c r="P139" i="32" s="1"/>
  <c r="Q139" i="32" s="1"/>
  <c r="R139" i="32" s="1"/>
  <c r="S139" i="32" s="1"/>
  <c r="T139" i="32" s="1"/>
  <c r="U139" i="32" s="1"/>
  <c r="V139" i="32" s="1"/>
  <c r="W139" i="32" s="1"/>
  <c r="X139" i="32" s="1"/>
  <c r="Y139" i="32" s="1"/>
  <c r="Z139" i="32" s="1"/>
  <c r="AA139" i="32" s="1"/>
  <c r="AB139" i="32" s="1"/>
  <c r="AC139" i="32" s="1"/>
  <c r="AD139" i="32" s="1"/>
  <c r="AE139" i="32" s="1"/>
  <c r="AF139" i="32" s="1"/>
  <c r="AG139" i="32" s="1"/>
  <c r="AH139" i="32" s="1"/>
  <c r="AH8" i="50"/>
  <c r="AG8" i="50"/>
  <c r="O8" i="50"/>
  <c r="AC8" i="50"/>
  <c r="Z8" i="50"/>
  <c r="Y8" i="50"/>
  <c r="G8" i="50"/>
  <c r="F147" i="32" s="1"/>
  <c r="U8" i="50"/>
  <c r="R8" i="50"/>
  <c r="Q8" i="50"/>
  <c r="T8" i="50"/>
  <c r="M8" i="50"/>
  <c r="J8" i="50"/>
  <c r="I8" i="50"/>
  <c r="H147" i="32" s="1"/>
  <c r="S8" i="50"/>
  <c r="AB8" i="50"/>
  <c r="P8" i="50"/>
  <c r="AF8" i="50"/>
  <c r="AD8" i="50"/>
  <c r="AI8" i="50"/>
  <c r="AE8" i="50"/>
  <c r="X8" i="50"/>
  <c r="V8" i="50"/>
  <c r="K8" i="50"/>
  <c r="L8" i="50"/>
  <c r="H8" i="50"/>
  <c r="G147" i="32" s="1"/>
  <c r="N8" i="50"/>
  <c r="AA8" i="50"/>
  <c r="W8" i="50"/>
  <c r="F8" i="50"/>
  <c r="E147" i="32" s="1"/>
  <c r="AI9" i="51"/>
  <c r="G90" i="42"/>
  <c r="G102" i="42"/>
  <c r="G94" i="42"/>
  <c r="G101" i="42"/>
  <c r="G93" i="42"/>
  <c r="N6" i="51"/>
  <c r="H70" i="50"/>
  <c r="G157" i="32" s="1"/>
  <c r="G70" i="50"/>
  <c r="F157" i="32" s="1"/>
  <c r="AJ76" i="51"/>
  <c r="AJ65" i="51"/>
  <c r="AJ77" i="51"/>
  <c r="AJ66" i="51"/>
  <c r="AJ81" i="51"/>
  <c r="AJ25" i="51"/>
  <c r="AJ29" i="51"/>
  <c r="AJ30" i="51"/>
  <c r="AJ94" i="51"/>
  <c r="AJ7" i="51"/>
  <c r="AJ19" i="51"/>
  <c r="AJ17" i="51"/>
  <c r="AJ96" i="51"/>
  <c r="AJ11" i="51"/>
  <c r="AJ91" i="51"/>
  <c r="AJ23" i="51"/>
  <c r="AJ45" i="51"/>
  <c r="AJ10" i="51"/>
  <c r="AJ93" i="51"/>
  <c r="AJ16" i="51"/>
  <c r="AJ21" i="51"/>
  <c r="AJ92" i="51"/>
  <c r="AJ8" i="51"/>
  <c r="AJ95" i="51"/>
  <c r="AJ46" i="51"/>
  <c r="AJ14" i="51"/>
  <c r="AJ32" i="51"/>
  <c r="H82" i="50"/>
  <c r="G102" i="5"/>
  <c r="I4" i="43"/>
  <c r="I42" i="55"/>
  <c r="I5" i="43" s="1"/>
  <c r="AJ111" i="51"/>
  <c r="AJ75" i="51"/>
  <c r="G9" i="55"/>
  <c r="G31" i="55"/>
  <c r="H5" i="55"/>
  <c r="G90" i="50"/>
  <c r="F159" i="32" s="1"/>
  <c r="H90" i="50"/>
  <c r="G159" i="32" s="1"/>
  <c r="D86" i="51"/>
  <c r="N86" i="51"/>
  <c r="E32" i="32" s="1"/>
  <c r="G18" i="43" s="1"/>
  <c r="F31" i="50"/>
  <c r="E149" i="32" s="1"/>
  <c r="H31" i="50"/>
  <c r="G149" i="32" s="1"/>
  <c r="AJ67" i="51"/>
  <c r="AJ79" i="51"/>
  <c r="D14" i="51"/>
  <c r="F82" i="50"/>
  <c r="F35" i="50"/>
  <c r="E150" i="32" s="1"/>
  <c r="G82" i="50"/>
  <c r="G35" i="50"/>
  <c r="F150" i="32" s="1"/>
  <c r="E152" i="32"/>
  <c r="F152" i="32"/>
  <c r="F26" i="50"/>
  <c r="E148" i="32" s="1"/>
  <c r="G26" i="50"/>
  <c r="F148" i="32" s="1"/>
  <c r="G58" i="50"/>
  <c r="F155" i="32" s="1"/>
  <c r="F58" i="50"/>
  <c r="E155" i="32" s="1"/>
  <c r="C13" i="51"/>
  <c r="J14" i="51"/>
  <c r="F14" i="51"/>
  <c r="H14" i="51"/>
  <c r="F377" i="32"/>
  <c r="G377" i="32" s="1"/>
  <c r="C9" i="2" s="1"/>
  <c r="F42" i="32"/>
  <c r="H28" i="43" s="1"/>
  <c r="F46" i="51"/>
  <c r="C31" i="51"/>
  <c r="H46" i="51"/>
  <c r="D46" i="51"/>
  <c r="J46" i="51"/>
  <c r="D11" i="51"/>
  <c r="J11" i="51"/>
  <c r="H11" i="51"/>
  <c r="F11" i="51"/>
  <c r="Q6" i="51"/>
  <c r="H23" i="32" s="1"/>
  <c r="J9" i="43" s="1"/>
  <c r="U6" i="51"/>
  <c r="Y6" i="51"/>
  <c r="AC6" i="51"/>
  <c r="AG6" i="51"/>
  <c r="P6" i="51"/>
  <c r="G23" i="32" s="1"/>
  <c r="I9" i="43" s="1"/>
  <c r="AB6" i="51"/>
  <c r="R6" i="51"/>
  <c r="V6" i="51"/>
  <c r="Z6" i="51"/>
  <c r="AD6" i="51"/>
  <c r="AH6" i="51"/>
  <c r="X6" i="51"/>
  <c r="D6" i="51"/>
  <c r="O6" i="51"/>
  <c r="F23" i="32" s="1"/>
  <c r="H9" i="43" s="1"/>
  <c r="S6" i="51"/>
  <c r="W6" i="51"/>
  <c r="AA6" i="51"/>
  <c r="AE6" i="51"/>
  <c r="AI6" i="51"/>
  <c r="T6" i="51"/>
  <c r="AF6" i="51"/>
  <c r="AK3" i="51"/>
  <c r="C32" i="32"/>
  <c r="C18" i="43" s="1"/>
  <c r="O86" i="51"/>
  <c r="F32" i="32" s="1"/>
  <c r="H18" i="43" s="1"/>
  <c r="G384" i="32"/>
  <c r="C16" i="2" s="1"/>
  <c r="G120" i="5"/>
  <c r="I82" i="50"/>
  <c r="B10" i="42"/>
  <c r="F53" i="50"/>
  <c r="E154" i="32" s="1"/>
  <c r="Q74" i="51"/>
  <c r="B17" i="55"/>
  <c r="D12" i="29"/>
  <c r="P86" i="51"/>
  <c r="G32" i="32" s="1"/>
  <c r="I18" i="43" s="1"/>
  <c r="F376" i="32"/>
  <c r="G376" i="32" s="1"/>
  <c r="H376" i="32" s="1"/>
  <c r="G32" i="55"/>
  <c r="G53" i="50"/>
  <c r="F154" i="32" s="1"/>
  <c r="I53" i="50"/>
  <c r="H154" i="32" s="1"/>
  <c r="I26" i="50"/>
  <c r="H148" i="32" s="1"/>
  <c r="I90" i="50"/>
  <c r="H159" i="32" s="1"/>
  <c r="D26" i="29"/>
  <c r="D27" i="29" s="1"/>
  <c r="H29" i="43"/>
  <c r="H37" i="32"/>
  <c r="J23" i="43" s="1"/>
  <c r="Q60" i="51"/>
  <c r="Q63" i="51"/>
  <c r="Q70" i="51"/>
  <c r="Q64" i="51"/>
  <c r="Q62" i="51"/>
  <c r="Q71" i="51"/>
  <c r="Q68" i="51"/>
  <c r="Q72" i="51"/>
  <c r="Q61" i="51"/>
  <c r="Q73" i="51"/>
  <c r="Q78" i="51"/>
  <c r="I70" i="50"/>
  <c r="H157" i="32" s="1"/>
  <c r="I45" i="50"/>
  <c r="H152" i="32" s="1"/>
  <c r="P57" i="51"/>
  <c r="G30" i="32" s="1"/>
  <c r="I16" i="43" s="1"/>
  <c r="D370" i="32"/>
  <c r="J475" i="32"/>
  <c r="F99" i="32"/>
  <c r="H99" i="32"/>
  <c r="H98" i="32" s="1"/>
  <c r="G2" i="42"/>
  <c r="G30" i="55"/>
  <c r="G14" i="47" s="1"/>
  <c r="I35" i="50"/>
  <c r="H150" i="32" s="1"/>
  <c r="I31" i="50"/>
  <c r="H149" i="32" s="1"/>
  <c r="J2" i="50"/>
  <c r="I58" i="50"/>
  <c r="H155" i="32" s="1"/>
  <c r="D9" i="29"/>
  <c r="C154" i="51"/>
  <c r="J99" i="32"/>
  <c r="J98" i="32" s="1"/>
  <c r="I99" i="32"/>
  <c r="I98" i="32" s="1"/>
  <c r="K99" i="32"/>
  <c r="K98" i="32" s="1"/>
  <c r="G99" i="32"/>
  <c r="G98" i="32" s="1"/>
  <c r="G2" i="6"/>
  <c r="G2" i="47"/>
  <c r="D23" i="29"/>
  <c r="D24" i="29" s="1"/>
  <c r="G8" i="5"/>
  <c r="C23" i="32"/>
  <c r="C9" i="43" s="1"/>
  <c r="G32" i="54"/>
  <c r="G2" i="5"/>
  <c r="G3" i="5" s="1"/>
  <c r="F41" i="32"/>
  <c r="H27" i="43" s="1"/>
  <c r="G2" i="7"/>
  <c r="G34" i="55"/>
  <c r="G27" i="55"/>
  <c r="G11" i="47" s="1"/>
  <c r="G23" i="55"/>
  <c r="G6" i="47" s="1"/>
  <c r="G25" i="47"/>
  <c r="C7" i="2"/>
  <c r="G6" i="54"/>
  <c r="G44" i="55"/>
  <c r="G6" i="43" s="1"/>
  <c r="H37" i="55"/>
  <c r="G39" i="55"/>
  <c r="G3" i="43" s="1"/>
  <c r="G2" i="43"/>
  <c r="G88" i="5"/>
  <c r="G1" i="47"/>
  <c r="G1" i="2"/>
  <c r="G1" i="7"/>
  <c r="G31" i="54"/>
  <c r="G1" i="42"/>
  <c r="G88" i="42" s="1"/>
  <c r="G1" i="6"/>
  <c r="G1" i="5"/>
  <c r="G22" i="32"/>
  <c r="I66" i="43"/>
  <c r="J40" i="55"/>
  <c r="I8" i="54"/>
  <c r="G5" i="6"/>
  <c r="G6" i="5"/>
  <c r="G47" i="5" s="1"/>
  <c r="G5" i="42"/>
  <c r="G15" i="43"/>
  <c r="G28" i="43"/>
  <c r="G27" i="43"/>
  <c r="M97" i="32"/>
  <c r="L99" i="32"/>
  <c r="L98" i="32" s="1"/>
  <c r="I4" i="42"/>
  <c r="I5" i="5"/>
  <c r="I4" i="7"/>
  <c r="I4" i="6"/>
  <c r="I4" i="47"/>
  <c r="I34" i="54"/>
  <c r="I4" i="2"/>
  <c r="G29" i="43"/>
  <c r="G16" i="43"/>
  <c r="H16" i="55"/>
  <c r="H33" i="54"/>
  <c r="H4" i="5"/>
  <c r="H37" i="5" s="1"/>
  <c r="H3" i="6"/>
  <c r="H3" i="47"/>
  <c r="H3" i="2"/>
  <c r="H3" i="42"/>
  <c r="H3" i="7"/>
  <c r="G393" i="32"/>
  <c r="C25" i="2" s="1"/>
  <c r="D106" i="32" l="1"/>
  <c r="D100" i="32" s="1"/>
  <c r="H160" i="32"/>
  <c r="F160" i="32"/>
  <c r="G160" i="32"/>
  <c r="E160" i="32"/>
  <c r="E105" i="32"/>
  <c r="E106" i="32" s="1"/>
  <c r="E122" i="32"/>
  <c r="AJ9" i="51"/>
  <c r="AA24" i="32" s="1"/>
  <c r="AC10" i="43" s="1"/>
  <c r="F98" i="32"/>
  <c r="I91" i="42"/>
  <c r="I99" i="42"/>
  <c r="H101" i="42"/>
  <c r="H100" i="42"/>
  <c r="H94" i="42"/>
  <c r="H98" i="42"/>
  <c r="H90" i="42"/>
  <c r="H93" i="42"/>
  <c r="H92" i="42"/>
  <c r="H102" i="42"/>
  <c r="B9" i="5"/>
  <c r="B13" i="47"/>
  <c r="AK76" i="51"/>
  <c r="AK65" i="51"/>
  <c r="AK77" i="51"/>
  <c r="AK66" i="51"/>
  <c r="AK81" i="51"/>
  <c r="AJ6" i="51"/>
  <c r="AK30" i="51"/>
  <c r="AK29" i="51"/>
  <c r="AK25" i="51"/>
  <c r="S31" i="51"/>
  <c r="D31" i="51"/>
  <c r="AK11" i="51"/>
  <c r="AK91" i="51"/>
  <c r="AK7" i="51"/>
  <c r="AK46" i="51"/>
  <c r="AK14" i="51"/>
  <c r="AK32" i="51"/>
  <c r="AK19" i="51"/>
  <c r="AK93" i="51"/>
  <c r="AK94" i="51"/>
  <c r="AK17" i="51"/>
  <c r="AK96" i="51"/>
  <c r="AK8" i="51"/>
  <c r="AK95" i="51"/>
  <c r="AK10" i="51"/>
  <c r="AK92" i="51"/>
  <c r="AK45" i="51"/>
  <c r="AK21" i="51"/>
  <c r="AK16" i="51"/>
  <c r="AK23" i="51"/>
  <c r="H6" i="55"/>
  <c r="H1" i="2"/>
  <c r="G17" i="5"/>
  <c r="G19" i="5"/>
  <c r="J4" i="43"/>
  <c r="J42" i="55"/>
  <c r="J5" i="43" s="1"/>
  <c r="AK111" i="51"/>
  <c r="AK75" i="51"/>
  <c r="C25" i="32"/>
  <c r="C11" i="43" s="1"/>
  <c r="N13" i="51"/>
  <c r="E25" i="32" s="1"/>
  <c r="G11" i="43" s="1"/>
  <c r="P31" i="51"/>
  <c r="G27" i="32" s="1"/>
  <c r="I13" i="43" s="1"/>
  <c r="N31" i="51"/>
  <c r="E27" i="32" s="1"/>
  <c r="G13" i="43" s="1"/>
  <c r="P13" i="51"/>
  <c r="G25" i="32" s="1"/>
  <c r="I11" i="43" s="1"/>
  <c r="I147" i="32"/>
  <c r="AK79" i="51"/>
  <c r="AK67" i="51"/>
  <c r="B26" i="55"/>
  <c r="J26" i="55" s="1"/>
  <c r="H18" i="29"/>
  <c r="C271" i="32"/>
  <c r="B27" i="55"/>
  <c r="O13" i="51"/>
  <c r="F25" i="32" s="1"/>
  <c r="H11" i="43" s="1"/>
  <c r="D13" i="51"/>
  <c r="H377" i="32"/>
  <c r="AI31" i="51"/>
  <c r="Y31" i="51"/>
  <c r="U31" i="51"/>
  <c r="O31" i="51"/>
  <c r="F27" i="32" s="1"/>
  <c r="H13" i="43" s="1"/>
  <c r="AF31" i="51"/>
  <c r="AH31" i="51"/>
  <c r="AE31" i="51"/>
  <c r="T31" i="51"/>
  <c r="AD31" i="51"/>
  <c r="AC31" i="51"/>
  <c r="AB31" i="51"/>
  <c r="AA31" i="51"/>
  <c r="Z31" i="51"/>
  <c r="AG31" i="51"/>
  <c r="R31" i="51"/>
  <c r="Q31" i="51"/>
  <c r="H27" i="32" s="1"/>
  <c r="J13" i="43" s="1"/>
  <c r="V31" i="51"/>
  <c r="X31" i="51"/>
  <c r="AJ31" i="51"/>
  <c r="W31" i="51"/>
  <c r="AL3" i="51"/>
  <c r="E23" i="32"/>
  <c r="G9" i="43" s="1"/>
  <c r="D9" i="51"/>
  <c r="F24" i="32"/>
  <c r="H10" i="43" s="1"/>
  <c r="J24" i="32"/>
  <c r="L10" i="43" s="1"/>
  <c r="N24" i="32"/>
  <c r="P10" i="43" s="1"/>
  <c r="R24" i="32"/>
  <c r="T10" i="43" s="1"/>
  <c r="V24" i="32"/>
  <c r="X10" i="43" s="1"/>
  <c r="Z24" i="32"/>
  <c r="AB10" i="43" s="1"/>
  <c r="M24" i="32"/>
  <c r="O10" i="43" s="1"/>
  <c r="Y24" i="32"/>
  <c r="AA10" i="43" s="1"/>
  <c r="G24" i="32"/>
  <c r="I10" i="43" s="1"/>
  <c r="K24" i="32"/>
  <c r="M10" i="43" s="1"/>
  <c r="O24" i="32"/>
  <c r="Q10" i="43" s="1"/>
  <c r="S24" i="32"/>
  <c r="U10" i="43" s="1"/>
  <c r="W24" i="32"/>
  <c r="Y10" i="43" s="1"/>
  <c r="I24" i="32"/>
  <c r="K10" i="43" s="1"/>
  <c r="U24" i="32"/>
  <c r="W10" i="43" s="1"/>
  <c r="H24" i="32"/>
  <c r="J10" i="43" s="1"/>
  <c r="L24" i="32"/>
  <c r="N10" i="43" s="1"/>
  <c r="P24" i="32"/>
  <c r="R10" i="43" s="1"/>
  <c r="T24" i="32"/>
  <c r="V10" i="43" s="1"/>
  <c r="X24" i="32"/>
  <c r="Z10" i="43" s="1"/>
  <c r="E24" i="32"/>
  <c r="G10" i="43" s="1"/>
  <c r="Q24" i="32"/>
  <c r="S10" i="43" s="1"/>
  <c r="Q13" i="51"/>
  <c r="H25" i="32" s="1"/>
  <c r="J11" i="43" s="1"/>
  <c r="H384" i="32"/>
  <c r="C24" i="32"/>
  <c r="C10" i="43" s="1"/>
  <c r="Q54" i="51"/>
  <c r="H29" i="32" s="1"/>
  <c r="J15" i="43" s="1"/>
  <c r="C57" i="43"/>
  <c r="B27" i="2"/>
  <c r="B23" i="2"/>
  <c r="B26" i="2"/>
  <c r="B28" i="2"/>
  <c r="B25" i="2"/>
  <c r="B24" i="2"/>
  <c r="H17" i="55"/>
  <c r="G17" i="55"/>
  <c r="D231" i="32"/>
  <c r="B21" i="55" s="1"/>
  <c r="H21" i="55" s="1"/>
  <c r="H8" i="47" s="1"/>
  <c r="H12" i="29"/>
  <c r="B19" i="55"/>
  <c r="H19" i="55" s="1"/>
  <c r="H22" i="55" s="1"/>
  <c r="H12" i="5" s="1"/>
  <c r="D363" i="32"/>
  <c r="D197" i="32"/>
  <c r="B23" i="55" s="1"/>
  <c r="C103" i="50"/>
  <c r="G65" i="50" s="1"/>
  <c r="F156" i="32" s="1"/>
  <c r="B37" i="7"/>
  <c r="G37" i="7" s="1"/>
  <c r="D241" i="32"/>
  <c r="B20" i="55" s="1"/>
  <c r="Q86" i="51"/>
  <c r="H32" i="32" s="1"/>
  <c r="J18" i="43" s="1"/>
  <c r="Q57" i="51"/>
  <c r="H30" i="32" s="1"/>
  <c r="J16" i="43" s="1"/>
  <c r="R61" i="51"/>
  <c r="R60" i="51"/>
  <c r="R78" i="51"/>
  <c r="R72" i="51"/>
  <c r="R62" i="51"/>
  <c r="R64" i="51"/>
  <c r="R71" i="51"/>
  <c r="I23" i="32"/>
  <c r="K9" i="43" s="1"/>
  <c r="R68" i="51"/>
  <c r="R73" i="51"/>
  <c r="R59" i="51"/>
  <c r="R74" i="51"/>
  <c r="R70" i="51"/>
  <c r="R63" i="51"/>
  <c r="I37" i="32"/>
  <c r="K23" i="43" s="1"/>
  <c r="F96" i="32"/>
  <c r="F122" i="32" s="1"/>
  <c r="J35" i="50"/>
  <c r="I150" i="32" s="1"/>
  <c r="J31" i="50"/>
  <c r="I149" i="32" s="1"/>
  <c r="J90" i="50"/>
  <c r="I159" i="32" s="1"/>
  <c r="J53" i="50"/>
  <c r="I154" i="32" s="1"/>
  <c r="K2" i="50"/>
  <c r="J58" i="50"/>
  <c r="I155" i="32" s="1"/>
  <c r="J45" i="50"/>
  <c r="I152" i="32" s="1"/>
  <c r="J70" i="50"/>
  <c r="I157" i="32" s="1"/>
  <c r="J82" i="50"/>
  <c r="J26" i="50"/>
  <c r="I148" i="32" s="1"/>
  <c r="J139" i="51"/>
  <c r="C136" i="51"/>
  <c r="C43" i="32" s="1"/>
  <c r="G169" i="32" s="1"/>
  <c r="B80" i="5" s="1"/>
  <c r="D139" i="51"/>
  <c r="H139" i="51"/>
  <c r="G33" i="47"/>
  <c r="G35" i="47" s="1"/>
  <c r="G83" i="5" s="1"/>
  <c r="G134" i="5"/>
  <c r="G12" i="42"/>
  <c r="G7" i="5"/>
  <c r="G32" i="5" s="1"/>
  <c r="G6" i="6"/>
  <c r="G19" i="6" s="1"/>
  <c r="G6" i="42"/>
  <c r="J8" i="54"/>
  <c r="H22" i="32"/>
  <c r="K40" i="55"/>
  <c r="G7" i="54"/>
  <c r="H1" i="43"/>
  <c r="H5" i="54"/>
  <c r="H38" i="55"/>
  <c r="G41" i="32"/>
  <c r="I27" i="43" s="1"/>
  <c r="G43" i="32"/>
  <c r="I29" i="43" s="1"/>
  <c r="G42" i="32"/>
  <c r="I28" i="43" s="1"/>
  <c r="G23" i="42"/>
  <c r="G61" i="5"/>
  <c r="G69" i="5"/>
  <c r="G58" i="5"/>
  <c r="G64" i="5"/>
  <c r="G60" i="5"/>
  <c r="G66" i="5"/>
  <c r="G65" i="5"/>
  <c r="G71" i="5"/>
  <c r="G62" i="5"/>
  <c r="G63" i="5"/>
  <c r="G56" i="5"/>
  <c r="G59" i="5"/>
  <c r="G68" i="5"/>
  <c r="G70" i="5"/>
  <c r="G57" i="5"/>
  <c r="G67" i="5"/>
  <c r="H393" i="32"/>
  <c r="H102" i="5"/>
  <c r="H88" i="5"/>
  <c r="C8" i="2"/>
  <c r="I33" i="54"/>
  <c r="I4" i="5"/>
  <c r="I37" i="5" s="1"/>
  <c r="I3" i="7"/>
  <c r="I17" i="55"/>
  <c r="I3" i="42"/>
  <c r="I3" i="6"/>
  <c r="I3" i="47"/>
  <c r="I3" i="2"/>
  <c r="I16" i="55"/>
  <c r="H72" i="47"/>
  <c r="H25" i="47"/>
  <c r="H8" i="5"/>
  <c r="H7" i="42"/>
  <c r="J4" i="47"/>
  <c r="J5" i="5"/>
  <c r="J34" i="54"/>
  <c r="J4" i="6"/>
  <c r="J4" i="2"/>
  <c r="J4" i="7"/>
  <c r="J4" i="42"/>
  <c r="N97" i="32"/>
  <c r="M99" i="32"/>
  <c r="M98" i="32" s="1"/>
  <c r="H1" i="5"/>
  <c r="H31" i="54"/>
  <c r="H1" i="42"/>
  <c r="H1" i="7"/>
  <c r="H1" i="6"/>
  <c r="H1" i="47"/>
  <c r="H5" i="42"/>
  <c r="H6" i="5"/>
  <c r="H47" i="5" s="1"/>
  <c r="H5" i="6"/>
  <c r="I160" i="32" l="1"/>
  <c r="H44" i="5"/>
  <c r="F105" i="32"/>
  <c r="F106" i="32" s="1"/>
  <c r="AK9" i="51"/>
  <c r="AB24" i="32" s="1"/>
  <c r="AD10" i="43" s="1"/>
  <c r="J99" i="42"/>
  <c r="J91" i="42"/>
  <c r="I98" i="42"/>
  <c r="I90" i="42"/>
  <c r="I101" i="42"/>
  <c r="I94" i="42"/>
  <c r="I102" i="42"/>
  <c r="I93" i="42"/>
  <c r="I92" i="42"/>
  <c r="I100" i="42"/>
  <c r="G104" i="42"/>
  <c r="G95" i="42"/>
  <c r="G96" i="42"/>
  <c r="G105" i="42"/>
  <c r="G97" i="42"/>
  <c r="I9" i="5"/>
  <c r="I13" i="47"/>
  <c r="G9" i="5"/>
  <c r="G26" i="5" s="1"/>
  <c r="G13" i="47"/>
  <c r="H9" i="5"/>
  <c r="H13" i="47"/>
  <c r="AL76" i="51"/>
  <c r="AL65" i="51"/>
  <c r="AL81" i="51"/>
  <c r="AL77" i="51"/>
  <c r="AL66" i="51"/>
  <c r="AK6" i="51"/>
  <c r="AL29" i="51"/>
  <c r="AL30" i="51"/>
  <c r="AL25" i="51"/>
  <c r="AL95" i="51"/>
  <c r="AL10" i="51"/>
  <c r="AL21" i="51"/>
  <c r="AL45" i="51"/>
  <c r="AL46" i="51"/>
  <c r="AL92" i="51"/>
  <c r="AL14" i="51"/>
  <c r="AL32" i="51"/>
  <c r="AL19" i="51"/>
  <c r="AL91" i="51"/>
  <c r="AL7" i="51"/>
  <c r="AL94" i="51"/>
  <c r="AL8" i="51"/>
  <c r="AL17" i="51"/>
  <c r="AL23" i="51"/>
  <c r="AL93" i="51"/>
  <c r="AL96" i="51"/>
  <c r="AL11" i="51"/>
  <c r="AL16" i="51"/>
  <c r="H17" i="5"/>
  <c r="H19" i="5"/>
  <c r="K4" i="43"/>
  <c r="K42" i="55"/>
  <c r="K5" i="43" s="1"/>
  <c r="AL111" i="51"/>
  <c r="AL75" i="51"/>
  <c r="G49" i="5"/>
  <c r="H9" i="55"/>
  <c r="I5" i="55"/>
  <c r="G28" i="6"/>
  <c r="J147" i="32"/>
  <c r="G28" i="55"/>
  <c r="G12" i="47" s="1"/>
  <c r="AL79" i="51"/>
  <c r="AL67" i="51"/>
  <c r="B14" i="5"/>
  <c r="B10" i="47"/>
  <c r="G26" i="55"/>
  <c r="H26" i="55"/>
  <c r="I26" i="55"/>
  <c r="G42" i="5"/>
  <c r="AK31" i="51"/>
  <c r="R13" i="51"/>
  <c r="AM3" i="51"/>
  <c r="B11" i="5"/>
  <c r="D201" i="32"/>
  <c r="H13" i="29"/>
  <c r="I19" i="55"/>
  <c r="I22" i="55" s="1"/>
  <c r="I12" i="5" s="1"/>
  <c r="B8" i="47"/>
  <c r="I21" i="55"/>
  <c r="I8" i="47" s="1"/>
  <c r="G19" i="55"/>
  <c r="G22" i="55" s="1"/>
  <c r="H20" i="55"/>
  <c r="H7" i="47" s="1"/>
  <c r="H86" i="47" s="1"/>
  <c r="G24" i="55"/>
  <c r="G13" i="5" s="1"/>
  <c r="H11" i="5"/>
  <c r="J21" i="55"/>
  <c r="J8" i="47" s="1"/>
  <c r="G21" i="55"/>
  <c r="G8" i="47" s="1"/>
  <c r="H37" i="7"/>
  <c r="J19" i="55"/>
  <c r="J22" i="55" s="1"/>
  <c r="J12" i="5" s="1"/>
  <c r="I37" i="7"/>
  <c r="H5" i="47"/>
  <c r="H43" i="47" s="1"/>
  <c r="G96" i="32"/>
  <c r="G122" i="32" s="1"/>
  <c r="J65" i="50"/>
  <c r="I156" i="32" s="1"/>
  <c r="I65" i="50"/>
  <c r="F65" i="50"/>
  <c r="H65" i="50"/>
  <c r="H28" i="55"/>
  <c r="H15" i="5" s="1"/>
  <c r="H27" i="55"/>
  <c r="H11" i="47" s="1"/>
  <c r="R54" i="51"/>
  <c r="I29" i="32" s="1"/>
  <c r="K15" i="43" s="1"/>
  <c r="H30" i="55"/>
  <c r="H14" i="47" s="1"/>
  <c r="I27" i="32"/>
  <c r="K13" i="43" s="1"/>
  <c r="R86" i="51"/>
  <c r="I32" i="32" s="1"/>
  <c r="K18" i="43" s="1"/>
  <c r="J23" i="32"/>
  <c r="L9" i="43" s="1"/>
  <c r="S64" i="51"/>
  <c r="S61" i="51"/>
  <c r="S73" i="51"/>
  <c r="S63" i="51"/>
  <c r="J37" i="32"/>
  <c r="L23" i="43" s="1"/>
  <c r="S60" i="51"/>
  <c r="S78" i="51"/>
  <c r="S68" i="51"/>
  <c r="S74" i="51"/>
  <c r="S70" i="51"/>
  <c r="S71" i="51"/>
  <c r="S72" i="51"/>
  <c r="S59" i="51"/>
  <c r="S62" i="51"/>
  <c r="R57" i="51"/>
  <c r="I30" i="32" s="1"/>
  <c r="K16" i="43" s="1"/>
  <c r="H31" i="55"/>
  <c r="H2" i="47"/>
  <c r="H23" i="55"/>
  <c r="H6" i="47" s="1"/>
  <c r="H32" i="54"/>
  <c r="H2" i="2"/>
  <c r="H34" i="55"/>
  <c r="H2" i="5"/>
  <c r="H3" i="5" s="1"/>
  <c r="H24" i="55"/>
  <c r="H13" i="5" s="1"/>
  <c r="H2" i="6"/>
  <c r="H2" i="7"/>
  <c r="H2" i="42"/>
  <c r="H88" i="42" s="1"/>
  <c r="K35" i="50"/>
  <c r="J150" i="32" s="1"/>
  <c r="K90" i="50"/>
  <c r="J159" i="32" s="1"/>
  <c r="K26" i="50"/>
  <c r="J148" i="32" s="1"/>
  <c r="K82" i="50"/>
  <c r="L2" i="50"/>
  <c r="K53" i="50"/>
  <c r="J154" i="32" s="1"/>
  <c r="K58" i="50"/>
  <c r="J155" i="32" s="1"/>
  <c r="K45" i="50"/>
  <c r="J152" i="32" s="1"/>
  <c r="K31" i="50"/>
  <c r="J149" i="32" s="1"/>
  <c r="K70" i="50"/>
  <c r="J157" i="32" s="1"/>
  <c r="K65" i="50"/>
  <c r="J156" i="32" s="1"/>
  <c r="F395" i="32"/>
  <c r="C29" i="43"/>
  <c r="O40" i="29"/>
  <c r="G8" i="2"/>
  <c r="G20" i="6"/>
  <c r="G21" i="6" s="1"/>
  <c r="G24" i="2"/>
  <c r="G27" i="2"/>
  <c r="G7" i="2"/>
  <c r="G26" i="2"/>
  <c r="G16" i="2"/>
  <c r="G21" i="2"/>
  <c r="G13" i="2"/>
  <c r="G9" i="2"/>
  <c r="G14" i="2"/>
  <c r="G23" i="2"/>
  <c r="G15" i="2"/>
  <c r="G70" i="42"/>
  <c r="G34" i="42"/>
  <c r="G52" i="42"/>
  <c r="G74" i="5"/>
  <c r="G42" i="42"/>
  <c r="G78" i="42"/>
  <c r="G60" i="42"/>
  <c r="H43" i="32"/>
  <c r="J29" i="43" s="1"/>
  <c r="H42" i="32"/>
  <c r="J28" i="43" s="1"/>
  <c r="H41" i="32"/>
  <c r="J27" i="43" s="1"/>
  <c r="H44" i="55"/>
  <c r="H6" i="43" s="1"/>
  <c r="H6" i="54"/>
  <c r="I37" i="55"/>
  <c r="H39" i="55"/>
  <c r="H3" i="43" s="1"/>
  <c r="H2" i="43"/>
  <c r="K8" i="54"/>
  <c r="L40" i="55"/>
  <c r="I22" i="32"/>
  <c r="G25" i="2"/>
  <c r="I6" i="5"/>
  <c r="I47" i="5" s="1"/>
  <c r="I5" i="42"/>
  <c r="I5" i="6"/>
  <c r="I88" i="5"/>
  <c r="I102" i="5"/>
  <c r="O97" i="32"/>
  <c r="N99" i="32"/>
  <c r="N98" i="32" s="1"/>
  <c r="I7" i="42"/>
  <c r="I8" i="5"/>
  <c r="I25" i="47"/>
  <c r="I72" i="47"/>
  <c r="J14" i="5"/>
  <c r="J10" i="47"/>
  <c r="J4" i="5"/>
  <c r="J37" i="5" s="1"/>
  <c r="J17" i="55"/>
  <c r="J3" i="47"/>
  <c r="J3" i="2"/>
  <c r="J16" i="55"/>
  <c r="J33" i="54"/>
  <c r="J3" i="42"/>
  <c r="J3" i="7"/>
  <c r="J37" i="7" s="1"/>
  <c r="J3" i="6"/>
  <c r="K4" i="42"/>
  <c r="K4" i="2"/>
  <c r="K5" i="5"/>
  <c r="K21" i="55"/>
  <c r="K8" i="47" s="1"/>
  <c r="K34" i="54"/>
  <c r="K19" i="55"/>
  <c r="K4" i="47"/>
  <c r="K4" i="6"/>
  <c r="K4" i="7"/>
  <c r="K26" i="55"/>
  <c r="G125" i="42" l="1"/>
  <c r="J160" i="32"/>
  <c r="G156" i="32"/>
  <c r="E156" i="32"/>
  <c r="H156" i="32"/>
  <c r="H26" i="5"/>
  <c r="J44" i="5"/>
  <c r="I44" i="5"/>
  <c r="G105" i="32"/>
  <c r="G106" i="32" s="1"/>
  <c r="AL9" i="51"/>
  <c r="AC24" i="32" s="1"/>
  <c r="K99" i="42"/>
  <c r="K91" i="42"/>
  <c r="J100" i="42"/>
  <c r="J98" i="42"/>
  <c r="J90" i="42"/>
  <c r="J102" i="42"/>
  <c r="J93" i="42"/>
  <c r="J92" i="42"/>
  <c r="J101" i="42"/>
  <c r="J94" i="42"/>
  <c r="J9" i="5"/>
  <c r="J13" i="47"/>
  <c r="AM76" i="51"/>
  <c r="AM65" i="51"/>
  <c r="AM81" i="51"/>
  <c r="AM77" i="51"/>
  <c r="AM66" i="51"/>
  <c r="AL6" i="51"/>
  <c r="AM25" i="51"/>
  <c r="AM29" i="51"/>
  <c r="AM30" i="51"/>
  <c r="AM92" i="51"/>
  <c r="AM8" i="51"/>
  <c r="AM93" i="51"/>
  <c r="AM16" i="51"/>
  <c r="AM21" i="51"/>
  <c r="AM7" i="51"/>
  <c r="AM94" i="51"/>
  <c r="AM14" i="51"/>
  <c r="AM46" i="51"/>
  <c r="AM17" i="51"/>
  <c r="AM96" i="51"/>
  <c r="AM11" i="51"/>
  <c r="AM19" i="51"/>
  <c r="AM32" i="51"/>
  <c r="AM10" i="51"/>
  <c r="AM95" i="51"/>
  <c r="AM23" i="51"/>
  <c r="AM91" i="51"/>
  <c r="AM45" i="51"/>
  <c r="I1" i="42"/>
  <c r="I6" i="55"/>
  <c r="I17" i="5"/>
  <c r="I19" i="5"/>
  <c r="L4" i="43"/>
  <c r="L42" i="55"/>
  <c r="L5" i="43" s="1"/>
  <c r="AM111" i="51"/>
  <c r="AM75" i="51"/>
  <c r="D258" i="32"/>
  <c r="H25" i="29"/>
  <c r="G15" i="5"/>
  <c r="G76" i="5"/>
  <c r="K147" i="32"/>
  <c r="AM67" i="51"/>
  <c r="AM79" i="51"/>
  <c r="H10" i="47"/>
  <c r="H14" i="5"/>
  <c r="G10" i="47"/>
  <c r="G14" i="5"/>
  <c r="I14" i="5"/>
  <c r="I10" i="47"/>
  <c r="G12" i="5"/>
  <c r="S54" i="51"/>
  <c r="J29" i="32" s="1"/>
  <c r="L15" i="43" s="1"/>
  <c r="AL31" i="51"/>
  <c r="S13" i="51"/>
  <c r="J25" i="32" s="1"/>
  <c r="L11" i="43" s="1"/>
  <c r="AN3" i="51"/>
  <c r="I25" i="32"/>
  <c r="K11" i="43" s="1"/>
  <c r="I5" i="47"/>
  <c r="I39" i="47" s="1"/>
  <c r="G20" i="55"/>
  <c r="G7" i="47" s="1"/>
  <c r="G86" i="47" s="1"/>
  <c r="G61" i="47" s="1"/>
  <c r="G50" i="47" s="1"/>
  <c r="I11" i="5"/>
  <c r="I20" i="55"/>
  <c r="I7" i="47" s="1"/>
  <c r="I86" i="47" s="1"/>
  <c r="G9" i="47"/>
  <c r="G23" i="47" s="1"/>
  <c r="G5" i="47"/>
  <c r="G43" i="47" s="1"/>
  <c r="G11" i="5"/>
  <c r="G159" i="5" s="1"/>
  <c r="J11" i="5"/>
  <c r="J5" i="47"/>
  <c r="H12" i="47"/>
  <c r="J20" i="55"/>
  <c r="J7" i="47" s="1"/>
  <c r="J86" i="47" s="1"/>
  <c r="H39" i="47"/>
  <c r="H40" i="47" s="1"/>
  <c r="H9" i="47"/>
  <c r="H96" i="32"/>
  <c r="H122" i="32" s="1"/>
  <c r="I1" i="2"/>
  <c r="I1" i="47"/>
  <c r="H32" i="55"/>
  <c r="I1" i="5"/>
  <c r="I1" i="6"/>
  <c r="I31" i="54"/>
  <c r="H134" i="5"/>
  <c r="S86" i="51"/>
  <c r="J32" i="32" s="1"/>
  <c r="L18" i="43" s="1"/>
  <c r="T74" i="51"/>
  <c r="K37" i="32"/>
  <c r="M23" i="43" s="1"/>
  <c r="T59" i="51"/>
  <c r="T71" i="51"/>
  <c r="T70" i="51"/>
  <c r="T73" i="51"/>
  <c r="T60" i="51"/>
  <c r="T63" i="51"/>
  <c r="K23" i="32"/>
  <c r="M9" i="43" s="1"/>
  <c r="T62" i="51"/>
  <c r="T78" i="51"/>
  <c r="T72" i="51"/>
  <c r="T68" i="51"/>
  <c r="T61" i="51"/>
  <c r="T64" i="51"/>
  <c r="S57" i="51"/>
  <c r="J30" i="32" s="1"/>
  <c r="L16" i="43" s="1"/>
  <c r="J27" i="32"/>
  <c r="L13" i="43" s="1"/>
  <c r="I1" i="7"/>
  <c r="H12" i="42"/>
  <c r="H70" i="42" s="1"/>
  <c r="L26" i="50"/>
  <c r="K148" i="32" s="1"/>
  <c r="L70" i="50"/>
  <c r="K157" i="32" s="1"/>
  <c r="L82" i="50"/>
  <c r="L45" i="50"/>
  <c r="K152" i="32" s="1"/>
  <c r="L31" i="50"/>
  <c r="K149" i="32" s="1"/>
  <c r="L90" i="50"/>
  <c r="K159" i="32" s="1"/>
  <c r="L53" i="50"/>
  <c r="K154" i="32" s="1"/>
  <c r="L65" i="50"/>
  <c r="K156" i="32" s="1"/>
  <c r="L58" i="50"/>
  <c r="K155" i="32" s="1"/>
  <c r="M2" i="50"/>
  <c r="L35" i="50"/>
  <c r="K150" i="32" s="1"/>
  <c r="K20" i="55"/>
  <c r="K7" i="47" s="1"/>
  <c r="K86" i="47" s="1"/>
  <c r="K22" i="55"/>
  <c r="K12" i="5" s="1"/>
  <c r="I38" i="55"/>
  <c r="I1" i="43"/>
  <c r="I5" i="54"/>
  <c r="L8" i="54"/>
  <c r="M40" i="55"/>
  <c r="J22" i="32"/>
  <c r="I43" i="32"/>
  <c r="K29" i="43" s="1"/>
  <c r="I42" i="32"/>
  <c r="K28" i="43" s="1"/>
  <c r="I41" i="32"/>
  <c r="K27" i="43" s="1"/>
  <c r="H7" i="54"/>
  <c r="K10" i="47"/>
  <c r="K14" i="5"/>
  <c r="K33" i="54"/>
  <c r="K3" i="42"/>
  <c r="K3" i="47"/>
  <c r="K16" i="55"/>
  <c r="K3" i="7"/>
  <c r="K37" i="7" s="1"/>
  <c r="K4" i="5"/>
  <c r="K37" i="5" s="1"/>
  <c r="K3" i="2"/>
  <c r="K17" i="55"/>
  <c r="K3" i="6"/>
  <c r="L5" i="5"/>
  <c r="L21" i="55"/>
  <c r="L8" i="47" s="1"/>
  <c r="L4" i="6"/>
  <c r="L4" i="7"/>
  <c r="L19" i="55"/>
  <c r="L22" i="55" s="1"/>
  <c r="L12" i="5" s="1"/>
  <c r="L4" i="42"/>
  <c r="L26" i="55"/>
  <c r="L34" i="54"/>
  <c r="L4" i="47"/>
  <c r="L4" i="2"/>
  <c r="J8" i="5"/>
  <c r="J7" i="42"/>
  <c r="J96" i="47"/>
  <c r="J97" i="47" s="1"/>
  <c r="J102" i="5"/>
  <c r="J88" i="5"/>
  <c r="K11" i="5"/>
  <c r="K5" i="47"/>
  <c r="J5" i="6"/>
  <c r="J6" i="5"/>
  <c r="J47" i="5" s="1"/>
  <c r="J5" i="42"/>
  <c r="J72" i="47"/>
  <c r="J25" i="47"/>
  <c r="P97" i="32"/>
  <c r="O99" i="32"/>
  <c r="O98" i="32" s="1"/>
  <c r="K160" i="32" l="1"/>
  <c r="L44" i="5"/>
  <c r="K44" i="5"/>
  <c r="G44" i="5"/>
  <c r="H105" i="32"/>
  <c r="H106" i="32" s="1"/>
  <c r="AM9" i="51"/>
  <c r="AD24" i="32" s="1"/>
  <c r="AF10" i="43" s="1"/>
  <c r="L99" i="42"/>
  <c r="L91" i="42"/>
  <c r="K101" i="42"/>
  <c r="K98" i="42"/>
  <c r="K90" i="42"/>
  <c r="K102" i="42"/>
  <c r="K93" i="42"/>
  <c r="K92" i="42"/>
  <c r="K100" i="42"/>
  <c r="K94" i="42"/>
  <c r="K9" i="5"/>
  <c r="K13" i="47"/>
  <c r="AN81" i="51"/>
  <c r="AN76" i="51"/>
  <c r="AN65" i="51"/>
  <c r="AN77" i="51"/>
  <c r="AN66" i="51"/>
  <c r="AN29" i="51"/>
  <c r="AN25" i="51"/>
  <c r="AN30" i="51"/>
  <c r="AM6" i="51"/>
  <c r="AN96" i="51"/>
  <c r="AN11" i="51"/>
  <c r="AN91" i="51"/>
  <c r="AN23" i="51"/>
  <c r="AN45" i="51"/>
  <c r="AN93" i="51"/>
  <c r="AN16" i="51"/>
  <c r="AN7" i="51"/>
  <c r="AN21" i="51"/>
  <c r="AN92" i="51"/>
  <c r="AN8" i="51"/>
  <c r="AN95" i="51"/>
  <c r="AN46" i="51"/>
  <c r="AN10" i="51"/>
  <c r="AN14" i="51"/>
  <c r="AN32" i="51"/>
  <c r="AN94" i="51"/>
  <c r="AN19" i="51"/>
  <c r="AN17" i="51"/>
  <c r="AE10" i="43"/>
  <c r="J17" i="5"/>
  <c r="J19" i="5"/>
  <c r="M4" i="43"/>
  <c r="M42" i="55"/>
  <c r="M5" i="43" s="1"/>
  <c r="AN111" i="51"/>
  <c r="AN75" i="51"/>
  <c r="I9" i="55"/>
  <c r="J5" i="55"/>
  <c r="J6" i="55" s="1"/>
  <c r="G328" i="32"/>
  <c r="G331" i="32" s="1"/>
  <c r="C53" i="43" s="1"/>
  <c r="B134" i="47"/>
  <c r="F330" i="32"/>
  <c r="F331" i="32" s="1"/>
  <c r="B156" i="47" s="1"/>
  <c r="C267" i="32"/>
  <c r="C56" i="43" s="1"/>
  <c r="H19" i="29"/>
  <c r="C265" i="32"/>
  <c r="C55" i="43" s="1"/>
  <c r="B100" i="47"/>
  <c r="J100" i="47" s="1"/>
  <c r="L147" i="32"/>
  <c r="AN67" i="51"/>
  <c r="AN79" i="51"/>
  <c r="G100" i="5"/>
  <c r="G103" i="5" s="1"/>
  <c r="G160" i="5"/>
  <c r="G97" i="47"/>
  <c r="G96" i="47"/>
  <c r="I96" i="47"/>
  <c r="H96" i="47"/>
  <c r="G88" i="47"/>
  <c r="G89" i="47" s="1"/>
  <c r="G90" i="47" s="1"/>
  <c r="AM31" i="51"/>
  <c r="T13" i="51"/>
  <c r="K25" i="32" s="1"/>
  <c r="M11" i="43" s="1"/>
  <c r="AO3" i="51"/>
  <c r="G39" i="47"/>
  <c r="G40" i="47" s="1"/>
  <c r="G41" i="47" s="1"/>
  <c r="G44" i="47" s="1"/>
  <c r="G74" i="47" s="1"/>
  <c r="G75" i="47" s="1"/>
  <c r="G76" i="47" s="1"/>
  <c r="G46" i="47"/>
  <c r="I43" i="47"/>
  <c r="I40" i="47"/>
  <c r="I41" i="47" s="1"/>
  <c r="J43" i="47"/>
  <c r="J39" i="47"/>
  <c r="H41" i="47"/>
  <c r="H44" i="47" s="1"/>
  <c r="I96" i="32"/>
  <c r="I122" i="32" s="1"/>
  <c r="H23" i="42"/>
  <c r="H42" i="42" s="1"/>
  <c r="H34" i="42"/>
  <c r="H52" i="42"/>
  <c r="K27" i="32"/>
  <c r="M13" i="43" s="1"/>
  <c r="T57" i="51"/>
  <c r="K30" i="32" s="1"/>
  <c r="M16" i="43" s="1"/>
  <c r="U72" i="51"/>
  <c r="U59" i="51"/>
  <c r="L23" i="32"/>
  <c r="N9" i="43" s="1"/>
  <c r="U60" i="51"/>
  <c r="U74" i="51"/>
  <c r="U70" i="51"/>
  <c r="U61" i="51"/>
  <c r="U64" i="51"/>
  <c r="U73" i="51"/>
  <c r="U62" i="51"/>
  <c r="L37" i="32"/>
  <c r="N23" i="43" s="1"/>
  <c r="U68" i="51"/>
  <c r="U78" i="51"/>
  <c r="U63" i="51"/>
  <c r="U71" i="51"/>
  <c r="T86" i="51"/>
  <c r="K32" i="32" s="1"/>
  <c r="M18" i="43" s="1"/>
  <c r="T54" i="51"/>
  <c r="K29" i="32" s="1"/>
  <c r="M15" i="43" s="1"/>
  <c r="I2" i="2"/>
  <c r="I2" i="42"/>
  <c r="I88" i="42" s="1"/>
  <c r="I23" i="55"/>
  <c r="I6" i="47" s="1"/>
  <c r="I31" i="55"/>
  <c r="I24" i="55"/>
  <c r="I2" i="7"/>
  <c r="I34" i="55"/>
  <c r="I30" i="55"/>
  <c r="I14" i="47" s="1"/>
  <c r="I28" i="55"/>
  <c r="I27" i="55"/>
  <c r="I11" i="47" s="1"/>
  <c r="I2" i="47"/>
  <c r="I32" i="54"/>
  <c r="I2" i="5"/>
  <c r="I3" i="5" s="1"/>
  <c r="I2" i="6"/>
  <c r="M53" i="50"/>
  <c r="L154" i="32" s="1"/>
  <c r="M65" i="50"/>
  <c r="L156" i="32" s="1"/>
  <c r="N2" i="50"/>
  <c r="M58" i="50"/>
  <c r="L155" i="32" s="1"/>
  <c r="M45" i="50"/>
  <c r="L152" i="32" s="1"/>
  <c r="M90" i="50"/>
  <c r="L159" i="32" s="1"/>
  <c r="M82" i="50"/>
  <c r="M31" i="50"/>
  <c r="L149" i="32" s="1"/>
  <c r="M35" i="50"/>
  <c r="L150" i="32" s="1"/>
  <c r="M26" i="50"/>
  <c r="L148" i="32" s="1"/>
  <c r="M70" i="50"/>
  <c r="L157" i="32" s="1"/>
  <c r="J98" i="47"/>
  <c r="L20" i="55"/>
  <c r="L7" i="47" s="1"/>
  <c r="J41" i="32"/>
  <c r="L27" i="43" s="1"/>
  <c r="J42" i="32"/>
  <c r="L28" i="43" s="1"/>
  <c r="J43" i="32"/>
  <c r="L29" i="43" s="1"/>
  <c r="K22" i="32"/>
  <c r="M8" i="54"/>
  <c r="N40" i="55"/>
  <c r="I6" i="54"/>
  <c r="I44" i="55"/>
  <c r="I6" i="43" s="1"/>
  <c r="I2" i="43"/>
  <c r="I39" i="55"/>
  <c r="I3" i="43" s="1"/>
  <c r="J37" i="55"/>
  <c r="M4" i="2"/>
  <c r="M4" i="7"/>
  <c r="M19" i="55"/>
  <c r="M4" i="47"/>
  <c r="M34" i="54"/>
  <c r="M4" i="6"/>
  <c r="M26" i="55"/>
  <c r="M21" i="55"/>
  <c r="M8" i="47" s="1"/>
  <c r="M5" i="5"/>
  <c r="M4" i="42"/>
  <c r="K88" i="5"/>
  <c r="K102" i="5"/>
  <c r="K96" i="47"/>
  <c r="K97" i="47" s="1"/>
  <c r="K43" i="47"/>
  <c r="K39" i="47"/>
  <c r="K40" i="47" s="1"/>
  <c r="L14" i="5"/>
  <c r="L10" i="47"/>
  <c r="K6" i="5"/>
  <c r="K47" i="5" s="1"/>
  <c r="K5" i="42"/>
  <c r="K5" i="6"/>
  <c r="K8" i="5"/>
  <c r="K7" i="42"/>
  <c r="Q97" i="32"/>
  <c r="P99" i="32"/>
  <c r="P98" i="32" s="1"/>
  <c r="L11" i="5"/>
  <c r="L5" i="47"/>
  <c r="L3" i="2"/>
  <c r="L17" i="55"/>
  <c r="L16" i="55"/>
  <c r="L4" i="5"/>
  <c r="L37" i="5" s="1"/>
  <c r="L3" i="7"/>
  <c r="L37" i="7" s="1"/>
  <c r="L3" i="6"/>
  <c r="L3" i="42"/>
  <c r="L3" i="47"/>
  <c r="L33" i="54"/>
  <c r="K25" i="47"/>
  <c r="L160" i="32" l="1"/>
  <c r="I26" i="5"/>
  <c r="AN9" i="51"/>
  <c r="AE24" i="32" s="1"/>
  <c r="I105" i="32"/>
  <c r="I106" i="32" s="1"/>
  <c r="M99" i="42"/>
  <c r="M91" i="42"/>
  <c r="L98" i="42"/>
  <c r="L101" i="42"/>
  <c r="L102" i="42"/>
  <c r="L93" i="42"/>
  <c r="L92" i="42"/>
  <c r="L100" i="42"/>
  <c r="L94" i="42"/>
  <c r="L90" i="42"/>
  <c r="L9" i="5"/>
  <c r="L13" i="47"/>
  <c r="AO81" i="51"/>
  <c r="AO76" i="51"/>
  <c r="AO65" i="51"/>
  <c r="AO77" i="51"/>
  <c r="AO66" i="51"/>
  <c r="AN6" i="51"/>
  <c r="AO30" i="51"/>
  <c r="AO25" i="51"/>
  <c r="AO29" i="51"/>
  <c r="AO93" i="51"/>
  <c r="AO23" i="51"/>
  <c r="AO17" i="51"/>
  <c r="AO8" i="51"/>
  <c r="AO95" i="51"/>
  <c r="AO10" i="51"/>
  <c r="AO45" i="51"/>
  <c r="AO96" i="51"/>
  <c r="AO16" i="51"/>
  <c r="AO46" i="51"/>
  <c r="AO92" i="51"/>
  <c r="AO94" i="51"/>
  <c r="AO19" i="51"/>
  <c r="AO21" i="51"/>
  <c r="AO11" i="51"/>
  <c r="AO91" i="51"/>
  <c r="AO7" i="51"/>
  <c r="AO14" i="51"/>
  <c r="AO32" i="51"/>
  <c r="K17" i="5"/>
  <c r="K19" i="5"/>
  <c r="G330" i="32"/>
  <c r="C52" i="43" s="1"/>
  <c r="N4" i="43"/>
  <c r="N42" i="55"/>
  <c r="N5" i="43" s="1"/>
  <c r="B145" i="47"/>
  <c r="C51" i="43"/>
  <c r="AO111" i="51"/>
  <c r="AO75" i="51"/>
  <c r="J9" i="55"/>
  <c r="K5" i="55"/>
  <c r="K6" i="55" s="1"/>
  <c r="J40" i="47"/>
  <c r="J41" i="47" s="1"/>
  <c r="J44" i="47" s="1"/>
  <c r="K100" i="47"/>
  <c r="J101" i="47"/>
  <c r="I100" i="47"/>
  <c r="H100" i="47"/>
  <c r="G100" i="47"/>
  <c r="M147" i="32"/>
  <c r="AO79" i="51"/>
  <c r="AO67" i="51"/>
  <c r="G98" i="47"/>
  <c r="H97" i="47"/>
  <c r="H98" i="47" s="1"/>
  <c r="I97" i="47"/>
  <c r="I98" i="47" s="1"/>
  <c r="G87" i="47"/>
  <c r="G92" i="47" s="1"/>
  <c r="G25" i="6"/>
  <c r="AN31" i="51"/>
  <c r="U13" i="51"/>
  <c r="L25" i="32" s="1"/>
  <c r="N11" i="43" s="1"/>
  <c r="AP3" i="51"/>
  <c r="I44" i="47"/>
  <c r="G73" i="47"/>
  <c r="G78" i="47" s="1"/>
  <c r="J96" i="32"/>
  <c r="J122" i="32" s="1"/>
  <c r="H60" i="42"/>
  <c r="H78" i="42"/>
  <c r="U54" i="51"/>
  <c r="L29" i="32" s="1"/>
  <c r="N15" i="43" s="1"/>
  <c r="V62" i="51"/>
  <c r="V63" i="51"/>
  <c r="V78" i="51"/>
  <c r="V61" i="51"/>
  <c r="V70" i="51"/>
  <c r="V68" i="51"/>
  <c r="M23" i="32"/>
  <c r="O9" i="43" s="1"/>
  <c r="V60" i="51"/>
  <c r="V72" i="51"/>
  <c r="V71" i="51"/>
  <c r="V73" i="51"/>
  <c r="V59" i="51"/>
  <c r="M37" i="32"/>
  <c r="O23" i="43" s="1"/>
  <c r="V64" i="51"/>
  <c r="V74" i="51"/>
  <c r="L27" i="32"/>
  <c r="N13" i="43" s="1"/>
  <c r="U57" i="51"/>
  <c r="L30" i="32" s="1"/>
  <c r="N16" i="43" s="1"/>
  <c r="U86" i="51"/>
  <c r="L32" i="32" s="1"/>
  <c r="N18" i="43" s="1"/>
  <c r="J1" i="5"/>
  <c r="J1" i="7"/>
  <c r="J1" i="47"/>
  <c r="J31" i="54"/>
  <c r="J1" i="2"/>
  <c r="J1" i="42"/>
  <c r="J1" i="6"/>
  <c r="I12" i="47"/>
  <c r="I15" i="5"/>
  <c r="I9" i="47"/>
  <c r="I13" i="5"/>
  <c r="I12" i="42"/>
  <c r="I134" i="5"/>
  <c r="I32" i="55"/>
  <c r="O2" i="50"/>
  <c r="N45" i="50"/>
  <c r="M152" i="32" s="1"/>
  <c r="N31" i="50"/>
  <c r="M149" i="32" s="1"/>
  <c r="N70" i="50"/>
  <c r="M157" i="32" s="1"/>
  <c r="N53" i="50"/>
  <c r="M154" i="32" s="1"/>
  <c r="N65" i="50"/>
  <c r="M156" i="32" s="1"/>
  <c r="N35" i="50"/>
  <c r="M150" i="32" s="1"/>
  <c r="N26" i="50"/>
  <c r="M148" i="32" s="1"/>
  <c r="N58" i="50"/>
  <c r="M155" i="32" s="1"/>
  <c r="N90" i="50"/>
  <c r="M159" i="32" s="1"/>
  <c r="N82" i="50"/>
  <c r="M20" i="55"/>
  <c r="M7" i="47" s="1"/>
  <c r="M22" i="55"/>
  <c r="J38" i="55"/>
  <c r="J1" i="43"/>
  <c r="J5" i="54"/>
  <c r="I7" i="54"/>
  <c r="O40" i="55"/>
  <c r="N8" i="54"/>
  <c r="L22" i="32"/>
  <c r="K41" i="32"/>
  <c r="M27" i="43" s="1"/>
  <c r="K43" i="32"/>
  <c r="M29" i="43" s="1"/>
  <c r="K42" i="32"/>
  <c r="M28" i="43" s="1"/>
  <c r="L39" i="47"/>
  <c r="L43" i="47"/>
  <c r="L5" i="6"/>
  <c r="L5" i="42"/>
  <c r="L6" i="5"/>
  <c r="L47" i="5" s="1"/>
  <c r="L8" i="5"/>
  <c r="L7" i="42"/>
  <c r="L97" i="47"/>
  <c r="L96" i="47"/>
  <c r="L100" i="47"/>
  <c r="K41" i="47"/>
  <c r="K44" i="47" s="1"/>
  <c r="Q99" i="32"/>
  <c r="Q98" i="32" s="1"/>
  <c r="R97" i="32"/>
  <c r="L25" i="47"/>
  <c r="L72" i="47"/>
  <c r="L88" i="5"/>
  <c r="L102" i="5"/>
  <c r="K98" i="47"/>
  <c r="M17" i="55"/>
  <c r="M3" i="47"/>
  <c r="M3" i="7"/>
  <c r="M37" i="7" s="1"/>
  <c r="M3" i="42"/>
  <c r="M33" i="54"/>
  <c r="M16" i="55"/>
  <c r="M4" i="5"/>
  <c r="M37" i="5" s="1"/>
  <c r="M3" i="2"/>
  <c r="M3" i="6"/>
  <c r="M14" i="5"/>
  <c r="M10" i="47"/>
  <c r="N4" i="42"/>
  <c r="N5" i="5"/>
  <c r="N4" i="7"/>
  <c r="N34" i="54"/>
  <c r="N4" i="6"/>
  <c r="N19" i="55"/>
  <c r="N22" i="55" s="1"/>
  <c r="N12" i="5" s="1"/>
  <c r="N4" i="2"/>
  <c r="N26" i="55"/>
  <c r="N21" i="55"/>
  <c r="N8" i="47" s="1"/>
  <c r="N4" i="47"/>
  <c r="M5" i="47"/>
  <c r="M11" i="5"/>
  <c r="M160" i="32" l="1"/>
  <c r="N44" i="5"/>
  <c r="J105" i="32"/>
  <c r="J106" i="32" s="1"/>
  <c r="AO9" i="51"/>
  <c r="AF24" i="32" s="1"/>
  <c r="AH10" i="43" s="1"/>
  <c r="N99" i="42"/>
  <c r="N91" i="42"/>
  <c r="M101" i="42"/>
  <c r="M102" i="42"/>
  <c r="M100" i="42"/>
  <c r="M94" i="42"/>
  <c r="M93" i="42"/>
  <c r="M92" i="42"/>
  <c r="M98" i="42"/>
  <c r="M90" i="42"/>
  <c r="M9" i="5"/>
  <c r="M13" i="47"/>
  <c r="AP77" i="51"/>
  <c r="AP66" i="51"/>
  <c r="AP81" i="51"/>
  <c r="AP76" i="51"/>
  <c r="AP65" i="51"/>
  <c r="AP25" i="51"/>
  <c r="AP30" i="51"/>
  <c r="AP29" i="51"/>
  <c r="AO6" i="51"/>
  <c r="AG10" i="43"/>
  <c r="AP92" i="51"/>
  <c r="AP14" i="51"/>
  <c r="AP32" i="51"/>
  <c r="AP11" i="51"/>
  <c r="AP19" i="51"/>
  <c r="AP45" i="51"/>
  <c r="AP91" i="51"/>
  <c r="AP7" i="51"/>
  <c r="AP94" i="51"/>
  <c r="AP17" i="51"/>
  <c r="AP8" i="51"/>
  <c r="AP23" i="51"/>
  <c r="AP93" i="51"/>
  <c r="AP96" i="51"/>
  <c r="AP16" i="51"/>
  <c r="AP95" i="51"/>
  <c r="AP10" i="51"/>
  <c r="AP21" i="51"/>
  <c r="AP46" i="51"/>
  <c r="K101" i="47"/>
  <c r="L17" i="5"/>
  <c r="L19" i="5"/>
  <c r="O4" i="43"/>
  <c r="O42" i="55"/>
  <c r="O5" i="43" s="1"/>
  <c r="AP111" i="51"/>
  <c r="AP75" i="51"/>
  <c r="K9" i="55"/>
  <c r="L5" i="55"/>
  <c r="L6" i="55" s="1"/>
  <c r="L40" i="47"/>
  <c r="L41" i="47" s="1"/>
  <c r="L44" i="47" s="1"/>
  <c r="I101" i="47"/>
  <c r="H101" i="47"/>
  <c r="N147" i="32"/>
  <c r="AP79" i="51"/>
  <c r="AP67" i="51"/>
  <c r="G101" i="47"/>
  <c r="G110" i="47" s="1"/>
  <c r="M12" i="5"/>
  <c r="G91" i="47"/>
  <c r="H85" i="47" s="1"/>
  <c r="H88" i="47" s="1"/>
  <c r="H89" i="47" s="1"/>
  <c r="H90" i="47" s="1"/>
  <c r="AO31" i="51"/>
  <c r="AQ3" i="51"/>
  <c r="V13" i="51"/>
  <c r="M25" i="32" s="1"/>
  <c r="O11" i="43" s="1"/>
  <c r="K96" i="32"/>
  <c r="K122" i="32" s="1"/>
  <c r="V54" i="51"/>
  <c r="M29" i="32" s="1"/>
  <c r="O15" i="43" s="1"/>
  <c r="V57" i="51"/>
  <c r="M30" i="32" s="1"/>
  <c r="O16" i="43" s="1"/>
  <c r="W61" i="51"/>
  <c r="W64" i="51"/>
  <c r="N23" i="32"/>
  <c r="P9" i="43" s="1"/>
  <c r="W70" i="51"/>
  <c r="W72" i="51"/>
  <c r="W59" i="51"/>
  <c r="W68" i="51"/>
  <c r="W74" i="51"/>
  <c r="W63" i="51"/>
  <c r="N37" i="32"/>
  <c r="P23" i="43" s="1"/>
  <c r="W60" i="51"/>
  <c r="W78" i="51"/>
  <c r="W73" i="51"/>
  <c r="W71" i="51"/>
  <c r="W62" i="51"/>
  <c r="V86" i="51"/>
  <c r="M32" i="32" s="1"/>
  <c r="O18" i="43" s="1"/>
  <c r="M27" i="32"/>
  <c r="O13" i="43" s="1"/>
  <c r="I34" i="42"/>
  <c r="I70" i="42"/>
  <c r="I52" i="42"/>
  <c r="J31" i="55"/>
  <c r="J24" i="55"/>
  <c r="J23" i="55"/>
  <c r="J6" i="47" s="1"/>
  <c r="J27" i="55"/>
  <c r="J11" i="47" s="1"/>
  <c r="J2" i="47"/>
  <c r="J2" i="7"/>
  <c r="J2" i="2"/>
  <c r="J30" i="55"/>
  <c r="J14" i="47" s="1"/>
  <c r="J2" i="5"/>
  <c r="J3" i="5" s="1"/>
  <c r="J34" i="55"/>
  <c r="J32" i="54"/>
  <c r="J2" i="6"/>
  <c r="J2" i="42"/>
  <c r="J88" i="42" s="1"/>
  <c r="J28" i="55"/>
  <c r="I23" i="42"/>
  <c r="O58" i="50"/>
  <c r="N155" i="32" s="1"/>
  <c r="O26" i="50"/>
  <c r="N148" i="32" s="1"/>
  <c r="O53" i="50"/>
  <c r="N154" i="32" s="1"/>
  <c r="O65" i="50"/>
  <c r="N156" i="32" s="1"/>
  <c r="O90" i="50"/>
  <c r="N159" i="32" s="1"/>
  <c r="O82" i="50"/>
  <c r="O45" i="50"/>
  <c r="N152" i="32" s="1"/>
  <c r="O31" i="50"/>
  <c r="N149" i="32" s="1"/>
  <c r="O35" i="50"/>
  <c r="N150" i="32" s="1"/>
  <c r="P2" i="50"/>
  <c r="O70" i="50"/>
  <c r="N157" i="32" s="1"/>
  <c r="N20" i="55"/>
  <c r="N7" i="47" s="1"/>
  <c r="L42" i="32"/>
  <c r="N28" i="43" s="1"/>
  <c r="L43" i="32"/>
  <c r="N29" i="43" s="1"/>
  <c r="L41" i="32"/>
  <c r="N27" i="43" s="1"/>
  <c r="J2" i="43"/>
  <c r="J39" i="55"/>
  <c r="J3" i="43" s="1"/>
  <c r="J44" i="55"/>
  <c r="J6" i="43" s="1"/>
  <c r="K37" i="55"/>
  <c r="J6" i="54"/>
  <c r="M22" i="32"/>
  <c r="P40" i="55"/>
  <c r="O8" i="54"/>
  <c r="O4" i="2"/>
  <c r="O19" i="55"/>
  <c r="O22" i="55" s="1"/>
  <c r="O12" i="5" s="1"/>
  <c r="O4" i="42"/>
  <c r="O4" i="6"/>
  <c r="O4" i="7"/>
  <c r="O5" i="5"/>
  <c r="O21" i="55"/>
  <c r="O8" i="47" s="1"/>
  <c r="O4" i="47"/>
  <c r="O34" i="54"/>
  <c r="O26" i="55"/>
  <c r="N4" i="5"/>
  <c r="N37" i="5" s="1"/>
  <c r="N3" i="42"/>
  <c r="N3" i="6"/>
  <c r="N16" i="55"/>
  <c r="N3" i="2"/>
  <c r="N33" i="54"/>
  <c r="N3" i="47"/>
  <c r="N17" i="55"/>
  <c r="N3" i="7"/>
  <c r="N37" i="7" s="1"/>
  <c r="M100" i="47"/>
  <c r="M96" i="47"/>
  <c r="M97" i="47" s="1"/>
  <c r="M25" i="47"/>
  <c r="M72" i="47"/>
  <c r="R99" i="32"/>
  <c r="R98" i="32" s="1"/>
  <c r="S97" i="32"/>
  <c r="S98" i="32" s="1"/>
  <c r="M43" i="47"/>
  <c r="M39" i="47"/>
  <c r="M40" i="47" s="1"/>
  <c r="M102" i="5"/>
  <c r="M88" i="5"/>
  <c r="M5" i="6"/>
  <c r="M6" i="5"/>
  <c r="M47" i="5" s="1"/>
  <c r="M5" i="42"/>
  <c r="L98" i="47"/>
  <c r="L101" i="47" s="1"/>
  <c r="N11" i="5"/>
  <c r="N5" i="47"/>
  <c r="M7" i="42"/>
  <c r="M8" i="5"/>
  <c r="N10" i="47"/>
  <c r="N14" i="5"/>
  <c r="N160" i="32" l="1"/>
  <c r="J26" i="5"/>
  <c r="O44" i="5"/>
  <c r="M44" i="5"/>
  <c r="K105" i="32"/>
  <c r="K106" i="32" s="1"/>
  <c r="AP9" i="51"/>
  <c r="AG24" i="32" s="1"/>
  <c r="AI10" i="43" s="1"/>
  <c r="O99" i="42"/>
  <c r="O91" i="42"/>
  <c r="N101" i="42"/>
  <c r="N98" i="42"/>
  <c r="N100" i="42"/>
  <c r="N94" i="42"/>
  <c r="N90" i="42"/>
  <c r="N92" i="42"/>
  <c r="N102" i="42"/>
  <c r="N93" i="42"/>
  <c r="N9" i="5"/>
  <c r="N13" i="47"/>
  <c r="AQ77" i="51"/>
  <c r="AQ66" i="51"/>
  <c r="AQ81" i="51"/>
  <c r="AQ76" i="51"/>
  <c r="AQ65" i="51"/>
  <c r="AQ30" i="51"/>
  <c r="AQ29" i="51"/>
  <c r="AQ25" i="51"/>
  <c r="AP6" i="51"/>
  <c r="AQ7" i="51"/>
  <c r="AQ94" i="51"/>
  <c r="AQ95" i="51"/>
  <c r="AQ46" i="51"/>
  <c r="AQ14" i="51"/>
  <c r="AQ96" i="51"/>
  <c r="AQ11" i="51"/>
  <c r="AQ32" i="51"/>
  <c r="AQ19" i="51"/>
  <c r="AQ10" i="51"/>
  <c r="AQ23" i="51"/>
  <c r="AQ17" i="51"/>
  <c r="AQ91" i="51"/>
  <c r="AQ45" i="51"/>
  <c r="AQ92" i="51"/>
  <c r="AQ8" i="51"/>
  <c r="AQ93" i="51"/>
  <c r="AQ21" i="51"/>
  <c r="AQ16" i="51"/>
  <c r="M17" i="5"/>
  <c r="M19" i="5"/>
  <c r="P4" i="43"/>
  <c r="P42" i="55"/>
  <c r="P5" i="43" s="1"/>
  <c r="AQ111" i="51"/>
  <c r="AQ75" i="51"/>
  <c r="L9" i="55"/>
  <c r="M5" i="55"/>
  <c r="M6" i="55" s="1"/>
  <c r="O147" i="32"/>
  <c r="AQ67" i="51"/>
  <c r="AQ79" i="51"/>
  <c r="G26" i="6"/>
  <c r="G111" i="47"/>
  <c r="G112" i="47" s="1"/>
  <c r="H25" i="6"/>
  <c r="G64" i="47"/>
  <c r="G65" i="47" s="1"/>
  <c r="G54" i="47" s="1"/>
  <c r="G27" i="7"/>
  <c r="AP31" i="51"/>
  <c r="W13" i="51"/>
  <c r="N25" i="32" s="1"/>
  <c r="P11" i="43" s="1"/>
  <c r="L96" i="32"/>
  <c r="W54" i="51"/>
  <c r="N29" i="32" s="1"/>
  <c r="P15" i="43" s="1"/>
  <c r="W86" i="51"/>
  <c r="N32" i="32" s="1"/>
  <c r="P18" i="43" s="1"/>
  <c r="N27" i="32"/>
  <c r="P13" i="43" s="1"/>
  <c r="W57" i="51"/>
  <c r="N30" i="32" s="1"/>
  <c r="P16" i="43" s="1"/>
  <c r="X73" i="51"/>
  <c r="X68" i="51"/>
  <c r="O37" i="32"/>
  <c r="Q23" i="43" s="1"/>
  <c r="X74" i="51"/>
  <c r="X60" i="51"/>
  <c r="X72" i="51"/>
  <c r="X63" i="51"/>
  <c r="X61" i="51"/>
  <c r="X70" i="51"/>
  <c r="O23" i="32"/>
  <c r="Q9" i="43" s="1"/>
  <c r="X62" i="51"/>
  <c r="X59" i="51"/>
  <c r="X71" i="51"/>
  <c r="X78" i="51"/>
  <c r="X64" i="51"/>
  <c r="I78" i="42"/>
  <c r="I42" i="42"/>
  <c r="I60" i="42"/>
  <c r="J12" i="42"/>
  <c r="J134" i="5"/>
  <c r="J32" i="55"/>
  <c r="J12" i="47"/>
  <c r="J15" i="5"/>
  <c r="K31" i="54"/>
  <c r="K1" i="7"/>
  <c r="K1" i="6"/>
  <c r="K1" i="5"/>
  <c r="K1" i="2"/>
  <c r="K1" i="47"/>
  <c r="K1" i="42"/>
  <c r="J9" i="47"/>
  <c r="J13" i="5"/>
  <c r="P35" i="50"/>
  <c r="O150" i="32" s="1"/>
  <c r="P45" i="50"/>
  <c r="O152" i="32" s="1"/>
  <c r="P90" i="50"/>
  <c r="O159" i="32" s="1"/>
  <c r="P26" i="50"/>
  <c r="O148" i="32" s="1"/>
  <c r="P53" i="50"/>
  <c r="O154" i="32" s="1"/>
  <c r="P70" i="50"/>
  <c r="O157" i="32" s="1"/>
  <c r="Q2" i="50"/>
  <c r="P82" i="50"/>
  <c r="P31" i="50"/>
  <c r="O149" i="32" s="1"/>
  <c r="P65" i="50"/>
  <c r="O156" i="32" s="1"/>
  <c r="P58" i="50"/>
  <c r="O155" i="32" s="1"/>
  <c r="M98" i="47"/>
  <c r="M101" i="47" s="1"/>
  <c r="G53" i="5"/>
  <c r="M42" i="32"/>
  <c r="O28" i="43" s="1"/>
  <c r="M41" i="32"/>
  <c r="O27" i="43" s="1"/>
  <c r="M43" i="32"/>
  <c r="O29" i="43" s="1"/>
  <c r="J7" i="54"/>
  <c r="K38" i="55"/>
  <c r="K1" i="43"/>
  <c r="K5" i="54"/>
  <c r="O20" i="55"/>
  <c r="O7" i="47" s="1"/>
  <c r="N22" i="32"/>
  <c r="Q40" i="55"/>
  <c r="P8" i="54"/>
  <c r="S99" i="32"/>
  <c r="T97" i="32"/>
  <c r="T98" i="32" s="1"/>
  <c r="O14" i="5"/>
  <c r="O10" i="47"/>
  <c r="N96" i="47"/>
  <c r="N97" i="47" s="1"/>
  <c r="N100" i="47"/>
  <c r="N39" i="47"/>
  <c r="N40" i="47" s="1"/>
  <c r="N43" i="47"/>
  <c r="M41" i="47"/>
  <c r="M44" i="47" s="1"/>
  <c r="O3" i="47"/>
  <c r="O16" i="55"/>
  <c r="O3" i="42"/>
  <c r="O17" i="55"/>
  <c r="O3" i="2"/>
  <c r="O4" i="5"/>
  <c r="O37" i="5" s="1"/>
  <c r="O3" i="7"/>
  <c r="O37" i="7" s="1"/>
  <c r="O3" i="6"/>
  <c r="O33" i="54"/>
  <c r="P21" i="55"/>
  <c r="P8" i="47" s="1"/>
  <c r="P4" i="47"/>
  <c r="P34" i="54"/>
  <c r="P4" i="42"/>
  <c r="P4" i="6"/>
  <c r="P19" i="55"/>
  <c r="P4" i="7"/>
  <c r="P5" i="5"/>
  <c r="P26" i="55"/>
  <c r="P4" i="2"/>
  <c r="N7" i="42"/>
  <c r="N8" i="5"/>
  <c r="N5" i="42"/>
  <c r="N5" i="6"/>
  <c r="N6" i="5"/>
  <c r="N47" i="5" s="1"/>
  <c r="N25" i="47"/>
  <c r="N72" i="47"/>
  <c r="N88" i="5"/>
  <c r="N102" i="5"/>
  <c r="O11" i="5"/>
  <c r="O5" i="47"/>
  <c r="O160" i="32" l="1"/>
  <c r="AQ9" i="51"/>
  <c r="M96" i="32"/>
  <c r="M122" i="32" s="1"/>
  <c r="L122" i="32"/>
  <c r="L105" i="32"/>
  <c r="L106" i="32" s="1"/>
  <c r="P91" i="42"/>
  <c r="P99" i="42"/>
  <c r="O101" i="42"/>
  <c r="O100" i="42"/>
  <c r="O98" i="42"/>
  <c r="O92" i="42"/>
  <c r="O102" i="42"/>
  <c r="O94" i="42"/>
  <c r="O90" i="42"/>
  <c r="O93" i="42"/>
  <c r="O9" i="5"/>
  <c r="O13" i="47"/>
  <c r="AQ6" i="51"/>
  <c r="M6" i="51" s="1"/>
  <c r="N17" i="5"/>
  <c r="N19" i="5"/>
  <c r="Q4" i="43"/>
  <c r="Q42" i="55"/>
  <c r="Q5" i="43" s="1"/>
  <c r="M9" i="55"/>
  <c r="N5" i="55"/>
  <c r="N6" i="55" s="1"/>
  <c r="P147" i="32"/>
  <c r="G53" i="47"/>
  <c r="G24" i="6" s="1"/>
  <c r="G66" i="47"/>
  <c r="G63" i="47" s="1"/>
  <c r="G52" i="47" s="1"/>
  <c r="AQ31" i="51"/>
  <c r="M31" i="51" s="1"/>
  <c r="X13" i="51"/>
  <c r="O25" i="32" s="1"/>
  <c r="Q11" i="43" s="1"/>
  <c r="X86" i="51"/>
  <c r="O32" i="32" s="1"/>
  <c r="Q18" i="43" s="1"/>
  <c r="X57" i="51"/>
  <c r="O30" i="32" s="1"/>
  <c r="Q16" i="43" s="1"/>
  <c r="X54" i="51"/>
  <c r="O29" i="32" s="1"/>
  <c r="Q15" i="43" s="1"/>
  <c r="O27" i="32"/>
  <c r="Q13" i="43" s="1"/>
  <c r="Y72" i="51"/>
  <c r="Y68" i="51"/>
  <c r="Y62" i="51"/>
  <c r="Y60" i="51"/>
  <c r="Y59" i="51"/>
  <c r="P23" i="32"/>
  <c r="R9" i="43" s="1"/>
  <c r="Y71" i="51"/>
  <c r="P37" i="32"/>
  <c r="R23" i="43" s="1"/>
  <c r="Y74" i="51"/>
  <c r="Y73" i="51"/>
  <c r="Y78" i="51"/>
  <c r="Y64" i="51"/>
  <c r="Y61" i="51"/>
  <c r="Y63" i="51"/>
  <c r="Y70" i="51"/>
  <c r="J23" i="42"/>
  <c r="K2" i="6"/>
  <c r="K2" i="42"/>
  <c r="K88" i="42" s="1"/>
  <c r="K28" i="55"/>
  <c r="K34" i="55"/>
  <c r="K23" i="55"/>
  <c r="K6" i="47" s="1"/>
  <c r="K32" i="54"/>
  <c r="K2" i="5"/>
  <c r="K3" i="5" s="1"/>
  <c r="K31" i="55"/>
  <c r="K2" i="7"/>
  <c r="K27" i="55"/>
  <c r="K11" i="47" s="1"/>
  <c r="K2" i="47"/>
  <c r="K24" i="55"/>
  <c r="K2" i="2"/>
  <c r="K30" i="55"/>
  <c r="K14" i="47" s="1"/>
  <c r="J52" i="42"/>
  <c r="J34" i="42"/>
  <c r="J70" i="42"/>
  <c r="Q35" i="50"/>
  <c r="P150" i="32" s="1"/>
  <c r="Q31" i="50"/>
  <c r="P149" i="32" s="1"/>
  <c r="Q58" i="50"/>
  <c r="P155" i="32" s="1"/>
  <c r="Q82" i="50"/>
  <c r="Q45" i="50"/>
  <c r="P152" i="32" s="1"/>
  <c r="Q26" i="50"/>
  <c r="P148" i="32" s="1"/>
  <c r="Q70" i="50"/>
  <c r="P157" i="32" s="1"/>
  <c r="Q53" i="50"/>
  <c r="P154" i="32" s="1"/>
  <c r="Q65" i="50"/>
  <c r="P156" i="32" s="1"/>
  <c r="R2" i="50"/>
  <c r="Q90" i="50"/>
  <c r="P159" i="32" s="1"/>
  <c r="K44" i="55"/>
  <c r="K6" i="43" s="1"/>
  <c r="K39" i="55"/>
  <c r="K3" i="43" s="1"/>
  <c r="K2" i="43"/>
  <c r="L37" i="55"/>
  <c r="K6" i="54"/>
  <c r="Q8" i="54"/>
  <c r="R40" i="55"/>
  <c r="O22" i="32"/>
  <c r="N43" i="32"/>
  <c r="P29" i="43" s="1"/>
  <c r="N42" i="32"/>
  <c r="P28" i="43" s="1"/>
  <c r="N41" i="32"/>
  <c r="P27" i="43" s="1"/>
  <c r="O39" i="47"/>
  <c r="O40" i="47" s="1"/>
  <c r="O43" i="47"/>
  <c r="P10" i="47"/>
  <c r="P14" i="5"/>
  <c r="O8" i="5"/>
  <c r="O7" i="42"/>
  <c r="P3" i="47"/>
  <c r="P3" i="7"/>
  <c r="P37" i="7" s="1"/>
  <c r="P3" i="6"/>
  <c r="P3" i="42"/>
  <c r="P16" i="55"/>
  <c r="P33" i="54"/>
  <c r="P4" i="5"/>
  <c r="P37" i="5" s="1"/>
  <c r="P17" i="55"/>
  <c r="P3" i="2"/>
  <c r="O25" i="47"/>
  <c r="P20" i="55"/>
  <c r="P7" i="47" s="1"/>
  <c r="O5" i="6"/>
  <c r="O6" i="5"/>
  <c r="O47" i="5" s="1"/>
  <c r="O5" i="42"/>
  <c r="N98" i="47"/>
  <c r="N101" i="47" s="1"/>
  <c r="T99" i="32"/>
  <c r="U97" i="32"/>
  <c r="U98" i="32" s="1"/>
  <c r="Q4" i="42"/>
  <c r="Q4" i="2"/>
  <c r="Q26" i="55"/>
  <c r="Q4" i="47"/>
  <c r="Q34" i="54"/>
  <c r="Q21" i="55"/>
  <c r="Q8" i="47" s="1"/>
  <c r="Q4" i="7"/>
  <c r="Q5" i="5"/>
  <c r="Q19" i="55"/>
  <c r="Q4" i="6"/>
  <c r="P5" i="47"/>
  <c r="P11" i="5"/>
  <c r="P22" i="55"/>
  <c r="O88" i="5"/>
  <c r="O102" i="5"/>
  <c r="N41" i="47"/>
  <c r="N44" i="47" s="1"/>
  <c r="O96" i="47"/>
  <c r="O97" i="47" s="1"/>
  <c r="O100" i="47"/>
  <c r="P160" i="32" l="1"/>
  <c r="N96" i="32"/>
  <c r="N122" i="32" s="1"/>
  <c r="K26" i="5"/>
  <c r="M105" i="32"/>
  <c r="M106" i="32" s="1"/>
  <c r="Q99" i="42"/>
  <c r="Q91" i="42"/>
  <c r="P101" i="42"/>
  <c r="P102" i="42"/>
  <c r="P100" i="42"/>
  <c r="P94" i="42"/>
  <c r="P93" i="42"/>
  <c r="P90" i="42"/>
  <c r="P98" i="42"/>
  <c r="P92" i="42"/>
  <c r="P9" i="5"/>
  <c r="P13" i="47"/>
  <c r="AH24" i="32"/>
  <c r="M9" i="51"/>
  <c r="O17" i="5"/>
  <c r="O19" i="5"/>
  <c r="R4" i="43"/>
  <c r="R42" i="55"/>
  <c r="R5" i="43" s="1"/>
  <c r="N9" i="55"/>
  <c r="O5" i="55"/>
  <c r="O6" i="55" s="1"/>
  <c r="H74" i="29" s="1"/>
  <c r="Q20" i="55"/>
  <c r="Q7" i="47" s="1"/>
  <c r="Q147" i="32"/>
  <c r="P12" i="5"/>
  <c r="G68" i="47"/>
  <c r="G55" i="47"/>
  <c r="Y54" i="51"/>
  <c r="P29" i="32" s="1"/>
  <c r="R15" i="43" s="1"/>
  <c r="Y13" i="51"/>
  <c r="P25" i="32" s="1"/>
  <c r="R11" i="43" s="1"/>
  <c r="Y86" i="51"/>
  <c r="P32" i="32" s="1"/>
  <c r="R18" i="43" s="1"/>
  <c r="P27" i="32"/>
  <c r="R13" i="43" s="1"/>
  <c r="Y57" i="51"/>
  <c r="P30" i="32" s="1"/>
  <c r="R16" i="43" s="1"/>
  <c r="Z73" i="51"/>
  <c r="Z63" i="51"/>
  <c r="Z61" i="51"/>
  <c r="Z64" i="51"/>
  <c r="Z59" i="51"/>
  <c r="Z72" i="51"/>
  <c r="Z68" i="51"/>
  <c r="Z78" i="51"/>
  <c r="Z74" i="51"/>
  <c r="Z70" i="51"/>
  <c r="Z62" i="51"/>
  <c r="Z71" i="51"/>
  <c r="Z60" i="51"/>
  <c r="Q37" i="32"/>
  <c r="S23" i="43" s="1"/>
  <c r="Q23" i="32"/>
  <c r="S9" i="43" s="1"/>
  <c r="K15" i="5"/>
  <c r="K12" i="47"/>
  <c r="K9" i="47"/>
  <c r="K13" i="5"/>
  <c r="L1" i="2"/>
  <c r="L1" i="5"/>
  <c r="L1" i="42"/>
  <c r="L31" i="54"/>
  <c r="L1" i="7"/>
  <c r="L1" i="47"/>
  <c r="L1" i="6"/>
  <c r="K12" i="42"/>
  <c r="K32" i="55"/>
  <c r="K134" i="5"/>
  <c r="J42" i="42"/>
  <c r="J78" i="42"/>
  <c r="J60" i="42"/>
  <c r="R90" i="50"/>
  <c r="Q159" i="32" s="1"/>
  <c r="R58" i="50"/>
  <c r="Q155" i="32" s="1"/>
  <c r="R82" i="50"/>
  <c r="R53" i="50"/>
  <c r="Q154" i="32" s="1"/>
  <c r="R45" i="50"/>
  <c r="Q152" i="32" s="1"/>
  <c r="R70" i="50"/>
  <c r="Q157" i="32" s="1"/>
  <c r="R65" i="50"/>
  <c r="Q156" i="32" s="1"/>
  <c r="R31" i="50"/>
  <c r="Q149" i="32" s="1"/>
  <c r="S2" i="50"/>
  <c r="R26" i="50"/>
  <c r="Q148" i="32" s="1"/>
  <c r="R35" i="50"/>
  <c r="Q150" i="32" s="1"/>
  <c r="Q22" i="55"/>
  <c r="Q12" i="5" s="1"/>
  <c r="R8" i="54"/>
  <c r="S40" i="55"/>
  <c r="P22" i="32"/>
  <c r="L38" i="55"/>
  <c r="L1" i="43"/>
  <c r="L5" i="54"/>
  <c r="O43" i="32"/>
  <c r="Q29" i="43" s="1"/>
  <c r="O41" i="32"/>
  <c r="Q27" i="43" s="1"/>
  <c r="O42" i="32"/>
  <c r="Q28" i="43" s="1"/>
  <c r="K7" i="54"/>
  <c r="O98" i="47"/>
  <c r="O101" i="47" s="1"/>
  <c r="P96" i="47"/>
  <c r="P97" i="47" s="1"/>
  <c r="P100" i="47"/>
  <c r="P39" i="47"/>
  <c r="P43" i="47"/>
  <c r="R26" i="55"/>
  <c r="R4" i="47"/>
  <c r="R34" i="54"/>
  <c r="R4" i="42"/>
  <c r="R4" i="7"/>
  <c r="R5" i="5"/>
  <c r="R4" i="6"/>
  <c r="R21" i="55"/>
  <c r="R8" i="47" s="1"/>
  <c r="R4" i="2"/>
  <c r="R19" i="55"/>
  <c r="R22" i="55" s="1"/>
  <c r="R12" i="5" s="1"/>
  <c r="Q17" i="55"/>
  <c r="Q3" i="47"/>
  <c r="Q3" i="2"/>
  <c r="Q4" i="5"/>
  <c r="Q37" i="5" s="1"/>
  <c r="Q3" i="6"/>
  <c r="Q16" i="55"/>
  <c r="Q3" i="42"/>
  <c r="Q3" i="7"/>
  <c r="Q37" i="7" s="1"/>
  <c r="Q33" i="54"/>
  <c r="Q14" i="5"/>
  <c r="Q10" i="47"/>
  <c r="P102" i="5"/>
  <c r="P88" i="5"/>
  <c r="P25" i="47"/>
  <c r="P72" i="47"/>
  <c r="O41" i="47"/>
  <c r="O44" i="47" s="1"/>
  <c r="P5" i="6"/>
  <c r="P5" i="42"/>
  <c r="P6" i="5"/>
  <c r="P47" i="5" s="1"/>
  <c r="G57" i="47"/>
  <c r="G26" i="47" s="1"/>
  <c r="G103" i="47" s="1"/>
  <c r="G80" i="5"/>
  <c r="Q5" i="47"/>
  <c r="Q11" i="5"/>
  <c r="U99" i="32"/>
  <c r="V97" i="32"/>
  <c r="V98" i="32" s="1"/>
  <c r="P8" i="5"/>
  <c r="P7" i="42"/>
  <c r="Q160" i="32" l="1"/>
  <c r="O96" i="32"/>
  <c r="O122" i="32" s="1"/>
  <c r="R44" i="5"/>
  <c r="P44" i="5"/>
  <c r="Q44" i="5"/>
  <c r="N105" i="32"/>
  <c r="N106" i="32" s="1"/>
  <c r="R99" i="42"/>
  <c r="R91" i="42"/>
  <c r="Q101" i="42"/>
  <c r="Q100" i="42"/>
  <c r="Q94" i="42"/>
  <c r="Q90" i="42"/>
  <c r="Q98" i="42"/>
  <c r="Q92" i="42"/>
  <c r="Q93" i="42"/>
  <c r="Q102" i="42"/>
  <c r="Q9" i="5"/>
  <c r="Q13" i="47"/>
  <c r="AJ10" i="43"/>
  <c r="D10" i="43" s="1"/>
  <c r="D24" i="32"/>
  <c r="P17" i="5"/>
  <c r="P19" i="5"/>
  <c r="S4" i="43"/>
  <c r="S42" i="55"/>
  <c r="S5" i="43" s="1"/>
  <c r="O9" i="55"/>
  <c r="P5" i="55"/>
  <c r="P6" i="55" s="1"/>
  <c r="P40" i="47"/>
  <c r="P41" i="47" s="1"/>
  <c r="P44" i="47" s="1"/>
  <c r="R147" i="32"/>
  <c r="Z13" i="51"/>
  <c r="Q25" i="32" s="1"/>
  <c r="S11" i="43" s="1"/>
  <c r="Q27" i="32"/>
  <c r="S13" i="43" s="1"/>
  <c r="Z86" i="51"/>
  <c r="Q32" i="32" s="1"/>
  <c r="S18" i="43" s="1"/>
  <c r="Z54" i="51"/>
  <c r="Q29" i="32" s="1"/>
  <c r="S15" i="43" s="1"/>
  <c r="AA59" i="51"/>
  <c r="AA63" i="51"/>
  <c r="AA78" i="51"/>
  <c r="AA60" i="51"/>
  <c r="AA62" i="51"/>
  <c r="AA72" i="51"/>
  <c r="AA61" i="51"/>
  <c r="AA73" i="51"/>
  <c r="AA68" i="51"/>
  <c r="AA64" i="51"/>
  <c r="R37" i="32"/>
  <c r="T23" i="43" s="1"/>
  <c r="R23" i="32"/>
  <c r="T9" i="43" s="1"/>
  <c r="AA74" i="51"/>
  <c r="AA70" i="51"/>
  <c r="AA71" i="51"/>
  <c r="Z57" i="51"/>
  <c r="Q30" i="32" s="1"/>
  <c r="S16" i="43" s="1"/>
  <c r="L31" i="55"/>
  <c r="L2" i="7"/>
  <c r="L28" i="55"/>
  <c r="L2" i="5"/>
  <c r="L3" i="5" s="1"/>
  <c r="L32" i="54"/>
  <c r="L2" i="6"/>
  <c r="L30" i="55"/>
  <c r="L14" i="47" s="1"/>
  <c r="L2" i="47"/>
  <c r="L23" i="55"/>
  <c r="L6" i="47" s="1"/>
  <c r="L34" i="55"/>
  <c r="L2" i="42"/>
  <c r="L88" i="42" s="1"/>
  <c r="L27" i="55"/>
  <c r="L11" i="47" s="1"/>
  <c r="L2" i="2"/>
  <c r="L24" i="55"/>
  <c r="K23" i="42"/>
  <c r="K70" i="42"/>
  <c r="K52" i="42"/>
  <c r="K34" i="42"/>
  <c r="S90" i="50"/>
  <c r="R159" i="32" s="1"/>
  <c r="S35" i="50"/>
  <c r="R150" i="32" s="1"/>
  <c r="S26" i="50"/>
  <c r="R148" i="32" s="1"/>
  <c r="S53" i="50"/>
  <c r="R154" i="32" s="1"/>
  <c r="S82" i="50"/>
  <c r="S70" i="50"/>
  <c r="R157" i="32" s="1"/>
  <c r="T2" i="50"/>
  <c r="S65" i="50"/>
  <c r="R156" i="32" s="1"/>
  <c r="S31" i="50"/>
  <c r="R149" i="32" s="1"/>
  <c r="S45" i="50"/>
  <c r="R152" i="32" s="1"/>
  <c r="S58" i="50"/>
  <c r="R155" i="32" s="1"/>
  <c r="R20" i="55"/>
  <c r="R7" i="47" s="1"/>
  <c r="P98" i="47"/>
  <c r="P101" i="47" s="1"/>
  <c r="L44" i="55"/>
  <c r="L6" i="43" s="1"/>
  <c r="M37" i="55"/>
  <c r="L6" i="54"/>
  <c r="L2" i="43"/>
  <c r="L39" i="55"/>
  <c r="L3" i="43" s="1"/>
  <c r="P43" i="32"/>
  <c r="R29" i="43" s="1"/>
  <c r="P41" i="32"/>
  <c r="R27" i="43" s="1"/>
  <c r="P42" i="32"/>
  <c r="R28" i="43" s="1"/>
  <c r="S8" i="54"/>
  <c r="T40" i="55"/>
  <c r="Q22" i="32"/>
  <c r="V99" i="32"/>
  <c r="W97" i="32"/>
  <c r="W98" i="32" s="1"/>
  <c r="Q8" i="5"/>
  <c r="Q7" i="42"/>
  <c r="Q39" i="47"/>
  <c r="Q40" i="47" s="1"/>
  <c r="Q43" i="47"/>
  <c r="G138" i="5"/>
  <c r="R11" i="5"/>
  <c r="R5" i="47"/>
  <c r="R10" i="47"/>
  <c r="R14" i="5"/>
  <c r="G109" i="47"/>
  <c r="Q96" i="47"/>
  <c r="Q97" i="47" s="1"/>
  <c r="Q100" i="47"/>
  <c r="Q5" i="6"/>
  <c r="Q5" i="42"/>
  <c r="Q6" i="5"/>
  <c r="Q47" i="5" s="1"/>
  <c r="Q25" i="47"/>
  <c r="Q72" i="47"/>
  <c r="R16" i="55"/>
  <c r="R3" i="42"/>
  <c r="R17" i="55"/>
  <c r="R3" i="7"/>
  <c r="R37" i="7" s="1"/>
  <c r="R3" i="47"/>
  <c r="R33" i="54"/>
  <c r="R4" i="5"/>
  <c r="R37" i="5" s="1"/>
  <c r="R3" i="6"/>
  <c r="R3" i="2"/>
  <c r="Q102" i="5"/>
  <c r="Q88" i="5"/>
  <c r="S4" i="6"/>
  <c r="S19" i="55"/>
  <c r="S22" i="55" s="1"/>
  <c r="S12" i="5" s="1"/>
  <c r="S4" i="42"/>
  <c r="S4" i="7"/>
  <c r="S4" i="47"/>
  <c r="S5" i="5"/>
  <c r="S21" i="55"/>
  <c r="S8" i="47" s="1"/>
  <c r="S34" i="54"/>
  <c r="S26" i="55"/>
  <c r="S4" i="2"/>
  <c r="R160" i="32" l="1"/>
  <c r="P96" i="32"/>
  <c r="P122" i="32" s="1"/>
  <c r="L26" i="5"/>
  <c r="S44" i="5"/>
  <c r="O105" i="32"/>
  <c r="O106" i="32" s="1"/>
  <c r="S91" i="42"/>
  <c r="S99" i="42"/>
  <c r="R92" i="42"/>
  <c r="R100" i="42"/>
  <c r="R90" i="42"/>
  <c r="R98" i="42"/>
  <c r="R94" i="42"/>
  <c r="R102" i="42"/>
  <c r="R93" i="42"/>
  <c r="R101" i="42"/>
  <c r="R9" i="5"/>
  <c r="R13" i="47"/>
  <c r="Q17" i="5"/>
  <c r="Q19" i="5"/>
  <c r="T4" i="43"/>
  <c r="T42" i="55"/>
  <c r="T5" i="43" s="1"/>
  <c r="P9" i="55"/>
  <c r="Q5" i="55"/>
  <c r="Q6" i="55" s="1"/>
  <c r="AA13" i="51"/>
  <c r="R25" i="32" s="1"/>
  <c r="T11" i="43" s="1"/>
  <c r="AA86" i="51"/>
  <c r="R32" i="32" s="1"/>
  <c r="T18" i="43" s="1"/>
  <c r="AB74" i="51"/>
  <c r="AB68" i="51"/>
  <c r="AB72" i="51"/>
  <c r="AB71" i="51"/>
  <c r="AB62" i="51"/>
  <c r="AB59" i="51"/>
  <c r="AB78" i="51"/>
  <c r="AB64" i="51"/>
  <c r="AB73" i="51"/>
  <c r="AB63" i="51"/>
  <c r="AB61" i="51"/>
  <c r="AB60" i="51"/>
  <c r="AB70" i="51"/>
  <c r="S23" i="32"/>
  <c r="U9" i="43" s="1"/>
  <c r="S37" i="32"/>
  <c r="U23" i="43" s="1"/>
  <c r="AA57" i="51"/>
  <c r="R30" i="32" s="1"/>
  <c r="T16" i="43" s="1"/>
  <c r="R27" i="32"/>
  <c r="T13" i="43" s="1"/>
  <c r="AA54" i="51"/>
  <c r="R29" i="32" s="1"/>
  <c r="T15" i="43" s="1"/>
  <c r="L13" i="5"/>
  <c r="L9" i="47"/>
  <c r="L15" i="5"/>
  <c r="L12" i="47"/>
  <c r="M1" i="5"/>
  <c r="M1" i="2"/>
  <c r="M1" i="6"/>
  <c r="M1" i="47"/>
  <c r="M1" i="7"/>
  <c r="M1" i="42"/>
  <c r="M31" i="54"/>
  <c r="K60" i="42"/>
  <c r="K78" i="42"/>
  <c r="K42" i="42"/>
  <c r="L32" i="55"/>
  <c r="L134" i="5"/>
  <c r="L12" i="42"/>
  <c r="T26" i="50"/>
  <c r="S148" i="32" s="1"/>
  <c r="U2" i="50"/>
  <c r="T35" i="50"/>
  <c r="S150" i="32" s="1"/>
  <c r="T53" i="50"/>
  <c r="S154" i="32" s="1"/>
  <c r="T82" i="50"/>
  <c r="T90" i="50"/>
  <c r="S159" i="32" s="1"/>
  <c r="T65" i="50"/>
  <c r="S156" i="32" s="1"/>
  <c r="T70" i="50"/>
  <c r="S157" i="32" s="1"/>
  <c r="T45" i="50"/>
  <c r="S152" i="32" s="1"/>
  <c r="T31" i="50"/>
  <c r="S149" i="32" s="1"/>
  <c r="T58" i="50"/>
  <c r="S155" i="32" s="1"/>
  <c r="S20" i="55"/>
  <c r="S7" i="47" s="1"/>
  <c r="Q42" i="32"/>
  <c r="S28" i="43" s="1"/>
  <c r="Q43" i="32"/>
  <c r="S29" i="43" s="1"/>
  <c r="Q41" i="32"/>
  <c r="S27" i="43" s="1"/>
  <c r="M1" i="43"/>
  <c r="M5" i="54"/>
  <c r="M38" i="55"/>
  <c r="T8" i="54"/>
  <c r="R22" i="32"/>
  <c r="U40" i="55"/>
  <c r="L7" i="54"/>
  <c r="R25" i="47"/>
  <c r="R72" i="47"/>
  <c r="G95" i="5"/>
  <c r="G114" i="47"/>
  <c r="R100" i="47"/>
  <c r="R96" i="47"/>
  <c r="R97" i="47"/>
  <c r="Q41" i="47"/>
  <c r="Q44" i="47" s="1"/>
  <c r="T4" i="2"/>
  <c r="T34" i="54"/>
  <c r="T26" i="55"/>
  <c r="T4" i="6"/>
  <c r="T19" i="55"/>
  <c r="T22" i="55" s="1"/>
  <c r="T12" i="5" s="1"/>
  <c r="T4" i="42"/>
  <c r="T5" i="5"/>
  <c r="T4" i="7"/>
  <c r="T4" i="47"/>
  <c r="T21" i="55"/>
  <c r="T8" i="47" s="1"/>
  <c r="R39" i="47"/>
  <c r="R43" i="47"/>
  <c r="S11" i="5"/>
  <c r="S5" i="47"/>
  <c r="R102" i="5"/>
  <c r="R88" i="5"/>
  <c r="R5" i="6"/>
  <c r="R6" i="5"/>
  <c r="R47" i="5" s="1"/>
  <c r="R5" i="42"/>
  <c r="R8" i="5"/>
  <c r="R7" i="42"/>
  <c r="W99" i="32"/>
  <c r="X97" i="32"/>
  <c r="X98" i="32" s="1"/>
  <c r="S16" i="55"/>
  <c r="S33" i="54"/>
  <c r="S4" i="5"/>
  <c r="S37" i="5" s="1"/>
  <c r="S3" i="47"/>
  <c r="S17" i="55"/>
  <c r="S3" i="2"/>
  <c r="S3" i="7"/>
  <c r="S37" i="7" s="1"/>
  <c r="S3" i="6"/>
  <c r="S3" i="42"/>
  <c r="S10" i="47"/>
  <c r="S14" i="5"/>
  <c r="Q98" i="47"/>
  <c r="Q101" i="47" s="1"/>
  <c r="S160" i="32" l="1"/>
  <c r="Q96" i="32"/>
  <c r="Q122" i="32" s="1"/>
  <c r="T44" i="5"/>
  <c r="P105" i="32"/>
  <c r="P106" i="32" s="1"/>
  <c r="T99" i="42"/>
  <c r="T91" i="42"/>
  <c r="S90" i="42"/>
  <c r="S102" i="42"/>
  <c r="S93" i="42"/>
  <c r="S94" i="42"/>
  <c r="S98" i="42"/>
  <c r="S92" i="42"/>
  <c r="S100" i="42"/>
  <c r="S101" i="42"/>
  <c r="S9" i="5"/>
  <c r="S13" i="47"/>
  <c r="R17" i="5"/>
  <c r="R19" i="5"/>
  <c r="U4" i="43"/>
  <c r="U42" i="55"/>
  <c r="U5" i="43" s="1"/>
  <c r="Q9" i="55"/>
  <c r="R5" i="55"/>
  <c r="R6" i="55" s="1"/>
  <c r="R40" i="47"/>
  <c r="R41" i="47" s="1"/>
  <c r="R44" i="47" s="1"/>
  <c r="T147" i="32"/>
  <c r="AB86" i="51"/>
  <c r="S32" i="32" s="1"/>
  <c r="U18" i="43" s="1"/>
  <c r="AB13" i="51"/>
  <c r="S25" i="32" s="1"/>
  <c r="U11" i="43" s="1"/>
  <c r="AB57" i="51"/>
  <c r="S30" i="32" s="1"/>
  <c r="U16" i="43" s="1"/>
  <c r="AC74" i="51"/>
  <c r="T37" i="32"/>
  <c r="V23" i="43" s="1"/>
  <c r="AC72" i="51"/>
  <c r="AC62" i="51"/>
  <c r="AC63" i="51"/>
  <c r="AC78" i="51"/>
  <c r="AC73" i="51"/>
  <c r="AC59" i="51"/>
  <c r="AC71" i="51"/>
  <c r="AC64" i="51"/>
  <c r="AC61" i="51"/>
  <c r="AC68" i="51"/>
  <c r="AC70" i="51"/>
  <c r="AC60" i="51"/>
  <c r="T23" i="32"/>
  <c r="V9" i="43" s="1"/>
  <c r="S27" i="32"/>
  <c r="U13" i="43" s="1"/>
  <c r="AB54" i="51"/>
  <c r="S29" i="32" s="1"/>
  <c r="U15" i="43" s="1"/>
  <c r="M34" i="55"/>
  <c r="M28" i="55"/>
  <c r="M2" i="47"/>
  <c r="M2" i="42"/>
  <c r="M88" i="42" s="1"/>
  <c r="M23" i="55"/>
  <c r="M6" i="47" s="1"/>
  <c r="M32" i="54"/>
  <c r="M24" i="55"/>
  <c r="M27" i="55"/>
  <c r="M11" i="47" s="1"/>
  <c r="M2" i="7"/>
  <c r="M30" i="55"/>
  <c r="M14" i="47" s="1"/>
  <c r="M2" i="6"/>
  <c r="M2" i="2"/>
  <c r="M2" i="5"/>
  <c r="M3" i="5" s="1"/>
  <c r="M31" i="55"/>
  <c r="L70" i="42"/>
  <c r="L34" i="42"/>
  <c r="L52" i="42"/>
  <c r="L23" i="42"/>
  <c r="U82" i="50"/>
  <c r="U53" i="50"/>
  <c r="T154" i="32" s="1"/>
  <c r="U70" i="50"/>
  <c r="T157" i="32" s="1"/>
  <c r="V2" i="50"/>
  <c r="U45" i="50"/>
  <c r="T152" i="32" s="1"/>
  <c r="U26" i="50"/>
  <c r="T148" i="32" s="1"/>
  <c r="U58" i="50"/>
  <c r="T155" i="32" s="1"/>
  <c r="U35" i="50"/>
  <c r="T150" i="32" s="1"/>
  <c r="U90" i="50"/>
  <c r="T159" i="32" s="1"/>
  <c r="U65" i="50"/>
  <c r="T156" i="32" s="1"/>
  <c r="U31" i="50"/>
  <c r="T149" i="32" s="1"/>
  <c r="S147" i="32"/>
  <c r="R41" i="32"/>
  <c r="T27" i="43" s="1"/>
  <c r="R43" i="32"/>
  <c r="T29" i="43" s="1"/>
  <c r="R42" i="32"/>
  <c r="T28" i="43" s="1"/>
  <c r="M39" i="55"/>
  <c r="M3" i="43" s="1"/>
  <c r="M6" i="54"/>
  <c r="N37" i="55"/>
  <c r="M44" i="55"/>
  <c r="M6" i="43" s="1"/>
  <c r="M2" i="43"/>
  <c r="V40" i="55"/>
  <c r="S22" i="32"/>
  <c r="U8" i="54"/>
  <c r="S100" i="47"/>
  <c r="S96" i="47"/>
  <c r="S97" i="47" s="1"/>
  <c r="S5" i="6"/>
  <c r="S6" i="5"/>
  <c r="S47" i="5" s="1"/>
  <c r="S5" i="42"/>
  <c r="S39" i="47"/>
  <c r="S40" i="47" s="1"/>
  <c r="S43" i="47"/>
  <c r="U4" i="7"/>
  <c r="U26" i="55"/>
  <c r="U4" i="47"/>
  <c r="U19" i="55"/>
  <c r="U22" i="55" s="1"/>
  <c r="U12" i="5" s="1"/>
  <c r="U34" i="54"/>
  <c r="U4" i="6"/>
  <c r="U5" i="5"/>
  <c r="U4" i="42"/>
  <c r="U4" i="2"/>
  <c r="U21" i="55"/>
  <c r="U8" i="47" s="1"/>
  <c r="R98" i="47"/>
  <c r="R101" i="47" s="1"/>
  <c r="S102" i="5"/>
  <c r="S88" i="5"/>
  <c r="X99" i="32"/>
  <c r="Y97" i="32"/>
  <c r="Y98" i="32" s="1"/>
  <c r="T20" i="55"/>
  <c r="T7" i="47" s="1"/>
  <c r="T14" i="5"/>
  <c r="T10" i="47"/>
  <c r="G139" i="5"/>
  <c r="T3" i="6"/>
  <c r="T33" i="54"/>
  <c r="T4" i="5"/>
  <c r="T37" i="5" s="1"/>
  <c r="T16" i="55"/>
  <c r="T3" i="47"/>
  <c r="T3" i="42"/>
  <c r="T17" i="55"/>
  <c r="T3" i="7"/>
  <c r="T37" i="7" s="1"/>
  <c r="T3" i="2"/>
  <c r="S25" i="47"/>
  <c r="S8" i="5"/>
  <c r="S7" i="42"/>
  <c r="T11" i="5"/>
  <c r="T5" i="47"/>
  <c r="T160" i="32" l="1"/>
  <c r="R96" i="32"/>
  <c r="R122" i="32" s="1"/>
  <c r="M26" i="5"/>
  <c r="U44" i="5"/>
  <c r="Q105" i="32"/>
  <c r="Q106" i="32" s="1"/>
  <c r="U99" i="42"/>
  <c r="U91" i="42"/>
  <c r="T98" i="42"/>
  <c r="T92" i="42"/>
  <c r="T100" i="42"/>
  <c r="T102" i="42"/>
  <c r="T93" i="42"/>
  <c r="T101" i="42"/>
  <c r="T90" i="42"/>
  <c r="T94" i="42"/>
  <c r="T9" i="5"/>
  <c r="T13" i="47"/>
  <c r="S17" i="5"/>
  <c r="S19" i="5"/>
  <c r="V4" i="43"/>
  <c r="V42" i="55"/>
  <c r="V5" i="43" s="1"/>
  <c r="R9" i="55"/>
  <c r="S5" i="55"/>
  <c r="S6" i="55" s="1"/>
  <c r="U147" i="32"/>
  <c r="U20" i="55"/>
  <c r="U7" i="47" s="1"/>
  <c r="AC13" i="51"/>
  <c r="T25" i="32" s="1"/>
  <c r="V11" i="43" s="1"/>
  <c r="AC86" i="51"/>
  <c r="T32" i="32" s="1"/>
  <c r="V18" i="43" s="1"/>
  <c r="AC54" i="51"/>
  <c r="T29" i="32" s="1"/>
  <c r="V15" i="43" s="1"/>
  <c r="AD74" i="51"/>
  <c r="AD73" i="51"/>
  <c r="AD78" i="51"/>
  <c r="AD70" i="51"/>
  <c r="AD61" i="51"/>
  <c r="AD71" i="51"/>
  <c r="AD64" i="51"/>
  <c r="U23" i="32"/>
  <c r="W9" i="43" s="1"/>
  <c r="AD62" i="51"/>
  <c r="U37" i="32"/>
  <c r="W23" i="43" s="1"/>
  <c r="AD59" i="51"/>
  <c r="AD72" i="51"/>
  <c r="AD63" i="51"/>
  <c r="AD60" i="51"/>
  <c r="AD68" i="51"/>
  <c r="T27" i="32"/>
  <c r="V13" i="43" s="1"/>
  <c r="AC57" i="51"/>
  <c r="T30" i="32" s="1"/>
  <c r="V16" i="43" s="1"/>
  <c r="M32" i="55"/>
  <c r="M134" i="5"/>
  <c r="M12" i="42"/>
  <c r="M9" i="47"/>
  <c r="M13" i="5"/>
  <c r="L60" i="42"/>
  <c r="L78" i="42"/>
  <c r="L42" i="42"/>
  <c r="N1" i="42"/>
  <c r="N1" i="2"/>
  <c r="N1" i="47"/>
  <c r="N1" i="7"/>
  <c r="N1" i="5"/>
  <c r="N1" i="6"/>
  <c r="N31" i="54"/>
  <c r="M12" i="47"/>
  <c r="M15" i="5"/>
  <c r="V58" i="50"/>
  <c r="U155" i="32" s="1"/>
  <c r="V65" i="50"/>
  <c r="U156" i="32" s="1"/>
  <c r="W2" i="50"/>
  <c r="V35" i="50"/>
  <c r="U150" i="32" s="1"/>
  <c r="V70" i="50"/>
  <c r="U157" i="32" s="1"/>
  <c r="V26" i="50"/>
  <c r="U148" i="32" s="1"/>
  <c r="V31" i="50"/>
  <c r="U149" i="32" s="1"/>
  <c r="V45" i="50"/>
  <c r="U152" i="32" s="1"/>
  <c r="V82" i="50"/>
  <c r="V53" i="50"/>
  <c r="U154" i="32" s="1"/>
  <c r="V90" i="50"/>
  <c r="U159" i="32" s="1"/>
  <c r="S96" i="32"/>
  <c r="H38" i="5" s="1"/>
  <c r="S98" i="47"/>
  <c r="S101" i="47" s="1"/>
  <c r="N38" i="55"/>
  <c r="N1" i="43"/>
  <c r="N5" i="54"/>
  <c r="V8" i="54"/>
  <c r="W40" i="55"/>
  <c r="T22" i="32"/>
  <c r="M7" i="54"/>
  <c r="S41" i="32"/>
  <c r="U27" i="43" s="1"/>
  <c r="S43" i="32"/>
  <c r="U29" i="43" s="1"/>
  <c r="S42" i="32"/>
  <c r="U28" i="43" s="1"/>
  <c r="T43" i="47"/>
  <c r="T39" i="47"/>
  <c r="T40" i="47" s="1"/>
  <c r="T5" i="42"/>
  <c r="T6" i="5"/>
  <c r="T47" i="5" s="1"/>
  <c r="T5" i="6"/>
  <c r="T8" i="5"/>
  <c r="T7" i="42"/>
  <c r="T96" i="47"/>
  <c r="T100" i="47"/>
  <c r="T97" i="47"/>
  <c r="U10" i="47"/>
  <c r="U14" i="5"/>
  <c r="T102" i="5"/>
  <c r="T88" i="5"/>
  <c r="U33" i="54"/>
  <c r="U3" i="47"/>
  <c r="U3" i="7"/>
  <c r="U37" i="7" s="1"/>
  <c r="U3" i="42"/>
  <c r="U3" i="2"/>
  <c r="U4" i="5"/>
  <c r="U37" i="5" s="1"/>
  <c r="U16" i="55"/>
  <c r="U17" i="55"/>
  <c r="U3" i="6"/>
  <c r="U5" i="47"/>
  <c r="U11" i="5"/>
  <c r="V26" i="55"/>
  <c r="V4" i="7"/>
  <c r="V4" i="47"/>
  <c r="V21" i="55"/>
  <c r="V8" i="47" s="1"/>
  <c r="V4" i="42"/>
  <c r="V4" i="2"/>
  <c r="V4" i="6"/>
  <c r="V19" i="55"/>
  <c r="V5" i="5"/>
  <c r="V34" i="54"/>
  <c r="S41" i="47"/>
  <c r="S44" i="47" s="1"/>
  <c r="T25" i="47"/>
  <c r="T72" i="47"/>
  <c r="Y99" i="32"/>
  <c r="Z97" i="32"/>
  <c r="Z98" i="32" s="1"/>
  <c r="U160" i="32" l="1"/>
  <c r="G30" i="5"/>
  <c r="H30" i="5"/>
  <c r="I30" i="5"/>
  <c r="J30" i="5"/>
  <c r="K30" i="5"/>
  <c r="L30" i="5"/>
  <c r="M30" i="5"/>
  <c r="S122" i="32"/>
  <c r="G38" i="5"/>
  <c r="G36" i="5" s="1"/>
  <c r="I38" i="5"/>
  <c r="J38" i="5"/>
  <c r="K38" i="5"/>
  <c r="L38" i="5"/>
  <c r="M38" i="5"/>
  <c r="R105" i="32"/>
  <c r="R106" i="32" s="1"/>
  <c r="V99" i="42"/>
  <c r="V91" i="42"/>
  <c r="U101" i="42"/>
  <c r="U102" i="42"/>
  <c r="U100" i="42"/>
  <c r="U94" i="42"/>
  <c r="U93" i="42"/>
  <c r="U98" i="42"/>
  <c r="U90" i="42"/>
  <c r="U92" i="42"/>
  <c r="U9" i="5"/>
  <c r="U13" i="47"/>
  <c r="T17" i="5"/>
  <c r="T19" i="5"/>
  <c r="W4" i="43"/>
  <c r="W42" i="55"/>
  <c r="W5" i="43" s="1"/>
  <c r="S9" i="55"/>
  <c r="T5" i="55"/>
  <c r="T6" i="55" s="1"/>
  <c r="V147" i="32"/>
  <c r="AD13" i="51"/>
  <c r="U25" i="32" s="1"/>
  <c r="W11" i="43" s="1"/>
  <c r="AD86" i="51"/>
  <c r="U32" i="32" s="1"/>
  <c r="W18" i="43" s="1"/>
  <c r="AD54" i="51"/>
  <c r="U29" i="32" s="1"/>
  <c r="W15" i="43" s="1"/>
  <c r="AD57" i="51"/>
  <c r="U30" i="32" s="1"/>
  <c r="W16" i="43" s="1"/>
  <c r="U27" i="32"/>
  <c r="W13" i="43" s="1"/>
  <c r="AE64" i="51"/>
  <c r="AE59" i="51"/>
  <c r="AE73" i="51"/>
  <c r="AE68" i="51"/>
  <c r="AE78" i="51"/>
  <c r="AE61" i="51"/>
  <c r="AE71" i="51"/>
  <c r="V37" i="32"/>
  <c r="X23" i="43" s="1"/>
  <c r="AE74" i="51"/>
  <c r="AE63" i="51"/>
  <c r="AE72" i="51"/>
  <c r="AE70" i="51"/>
  <c r="AE60" i="51"/>
  <c r="AE62" i="51"/>
  <c r="V23" i="32"/>
  <c r="X9" i="43" s="1"/>
  <c r="N30" i="55"/>
  <c r="N14" i="47" s="1"/>
  <c r="N2" i="7"/>
  <c r="N2" i="2"/>
  <c r="N2" i="42"/>
  <c r="N88" i="42" s="1"/>
  <c r="N34" i="55"/>
  <c r="N28" i="55"/>
  <c r="N2" i="47"/>
  <c r="N2" i="6"/>
  <c r="N23" i="55"/>
  <c r="N6" i="47" s="1"/>
  <c r="N24" i="55"/>
  <c r="N2" i="5"/>
  <c r="N3" i="5" s="1"/>
  <c r="N27" i="55"/>
  <c r="N11" i="47" s="1"/>
  <c r="N32" i="54"/>
  <c r="N31" i="55"/>
  <c r="M23" i="42"/>
  <c r="M52" i="42"/>
  <c r="M70" i="42"/>
  <c r="M34" i="42"/>
  <c r="W65" i="50"/>
  <c r="V156" i="32" s="1"/>
  <c r="W31" i="50"/>
  <c r="V149" i="32" s="1"/>
  <c r="W53" i="50"/>
  <c r="V154" i="32" s="1"/>
  <c r="W58" i="50"/>
  <c r="V155" i="32" s="1"/>
  <c r="W26" i="50"/>
  <c r="V148" i="32" s="1"/>
  <c r="W45" i="50"/>
  <c r="V152" i="32" s="1"/>
  <c r="X2" i="50"/>
  <c r="W82" i="50"/>
  <c r="W90" i="50"/>
  <c r="V159" i="32" s="1"/>
  <c r="W35" i="50"/>
  <c r="V150" i="32" s="1"/>
  <c r="W70" i="50"/>
  <c r="V157" i="32" s="1"/>
  <c r="T96" i="32"/>
  <c r="T122" i="32" s="1"/>
  <c r="V20" i="55"/>
  <c r="V7" i="47" s="1"/>
  <c r="T41" i="32"/>
  <c r="V27" i="43" s="1"/>
  <c r="T42" i="32"/>
  <c r="V28" i="43" s="1"/>
  <c r="T43" i="32"/>
  <c r="V29" i="43" s="1"/>
  <c r="U22" i="32"/>
  <c r="X40" i="55"/>
  <c r="W8" i="54"/>
  <c r="N44" i="55"/>
  <c r="N6" i="43" s="1"/>
  <c r="N39" i="55"/>
  <c r="N3" i="43" s="1"/>
  <c r="O37" i="55"/>
  <c r="N6" i="54"/>
  <c r="N2" i="43"/>
  <c r="V5" i="47"/>
  <c r="V11" i="5"/>
  <c r="V17" i="55"/>
  <c r="V3" i="47"/>
  <c r="V3" i="2"/>
  <c r="V3" i="42"/>
  <c r="V3" i="6"/>
  <c r="V4" i="5"/>
  <c r="V37" i="5" s="1"/>
  <c r="V16" i="55"/>
  <c r="V3" i="7"/>
  <c r="V37" i="7" s="1"/>
  <c r="V33" i="54"/>
  <c r="U43" i="47"/>
  <c r="U39" i="47"/>
  <c r="U8" i="5"/>
  <c r="U7" i="42"/>
  <c r="W26" i="55"/>
  <c r="W4" i="7"/>
  <c r="W4" i="6"/>
  <c r="W4" i="42"/>
  <c r="W34" i="54"/>
  <c r="W19" i="55"/>
  <c r="W4" i="2"/>
  <c r="W21" i="55"/>
  <c r="W8" i="47" s="1"/>
  <c r="W4" i="47"/>
  <c r="W5" i="5"/>
  <c r="U88" i="5"/>
  <c r="U102" i="5"/>
  <c r="U5" i="6"/>
  <c r="U6" i="5"/>
  <c r="U47" i="5" s="1"/>
  <c r="U5" i="42"/>
  <c r="T98" i="47"/>
  <c r="T101" i="47" s="1"/>
  <c r="AA97" i="32"/>
  <c r="AA98" i="32" s="1"/>
  <c r="Z99" i="32"/>
  <c r="V22" i="55"/>
  <c r="V12" i="5" s="1"/>
  <c r="V14" i="5"/>
  <c r="V10" i="47"/>
  <c r="U25" i="47"/>
  <c r="U72" i="47"/>
  <c r="U100" i="47"/>
  <c r="U96" i="47"/>
  <c r="U97" i="47" s="1"/>
  <c r="T41" i="47"/>
  <c r="T44" i="47" s="1"/>
  <c r="V160" i="32" l="1"/>
  <c r="N26" i="5"/>
  <c r="N38" i="5"/>
  <c r="N30" i="5"/>
  <c r="V44" i="5"/>
  <c r="S105" i="32"/>
  <c r="S106" i="32" s="1"/>
  <c r="W99" i="42"/>
  <c r="W91" i="42"/>
  <c r="V102" i="42"/>
  <c r="V93" i="42"/>
  <c r="V101" i="42"/>
  <c r="V98" i="42"/>
  <c r="V94" i="42"/>
  <c r="V90" i="42"/>
  <c r="V92" i="42"/>
  <c r="V100" i="42"/>
  <c r="V9" i="5"/>
  <c r="V13" i="47"/>
  <c r="U17" i="5"/>
  <c r="U19" i="5"/>
  <c r="X4" i="43"/>
  <c r="X42" i="55"/>
  <c r="X5" i="43" s="1"/>
  <c r="T9" i="55"/>
  <c r="U5" i="55"/>
  <c r="U6" i="55" s="1"/>
  <c r="U40" i="47"/>
  <c r="U41" i="47" s="1"/>
  <c r="U44" i="47" s="1"/>
  <c r="W147" i="32"/>
  <c r="AE13" i="51"/>
  <c r="V25" i="32" s="1"/>
  <c r="X11" i="43" s="1"/>
  <c r="AE86" i="51"/>
  <c r="V32" i="32" s="1"/>
  <c r="X18" i="43" s="1"/>
  <c r="AF72" i="51"/>
  <c r="AF68" i="51"/>
  <c r="AF61" i="51"/>
  <c r="AF64" i="51"/>
  <c r="AF70" i="51"/>
  <c r="AF78" i="51"/>
  <c r="W37" i="32"/>
  <c r="Y23" i="43" s="1"/>
  <c r="AF60" i="51"/>
  <c r="W23" i="32"/>
  <c r="Y9" i="43" s="1"/>
  <c r="AF62" i="51"/>
  <c r="AF59" i="51"/>
  <c r="AF63" i="51"/>
  <c r="AF74" i="51"/>
  <c r="AF71" i="51"/>
  <c r="AF73" i="51"/>
  <c r="AE57" i="51"/>
  <c r="V30" i="32" s="1"/>
  <c r="X16" i="43" s="1"/>
  <c r="V27" i="32"/>
  <c r="X13" i="43" s="1"/>
  <c r="AE54" i="51"/>
  <c r="V29" i="32" s="1"/>
  <c r="X15" i="43" s="1"/>
  <c r="N32" i="55"/>
  <c r="N12" i="42"/>
  <c r="N134" i="5"/>
  <c r="N9" i="47"/>
  <c r="N13" i="5"/>
  <c r="N12" i="47"/>
  <c r="N15" i="5"/>
  <c r="M78" i="42"/>
  <c r="M60" i="42"/>
  <c r="M42" i="42"/>
  <c r="O1" i="7"/>
  <c r="O1" i="6"/>
  <c r="O31" i="54"/>
  <c r="O1" i="5"/>
  <c r="O1" i="47"/>
  <c r="O1" i="2"/>
  <c r="O1" i="42"/>
  <c r="X45" i="50"/>
  <c r="W152" i="32" s="1"/>
  <c r="X90" i="50"/>
  <c r="W159" i="32" s="1"/>
  <c r="X53" i="50"/>
  <c r="W154" i="32" s="1"/>
  <c r="Y2" i="50"/>
  <c r="X26" i="50"/>
  <c r="W148" i="32" s="1"/>
  <c r="X35" i="50"/>
  <c r="W150" i="32" s="1"/>
  <c r="X65" i="50"/>
  <c r="W156" i="32" s="1"/>
  <c r="X70" i="50"/>
  <c r="W157" i="32" s="1"/>
  <c r="X82" i="50"/>
  <c r="X58" i="50"/>
  <c r="W155" i="32" s="1"/>
  <c r="X31" i="50"/>
  <c r="W149" i="32" s="1"/>
  <c r="U96" i="32"/>
  <c r="U122" i="32" s="1"/>
  <c r="W20" i="55"/>
  <c r="W7" i="47" s="1"/>
  <c r="N7" i="54"/>
  <c r="X8" i="54"/>
  <c r="V22" i="32"/>
  <c r="Y40" i="55"/>
  <c r="U42" i="32"/>
  <c r="W28" i="43" s="1"/>
  <c r="U43" i="32"/>
  <c r="W29" i="43" s="1"/>
  <c r="U41" i="32"/>
  <c r="W27" i="43" s="1"/>
  <c r="U98" i="47"/>
  <c r="U101" i="47" s="1"/>
  <c r="O1" i="43"/>
  <c r="O38" i="55"/>
  <c r="O5" i="54"/>
  <c r="V100" i="47"/>
  <c r="V96" i="47"/>
  <c r="V97" i="47" s="1"/>
  <c r="AB97" i="32"/>
  <c r="AB98" i="32" s="1"/>
  <c r="AA99" i="32"/>
  <c r="X5" i="5"/>
  <c r="X4" i="47"/>
  <c r="X19" i="55"/>
  <c r="X22" i="55" s="1"/>
  <c r="X12" i="5" s="1"/>
  <c r="X4" i="6"/>
  <c r="X4" i="7"/>
  <c r="X4" i="2"/>
  <c r="X4" i="42"/>
  <c r="X34" i="54"/>
  <c r="X21" i="55"/>
  <c r="X8" i="47" s="1"/>
  <c r="X26" i="55"/>
  <c r="V6" i="5"/>
  <c r="V47" i="5" s="1"/>
  <c r="V5" i="6"/>
  <c r="V5" i="42"/>
  <c r="W16" i="55"/>
  <c r="W3" i="42"/>
  <c r="W3" i="7"/>
  <c r="W37" i="7" s="1"/>
  <c r="W3" i="6"/>
  <c r="W4" i="5"/>
  <c r="W37" i="5" s="1"/>
  <c r="W3" i="47"/>
  <c r="W33" i="54"/>
  <c r="W17" i="55"/>
  <c r="W3" i="2"/>
  <c r="W10" i="47"/>
  <c r="W14" i="5"/>
  <c r="V8" i="5"/>
  <c r="V7" i="42"/>
  <c r="V43" i="47"/>
  <c r="V39" i="47"/>
  <c r="V40" i="47" s="1"/>
  <c r="W11" i="5"/>
  <c r="W5" i="47"/>
  <c r="W22" i="55"/>
  <c r="W12" i="5" s="1"/>
  <c r="V88" i="5"/>
  <c r="V102" i="5"/>
  <c r="V25" i="47"/>
  <c r="V72" i="47"/>
  <c r="W160" i="32" l="1"/>
  <c r="X44" i="5"/>
  <c r="W44" i="5"/>
  <c r="T105" i="32"/>
  <c r="T106" i="32" s="1"/>
  <c r="X99" i="42"/>
  <c r="X91" i="42"/>
  <c r="W101" i="42"/>
  <c r="W98" i="42"/>
  <c r="W93" i="42"/>
  <c r="W100" i="42"/>
  <c r="W94" i="42"/>
  <c r="W90" i="42"/>
  <c r="W92" i="42"/>
  <c r="W102" i="42"/>
  <c r="W9" i="5"/>
  <c r="W13" i="47"/>
  <c r="V17" i="5"/>
  <c r="V19" i="5"/>
  <c r="Y4" i="43"/>
  <c r="Y42" i="55"/>
  <c r="Y5" i="43" s="1"/>
  <c r="U9" i="55"/>
  <c r="V5" i="55"/>
  <c r="V6" i="55" s="1"/>
  <c r="V41" i="47"/>
  <c r="V44" i="47" s="1"/>
  <c r="X147" i="32"/>
  <c r="AF13" i="51"/>
  <c r="W25" i="32" s="1"/>
  <c r="Y11" i="43" s="1"/>
  <c r="AF86" i="51"/>
  <c r="W32" i="32" s="1"/>
  <c r="Y18" i="43" s="1"/>
  <c r="AF54" i="51"/>
  <c r="W29" i="32" s="1"/>
  <c r="Y15" i="43" s="1"/>
  <c r="AF57" i="51"/>
  <c r="W30" i="32" s="1"/>
  <c r="Y16" i="43" s="1"/>
  <c r="W27" i="32"/>
  <c r="Y13" i="43" s="1"/>
  <c r="AG68" i="51"/>
  <c r="AG74" i="51"/>
  <c r="AG73" i="51"/>
  <c r="AG64" i="51"/>
  <c r="AG59" i="51"/>
  <c r="AG70" i="51"/>
  <c r="AG63" i="51"/>
  <c r="AG60" i="51"/>
  <c r="AG78" i="51"/>
  <c r="AG61" i="51"/>
  <c r="AG72" i="51"/>
  <c r="AG62" i="51"/>
  <c r="X37" i="32"/>
  <c r="Z23" i="43" s="1"/>
  <c r="AG71" i="51"/>
  <c r="X23" i="32"/>
  <c r="Z9" i="43" s="1"/>
  <c r="N52" i="42"/>
  <c r="N70" i="42"/>
  <c r="N34" i="42"/>
  <c r="O2" i="7"/>
  <c r="O32" i="54"/>
  <c r="O2" i="47"/>
  <c r="O27" i="55"/>
  <c r="O11" i="47" s="1"/>
  <c r="O34" i="55"/>
  <c r="O28" i="55"/>
  <c r="O2" i="2"/>
  <c r="O24" i="55"/>
  <c r="O2" i="6"/>
  <c r="O30" i="55"/>
  <c r="O14" i="47" s="1"/>
  <c r="O2" i="5"/>
  <c r="O3" i="5" s="1"/>
  <c r="O23" i="55"/>
  <c r="O6" i="47" s="1"/>
  <c r="O31" i="55"/>
  <c r="O2" i="42"/>
  <c r="O88" i="42" s="1"/>
  <c r="N23" i="42"/>
  <c r="Y65" i="50"/>
  <c r="X156" i="32" s="1"/>
  <c r="Y90" i="50"/>
  <c r="X159" i="32" s="1"/>
  <c r="Y82" i="50"/>
  <c r="Y53" i="50"/>
  <c r="X154" i="32" s="1"/>
  <c r="Y35" i="50"/>
  <c r="X150" i="32" s="1"/>
  <c r="Y70" i="50"/>
  <c r="X157" i="32" s="1"/>
  <c r="Y31" i="50"/>
  <c r="X149" i="32" s="1"/>
  <c r="Z2" i="50"/>
  <c r="Y26" i="50"/>
  <c r="X148" i="32" s="1"/>
  <c r="Y58" i="50"/>
  <c r="X155" i="32" s="1"/>
  <c r="Y45" i="50"/>
  <c r="X152" i="32" s="1"/>
  <c r="V96" i="32"/>
  <c r="V122" i="32" s="1"/>
  <c r="V98" i="47"/>
  <c r="V101" i="47" s="1"/>
  <c r="Y8" i="54"/>
  <c r="Z40" i="55"/>
  <c r="W22" i="32"/>
  <c r="O2" i="43"/>
  <c r="P37" i="55"/>
  <c r="O6" i="54"/>
  <c r="O44" i="55"/>
  <c r="O6" i="43" s="1"/>
  <c r="O39" i="55"/>
  <c r="O3" i="43" s="1"/>
  <c r="V42" i="32"/>
  <c r="X28" i="43" s="1"/>
  <c r="V41" i="32"/>
  <c r="X27" i="43" s="1"/>
  <c r="V43" i="32"/>
  <c r="X29" i="43" s="1"/>
  <c r="W25" i="47"/>
  <c r="W5" i="6"/>
  <c r="W6" i="5"/>
  <c r="W47" i="5" s="1"/>
  <c r="W5" i="42"/>
  <c r="X14" i="5"/>
  <c r="X10" i="47"/>
  <c r="X3" i="6"/>
  <c r="X17" i="55"/>
  <c r="X3" i="47"/>
  <c r="X4" i="5"/>
  <c r="X37" i="5" s="1"/>
  <c r="X16" i="55"/>
  <c r="X3" i="42"/>
  <c r="X33" i="54"/>
  <c r="X3" i="7"/>
  <c r="X37" i="7" s="1"/>
  <c r="X3" i="2"/>
  <c r="AB99" i="32"/>
  <c r="AC97" i="32"/>
  <c r="AC98" i="32" s="1"/>
  <c r="W39" i="47"/>
  <c r="W43" i="47"/>
  <c r="W88" i="5"/>
  <c r="W102" i="5"/>
  <c r="W7" i="42"/>
  <c r="W8" i="5"/>
  <c r="Y4" i="6"/>
  <c r="Y4" i="47"/>
  <c r="Y26" i="55"/>
  <c r="Y34" i="54"/>
  <c r="Y4" i="42"/>
  <c r="Y21" i="55"/>
  <c r="Y8" i="47" s="1"/>
  <c r="Y4" i="2"/>
  <c r="Y4" i="7"/>
  <c r="Y5" i="5"/>
  <c r="Y19" i="55"/>
  <c r="Y22" i="55" s="1"/>
  <c r="Y12" i="5" s="1"/>
  <c r="X11" i="5"/>
  <c r="X5" i="47"/>
  <c r="W100" i="47"/>
  <c r="W96" i="47"/>
  <c r="W97" i="47" s="1"/>
  <c r="X20" i="55"/>
  <c r="X7" i="47" s="1"/>
  <c r="X160" i="32" l="1"/>
  <c r="O26" i="5"/>
  <c r="O38" i="5"/>
  <c r="O30" i="5"/>
  <c r="Y44" i="5"/>
  <c r="U105" i="32"/>
  <c r="U106" i="32" s="1"/>
  <c r="Y91" i="42"/>
  <c r="Y99" i="42"/>
  <c r="X101" i="42"/>
  <c r="X94" i="42"/>
  <c r="X100" i="42"/>
  <c r="X102" i="42"/>
  <c r="X90" i="42"/>
  <c r="X92" i="42"/>
  <c r="X98" i="42"/>
  <c r="X93" i="42"/>
  <c r="X9" i="5"/>
  <c r="X13" i="47"/>
  <c r="W17" i="5"/>
  <c r="W19" i="5"/>
  <c r="Z4" i="43"/>
  <c r="Z42" i="55"/>
  <c r="Z5" i="43" s="1"/>
  <c r="V9" i="55"/>
  <c r="W5" i="55"/>
  <c r="W6" i="55" s="1"/>
  <c r="W40" i="47"/>
  <c r="W41" i="47" s="1"/>
  <c r="W44" i="47" s="1"/>
  <c r="Y147" i="32"/>
  <c r="AG13" i="51"/>
  <c r="X25" i="32" s="1"/>
  <c r="Z11" i="43" s="1"/>
  <c r="AG54" i="51"/>
  <c r="X29" i="32" s="1"/>
  <c r="Z15" i="43" s="1"/>
  <c r="AG57" i="51"/>
  <c r="X30" i="32" s="1"/>
  <c r="Z16" i="43" s="1"/>
  <c r="AH64" i="51"/>
  <c r="AH61" i="51"/>
  <c r="AH78" i="51"/>
  <c r="AH73" i="51"/>
  <c r="AH72" i="51"/>
  <c r="AH59" i="51"/>
  <c r="AH74" i="51"/>
  <c r="AH68" i="51"/>
  <c r="AH70" i="51"/>
  <c r="Y37" i="32"/>
  <c r="AA23" i="43" s="1"/>
  <c r="AH71" i="51"/>
  <c r="AH60" i="51"/>
  <c r="AH63" i="51"/>
  <c r="AH62" i="51"/>
  <c r="Y23" i="32"/>
  <c r="AA9" i="43" s="1"/>
  <c r="X27" i="32"/>
  <c r="Z13" i="43" s="1"/>
  <c r="AG86" i="51"/>
  <c r="X32" i="32" s="1"/>
  <c r="Z18" i="43" s="1"/>
  <c r="O13" i="5"/>
  <c r="O9" i="47"/>
  <c r="P31" i="54"/>
  <c r="P1" i="2"/>
  <c r="P1" i="7"/>
  <c r="P1" i="6"/>
  <c r="P1" i="47"/>
  <c r="P1" i="5"/>
  <c r="P1" i="42"/>
  <c r="O15" i="5"/>
  <c r="O12" i="47"/>
  <c r="N78" i="42"/>
  <c r="N42" i="42"/>
  <c r="N60" i="42"/>
  <c r="O134" i="5"/>
  <c r="O12" i="42"/>
  <c r="O32" i="55"/>
  <c r="AA2" i="50"/>
  <c r="Z82" i="50"/>
  <c r="Z26" i="50"/>
  <c r="Y148" i="32" s="1"/>
  <c r="Z53" i="50"/>
  <c r="Y154" i="32" s="1"/>
  <c r="Z65" i="50"/>
  <c r="Y156" i="32" s="1"/>
  <c r="Z35" i="50"/>
  <c r="Y150" i="32" s="1"/>
  <c r="Z90" i="50"/>
  <c r="Y159" i="32" s="1"/>
  <c r="Z70" i="50"/>
  <c r="Y157" i="32" s="1"/>
  <c r="Z58" i="50"/>
  <c r="Y155" i="32" s="1"/>
  <c r="Z45" i="50"/>
  <c r="Y152" i="32" s="1"/>
  <c r="Z31" i="50"/>
  <c r="Y149" i="32" s="1"/>
  <c r="W96" i="32"/>
  <c r="W122" i="32" s="1"/>
  <c r="W98" i="47"/>
  <c r="W101" i="47" s="1"/>
  <c r="P1" i="43"/>
  <c r="P5" i="54"/>
  <c r="P38" i="55"/>
  <c r="X22" i="32"/>
  <c r="AA40" i="55"/>
  <c r="Z8" i="54"/>
  <c r="O7" i="54"/>
  <c r="W42" i="32"/>
  <c r="Y28" i="43" s="1"/>
  <c r="W43" i="32"/>
  <c r="Y29" i="43" s="1"/>
  <c r="W41" i="32"/>
  <c r="Y27" i="43" s="1"/>
  <c r="Y11" i="5"/>
  <c r="Y5" i="47"/>
  <c r="X8" i="5"/>
  <c r="X7" i="42"/>
  <c r="Y17" i="55"/>
  <c r="Y3" i="6"/>
  <c r="Y3" i="7"/>
  <c r="Y37" i="7" s="1"/>
  <c r="Y3" i="2"/>
  <c r="Y4" i="5"/>
  <c r="Y37" i="5" s="1"/>
  <c r="Y33" i="54"/>
  <c r="Y16" i="55"/>
  <c r="Y3" i="47"/>
  <c r="Y3" i="42"/>
  <c r="Y20" i="55"/>
  <c r="Y7" i="47" s="1"/>
  <c r="Z4" i="42"/>
  <c r="Z5" i="5"/>
  <c r="Z26" i="55"/>
  <c r="Z4" i="7"/>
  <c r="Z19" i="55"/>
  <c r="Z22" i="55" s="1"/>
  <c r="Z12" i="5" s="1"/>
  <c r="Z21" i="55"/>
  <c r="Z8" i="47" s="1"/>
  <c r="Z4" i="47"/>
  <c r="Z4" i="2"/>
  <c r="Z34" i="54"/>
  <c r="Z4" i="6"/>
  <c r="X102" i="5"/>
  <c r="X88" i="5"/>
  <c r="X5" i="6"/>
  <c r="X6" i="5"/>
  <c r="X47" i="5" s="1"/>
  <c r="X5" i="42"/>
  <c r="X39" i="47"/>
  <c r="X43" i="47"/>
  <c r="X25" i="47"/>
  <c r="X72" i="47"/>
  <c r="X100" i="47"/>
  <c r="X96" i="47"/>
  <c r="X97" i="47" s="1"/>
  <c r="Y10" i="47"/>
  <c r="Y14" i="5"/>
  <c r="AC99" i="32"/>
  <c r="AD97" i="32"/>
  <c r="AD98" i="32" s="1"/>
  <c r="Y160" i="32" l="1"/>
  <c r="Z44" i="5"/>
  <c r="V105" i="32"/>
  <c r="V106" i="32" s="1"/>
  <c r="Z99" i="42"/>
  <c r="Z91" i="42"/>
  <c r="Y101" i="42"/>
  <c r="Y100" i="42"/>
  <c r="Y94" i="42"/>
  <c r="Y90" i="42"/>
  <c r="Y92" i="42"/>
  <c r="Y98" i="42"/>
  <c r="Y102" i="42"/>
  <c r="Y93" i="42"/>
  <c r="Y9" i="5"/>
  <c r="Y13" i="47"/>
  <c r="X17" i="5"/>
  <c r="X19" i="5"/>
  <c r="AA4" i="43"/>
  <c r="AA42" i="55"/>
  <c r="AA5" i="43" s="1"/>
  <c r="W9" i="55"/>
  <c r="X5" i="55"/>
  <c r="X6" i="55" s="1"/>
  <c r="Z147" i="32"/>
  <c r="X40" i="47"/>
  <c r="X41" i="47" s="1"/>
  <c r="X44" i="47" s="1"/>
  <c r="AH13" i="51"/>
  <c r="Y25" i="32" s="1"/>
  <c r="AA11" i="43" s="1"/>
  <c r="AH86" i="51"/>
  <c r="Y32" i="32" s="1"/>
  <c r="AA18" i="43" s="1"/>
  <c r="AH54" i="51"/>
  <c r="Y29" i="32" s="1"/>
  <c r="AA15" i="43" s="1"/>
  <c r="Z37" i="32"/>
  <c r="AB23" i="43" s="1"/>
  <c r="AI72" i="51"/>
  <c r="AI71" i="51"/>
  <c r="AI74" i="51"/>
  <c r="AI68" i="51"/>
  <c r="AI73" i="51"/>
  <c r="AI60" i="51"/>
  <c r="AI78" i="51"/>
  <c r="AI59" i="51"/>
  <c r="AI63" i="51"/>
  <c r="AI61" i="51"/>
  <c r="Z23" i="32"/>
  <c r="AB9" i="43" s="1"/>
  <c r="AI64" i="51"/>
  <c r="AI70" i="51"/>
  <c r="AI62" i="51"/>
  <c r="AH57" i="51"/>
  <c r="Y30" i="32" s="1"/>
  <c r="AA16" i="43" s="1"/>
  <c r="Y27" i="32"/>
  <c r="AA13" i="43" s="1"/>
  <c r="O23" i="42"/>
  <c r="O34" i="42"/>
  <c r="O52" i="42"/>
  <c r="O70" i="42"/>
  <c r="P2" i="47"/>
  <c r="P2" i="42"/>
  <c r="P88" i="42" s="1"/>
  <c r="P2" i="7"/>
  <c r="P23" i="55"/>
  <c r="P6" i="47" s="1"/>
  <c r="P30" i="55"/>
  <c r="P14" i="47" s="1"/>
  <c r="P2" i="6"/>
  <c r="P34" i="55"/>
  <c r="P2" i="5"/>
  <c r="P3" i="5" s="1"/>
  <c r="P27" i="55"/>
  <c r="P11" i="47" s="1"/>
  <c r="P32" i="54"/>
  <c r="P2" i="2"/>
  <c r="P28" i="55"/>
  <c r="P24" i="55"/>
  <c r="P31" i="55"/>
  <c r="AA90" i="50"/>
  <c r="Z159" i="32" s="1"/>
  <c r="AB2" i="50"/>
  <c r="AA26" i="50"/>
  <c r="Z148" i="32" s="1"/>
  <c r="AA35" i="50"/>
  <c r="Z150" i="32" s="1"/>
  <c r="AA65" i="50"/>
  <c r="Z156" i="32" s="1"/>
  <c r="AA31" i="50"/>
  <c r="Z149" i="32" s="1"/>
  <c r="AA58" i="50"/>
  <c r="Z155" i="32" s="1"/>
  <c r="AA53" i="50"/>
  <c r="Z154" i="32" s="1"/>
  <c r="AA70" i="50"/>
  <c r="Z157" i="32" s="1"/>
  <c r="AA45" i="50"/>
  <c r="Z152" i="32" s="1"/>
  <c r="AA82" i="50"/>
  <c r="X96" i="32"/>
  <c r="X122" i="32" s="1"/>
  <c r="AA8" i="54"/>
  <c r="AB40" i="55"/>
  <c r="Y22" i="32"/>
  <c r="P6" i="54"/>
  <c r="P44" i="55"/>
  <c r="P6" i="43" s="1"/>
  <c r="Q37" i="55"/>
  <c r="P39" i="55"/>
  <c r="P3" i="43" s="1"/>
  <c r="P2" i="43"/>
  <c r="X42" i="32"/>
  <c r="Z28" i="43" s="1"/>
  <c r="X43" i="32"/>
  <c r="Z29" i="43" s="1"/>
  <c r="X41" i="32"/>
  <c r="Z27" i="43" s="1"/>
  <c r="Y100" i="47"/>
  <c r="Y96" i="47"/>
  <c r="Y97" i="47" s="1"/>
  <c r="X98" i="47"/>
  <c r="X101" i="47" s="1"/>
  <c r="AA4" i="6"/>
  <c r="AA4" i="47"/>
  <c r="AA4" i="2"/>
  <c r="AA21" i="55"/>
  <c r="AA8" i="47" s="1"/>
  <c r="AA26" i="55"/>
  <c r="AA5" i="5"/>
  <c r="AA19" i="55"/>
  <c r="AA4" i="42"/>
  <c r="AA4" i="7"/>
  <c r="AA34" i="54"/>
  <c r="Y102" i="5"/>
  <c r="Y88" i="5"/>
  <c r="Y39" i="47"/>
  <c r="Y43" i="47"/>
  <c r="AE97" i="32"/>
  <c r="AE98" i="32" s="1"/>
  <c r="AD99" i="32"/>
  <c r="Z14" i="5"/>
  <c r="Z10" i="47"/>
  <c r="Y25" i="47"/>
  <c r="Y72" i="47"/>
  <c r="Y6" i="5"/>
  <c r="Y47" i="5" s="1"/>
  <c r="Y5" i="42"/>
  <c r="Y5" i="6"/>
  <c r="Z33" i="54"/>
  <c r="Z3" i="47"/>
  <c r="Z4" i="5"/>
  <c r="Z37" i="5" s="1"/>
  <c r="Z3" i="2"/>
  <c r="Z3" i="42"/>
  <c r="Z16" i="55"/>
  <c r="Z3" i="6"/>
  <c r="Z17" i="55"/>
  <c r="Z3" i="7"/>
  <c r="Z37" i="7" s="1"/>
  <c r="Y8" i="5"/>
  <c r="Y7" i="42"/>
  <c r="Z20" i="55"/>
  <c r="Z7" i="47" s="1"/>
  <c r="Z5" i="47"/>
  <c r="Z11" i="5"/>
  <c r="Z160" i="32" l="1"/>
  <c r="P26" i="5"/>
  <c r="P38" i="5"/>
  <c r="P30" i="5"/>
  <c r="W105" i="32"/>
  <c r="W106" i="32" s="1"/>
  <c r="AA99" i="42"/>
  <c r="AA91" i="42"/>
  <c r="Z101" i="42"/>
  <c r="Z100" i="42"/>
  <c r="Z94" i="42"/>
  <c r="Z90" i="42"/>
  <c r="Z92" i="42"/>
  <c r="Z98" i="42"/>
  <c r="Z93" i="42"/>
  <c r="Z102" i="42"/>
  <c r="Z9" i="5"/>
  <c r="Z13" i="47"/>
  <c r="Y17" i="5"/>
  <c r="Y19" i="5"/>
  <c r="AB4" i="43"/>
  <c r="AB42" i="55"/>
  <c r="AB5" i="43" s="1"/>
  <c r="X9" i="55"/>
  <c r="Y5" i="55"/>
  <c r="Y6" i="55" s="1"/>
  <c r="AA147" i="32"/>
  <c r="AI86" i="51"/>
  <c r="Z32" i="32" s="1"/>
  <c r="AB18" i="43" s="1"/>
  <c r="AI13" i="51"/>
  <c r="Z25" i="32" s="1"/>
  <c r="AB11" i="43" s="1"/>
  <c r="Y40" i="47"/>
  <c r="Y41" i="47" s="1"/>
  <c r="Y44" i="47" s="1"/>
  <c r="AI57" i="51"/>
  <c r="Z30" i="32" s="1"/>
  <c r="AB16" i="43" s="1"/>
  <c r="AJ72" i="51"/>
  <c r="AJ71" i="51"/>
  <c r="AJ62" i="51"/>
  <c r="AA23" i="32"/>
  <c r="AC9" i="43" s="1"/>
  <c r="AJ78" i="51"/>
  <c r="AJ63" i="51"/>
  <c r="AJ74" i="51"/>
  <c r="AA37" i="32"/>
  <c r="AC23" i="43" s="1"/>
  <c r="AJ60" i="51"/>
  <c r="AJ73" i="51"/>
  <c r="AJ64" i="51"/>
  <c r="AJ70" i="51"/>
  <c r="AJ68" i="51"/>
  <c r="AJ59" i="51"/>
  <c r="AJ61" i="51"/>
  <c r="AI54" i="51"/>
  <c r="Z29" i="32" s="1"/>
  <c r="AB15" i="43" s="1"/>
  <c r="Z27" i="32"/>
  <c r="AB13" i="43" s="1"/>
  <c r="P12" i="47"/>
  <c r="P15" i="5"/>
  <c r="Q1" i="7"/>
  <c r="Q1" i="42"/>
  <c r="Q31" i="54"/>
  <c r="Q1" i="2"/>
  <c r="Q1" i="6"/>
  <c r="Q1" i="5"/>
  <c r="Q1" i="47"/>
  <c r="O42" i="42"/>
  <c r="O78" i="42"/>
  <c r="O60" i="42"/>
  <c r="P12" i="42"/>
  <c r="P134" i="5"/>
  <c r="P32" i="55"/>
  <c r="P13" i="5"/>
  <c r="P9" i="47"/>
  <c r="AB65" i="50"/>
  <c r="AA156" i="32" s="1"/>
  <c r="AB35" i="50"/>
  <c r="AA150" i="32" s="1"/>
  <c r="AB53" i="50"/>
  <c r="AA154" i="32" s="1"/>
  <c r="AB58" i="50"/>
  <c r="AA155" i="32" s="1"/>
  <c r="AB45" i="50"/>
  <c r="AA152" i="32" s="1"/>
  <c r="AB90" i="50"/>
  <c r="AA159" i="32" s="1"/>
  <c r="AB26" i="50"/>
  <c r="AA148" i="32" s="1"/>
  <c r="AB82" i="50"/>
  <c r="AB31" i="50"/>
  <c r="AA149" i="32" s="1"/>
  <c r="AB70" i="50"/>
  <c r="AA157" i="32" s="1"/>
  <c r="AC2" i="50"/>
  <c r="Y96" i="32"/>
  <c r="Y122" i="32" s="1"/>
  <c r="Y98" i="47"/>
  <c r="Y101" i="47" s="1"/>
  <c r="Q1" i="43"/>
  <c r="Q5" i="54"/>
  <c r="Q38" i="55"/>
  <c r="AB8" i="54"/>
  <c r="Z22" i="32"/>
  <c r="AC40" i="55"/>
  <c r="P7" i="54"/>
  <c r="Y42" i="32"/>
  <c r="AA28" i="43" s="1"/>
  <c r="Y41" i="32"/>
  <c r="AA27" i="43" s="1"/>
  <c r="Y43" i="32"/>
  <c r="AA29" i="43" s="1"/>
  <c r="Z86" i="47"/>
  <c r="Z5" i="6"/>
  <c r="Z6" i="5"/>
  <c r="Z47" i="5" s="1"/>
  <c r="Z5" i="42"/>
  <c r="AE99" i="32"/>
  <c r="AF97" i="32"/>
  <c r="AF98" i="32" s="1"/>
  <c r="AA17" i="55"/>
  <c r="AA3" i="42"/>
  <c r="AA3" i="47"/>
  <c r="AA3" i="6"/>
  <c r="AA3" i="2"/>
  <c r="AA4" i="5"/>
  <c r="AA37" i="5" s="1"/>
  <c r="AA33" i="54"/>
  <c r="AA16" i="55"/>
  <c r="AA3" i="7"/>
  <c r="AA37" i="7" s="1"/>
  <c r="AA11" i="5"/>
  <c r="AA5" i="47"/>
  <c r="Z43" i="47"/>
  <c r="Z39" i="47"/>
  <c r="Z40" i="47" s="1"/>
  <c r="Z88" i="5"/>
  <c r="Z102" i="5"/>
  <c r="AB26" i="55"/>
  <c r="AB5" i="5"/>
  <c r="AB4" i="47"/>
  <c r="AB21" i="55"/>
  <c r="AB8" i="47" s="1"/>
  <c r="AB4" i="6"/>
  <c r="AB4" i="42"/>
  <c r="AB34" i="54"/>
  <c r="AB19" i="55"/>
  <c r="AB22" i="55" s="1"/>
  <c r="AB12" i="5" s="1"/>
  <c r="AB4" i="7"/>
  <c r="AB4" i="2"/>
  <c r="Z7" i="42"/>
  <c r="Z8" i="5"/>
  <c r="Z25" i="47"/>
  <c r="Z72" i="47"/>
  <c r="AA10" i="47"/>
  <c r="AA14" i="5"/>
  <c r="AA22" i="55"/>
  <c r="AA12" i="5" s="1"/>
  <c r="Z100" i="47"/>
  <c r="Z96" i="47"/>
  <c r="Z97" i="47" s="1"/>
  <c r="AA20" i="55"/>
  <c r="AA7" i="47" s="1"/>
  <c r="AA160" i="32" l="1"/>
  <c r="AB44" i="5"/>
  <c r="AA44" i="5"/>
  <c r="X105" i="32"/>
  <c r="X106" i="32" s="1"/>
  <c r="AB99" i="42"/>
  <c r="AB91" i="42"/>
  <c r="AA101" i="42"/>
  <c r="AA90" i="42"/>
  <c r="AA98" i="42"/>
  <c r="AA92" i="42"/>
  <c r="AA100" i="42"/>
  <c r="AA102" i="42"/>
  <c r="AA93" i="42"/>
  <c r="AA94" i="42"/>
  <c r="AA9" i="5"/>
  <c r="AA13" i="47"/>
  <c r="Z17" i="5"/>
  <c r="Z19" i="5"/>
  <c r="AC4" i="43"/>
  <c r="AC42" i="55"/>
  <c r="AC5" i="43" s="1"/>
  <c r="Y9" i="55"/>
  <c r="Z5" i="55"/>
  <c r="Z6" i="55" s="1"/>
  <c r="AB147" i="32"/>
  <c r="AJ13" i="51"/>
  <c r="AA25" i="32" s="1"/>
  <c r="AC11" i="43" s="1"/>
  <c r="AJ54" i="51"/>
  <c r="AA29" i="32" s="1"/>
  <c r="AC15" i="43" s="1"/>
  <c r="AA27" i="32"/>
  <c r="AC13" i="43" s="1"/>
  <c r="AJ86" i="51"/>
  <c r="AA32" i="32" s="1"/>
  <c r="AC18" i="43" s="1"/>
  <c r="AK59" i="51"/>
  <c r="AK70" i="51"/>
  <c r="AK60" i="51"/>
  <c r="AK73" i="51"/>
  <c r="AK71" i="51"/>
  <c r="AK61" i="51"/>
  <c r="AK63" i="51"/>
  <c r="AK62" i="51"/>
  <c r="AK78" i="51"/>
  <c r="AK64" i="51"/>
  <c r="AK72" i="51"/>
  <c r="AK68" i="51"/>
  <c r="AB23" i="32"/>
  <c r="AD9" i="43" s="1"/>
  <c r="AB37" i="32"/>
  <c r="AD23" i="43" s="1"/>
  <c r="AK74" i="51"/>
  <c r="AJ57" i="51"/>
  <c r="AA30" i="32" s="1"/>
  <c r="AC16" i="43" s="1"/>
  <c r="P23" i="42"/>
  <c r="Q2" i="42"/>
  <c r="Q88" i="42" s="1"/>
  <c r="Q23" i="55"/>
  <c r="Q6" i="47" s="1"/>
  <c r="Q24" i="55"/>
  <c r="Q28" i="55"/>
  <c r="Q31" i="55"/>
  <c r="Q2" i="2"/>
  <c r="Q2" i="7"/>
  <c r="Q2" i="5"/>
  <c r="Q3" i="5" s="1"/>
  <c r="Q30" i="55"/>
  <c r="Q14" i="47" s="1"/>
  <c r="Q27" i="55"/>
  <c r="Q11" i="47" s="1"/>
  <c r="Q32" i="54"/>
  <c r="Q2" i="47"/>
  <c r="Q2" i="6"/>
  <c r="Q34" i="55"/>
  <c r="P70" i="42"/>
  <c r="P34" i="42"/>
  <c r="P52" i="42"/>
  <c r="AC35" i="50"/>
  <c r="AB150" i="32" s="1"/>
  <c r="AD2" i="50"/>
  <c r="AC45" i="50"/>
  <c r="AB152" i="32" s="1"/>
  <c r="AC65" i="50"/>
  <c r="AB156" i="32" s="1"/>
  <c r="AC53" i="50"/>
  <c r="AB154" i="32" s="1"/>
  <c r="AC58" i="50"/>
  <c r="AB155" i="32" s="1"/>
  <c r="AC31" i="50"/>
  <c r="AB149" i="32" s="1"/>
  <c r="AC82" i="50"/>
  <c r="AC70" i="50"/>
  <c r="AB157" i="32" s="1"/>
  <c r="AC90" i="50"/>
  <c r="AB159" i="32" s="1"/>
  <c r="AC26" i="50"/>
  <c r="AB148" i="32" s="1"/>
  <c r="Z96" i="32"/>
  <c r="Z122" i="32" s="1"/>
  <c r="Z42" i="32"/>
  <c r="AB28" i="43" s="1"/>
  <c r="Z41" i="32"/>
  <c r="AB27" i="43" s="1"/>
  <c r="Z43" i="32"/>
  <c r="AB29" i="43" s="1"/>
  <c r="Q2" i="43"/>
  <c r="R37" i="55"/>
  <c r="Q39" i="55"/>
  <c r="Q3" i="43" s="1"/>
  <c r="Q6" i="54"/>
  <c r="Q44" i="55"/>
  <c r="Q6" i="43" s="1"/>
  <c r="AA22" i="32"/>
  <c r="AD40" i="55"/>
  <c r="AC8" i="54"/>
  <c r="Z41" i="47"/>
  <c r="Z44" i="47" s="1"/>
  <c r="AB3" i="6"/>
  <c r="AB3" i="47"/>
  <c r="AB17" i="55"/>
  <c r="AB4" i="5"/>
  <c r="AB37" i="5" s="1"/>
  <c r="AB33" i="54"/>
  <c r="AB3" i="42"/>
  <c r="AB16" i="55"/>
  <c r="AB3" i="7"/>
  <c r="AB37" i="7" s="1"/>
  <c r="AB3" i="2"/>
  <c r="AA86" i="47"/>
  <c r="Z98" i="47"/>
  <c r="Z101" i="47" s="1"/>
  <c r="AB14" i="5"/>
  <c r="AB10" i="47"/>
  <c r="AA5" i="6"/>
  <c r="AA5" i="42"/>
  <c r="AA6" i="5"/>
  <c r="AA47" i="5" s="1"/>
  <c r="AA100" i="47"/>
  <c r="AA96" i="47"/>
  <c r="AA97" i="47" s="1"/>
  <c r="AB11" i="5"/>
  <c r="AB5" i="47"/>
  <c r="AC5" i="5"/>
  <c r="AC4" i="2"/>
  <c r="AC26" i="55"/>
  <c r="AC4" i="42"/>
  <c r="AC4" i="6"/>
  <c r="AC19" i="55"/>
  <c r="AC22" i="55" s="1"/>
  <c r="AC12" i="5" s="1"/>
  <c r="AC34" i="54"/>
  <c r="AC4" i="7"/>
  <c r="AC4" i="47"/>
  <c r="AC21" i="55"/>
  <c r="AC8" i="47" s="1"/>
  <c r="AB20" i="55"/>
  <c r="AB7" i="47" s="1"/>
  <c r="AA43" i="47"/>
  <c r="AA39" i="47"/>
  <c r="AA8" i="5"/>
  <c r="AA7" i="42"/>
  <c r="AG97" i="32"/>
  <c r="AF99" i="32"/>
  <c r="AA25" i="47"/>
  <c r="AA88" i="5"/>
  <c r="AA102" i="5"/>
  <c r="AB160" i="32" l="1"/>
  <c r="Q26" i="5"/>
  <c r="Q38" i="5"/>
  <c r="Q30" i="5"/>
  <c r="AC44" i="5"/>
  <c r="Y105" i="32"/>
  <c r="Y106" i="32" s="1"/>
  <c r="AC99" i="42"/>
  <c r="AC91" i="42"/>
  <c r="AB101" i="42"/>
  <c r="AB98" i="42"/>
  <c r="AB92" i="42"/>
  <c r="AB102" i="42"/>
  <c r="AB93" i="42"/>
  <c r="AB90" i="42"/>
  <c r="AB94" i="42"/>
  <c r="AB100" i="42"/>
  <c r="AG98" i="32"/>
  <c r="AH97" i="32"/>
  <c r="AB9" i="5"/>
  <c r="AB13" i="47"/>
  <c r="AA17" i="5"/>
  <c r="AA19" i="5"/>
  <c r="AD4" i="43"/>
  <c r="AD42" i="55"/>
  <c r="AD5" i="43" s="1"/>
  <c r="Z9" i="55"/>
  <c r="AA5" i="55"/>
  <c r="AA6" i="55" s="1"/>
  <c r="AC147" i="32"/>
  <c r="AK13" i="51"/>
  <c r="AB25" i="32" s="1"/>
  <c r="AD11" i="43" s="1"/>
  <c r="AK86" i="51"/>
  <c r="AB32" i="32" s="1"/>
  <c r="AD18" i="43" s="1"/>
  <c r="AK54" i="51"/>
  <c r="AB29" i="32" s="1"/>
  <c r="AD15" i="43" s="1"/>
  <c r="AB27" i="32"/>
  <c r="AD13" i="43" s="1"/>
  <c r="AK57" i="51"/>
  <c r="AB30" i="32" s="1"/>
  <c r="AD16" i="43" s="1"/>
  <c r="AL64" i="51"/>
  <c r="AL73" i="51"/>
  <c r="AL60" i="51"/>
  <c r="AL68" i="51"/>
  <c r="AL78" i="51"/>
  <c r="AL72" i="51"/>
  <c r="AL61" i="51"/>
  <c r="AC37" i="32"/>
  <c r="AE23" i="43" s="1"/>
  <c r="AC23" i="32"/>
  <c r="AE9" i="43" s="1"/>
  <c r="AL59" i="51"/>
  <c r="AL71" i="51"/>
  <c r="AL63" i="51"/>
  <c r="AL70" i="51"/>
  <c r="AL74" i="51"/>
  <c r="AL62" i="51"/>
  <c r="Q134" i="5"/>
  <c r="Q12" i="42"/>
  <c r="Q32" i="55"/>
  <c r="Q12" i="47"/>
  <c r="Q15" i="5"/>
  <c r="P42" i="42"/>
  <c r="P60" i="42"/>
  <c r="P78" i="42"/>
  <c r="Q13" i="5"/>
  <c r="Q9" i="47"/>
  <c r="R1" i="5"/>
  <c r="R1" i="2"/>
  <c r="R31" i="54"/>
  <c r="R1" i="47"/>
  <c r="R1" i="42"/>
  <c r="R1" i="7"/>
  <c r="R1" i="6"/>
  <c r="AD35" i="50"/>
  <c r="AC150" i="32" s="1"/>
  <c r="AD90" i="50"/>
  <c r="AC159" i="32" s="1"/>
  <c r="AD31" i="50"/>
  <c r="AC149" i="32" s="1"/>
  <c r="AD82" i="50"/>
  <c r="AD26" i="50"/>
  <c r="AC148" i="32" s="1"/>
  <c r="AD58" i="50"/>
  <c r="AC155" i="32" s="1"/>
  <c r="AD70" i="50"/>
  <c r="AC157" i="32" s="1"/>
  <c r="AD45" i="50"/>
  <c r="AC152" i="32" s="1"/>
  <c r="AD53" i="50"/>
  <c r="AC154" i="32" s="1"/>
  <c r="AE2" i="50"/>
  <c r="AD65" i="50"/>
  <c r="AC156" i="32" s="1"/>
  <c r="AA96" i="32"/>
  <c r="AA122" i="32" s="1"/>
  <c r="AA98" i="47"/>
  <c r="AA101" i="47" s="1"/>
  <c r="AD8" i="54"/>
  <c r="AE40" i="55"/>
  <c r="AB22" i="32"/>
  <c r="Q7" i="54"/>
  <c r="AA43" i="32"/>
  <c r="AC29" i="43" s="1"/>
  <c r="AA41" i="32"/>
  <c r="AC27" i="43" s="1"/>
  <c r="AA42" i="32"/>
  <c r="AC28" i="43" s="1"/>
  <c r="R1" i="43"/>
  <c r="R38" i="55"/>
  <c r="R5" i="54"/>
  <c r="AC20" i="55"/>
  <c r="AC7" i="47" s="1"/>
  <c r="AC86" i="47" s="1"/>
  <c r="AB86" i="47"/>
  <c r="AC14" i="5"/>
  <c r="AC10" i="47"/>
  <c r="AB5" i="42"/>
  <c r="AB5" i="6"/>
  <c r="AB6" i="5"/>
  <c r="AB47" i="5" s="1"/>
  <c r="AG99" i="32"/>
  <c r="AD4" i="2"/>
  <c r="AD4" i="6"/>
  <c r="AD26" i="55"/>
  <c r="AD4" i="47"/>
  <c r="AD5" i="5"/>
  <c r="AD19" i="55"/>
  <c r="AD22" i="55" s="1"/>
  <c r="AD12" i="5" s="1"/>
  <c r="AD4" i="42"/>
  <c r="AD21" i="55"/>
  <c r="AD8" i="47" s="1"/>
  <c r="AD4" i="7"/>
  <c r="AD34" i="54"/>
  <c r="AB96" i="47"/>
  <c r="AB97" i="47" s="1"/>
  <c r="AB100" i="47"/>
  <c r="AB8" i="5"/>
  <c r="AB7" i="42"/>
  <c r="AB102" i="5"/>
  <c r="AB88" i="5"/>
  <c r="AC3" i="6"/>
  <c r="AC3" i="42"/>
  <c r="AC4" i="5"/>
  <c r="AC37" i="5" s="1"/>
  <c r="AC3" i="47"/>
  <c r="AC3" i="2"/>
  <c r="AC17" i="55"/>
  <c r="AC3" i="7"/>
  <c r="AC37" i="7" s="1"/>
  <c r="AC33" i="54"/>
  <c r="AC16" i="55"/>
  <c r="AA40" i="47"/>
  <c r="AA41" i="47" s="1"/>
  <c r="AA44" i="47" s="1"/>
  <c r="AC11" i="5"/>
  <c r="AC5" i="47"/>
  <c r="AB39" i="47"/>
  <c r="AB43" i="47"/>
  <c r="AB25" i="47"/>
  <c r="AB72" i="47"/>
  <c r="AC160" i="32" l="1"/>
  <c r="AD44" i="5"/>
  <c r="Z105" i="32"/>
  <c r="Z106" i="32" s="1"/>
  <c r="AD91" i="42"/>
  <c r="AD99" i="42"/>
  <c r="AH98" i="32"/>
  <c r="AH99" i="32"/>
  <c r="AC101" i="42"/>
  <c r="AC102" i="42"/>
  <c r="AC100" i="42"/>
  <c r="AC94" i="42"/>
  <c r="AC93" i="42"/>
  <c r="AC98" i="42"/>
  <c r="AC90" i="42"/>
  <c r="AC92" i="42"/>
  <c r="AC9" i="5"/>
  <c r="AC13" i="47"/>
  <c r="AB17" i="5"/>
  <c r="AB19" i="5"/>
  <c r="AE4" i="43"/>
  <c r="AE42" i="55"/>
  <c r="AE5" i="43" s="1"/>
  <c r="AA9" i="55"/>
  <c r="AB5" i="55"/>
  <c r="AB6" i="55" s="1"/>
  <c r="AD147" i="32"/>
  <c r="AL13" i="51"/>
  <c r="AC25" i="32" s="1"/>
  <c r="AE11" i="43" s="1"/>
  <c r="AM72" i="51"/>
  <c r="AM59" i="51"/>
  <c r="AM73" i="51"/>
  <c r="AM68" i="51"/>
  <c r="AM63" i="51"/>
  <c r="AM60" i="51"/>
  <c r="AM64" i="51"/>
  <c r="AM78" i="51"/>
  <c r="AM61" i="51"/>
  <c r="AM71" i="51"/>
  <c r="AM70" i="51"/>
  <c r="AM62" i="51"/>
  <c r="AD37" i="32"/>
  <c r="AF23" i="43" s="1"/>
  <c r="AD23" i="32"/>
  <c r="AF9" i="43" s="1"/>
  <c r="AM74" i="51"/>
  <c r="AL57" i="51"/>
  <c r="AC30" i="32" s="1"/>
  <c r="AE16" i="43" s="1"/>
  <c r="AL54" i="51"/>
  <c r="AC29" i="32" s="1"/>
  <c r="AE15" i="43" s="1"/>
  <c r="AL86" i="51"/>
  <c r="AC32" i="32" s="1"/>
  <c r="AE18" i="43" s="1"/>
  <c r="AC27" i="32"/>
  <c r="AE13" i="43" s="1"/>
  <c r="Q34" i="42"/>
  <c r="Q70" i="42"/>
  <c r="Q52" i="42"/>
  <c r="R28" i="55"/>
  <c r="R2" i="5"/>
  <c r="R3" i="5" s="1"/>
  <c r="R23" i="55"/>
  <c r="R6" i="47" s="1"/>
  <c r="R31" i="55"/>
  <c r="R2" i="47"/>
  <c r="R27" i="55"/>
  <c r="R11" i="47" s="1"/>
  <c r="R32" i="54"/>
  <c r="R24" i="55"/>
  <c r="R2" i="2"/>
  <c r="R34" i="55"/>
  <c r="R30" i="55"/>
  <c r="R14" i="47" s="1"/>
  <c r="R2" i="7"/>
  <c r="R2" i="6"/>
  <c r="R2" i="42"/>
  <c r="R88" i="42" s="1"/>
  <c r="Q23" i="42"/>
  <c r="AE31" i="50"/>
  <c r="AD149" i="32" s="1"/>
  <c r="AE26" i="50"/>
  <c r="AD148" i="32" s="1"/>
  <c r="AE53" i="50"/>
  <c r="AD154" i="32" s="1"/>
  <c r="AE45" i="50"/>
  <c r="AD152" i="32" s="1"/>
  <c r="AE82" i="50"/>
  <c r="AF2" i="50"/>
  <c r="AE35" i="50"/>
  <c r="AD150" i="32" s="1"/>
  <c r="AE90" i="50"/>
  <c r="AD159" i="32" s="1"/>
  <c r="AE58" i="50"/>
  <c r="AD155" i="32" s="1"/>
  <c r="AE65" i="50"/>
  <c r="AD156" i="32" s="1"/>
  <c r="AE70" i="50"/>
  <c r="AD157" i="32" s="1"/>
  <c r="AD20" i="55"/>
  <c r="AD7" i="47" s="1"/>
  <c r="AD86" i="47" s="1"/>
  <c r="AB96" i="32"/>
  <c r="AB122" i="32" s="1"/>
  <c r="R44" i="55"/>
  <c r="R6" i="43" s="1"/>
  <c r="R6" i="54"/>
  <c r="R2" i="43"/>
  <c r="S37" i="55"/>
  <c r="R39" i="55"/>
  <c r="R3" i="43" s="1"/>
  <c r="AE8" i="54"/>
  <c r="AC22" i="32"/>
  <c r="AF40" i="55"/>
  <c r="AB42" i="32"/>
  <c r="AD28" i="43" s="1"/>
  <c r="AB43" i="32"/>
  <c r="AD29" i="43" s="1"/>
  <c r="AB41" i="32"/>
  <c r="AD27" i="43" s="1"/>
  <c r="AC88" i="5"/>
  <c r="AC102" i="5"/>
  <c r="AB98" i="47"/>
  <c r="AB101" i="47" s="1"/>
  <c r="AD14" i="5"/>
  <c r="AD10" i="47"/>
  <c r="AD5" i="47"/>
  <c r="AD11" i="5"/>
  <c r="AB40" i="47"/>
  <c r="AB41" i="47" s="1"/>
  <c r="AB44" i="47" s="1"/>
  <c r="AC8" i="5"/>
  <c r="AC7" i="42"/>
  <c r="AC6" i="5"/>
  <c r="AC47" i="5" s="1"/>
  <c r="AC5" i="6"/>
  <c r="AC5" i="42"/>
  <c r="AD3" i="42"/>
  <c r="AD3" i="6"/>
  <c r="AD4" i="5"/>
  <c r="AD37" i="5" s="1"/>
  <c r="AD3" i="2"/>
  <c r="AD17" i="55"/>
  <c r="AD16" i="55"/>
  <c r="AD33" i="54"/>
  <c r="AD3" i="7"/>
  <c r="AD37" i="7" s="1"/>
  <c r="AD3" i="47"/>
  <c r="AE4" i="42"/>
  <c r="AE4" i="6"/>
  <c r="AE4" i="2"/>
  <c r="AE5" i="5"/>
  <c r="AE26" i="55"/>
  <c r="AE4" i="7"/>
  <c r="AE19" i="55"/>
  <c r="AE22" i="55" s="1"/>
  <c r="AE12" i="5" s="1"/>
  <c r="AE21" i="55"/>
  <c r="AE8" i="47" s="1"/>
  <c r="AE34" i="54"/>
  <c r="AE4" i="47"/>
  <c r="AC39" i="47"/>
  <c r="AC43" i="47"/>
  <c r="AC25" i="47"/>
  <c r="AC72" i="47"/>
  <c r="AC96" i="47"/>
  <c r="AC97" i="47" s="1"/>
  <c r="AC100" i="47"/>
  <c r="AD160" i="32" l="1"/>
  <c r="R26" i="5"/>
  <c r="R38" i="5"/>
  <c r="R30" i="5"/>
  <c r="AE44" i="5"/>
  <c r="AA105" i="32"/>
  <c r="AA106" i="32" s="1"/>
  <c r="AE99" i="42"/>
  <c r="AE91" i="42"/>
  <c r="AD101" i="42"/>
  <c r="AD98" i="42"/>
  <c r="AD94" i="42"/>
  <c r="AD102" i="42"/>
  <c r="AD93" i="42"/>
  <c r="AD92" i="42"/>
  <c r="AD100" i="42"/>
  <c r="AD90" i="42"/>
  <c r="AD9" i="5"/>
  <c r="AD13" i="47"/>
  <c r="AC17" i="5"/>
  <c r="AC19" i="5"/>
  <c r="AF4" i="43"/>
  <c r="AF42" i="55"/>
  <c r="AF5" i="43" s="1"/>
  <c r="AB9" i="55"/>
  <c r="AC5" i="55"/>
  <c r="AC6" i="55" s="1"/>
  <c r="AE147" i="32"/>
  <c r="AM13" i="51"/>
  <c r="AD25" i="32" s="1"/>
  <c r="AF11" i="43" s="1"/>
  <c r="AM54" i="51"/>
  <c r="AD29" i="32" s="1"/>
  <c r="AF15" i="43" s="1"/>
  <c r="AN70" i="51"/>
  <c r="AN68" i="51"/>
  <c r="AN71" i="51"/>
  <c r="AN61" i="51"/>
  <c r="AN74" i="51"/>
  <c r="AN62" i="51"/>
  <c r="AN63" i="51"/>
  <c r="AN73" i="51"/>
  <c r="AN78" i="51"/>
  <c r="AN59" i="51"/>
  <c r="AE37" i="32"/>
  <c r="AG23" i="43" s="1"/>
  <c r="AN72" i="51"/>
  <c r="AE23" i="32"/>
  <c r="AG9" i="43" s="1"/>
  <c r="AN60" i="51"/>
  <c r="AN64" i="51"/>
  <c r="AM86" i="51"/>
  <c r="AD32" i="32" s="1"/>
  <c r="AF18" i="43" s="1"/>
  <c r="AM57" i="51"/>
  <c r="AD30" i="32" s="1"/>
  <c r="AF16" i="43" s="1"/>
  <c r="AD27" i="32"/>
  <c r="AF13" i="43" s="1"/>
  <c r="Q42" i="42"/>
  <c r="Q60" i="42"/>
  <c r="Q78" i="42"/>
  <c r="S1" i="42"/>
  <c r="S1" i="47"/>
  <c r="S1" i="6"/>
  <c r="S1" i="2"/>
  <c r="S1" i="5"/>
  <c r="S31" i="54"/>
  <c r="S1" i="7"/>
  <c r="R9" i="47"/>
  <c r="R13" i="5"/>
  <c r="R134" i="5"/>
  <c r="R12" i="42"/>
  <c r="R32" i="55"/>
  <c r="R15" i="5"/>
  <c r="R12" i="47"/>
  <c r="AF90" i="50"/>
  <c r="AE159" i="32" s="1"/>
  <c r="AF82" i="50"/>
  <c r="AF31" i="50"/>
  <c r="AE149" i="32" s="1"/>
  <c r="AF58" i="50"/>
  <c r="AE155" i="32" s="1"/>
  <c r="AF35" i="50"/>
  <c r="AE150" i="32" s="1"/>
  <c r="AF70" i="50"/>
  <c r="AE157" i="32" s="1"/>
  <c r="AF45" i="50"/>
  <c r="AE152" i="32" s="1"/>
  <c r="AF65" i="50"/>
  <c r="AE156" i="32" s="1"/>
  <c r="AF26" i="50"/>
  <c r="AE148" i="32" s="1"/>
  <c r="AG2" i="50"/>
  <c r="AF53" i="50"/>
  <c r="AE154" i="32" s="1"/>
  <c r="AC96" i="32"/>
  <c r="AC122" i="32" s="1"/>
  <c r="AF8" i="54"/>
  <c r="AD22" i="32"/>
  <c r="AG40" i="55"/>
  <c r="R7" i="54"/>
  <c r="AC41" i="32"/>
  <c r="AE27" i="43" s="1"/>
  <c r="AC42" i="32"/>
  <c r="AE28" i="43" s="1"/>
  <c r="AC43" i="32"/>
  <c r="AE29" i="43" s="1"/>
  <c r="S5" i="54"/>
  <c r="S38" i="55"/>
  <c r="S1" i="43"/>
  <c r="AE14" i="5"/>
  <c r="AE10" i="47"/>
  <c r="AD102" i="5"/>
  <c r="AD88" i="5"/>
  <c r="AD25" i="47"/>
  <c r="AD72" i="47"/>
  <c r="AD8" i="5"/>
  <c r="AD7" i="42"/>
  <c r="AD43" i="47"/>
  <c r="AD39" i="47"/>
  <c r="AD96" i="47"/>
  <c r="AD97" i="47" s="1"/>
  <c r="AD100" i="47"/>
  <c r="AC40" i="47"/>
  <c r="AC41" i="47" s="1"/>
  <c r="AC44" i="47" s="1"/>
  <c r="AC98" i="47"/>
  <c r="AC101" i="47" s="1"/>
  <c r="AF4" i="2"/>
  <c r="AF4" i="7"/>
  <c r="AF21" i="55"/>
  <c r="AF8" i="47" s="1"/>
  <c r="AF34" i="54"/>
  <c r="AF26" i="55"/>
  <c r="AF4" i="42"/>
  <c r="AF5" i="5"/>
  <c r="AF19" i="55"/>
  <c r="AF22" i="55" s="1"/>
  <c r="AF12" i="5" s="1"/>
  <c r="AF4" i="47"/>
  <c r="AF4" i="6"/>
  <c r="AE5" i="47"/>
  <c r="AE11" i="5"/>
  <c r="AE20" i="55"/>
  <c r="AE7" i="47" s="1"/>
  <c r="AD6" i="5"/>
  <c r="AD47" i="5" s="1"/>
  <c r="AD5" i="42"/>
  <c r="AD5" i="6"/>
  <c r="AE17" i="55"/>
  <c r="AE33" i="54"/>
  <c r="AE16" i="55"/>
  <c r="AE4" i="5"/>
  <c r="AE37" i="5" s="1"/>
  <c r="AE3" i="6"/>
  <c r="AE3" i="7"/>
  <c r="AE37" i="7" s="1"/>
  <c r="AE3" i="47"/>
  <c r="AE3" i="42"/>
  <c r="AE3" i="2"/>
  <c r="AE160" i="32" l="1"/>
  <c r="AF44" i="5"/>
  <c r="AB105" i="32"/>
  <c r="AB106" i="32" s="1"/>
  <c r="AF99" i="42"/>
  <c r="AF91" i="42"/>
  <c r="AE101" i="42"/>
  <c r="AE102" i="42"/>
  <c r="AE93" i="42"/>
  <c r="AE98" i="42"/>
  <c r="AE94" i="42"/>
  <c r="AE90" i="42"/>
  <c r="AE100" i="42"/>
  <c r="AE92" i="42"/>
  <c r="AE9" i="5"/>
  <c r="AE13" i="47"/>
  <c r="AD17" i="5"/>
  <c r="AD19" i="5"/>
  <c r="AG4" i="43"/>
  <c r="AG42" i="55"/>
  <c r="AG5" i="43" s="1"/>
  <c r="AC9" i="55"/>
  <c r="AD5" i="55"/>
  <c r="AD6" i="55" s="1"/>
  <c r="AF147" i="32"/>
  <c r="AN13" i="51"/>
  <c r="AE25" i="32" s="1"/>
  <c r="AG11" i="43" s="1"/>
  <c r="AN86" i="51"/>
  <c r="AE32" i="32" s="1"/>
  <c r="AG18" i="43" s="1"/>
  <c r="AE27" i="32"/>
  <c r="AG13" i="43" s="1"/>
  <c r="AN57" i="51"/>
  <c r="AE30" i="32" s="1"/>
  <c r="AG16" i="43" s="1"/>
  <c r="AN54" i="51"/>
  <c r="AE29" i="32" s="1"/>
  <c r="AG15" i="43" s="1"/>
  <c r="AO70" i="51"/>
  <c r="AO64" i="51"/>
  <c r="AO73" i="51"/>
  <c r="AF23" i="32"/>
  <c r="AH9" i="43" s="1"/>
  <c r="AO62" i="51"/>
  <c r="AO59" i="51"/>
  <c r="AO60" i="51"/>
  <c r="AF37" i="32"/>
  <c r="AH23" i="43" s="1"/>
  <c r="AO71" i="51"/>
  <c r="AO72" i="51"/>
  <c r="AO63" i="51"/>
  <c r="AO61" i="51"/>
  <c r="AO74" i="51"/>
  <c r="AO68" i="51"/>
  <c r="AO78" i="51"/>
  <c r="R23" i="42"/>
  <c r="R70" i="42"/>
  <c r="R34" i="42"/>
  <c r="R52" i="42"/>
  <c r="S30" i="55"/>
  <c r="S14" i="47" s="1"/>
  <c r="S28" i="55"/>
  <c r="S2" i="7"/>
  <c r="S2" i="2"/>
  <c r="S24" i="55"/>
  <c r="S2" i="6"/>
  <c r="S32" i="54"/>
  <c r="S34" i="55"/>
  <c r="S2" i="47"/>
  <c r="S23" i="55"/>
  <c r="S6" i="47" s="1"/>
  <c r="S31" i="55"/>
  <c r="S2" i="5"/>
  <c r="S3" i="5" s="1"/>
  <c r="S2" i="42"/>
  <c r="S88" i="42" s="1"/>
  <c r="S27" i="55"/>
  <c r="S11" i="47" s="1"/>
  <c r="AG31" i="50"/>
  <c r="AF149" i="32" s="1"/>
  <c r="AH2" i="50"/>
  <c r="AG58" i="50"/>
  <c r="AF155" i="32" s="1"/>
  <c r="AG26" i="50"/>
  <c r="AF148" i="32" s="1"/>
  <c r="AG82" i="50"/>
  <c r="AG35" i="50"/>
  <c r="AF150" i="32" s="1"/>
  <c r="AG70" i="50"/>
  <c r="AF157" i="32" s="1"/>
  <c r="AG65" i="50"/>
  <c r="AF156" i="32" s="1"/>
  <c r="AG45" i="50"/>
  <c r="AF152" i="32" s="1"/>
  <c r="AG90" i="50"/>
  <c r="AF159" i="32" s="1"/>
  <c r="AG53" i="50"/>
  <c r="AF154" i="32" s="1"/>
  <c r="AD96" i="32"/>
  <c r="AD122" i="32" s="1"/>
  <c r="AF20" i="55"/>
  <c r="AF7" i="47" s="1"/>
  <c r="AF86" i="47" s="1"/>
  <c r="AD43" i="32"/>
  <c r="AF29" i="43" s="1"/>
  <c r="AD42" i="32"/>
  <c r="AF28" i="43" s="1"/>
  <c r="AD41" i="32"/>
  <c r="AF27" i="43" s="1"/>
  <c r="S44" i="55"/>
  <c r="S6" i="43" s="1"/>
  <c r="S39" i="55"/>
  <c r="S3" i="43" s="1"/>
  <c r="S6" i="54"/>
  <c r="T37" i="55"/>
  <c r="S2" i="43"/>
  <c r="AE22" i="32"/>
  <c r="AG8" i="54"/>
  <c r="AH40" i="55"/>
  <c r="AE6" i="5"/>
  <c r="AE47" i="5" s="1"/>
  <c r="AE5" i="42"/>
  <c r="AE5" i="6"/>
  <c r="AE88" i="5"/>
  <c r="AE102" i="5"/>
  <c r="AE96" i="47"/>
  <c r="AE97" i="47" s="1"/>
  <c r="AE100" i="47"/>
  <c r="AE25" i="47"/>
  <c r="AE7" i="42"/>
  <c r="AE8" i="5"/>
  <c r="AE39" i="47"/>
  <c r="AE40" i="47" s="1"/>
  <c r="AE43" i="47"/>
  <c r="AF14" i="5"/>
  <c r="AF10" i="47"/>
  <c r="AF11" i="5"/>
  <c r="AF5" i="47"/>
  <c r="AD98" i="47"/>
  <c r="AD101" i="47" s="1"/>
  <c r="AD40" i="47"/>
  <c r="AD41" i="47" s="1"/>
  <c r="AD44" i="47" s="1"/>
  <c r="AE86" i="47"/>
  <c r="AF33" i="54"/>
  <c r="AF3" i="7"/>
  <c r="AF37" i="7" s="1"/>
  <c r="AF4" i="5"/>
  <c r="AF37" i="5" s="1"/>
  <c r="AF3" i="2"/>
  <c r="AF3" i="42"/>
  <c r="AF17" i="55"/>
  <c r="AF3" i="47"/>
  <c r="AF16" i="55"/>
  <c r="AF3" i="6"/>
  <c r="AG4" i="6"/>
  <c r="AG4" i="47"/>
  <c r="AG19" i="55"/>
  <c r="AG20" i="55" s="1"/>
  <c r="AG7" i="47" s="1"/>
  <c r="AG26" i="55"/>
  <c r="AG34" i="54"/>
  <c r="AG4" i="42"/>
  <c r="AG4" i="2"/>
  <c r="AG21" i="55"/>
  <c r="AG8" i="47" s="1"/>
  <c r="AG5" i="5"/>
  <c r="AG4" i="7"/>
  <c r="AF160" i="32" l="1"/>
  <c r="S26" i="5"/>
  <c r="S38" i="5"/>
  <c r="S30" i="5"/>
  <c r="AF32" i="5"/>
  <c r="AC105" i="32"/>
  <c r="AC106" i="32" s="1"/>
  <c r="AG99" i="42"/>
  <c r="AG91" i="42"/>
  <c r="AF101" i="42"/>
  <c r="AF102" i="42"/>
  <c r="AF100" i="42"/>
  <c r="AF94" i="42"/>
  <c r="AF90" i="42"/>
  <c r="AF92" i="42"/>
  <c r="AF98" i="42"/>
  <c r="AF93" i="42"/>
  <c r="AF9" i="5"/>
  <c r="AF13" i="47"/>
  <c r="AE17" i="5"/>
  <c r="AE19" i="5"/>
  <c r="AH4" i="43"/>
  <c r="AH42" i="55"/>
  <c r="AH5" i="43" s="1"/>
  <c r="AD9" i="55"/>
  <c r="AE5" i="55"/>
  <c r="AE6" i="55" s="1"/>
  <c r="AG147" i="32"/>
  <c r="AO54" i="51"/>
  <c r="AF29" i="32" s="1"/>
  <c r="AH15" i="43" s="1"/>
  <c r="AO13" i="51"/>
  <c r="AF25" i="32" s="1"/>
  <c r="AH11" i="43" s="1"/>
  <c r="AF27" i="32"/>
  <c r="AH13" i="43" s="1"/>
  <c r="AO57" i="51"/>
  <c r="AF30" i="32" s="1"/>
  <c r="AH16" i="43" s="1"/>
  <c r="AO86" i="51"/>
  <c r="AF32" i="32" s="1"/>
  <c r="AH18" i="43" s="1"/>
  <c r="AP64" i="51"/>
  <c r="AP73" i="51"/>
  <c r="AP72" i="51"/>
  <c r="AP61" i="51"/>
  <c r="AP68" i="51"/>
  <c r="AP59" i="51"/>
  <c r="AP78" i="51"/>
  <c r="AP71" i="51"/>
  <c r="AP60" i="51"/>
  <c r="AP74" i="51"/>
  <c r="AP70" i="51"/>
  <c r="AG37" i="32"/>
  <c r="AI23" i="43" s="1"/>
  <c r="AP62" i="51"/>
  <c r="AG23" i="32"/>
  <c r="AI9" i="43" s="1"/>
  <c r="AP63" i="51"/>
  <c r="S13" i="5"/>
  <c r="S9" i="47"/>
  <c r="S15" i="5"/>
  <c r="S12" i="47"/>
  <c r="R78" i="42"/>
  <c r="R60" i="42"/>
  <c r="R42" i="42"/>
  <c r="S32" i="55"/>
  <c r="S12" i="42"/>
  <c r="S134" i="5"/>
  <c r="T1" i="2"/>
  <c r="T1" i="6"/>
  <c r="T1" i="42"/>
  <c r="T1" i="5"/>
  <c r="T31" i="54"/>
  <c r="T1" i="7"/>
  <c r="T1" i="47"/>
  <c r="AH35" i="50"/>
  <c r="AG150" i="32" s="1"/>
  <c r="AI2" i="50"/>
  <c r="AH53" i="50"/>
  <c r="AG154" i="32" s="1"/>
  <c r="AH90" i="50"/>
  <c r="AG159" i="32" s="1"/>
  <c r="AH31" i="50"/>
  <c r="AG149" i="32" s="1"/>
  <c r="AH45" i="50"/>
  <c r="AG152" i="32" s="1"/>
  <c r="AH65" i="50"/>
  <c r="AG156" i="32" s="1"/>
  <c r="AH58" i="50"/>
  <c r="AG155" i="32" s="1"/>
  <c r="AH82" i="50"/>
  <c r="AH26" i="50"/>
  <c r="AG148" i="32" s="1"/>
  <c r="AH70" i="50"/>
  <c r="AG157" i="32" s="1"/>
  <c r="AE96" i="32"/>
  <c r="AE122" i="32" s="1"/>
  <c r="S7" i="54"/>
  <c r="AE42" i="32"/>
  <c r="AG28" i="43" s="1"/>
  <c r="AE43" i="32"/>
  <c r="AG29" i="43" s="1"/>
  <c r="AE41" i="32"/>
  <c r="AG27" i="43" s="1"/>
  <c r="AH8" i="54"/>
  <c r="AF22" i="32"/>
  <c r="AI40" i="55"/>
  <c r="T38" i="55"/>
  <c r="T1" i="43"/>
  <c r="T5" i="54"/>
  <c r="AG86" i="47"/>
  <c r="AG10" i="47"/>
  <c r="AG14" i="5"/>
  <c r="AF102" i="5"/>
  <c r="AF88" i="5"/>
  <c r="AF43" i="47"/>
  <c r="AF39" i="47"/>
  <c r="AF40" i="47" s="1"/>
  <c r="AE41" i="47"/>
  <c r="AE44" i="47" s="1"/>
  <c r="AE98" i="47"/>
  <c r="AE101" i="47" s="1"/>
  <c r="AG5" i="47"/>
  <c r="AG11" i="5"/>
  <c r="AG22" i="55"/>
  <c r="AG12" i="5" s="1"/>
  <c r="AF7" i="42"/>
  <c r="AF8" i="5"/>
  <c r="AF5" i="6"/>
  <c r="AF5" i="42"/>
  <c r="AF6" i="5"/>
  <c r="AF47" i="5" s="1"/>
  <c r="AG16" i="55"/>
  <c r="AG4" i="5"/>
  <c r="AG37" i="5" s="1"/>
  <c r="AG33" i="54"/>
  <c r="AG3" i="47"/>
  <c r="AG3" i="2"/>
  <c r="AG3" i="42"/>
  <c r="AG3" i="7"/>
  <c r="AG37" i="7" s="1"/>
  <c r="AG17" i="55"/>
  <c r="AG3" i="6"/>
  <c r="AH26" i="55"/>
  <c r="AH5" i="5"/>
  <c r="AH4" i="47"/>
  <c r="AH34" i="54"/>
  <c r="AH21" i="55"/>
  <c r="AH8" i="47" s="1"/>
  <c r="AH4" i="6"/>
  <c r="AH19" i="55"/>
  <c r="AH22" i="55" s="1"/>
  <c r="AH12" i="5" s="1"/>
  <c r="AH4" i="42"/>
  <c r="AH4" i="7"/>
  <c r="AH4" i="2"/>
  <c r="AF25" i="47"/>
  <c r="AF72" i="47"/>
  <c r="AF96" i="47"/>
  <c r="AF97" i="47" s="1"/>
  <c r="AF100" i="47"/>
  <c r="AG160" i="32" l="1"/>
  <c r="AF26" i="5"/>
  <c r="AG32" i="5"/>
  <c r="AG44" i="5"/>
  <c r="AH44" i="5"/>
  <c r="AD105" i="32"/>
  <c r="AD106" i="32" s="1"/>
  <c r="AH99" i="42"/>
  <c r="AH91" i="42"/>
  <c r="AG100" i="42"/>
  <c r="AG90" i="42"/>
  <c r="AG101" i="42"/>
  <c r="AG94" i="42"/>
  <c r="AG93" i="42"/>
  <c r="AG92" i="42"/>
  <c r="AG98" i="42"/>
  <c r="AG102" i="42"/>
  <c r="AG9" i="5"/>
  <c r="AG13" i="47"/>
  <c r="AF17" i="5"/>
  <c r="AF19" i="5"/>
  <c r="AI4" i="43"/>
  <c r="AI42" i="55"/>
  <c r="AI5" i="43" s="1"/>
  <c r="AE9" i="55"/>
  <c r="AF5" i="55"/>
  <c r="AF6" i="55" s="1"/>
  <c r="AH147" i="32"/>
  <c r="AP13" i="51"/>
  <c r="AG25" i="32" s="1"/>
  <c r="AI11" i="43" s="1"/>
  <c r="AP86" i="51"/>
  <c r="AG32" i="32" s="1"/>
  <c r="AI18" i="43" s="1"/>
  <c r="AP54" i="51"/>
  <c r="AG29" i="32" s="1"/>
  <c r="AI15" i="43" s="1"/>
  <c r="AP57" i="51"/>
  <c r="AG30" i="32" s="1"/>
  <c r="AI16" i="43" s="1"/>
  <c r="AQ68" i="51"/>
  <c r="AQ78" i="51"/>
  <c r="AQ71" i="51"/>
  <c r="AQ61" i="51"/>
  <c r="AQ63" i="51"/>
  <c r="AQ74" i="51"/>
  <c r="M82" i="51"/>
  <c r="AQ64" i="51"/>
  <c r="AQ13" i="51"/>
  <c r="AQ72" i="51"/>
  <c r="AQ62" i="51"/>
  <c r="AQ73" i="51"/>
  <c r="AQ59" i="51"/>
  <c r="AQ70" i="51"/>
  <c r="AQ60" i="51"/>
  <c r="AG27" i="32"/>
  <c r="AI13" i="43" s="1"/>
  <c r="T30" i="55"/>
  <c r="T14" i="47" s="1"/>
  <c r="T32" i="54"/>
  <c r="T2" i="7"/>
  <c r="T27" i="55"/>
  <c r="T11" i="47" s="1"/>
  <c r="T2" i="2"/>
  <c r="T24" i="55"/>
  <c r="T28" i="55"/>
  <c r="T2" i="5"/>
  <c r="T3" i="5" s="1"/>
  <c r="T31" i="55"/>
  <c r="T34" i="55"/>
  <c r="T2" i="47"/>
  <c r="T2" i="42"/>
  <c r="T88" i="42" s="1"/>
  <c r="T2" i="6"/>
  <c r="T23" i="55"/>
  <c r="T6" i="47" s="1"/>
  <c r="S52" i="42"/>
  <c r="S70" i="42"/>
  <c r="S34" i="42"/>
  <c r="S23" i="42"/>
  <c r="AI65" i="50"/>
  <c r="AH156" i="32" s="1"/>
  <c r="AI35" i="50"/>
  <c r="AH150" i="32" s="1"/>
  <c r="AI31" i="50"/>
  <c r="AH149" i="32" s="1"/>
  <c r="AI82" i="50"/>
  <c r="AI70" i="50"/>
  <c r="AH157" i="32" s="1"/>
  <c r="AI26" i="50"/>
  <c r="AH148" i="32" s="1"/>
  <c r="AI90" i="50"/>
  <c r="AH159" i="32" s="1"/>
  <c r="AI53" i="50"/>
  <c r="AH154" i="32" s="1"/>
  <c r="AI45" i="50"/>
  <c r="AH152" i="32" s="1"/>
  <c r="AI58" i="50"/>
  <c r="AH155" i="32" s="1"/>
  <c r="AF96" i="32"/>
  <c r="AF122" i="32" s="1"/>
  <c r="AH20" i="55"/>
  <c r="AH7" i="47" s="1"/>
  <c r="AH86" i="47" s="1"/>
  <c r="AI8" i="54"/>
  <c r="AG22" i="32"/>
  <c r="AJ40" i="55"/>
  <c r="T6" i="54"/>
  <c r="U37" i="55"/>
  <c r="T2" i="43"/>
  <c r="T44" i="55"/>
  <c r="T6" i="43" s="1"/>
  <c r="T39" i="55"/>
  <c r="T3" i="43" s="1"/>
  <c r="AF43" i="32"/>
  <c r="AH29" i="43" s="1"/>
  <c r="AF42" i="32"/>
  <c r="AH28" i="43" s="1"/>
  <c r="AF41" i="32"/>
  <c r="AH27" i="43" s="1"/>
  <c r="AH33" i="54"/>
  <c r="AH3" i="2"/>
  <c r="AH3" i="47"/>
  <c r="AH4" i="5"/>
  <c r="AH37" i="5" s="1"/>
  <c r="AH3" i="6"/>
  <c r="AH16" i="55"/>
  <c r="AH3" i="42"/>
  <c r="AH3" i="7"/>
  <c r="AH37" i="7" s="1"/>
  <c r="AH17" i="55"/>
  <c r="AH14" i="5"/>
  <c r="AH10" i="47"/>
  <c r="AG5" i="6"/>
  <c r="AG6" i="5"/>
  <c r="AG47" i="5" s="1"/>
  <c r="AG5" i="42"/>
  <c r="AF98" i="47"/>
  <c r="AF101" i="47" s="1"/>
  <c r="AH5" i="47"/>
  <c r="AH11" i="5"/>
  <c r="AI34" i="54"/>
  <c r="AI19" i="55"/>
  <c r="AI22" i="55" s="1"/>
  <c r="AI12" i="5" s="1"/>
  <c r="AI21" i="55"/>
  <c r="AI8" i="47" s="1"/>
  <c r="AI5" i="5"/>
  <c r="AI4" i="47"/>
  <c r="AI26" i="55"/>
  <c r="AI4" i="7"/>
  <c r="AI4" i="42"/>
  <c r="AI4" i="6"/>
  <c r="AI4" i="2"/>
  <c r="AG25" i="47"/>
  <c r="AG72" i="47"/>
  <c r="AG7" i="42"/>
  <c r="AG8" i="5"/>
  <c r="AF41" i="47"/>
  <c r="AF44" i="47" s="1"/>
  <c r="AG88" i="5"/>
  <c r="AG102" i="5"/>
  <c r="AG39" i="47"/>
  <c r="AG43" i="47"/>
  <c r="AG100" i="47"/>
  <c r="AG96" i="47"/>
  <c r="AH160" i="32" l="1"/>
  <c r="T26" i="5"/>
  <c r="AG26" i="5"/>
  <c r="T38" i="5"/>
  <c r="T30" i="5"/>
  <c r="AH32" i="5"/>
  <c r="AI44" i="5"/>
  <c r="AE105" i="32"/>
  <c r="AE106" i="32" s="1"/>
  <c r="W127" i="32"/>
  <c r="V127" i="32"/>
  <c r="AE127" i="32"/>
  <c r="Q127" i="32"/>
  <c r="N127" i="32"/>
  <c r="H127" i="32"/>
  <c r="P127" i="32"/>
  <c r="X127" i="32"/>
  <c r="AF127" i="32"/>
  <c r="I127" i="32"/>
  <c r="K127" i="32"/>
  <c r="S127" i="32"/>
  <c r="AA127" i="32"/>
  <c r="Z127" i="32"/>
  <c r="L127" i="32"/>
  <c r="T127" i="32"/>
  <c r="AB127" i="32"/>
  <c r="J127" i="32"/>
  <c r="R127" i="32"/>
  <c r="M127" i="32"/>
  <c r="U127" i="32"/>
  <c r="AC127" i="32"/>
  <c r="Y127" i="32"/>
  <c r="F127" i="32"/>
  <c r="AD127" i="32"/>
  <c r="G127" i="32"/>
  <c r="O127" i="32"/>
  <c r="AI99" i="42"/>
  <c r="AI91" i="42"/>
  <c r="AH92" i="42"/>
  <c r="AH102" i="42"/>
  <c r="AH93" i="42"/>
  <c r="AH100" i="42"/>
  <c r="AH94" i="42"/>
  <c r="AH90" i="42"/>
  <c r="AH98" i="42"/>
  <c r="AH101" i="42"/>
  <c r="AH9" i="5"/>
  <c r="AH13" i="47"/>
  <c r="M13" i="51"/>
  <c r="AG17" i="5"/>
  <c r="AG19" i="5"/>
  <c r="AJ4" i="43"/>
  <c r="AJ42" i="55"/>
  <c r="AJ5" i="43" s="1"/>
  <c r="AF9" i="55"/>
  <c r="AG5" i="55"/>
  <c r="AG6" i="55" s="1"/>
  <c r="AQ86" i="51"/>
  <c r="AH37" i="32"/>
  <c r="M111" i="51"/>
  <c r="AQ54" i="51"/>
  <c r="AQ57" i="51"/>
  <c r="AH23" i="32"/>
  <c r="AH25" i="32"/>
  <c r="U31" i="54"/>
  <c r="U1" i="5"/>
  <c r="U1" i="47"/>
  <c r="U1" i="6"/>
  <c r="U1" i="7"/>
  <c r="U1" i="2"/>
  <c r="U1" i="42"/>
  <c r="T12" i="47"/>
  <c r="T15" i="5"/>
  <c r="S78" i="42"/>
  <c r="S42" i="42"/>
  <c r="S60" i="42"/>
  <c r="T9" i="47"/>
  <c r="T13" i="5"/>
  <c r="T134" i="5"/>
  <c r="T32" i="55"/>
  <c r="T12" i="42"/>
  <c r="AG96" i="32"/>
  <c r="AG122" i="32" s="1"/>
  <c r="AG127" i="32" s="1"/>
  <c r="AI20" i="55"/>
  <c r="AI7" i="47" s="1"/>
  <c r="AI86" i="47" s="1"/>
  <c r="U5" i="54"/>
  <c r="U1" i="43"/>
  <c r="U38" i="55"/>
  <c r="AG41" i="32"/>
  <c r="AI27" i="43" s="1"/>
  <c r="AG43" i="32"/>
  <c r="AI29" i="43" s="1"/>
  <c r="AG42" i="32"/>
  <c r="AI28" i="43" s="1"/>
  <c r="T7" i="54"/>
  <c r="AH22" i="32"/>
  <c r="AJ8" i="54"/>
  <c r="AI14" i="5"/>
  <c r="AI10" i="47"/>
  <c r="AJ26" i="55"/>
  <c r="AJ34" i="54"/>
  <c r="AJ19" i="55"/>
  <c r="AJ22" i="55" s="1"/>
  <c r="AJ12" i="5" s="1"/>
  <c r="AJ4" i="47"/>
  <c r="AJ4" i="7"/>
  <c r="AJ4" i="42"/>
  <c r="AJ5" i="5"/>
  <c r="AJ4" i="6"/>
  <c r="AJ4" i="2"/>
  <c r="AJ21" i="55"/>
  <c r="AJ8" i="47" s="1"/>
  <c r="AH25" i="47"/>
  <c r="AH72" i="47"/>
  <c r="AG40" i="47"/>
  <c r="AG41" i="47" s="1"/>
  <c r="AG44" i="47" s="1"/>
  <c r="AH8" i="5"/>
  <c r="AH7" i="42"/>
  <c r="AH5" i="6"/>
  <c r="AH6" i="5"/>
  <c r="AH47" i="5" s="1"/>
  <c r="AH5" i="42"/>
  <c r="AG97" i="47"/>
  <c r="AG98" i="47" s="1"/>
  <c r="AG101" i="47" s="1"/>
  <c r="AI11" i="5"/>
  <c r="AI5" i="47"/>
  <c r="AH43" i="47"/>
  <c r="AH39" i="47"/>
  <c r="AI16" i="55"/>
  <c r="AI3" i="6"/>
  <c r="AI4" i="5"/>
  <c r="AI37" i="5" s="1"/>
  <c r="AI3" i="2"/>
  <c r="AI3" i="42"/>
  <c r="AI33" i="54"/>
  <c r="AI3" i="47"/>
  <c r="AI3" i="7"/>
  <c r="AI37" i="7" s="1"/>
  <c r="AI17" i="55"/>
  <c r="AH100" i="47"/>
  <c r="AH96" i="47"/>
  <c r="AH97" i="47" s="1"/>
  <c r="AH102" i="5"/>
  <c r="AH88" i="5"/>
  <c r="AH26" i="5" l="1"/>
  <c r="AI32" i="5"/>
  <c r="AJ44" i="5"/>
  <c r="AF105" i="32"/>
  <c r="AF106" i="32" s="1"/>
  <c r="E127" i="32"/>
  <c r="AJ99" i="42"/>
  <c r="AJ91" i="42"/>
  <c r="AI100" i="42"/>
  <c r="AI94" i="42"/>
  <c r="AI90" i="42"/>
  <c r="AI92" i="42"/>
  <c r="AI98" i="42"/>
  <c r="AI93" i="42"/>
  <c r="AI101" i="42"/>
  <c r="AI102" i="42"/>
  <c r="AI9" i="5"/>
  <c r="AI13" i="47"/>
  <c r="AH17" i="5"/>
  <c r="AH19" i="5"/>
  <c r="AG9" i="55"/>
  <c r="AH5" i="55"/>
  <c r="AH6" i="55" s="1"/>
  <c r="M86" i="51"/>
  <c r="AH32" i="32"/>
  <c r="D23" i="32"/>
  <c r="AJ9" i="43"/>
  <c r="D9" i="43" s="1"/>
  <c r="AH29" i="32"/>
  <c r="M54" i="51"/>
  <c r="AH27" i="32"/>
  <c r="AH30" i="32"/>
  <c r="M57" i="51"/>
  <c r="AJ11" i="43"/>
  <c r="D11" i="43" s="1"/>
  <c r="D25" i="32"/>
  <c r="AJ23" i="43"/>
  <c r="D23" i="43" s="1"/>
  <c r="D37" i="32"/>
  <c r="T52" i="42"/>
  <c r="T34" i="42"/>
  <c r="T70" i="42"/>
  <c r="T23" i="42"/>
  <c r="U27" i="55"/>
  <c r="U11" i="47" s="1"/>
  <c r="U2" i="5"/>
  <c r="U3" i="5" s="1"/>
  <c r="U34" i="55"/>
  <c r="U31" i="55"/>
  <c r="U2" i="47"/>
  <c r="U23" i="55"/>
  <c r="U6" i="47" s="1"/>
  <c r="U2" i="6"/>
  <c r="U2" i="2"/>
  <c r="U32" i="54"/>
  <c r="U2" i="42"/>
  <c r="U88" i="42" s="1"/>
  <c r="U2" i="7"/>
  <c r="U24" i="55"/>
  <c r="U30" i="55"/>
  <c r="U14" i="47" s="1"/>
  <c r="U28" i="55"/>
  <c r="AH96" i="32"/>
  <c r="AH122" i="32" s="1"/>
  <c r="AH127" i="32" s="1"/>
  <c r="AJ20" i="55"/>
  <c r="AJ7" i="47" s="1"/>
  <c r="AJ86" i="47" s="1"/>
  <c r="AH41" i="32"/>
  <c r="AH43" i="32"/>
  <c r="AH42" i="32"/>
  <c r="U6" i="54"/>
  <c r="V37" i="55"/>
  <c r="U2" i="43"/>
  <c r="U39" i="55"/>
  <c r="U3" i="43" s="1"/>
  <c r="U44" i="55"/>
  <c r="U6" i="43" s="1"/>
  <c r="AI25" i="47"/>
  <c r="AH40" i="47"/>
  <c r="AH41" i="47" s="1"/>
  <c r="AH44" i="47" s="1"/>
  <c r="AH98" i="47"/>
  <c r="AH101" i="47" s="1"/>
  <c r="AI7" i="42"/>
  <c r="AI8" i="5"/>
  <c r="AI43" i="47"/>
  <c r="AI39" i="47"/>
  <c r="AI40" i="47" s="1"/>
  <c r="AJ3" i="7"/>
  <c r="AJ37" i="7" s="1"/>
  <c r="AJ17" i="55"/>
  <c r="AJ4" i="5"/>
  <c r="AJ37" i="5" s="1"/>
  <c r="AJ3" i="2"/>
  <c r="AJ3" i="6"/>
  <c r="AJ16" i="55"/>
  <c r="AJ3" i="42"/>
  <c r="AJ3" i="47"/>
  <c r="AJ33" i="54"/>
  <c r="AJ11" i="5"/>
  <c r="AJ5" i="47"/>
  <c r="AI88" i="5"/>
  <c r="AI102" i="5"/>
  <c r="AI6" i="5"/>
  <c r="AI47" i="5" s="1"/>
  <c r="AI5" i="42"/>
  <c r="AI5" i="6"/>
  <c r="AK4" i="42"/>
  <c r="AK4" i="6"/>
  <c r="AK19" i="55"/>
  <c r="AK22" i="55" s="1"/>
  <c r="AK12" i="5" s="1"/>
  <c r="AK34" i="54"/>
  <c r="AK4" i="47"/>
  <c r="AL8" i="55"/>
  <c r="AK4" i="7"/>
  <c r="AK26" i="55"/>
  <c r="AK5" i="5"/>
  <c r="AK4" i="2"/>
  <c r="AK21" i="55"/>
  <c r="AK8" i="47" s="1"/>
  <c r="AJ14" i="5"/>
  <c r="AJ10" i="47"/>
  <c r="AI100" i="47"/>
  <c r="AI96" i="47"/>
  <c r="AI97" i="47" s="1"/>
  <c r="U26" i="5" l="1"/>
  <c r="AI26" i="5"/>
  <c r="U38" i="5"/>
  <c r="U30" i="5"/>
  <c r="AJ32" i="5"/>
  <c r="AK44" i="5"/>
  <c r="AG105" i="32"/>
  <c r="AG106" i="32" s="1"/>
  <c r="AK99" i="42"/>
  <c r="AK91" i="42"/>
  <c r="AJ98" i="42"/>
  <c r="AJ101" i="42"/>
  <c r="AJ92" i="42"/>
  <c r="AJ94" i="42"/>
  <c r="AJ90" i="42"/>
  <c r="AJ100" i="42"/>
  <c r="AJ102" i="42"/>
  <c r="AJ93" i="42"/>
  <c r="AJ9" i="5"/>
  <c r="AJ13" i="47"/>
  <c r="AI17" i="5"/>
  <c r="AI19" i="5"/>
  <c r="AH9" i="55"/>
  <c r="AI5" i="55"/>
  <c r="AI6" i="55" s="1"/>
  <c r="AJ18" i="43"/>
  <c r="D18" i="43" s="1"/>
  <c r="D32" i="32"/>
  <c r="AJ15" i="43"/>
  <c r="D15" i="43" s="1"/>
  <c r="D29" i="32"/>
  <c r="AJ16" i="43"/>
  <c r="D16" i="43" s="1"/>
  <c r="D30" i="32"/>
  <c r="AJ13" i="43"/>
  <c r="D27" i="32"/>
  <c r="T42" i="42"/>
  <c r="T60" i="42"/>
  <c r="T78" i="42"/>
  <c r="U13" i="5"/>
  <c r="U9" i="47"/>
  <c r="V31" i="54"/>
  <c r="V1" i="42"/>
  <c r="V1" i="5"/>
  <c r="V1" i="7"/>
  <c r="V1" i="2"/>
  <c r="V1" i="47"/>
  <c r="V1" i="6"/>
  <c r="U12" i="42"/>
  <c r="U32" i="55"/>
  <c r="U134" i="5"/>
  <c r="U12" i="47"/>
  <c r="U15" i="5"/>
  <c r="AK20" i="55"/>
  <c r="AK7" i="47" s="1"/>
  <c r="AK86" i="47" s="1"/>
  <c r="U7" i="54"/>
  <c r="D42" i="32"/>
  <c r="AJ28" i="43"/>
  <c r="D28" i="43" s="1"/>
  <c r="D43" i="32"/>
  <c r="AJ29" i="43"/>
  <c r="D29" i="43" s="1"/>
  <c r="V38" i="55"/>
  <c r="V1" i="43"/>
  <c r="V5" i="54"/>
  <c r="AJ27" i="43"/>
  <c r="D27" i="43" s="1"/>
  <c r="D41" i="32"/>
  <c r="AJ6" i="5"/>
  <c r="AJ47" i="5" s="1"/>
  <c r="AJ5" i="6"/>
  <c r="AJ5" i="42"/>
  <c r="AJ7" i="42"/>
  <c r="AJ8" i="5"/>
  <c r="AI41" i="47"/>
  <c r="AI44" i="47" s="1"/>
  <c r="AK14" i="5"/>
  <c r="AK10" i="47"/>
  <c r="AK11" i="5"/>
  <c r="AK5" i="47"/>
  <c r="AL26" i="55"/>
  <c r="AL5" i="5"/>
  <c r="AL19" i="55"/>
  <c r="AL22" i="55" s="1"/>
  <c r="AL12" i="5" s="1"/>
  <c r="AM8" i="55"/>
  <c r="AL34" i="54"/>
  <c r="AL21" i="55"/>
  <c r="AL8" i="47" s="1"/>
  <c r="AL4" i="7"/>
  <c r="AL4" i="6"/>
  <c r="AL4" i="42"/>
  <c r="AL4" i="47"/>
  <c r="AL4" i="2"/>
  <c r="AL7" i="55"/>
  <c r="AJ25" i="47"/>
  <c r="AJ72" i="47"/>
  <c r="AI98" i="47"/>
  <c r="AI101" i="47" s="1"/>
  <c r="AJ100" i="47"/>
  <c r="AJ96" i="47"/>
  <c r="AJ97" i="47" s="1"/>
  <c r="AK33" i="54"/>
  <c r="AK3" i="42"/>
  <c r="AK3" i="6"/>
  <c r="AK4" i="5"/>
  <c r="AK37" i="5" s="1"/>
  <c r="AK3" i="7"/>
  <c r="AK37" i="7" s="1"/>
  <c r="AK17" i="55"/>
  <c r="AK3" i="47"/>
  <c r="AK16" i="55"/>
  <c r="AK3" i="2"/>
  <c r="AJ39" i="47"/>
  <c r="AJ43" i="47"/>
  <c r="AJ88" i="5"/>
  <c r="AJ102" i="5"/>
  <c r="AJ26" i="5" l="1"/>
  <c r="AK32" i="5"/>
  <c r="AL44" i="5"/>
  <c r="AH105" i="32"/>
  <c r="AH106" i="32" s="1"/>
  <c r="AL99" i="42"/>
  <c r="AL91" i="42"/>
  <c r="AK101" i="42"/>
  <c r="AK102" i="42"/>
  <c r="AK100" i="42"/>
  <c r="AK94" i="42"/>
  <c r="AK93" i="42"/>
  <c r="AK98" i="42"/>
  <c r="AK90" i="42"/>
  <c r="AK92" i="42"/>
  <c r="AK9" i="5"/>
  <c r="AK13" i="47"/>
  <c r="AJ17" i="5"/>
  <c r="AJ19" i="5"/>
  <c r="AI9" i="55"/>
  <c r="AJ5" i="55"/>
  <c r="AJ6" i="55" s="1"/>
  <c r="AL12" i="55"/>
  <c r="D13" i="43"/>
  <c r="U34" i="42"/>
  <c r="U70" i="42"/>
  <c r="U52" i="42"/>
  <c r="V27" i="55"/>
  <c r="V11" i="47" s="1"/>
  <c r="V2" i="2"/>
  <c r="V2" i="47"/>
  <c r="V31" i="55"/>
  <c r="V2" i="7"/>
  <c r="V2" i="6"/>
  <c r="V28" i="55"/>
  <c r="V2" i="42"/>
  <c r="V88" i="42" s="1"/>
  <c r="V34" i="55"/>
  <c r="V23" i="55"/>
  <c r="V6" i="47" s="1"/>
  <c r="V2" i="5"/>
  <c r="V3" i="5" s="1"/>
  <c r="V30" i="55"/>
  <c r="V14" i="47" s="1"/>
  <c r="V24" i="55"/>
  <c r="V32" i="54"/>
  <c r="U23" i="42"/>
  <c r="AL20" i="55"/>
  <c r="AL7" i="47" s="1"/>
  <c r="AL86" i="47" s="1"/>
  <c r="V39" i="55"/>
  <c r="V3" i="43" s="1"/>
  <c r="V6" i="54"/>
  <c r="V2" i="43"/>
  <c r="W37" i="55"/>
  <c r="V44" i="55"/>
  <c r="V6" i="43" s="1"/>
  <c r="AK8" i="5"/>
  <c r="AK7" i="42"/>
  <c r="AL14" i="5"/>
  <c r="AL10" i="47"/>
  <c r="AK43" i="47"/>
  <c r="AK39" i="47"/>
  <c r="AK40" i="47" s="1"/>
  <c r="AK25" i="47"/>
  <c r="AK72" i="47"/>
  <c r="AK102" i="5"/>
  <c r="AK88" i="5"/>
  <c r="AJ98" i="47"/>
  <c r="AJ101" i="47" s="1"/>
  <c r="AM4" i="47"/>
  <c r="AM4" i="6"/>
  <c r="AM4" i="42"/>
  <c r="AN8" i="55"/>
  <c r="AM7" i="55"/>
  <c r="AM26" i="55"/>
  <c r="AM34" i="54"/>
  <c r="AM4" i="7"/>
  <c r="AM19" i="55"/>
  <c r="AM22" i="55" s="1"/>
  <c r="AM12" i="5" s="1"/>
  <c r="AM21" i="55"/>
  <c r="AM8" i="47" s="1"/>
  <c r="AM5" i="5"/>
  <c r="AM4" i="2"/>
  <c r="AL5" i="47"/>
  <c r="AL11" i="5"/>
  <c r="AK100" i="47"/>
  <c r="AK96" i="47"/>
  <c r="AK97" i="47" s="1"/>
  <c r="AJ40" i="47"/>
  <c r="AJ41" i="47" s="1"/>
  <c r="AJ44" i="47" s="1"/>
  <c r="AK5" i="6"/>
  <c r="AK5" i="42"/>
  <c r="AK6" i="5"/>
  <c r="AK47" i="5" s="1"/>
  <c r="AL3" i="7"/>
  <c r="AL37" i="7" s="1"/>
  <c r="AL33" i="54"/>
  <c r="AL3" i="2"/>
  <c r="AL3" i="42"/>
  <c r="AL4" i="5"/>
  <c r="AL37" i="5" s="1"/>
  <c r="AL17" i="55"/>
  <c r="AL16" i="55"/>
  <c r="AL3" i="6"/>
  <c r="AL3" i="47"/>
  <c r="V26" i="5" l="1"/>
  <c r="AK26" i="5"/>
  <c r="V38" i="5"/>
  <c r="V30" i="5"/>
  <c r="AL32" i="5"/>
  <c r="AM44" i="5"/>
  <c r="AM99" i="42"/>
  <c r="AM91" i="42"/>
  <c r="AL101" i="42"/>
  <c r="AL102" i="42"/>
  <c r="AL93" i="42"/>
  <c r="AL90" i="42"/>
  <c r="AL92" i="42"/>
  <c r="AL98" i="42"/>
  <c r="AL100" i="42"/>
  <c r="AL94" i="42"/>
  <c r="AL9" i="5"/>
  <c r="AL13" i="47"/>
  <c r="AK17" i="5"/>
  <c r="AK19" i="5"/>
  <c r="AJ9" i="55"/>
  <c r="AK5" i="55"/>
  <c r="AK6" i="55" s="1"/>
  <c r="AM12" i="55"/>
  <c r="V134" i="5"/>
  <c r="V32" i="55"/>
  <c r="V12" i="42"/>
  <c r="V12" i="47"/>
  <c r="V15" i="5"/>
  <c r="U78" i="42"/>
  <c r="U42" i="42"/>
  <c r="U60" i="42"/>
  <c r="V13" i="5"/>
  <c r="V9" i="47"/>
  <c r="W1" i="42"/>
  <c r="W1" i="7"/>
  <c r="W31" i="54"/>
  <c r="W1" i="47"/>
  <c r="W1" i="2"/>
  <c r="W1" i="6"/>
  <c r="W1" i="5"/>
  <c r="V7" i="54"/>
  <c r="W1" i="43"/>
  <c r="W5" i="54"/>
  <c r="W38" i="55"/>
  <c r="AM11" i="5"/>
  <c r="AM5" i="47"/>
  <c r="AL6" i="5"/>
  <c r="AL47" i="5" s="1"/>
  <c r="AL5" i="42"/>
  <c r="AL5" i="6"/>
  <c r="AK98" i="47"/>
  <c r="AK101" i="47" s="1"/>
  <c r="AN4" i="42"/>
  <c r="AN34" i="54"/>
  <c r="AN4" i="2"/>
  <c r="AN7" i="55"/>
  <c r="AN26" i="55"/>
  <c r="AN5" i="5"/>
  <c r="AN19" i="55"/>
  <c r="AN22" i="55" s="1"/>
  <c r="AN12" i="5" s="1"/>
  <c r="AN21" i="55"/>
  <c r="AN8" i="47" s="1"/>
  <c r="AN4" i="47"/>
  <c r="AN4" i="6"/>
  <c r="AO8" i="55"/>
  <c r="AN4" i="7"/>
  <c r="AL100" i="47"/>
  <c r="AL96" i="47"/>
  <c r="AL97" i="47" s="1"/>
  <c r="AL8" i="5"/>
  <c r="AL7" i="42"/>
  <c r="AL43" i="47"/>
  <c r="AL39" i="47"/>
  <c r="AM3" i="42"/>
  <c r="AM4" i="5"/>
  <c r="AM37" i="5" s="1"/>
  <c r="AM3" i="6"/>
  <c r="AM33" i="54"/>
  <c r="AM16" i="55"/>
  <c r="AM3" i="47"/>
  <c r="AM3" i="7"/>
  <c r="AM37" i="7" s="1"/>
  <c r="AM17" i="55"/>
  <c r="AM3" i="2"/>
  <c r="AL25" i="47"/>
  <c r="AL72" i="47"/>
  <c r="AM20" i="55"/>
  <c r="AM7" i="47" s="1"/>
  <c r="AM10" i="47"/>
  <c r="AM14" i="5"/>
  <c r="AK41" i="47"/>
  <c r="AK44" i="47" s="1"/>
  <c r="AL88" i="5"/>
  <c r="AL102" i="5"/>
  <c r="AL26" i="5" l="1"/>
  <c r="AM32" i="5"/>
  <c r="AN44" i="5"/>
  <c r="AN99" i="42"/>
  <c r="AN91" i="42"/>
  <c r="AM101" i="42"/>
  <c r="AM98" i="42"/>
  <c r="AM92" i="42"/>
  <c r="AM102" i="42"/>
  <c r="AM93" i="42"/>
  <c r="AM90" i="42"/>
  <c r="AM100" i="42"/>
  <c r="AM94" i="42"/>
  <c r="AM9" i="5"/>
  <c r="AM13" i="47"/>
  <c r="AL17" i="5"/>
  <c r="AL19" i="5"/>
  <c r="AK9" i="55"/>
  <c r="AN12" i="55"/>
  <c r="V23" i="42"/>
  <c r="W23" i="55"/>
  <c r="W6" i="47" s="1"/>
  <c r="W27" i="55"/>
  <c r="W11" i="47" s="1"/>
  <c r="W2" i="42"/>
  <c r="W88" i="42" s="1"/>
  <c r="W32" i="54"/>
  <c r="W2" i="47"/>
  <c r="W2" i="2"/>
  <c r="W30" i="55"/>
  <c r="W14" i="47" s="1"/>
  <c r="W2" i="5"/>
  <c r="W3" i="5" s="1"/>
  <c r="W28" i="55"/>
  <c r="W34" i="55"/>
  <c r="W31" i="55"/>
  <c r="W2" i="6"/>
  <c r="W2" i="7"/>
  <c r="W24" i="55"/>
  <c r="V52" i="42"/>
  <c r="V34" i="42"/>
  <c r="V70" i="42"/>
  <c r="AN20" i="55"/>
  <c r="AN7" i="47" s="1"/>
  <c r="AN86" i="47" s="1"/>
  <c r="W44" i="55"/>
  <c r="W6" i="43" s="1"/>
  <c r="X37" i="55"/>
  <c r="W39" i="55"/>
  <c r="W3" i="43" s="1"/>
  <c r="W2" i="43"/>
  <c r="W6" i="54"/>
  <c r="AM96" i="47"/>
  <c r="AM100" i="47"/>
  <c r="AM6" i="5"/>
  <c r="AM47" i="5" s="1"/>
  <c r="AM5" i="42"/>
  <c r="AM5" i="6"/>
  <c r="AM88" i="5"/>
  <c r="AM102" i="5"/>
  <c r="AN10" i="47"/>
  <c r="AN14" i="5"/>
  <c r="AM43" i="47"/>
  <c r="AM39" i="47"/>
  <c r="AM7" i="42"/>
  <c r="AM8" i="5"/>
  <c r="AL98" i="47"/>
  <c r="AL101" i="47" s="1"/>
  <c r="AP8" i="55"/>
  <c r="AO4" i="2"/>
  <c r="AO4" i="6"/>
  <c r="AO26" i="55"/>
  <c r="AO4" i="47"/>
  <c r="AO4" i="7"/>
  <c r="AO7" i="55"/>
  <c r="AO4" i="42"/>
  <c r="AO19" i="55"/>
  <c r="AO22" i="55" s="1"/>
  <c r="AO12" i="5" s="1"/>
  <c r="AO21" i="55"/>
  <c r="AO8" i="47" s="1"/>
  <c r="AO5" i="5"/>
  <c r="AO34" i="54"/>
  <c r="AL40" i="47"/>
  <c r="AL41" i="47" s="1"/>
  <c r="AL44" i="47" s="1"/>
  <c r="AN11" i="5"/>
  <c r="AN5" i="47"/>
  <c r="AN3" i="42"/>
  <c r="AN33" i="54"/>
  <c r="AN3" i="47"/>
  <c r="AN4" i="5"/>
  <c r="AN37" i="5" s="1"/>
  <c r="AN3" i="7"/>
  <c r="AN37" i="7" s="1"/>
  <c r="AN3" i="2"/>
  <c r="AN16" i="55"/>
  <c r="AN3" i="6"/>
  <c r="AN17" i="55"/>
  <c r="AM86" i="47"/>
  <c r="AM25" i="47"/>
  <c r="W26" i="5" l="1"/>
  <c r="AM26" i="5"/>
  <c r="W38" i="5"/>
  <c r="W30" i="5"/>
  <c r="AN32" i="5"/>
  <c r="AO44" i="5"/>
  <c r="AO99" i="42"/>
  <c r="AO91" i="42"/>
  <c r="AN101" i="42"/>
  <c r="AN93" i="42"/>
  <c r="AN100" i="42"/>
  <c r="AN92" i="42"/>
  <c r="AN98" i="42"/>
  <c r="AN102" i="42"/>
  <c r="AN94" i="42"/>
  <c r="AN90" i="42"/>
  <c r="AN9" i="5"/>
  <c r="AN13" i="47"/>
  <c r="AM17" i="5"/>
  <c r="AM19" i="5"/>
  <c r="AO12" i="55"/>
  <c r="W13" i="5"/>
  <c r="W9" i="47"/>
  <c r="W32" i="55"/>
  <c r="W12" i="42"/>
  <c r="W134" i="5"/>
  <c r="X1" i="47"/>
  <c r="X31" i="54"/>
  <c r="X1" i="42"/>
  <c r="X1" i="5"/>
  <c r="X1" i="6"/>
  <c r="X1" i="2"/>
  <c r="X1" i="7"/>
  <c r="V60" i="42"/>
  <c r="V42" i="42"/>
  <c r="V78" i="42"/>
  <c r="W15" i="5"/>
  <c r="W12" i="47"/>
  <c r="W7" i="54"/>
  <c r="X38" i="55"/>
  <c r="X1" i="43"/>
  <c r="X5" i="54"/>
  <c r="AN6" i="5"/>
  <c r="AN47" i="5" s="1"/>
  <c r="AN5" i="6"/>
  <c r="AN5" i="42"/>
  <c r="AN43" i="47"/>
  <c r="AN39" i="47"/>
  <c r="AN40" i="47" s="1"/>
  <c r="AO3" i="6"/>
  <c r="AO17" i="55"/>
  <c r="AO3" i="42"/>
  <c r="AO3" i="2"/>
  <c r="AO3" i="47"/>
  <c r="AO4" i="5"/>
  <c r="AO37" i="5" s="1"/>
  <c r="AO3" i="7"/>
  <c r="AO37" i="7" s="1"/>
  <c r="AO16" i="55"/>
  <c r="AO33" i="54"/>
  <c r="AO20" i="55"/>
  <c r="AO7" i="47" s="1"/>
  <c r="AN96" i="47"/>
  <c r="AN100" i="47"/>
  <c r="AM40" i="47"/>
  <c r="AM41" i="47" s="1"/>
  <c r="AM44" i="47" s="1"/>
  <c r="AN7" i="42"/>
  <c r="AN8" i="5"/>
  <c r="AO5" i="47"/>
  <c r="AO11" i="5"/>
  <c r="AN102" i="5"/>
  <c r="AN88" i="5"/>
  <c r="AN25" i="47"/>
  <c r="AN72" i="47"/>
  <c r="AO14" i="5"/>
  <c r="AO10" i="47"/>
  <c r="AP4" i="47"/>
  <c r="AP34" i="54"/>
  <c r="AP19" i="55"/>
  <c r="AP22" i="55" s="1"/>
  <c r="AP12" i="5" s="1"/>
  <c r="AP4" i="42"/>
  <c r="AP4" i="2"/>
  <c r="AP26" i="55"/>
  <c r="AP4" i="7"/>
  <c r="AP4" i="6"/>
  <c r="AQ8" i="55"/>
  <c r="AP5" i="5"/>
  <c r="AP7" i="55"/>
  <c r="AP21" i="55"/>
  <c r="AP8" i="47" s="1"/>
  <c r="AM97" i="47"/>
  <c r="AM98" i="47" s="1"/>
  <c r="AM101" i="47" s="1"/>
  <c r="AN26" i="5" l="1"/>
  <c r="AO32" i="5"/>
  <c r="AP44" i="5"/>
  <c r="AP99" i="42"/>
  <c r="AP91" i="42"/>
  <c r="AO102" i="42"/>
  <c r="AO100" i="42"/>
  <c r="AO98" i="42"/>
  <c r="AO94" i="42"/>
  <c r="AO93" i="42"/>
  <c r="AO92" i="42"/>
  <c r="AO101" i="42"/>
  <c r="AO90" i="42"/>
  <c r="AO9" i="5"/>
  <c r="AO13" i="47"/>
  <c r="AN17" i="5"/>
  <c r="AN19" i="5"/>
  <c r="AP12" i="55"/>
  <c r="W23" i="42"/>
  <c r="X23" i="55"/>
  <c r="X6" i="47" s="1"/>
  <c r="X24" i="55"/>
  <c r="X32" i="54"/>
  <c r="X30" i="55"/>
  <c r="X14" i="47" s="1"/>
  <c r="X28" i="55"/>
  <c r="X34" i="55"/>
  <c r="X2" i="5"/>
  <c r="X3" i="5" s="1"/>
  <c r="X27" i="55"/>
  <c r="X11" i="47" s="1"/>
  <c r="X2" i="7"/>
  <c r="X2" i="47"/>
  <c r="X2" i="2"/>
  <c r="X2" i="6"/>
  <c r="X31" i="55"/>
  <c r="X2" i="42"/>
  <c r="X88" i="42" s="1"/>
  <c r="W34" i="42"/>
  <c r="W70" i="42"/>
  <c r="W52" i="42"/>
  <c r="AP20" i="55"/>
  <c r="AP7" i="47" s="1"/>
  <c r="AP86" i="47" s="1"/>
  <c r="X39" i="55"/>
  <c r="X3" i="43" s="1"/>
  <c r="X44" i="55"/>
  <c r="X6" i="43" s="1"/>
  <c r="Y37" i="55"/>
  <c r="X6" i="54"/>
  <c r="X2" i="43"/>
  <c r="AP14" i="5"/>
  <c r="AP10" i="47"/>
  <c r="AP5" i="47"/>
  <c r="AP11" i="5"/>
  <c r="AO43" i="47"/>
  <c r="AO39" i="47"/>
  <c r="AO40" i="47" s="1"/>
  <c r="AO102" i="5"/>
  <c r="AO88" i="5"/>
  <c r="AN41" i="47"/>
  <c r="AN44" i="47" s="1"/>
  <c r="AQ26" i="55"/>
  <c r="AQ4" i="47"/>
  <c r="AQ5" i="5"/>
  <c r="AR8" i="55"/>
  <c r="AQ7" i="55"/>
  <c r="AQ21" i="55"/>
  <c r="AQ8" i="47" s="1"/>
  <c r="AQ34" i="54"/>
  <c r="AQ4" i="7"/>
  <c r="AQ19" i="55"/>
  <c r="AQ22" i="55" s="1"/>
  <c r="AQ12" i="5" s="1"/>
  <c r="AQ4" i="42"/>
  <c r="AQ4" i="6"/>
  <c r="AQ4" i="2"/>
  <c r="AO6" i="5"/>
  <c r="AO47" i="5" s="1"/>
  <c r="AO5" i="6"/>
  <c r="AO5" i="42"/>
  <c r="AO25" i="47"/>
  <c r="AO72" i="47"/>
  <c r="AO86" i="47"/>
  <c r="AO7" i="42"/>
  <c r="AO8" i="5"/>
  <c r="AP3" i="2"/>
  <c r="AP3" i="6"/>
  <c r="AP3" i="42"/>
  <c r="AP33" i="54"/>
  <c r="AP3" i="7"/>
  <c r="AP37" i="7" s="1"/>
  <c r="AP16" i="55"/>
  <c r="AP4" i="5"/>
  <c r="AP37" i="5" s="1"/>
  <c r="AP17" i="55"/>
  <c r="AP3" i="47"/>
  <c r="AO100" i="47"/>
  <c r="AO96" i="47"/>
  <c r="AO97" i="47" s="1"/>
  <c r="AN97" i="47"/>
  <c r="AN98" i="47" s="1"/>
  <c r="AN101" i="47" s="1"/>
  <c r="X26" i="5" l="1"/>
  <c r="AO26" i="5"/>
  <c r="X38" i="5"/>
  <c r="X30" i="5"/>
  <c r="AP32" i="5"/>
  <c r="AQ44" i="5"/>
  <c r="AQ91" i="42"/>
  <c r="AQ99" i="42"/>
  <c r="AP102" i="42"/>
  <c r="AP90" i="42"/>
  <c r="AP101" i="42"/>
  <c r="AP100" i="42"/>
  <c r="AP92" i="42"/>
  <c r="AP98" i="42"/>
  <c r="AP94" i="42"/>
  <c r="AP93" i="42"/>
  <c r="AP9" i="5"/>
  <c r="AP13" i="47"/>
  <c r="AO17" i="5"/>
  <c r="AO19" i="5"/>
  <c r="AQ12" i="55"/>
  <c r="X13" i="5"/>
  <c r="X9" i="47"/>
  <c r="W60" i="42"/>
  <c r="W78" i="42"/>
  <c r="W42" i="42"/>
  <c r="X12" i="42"/>
  <c r="X32" i="55"/>
  <c r="X134" i="5"/>
  <c r="X15" i="5"/>
  <c r="X12" i="47"/>
  <c r="Y1" i="42"/>
  <c r="Y1" i="7"/>
  <c r="Y1" i="2"/>
  <c r="Y1" i="47"/>
  <c r="Y31" i="54"/>
  <c r="Y1" i="6"/>
  <c r="Y1" i="5"/>
  <c r="AQ20" i="55"/>
  <c r="AQ7" i="47" s="1"/>
  <c r="AQ86" i="47" s="1"/>
  <c r="Y5" i="54"/>
  <c r="Y1" i="43"/>
  <c r="Y38" i="55"/>
  <c r="X7" i="54"/>
  <c r="AO98" i="47"/>
  <c r="AO101" i="47" s="1"/>
  <c r="AP25" i="47"/>
  <c r="AP72" i="47"/>
  <c r="AP6" i="5"/>
  <c r="AP47" i="5" s="1"/>
  <c r="AP5" i="42"/>
  <c r="AP5" i="6"/>
  <c r="AP39" i="47"/>
  <c r="AP43" i="47"/>
  <c r="AP88" i="5"/>
  <c r="AP102" i="5"/>
  <c r="AQ5" i="47"/>
  <c r="AQ11" i="5"/>
  <c r="AQ3" i="6"/>
  <c r="AQ3" i="42"/>
  <c r="AQ17" i="55"/>
  <c r="AQ3" i="47"/>
  <c r="AQ16" i="55"/>
  <c r="AQ3" i="7"/>
  <c r="AQ37" i="7" s="1"/>
  <c r="AQ33" i="54"/>
  <c r="AQ4" i="5"/>
  <c r="AQ37" i="5" s="1"/>
  <c r="AQ3" i="2"/>
  <c r="AQ10" i="47"/>
  <c r="AQ14" i="5"/>
  <c r="AO41" i="47"/>
  <c r="AO44" i="47" s="1"/>
  <c r="AP100" i="47"/>
  <c r="AP96" i="47"/>
  <c r="AP97" i="47" s="1"/>
  <c r="AP8" i="5"/>
  <c r="AP7" i="42"/>
  <c r="AS8" i="55"/>
  <c r="AR4" i="7"/>
  <c r="AR4" i="2"/>
  <c r="AR4" i="42"/>
  <c r="AR4" i="47"/>
  <c r="AR34" i="54"/>
  <c r="AR7" i="55"/>
  <c r="AR26" i="55"/>
  <c r="AR19" i="55"/>
  <c r="AR22" i="55" s="1"/>
  <c r="AR12" i="5" s="1"/>
  <c r="AR21" i="55"/>
  <c r="AR8" i="47" s="1"/>
  <c r="AR5" i="5"/>
  <c r="AR4" i="6"/>
  <c r="AP26" i="5" l="1"/>
  <c r="AQ32" i="5"/>
  <c r="AR44" i="5"/>
  <c r="AR91" i="42"/>
  <c r="AR99" i="42"/>
  <c r="AQ101" i="42"/>
  <c r="AQ100" i="42"/>
  <c r="AQ92" i="42"/>
  <c r="AQ98" i="42"/>
  <c r="AQ94" i="42"/>
  <c r="AQ102" i="42"/>
  <c r="AQ93" i="42"/>
  <c r="AQ90" i="42"/>
  <c r="AQ9" i="5"/>
  <c r="AQ13" i="47"/>
  <c r="AP17" i="5"/>
  <c r="AP19" i="5"/>
  <c r="AR12" i="55"/>
  <c r="Y2" i="6"/>
  <c r="Y2" i="42"/>
  <c r="Y88" i="42" s="1"/>
  <c r="Y24" i="55"/>
  <c r="Y28" i="55"/>
  <c r="Y34" i="55"/>
  <c r="Y32" i="54"/>
  <c r="Y31" i="55"/>
  <c r="Y2" i="7"/>
  <c r="Y27" i="55"/>
  <c r="Y11" i="47" s="1"/>
  <c r="Y23" i="55"/>
  <c r="Y6" i="47" s="1"/>
  <c r="Y30" i="55"/>
  <c r="Y14" i="47" s="1"/>
  <c r="Y2" i="47"/>
  <c r="Y2" i="5"/>
  <c r="Y3" i="5" s="1"/>
  <c r="Y2" i="2"/>
  <c r="X23" i="42"/>
  <c r="X34" i="42"/>
  <c r="X52" i="42"/>
  <c r="X70" i="42"/>
  <c r="Y44" i="55"/>
  <c r="Y6" i="43" s="1"/>
  <c r="Y6" i="54"/>
  <c r="Y39" i="55"/>
  <c r="Y3" i="43" s="1"/>
  <c r="Z37" i="55"/>
  <c r="Y2" i="43"/>
  <c r="AR14" i="5"/>
  <c r="AR10" i="47"/>
  <c r="AS26" i="55"/>
  <c r="AS4" i="2"/>
  <c r="AS4" i="6"/>
  <c r="AS4" i="42"/>
  <c r="AS34" i="54"/>
  <c r="AS7" i="55"/>
  <c r="AS21" i="55"/>
  <c r="AS8" i="47" s="1"/>
  <c r="AS4" i="47"/>
  <c r="AS5" i="5"/>
  <c r="AS19" i="55"/>
  <c r="AS22" i="55" s="1"/>
  <c r="AS12" i="5" s="1"/>
  <c r="AT8" i="55"/>
  <c r="AS4" i="7"/>
  <c r="AQ100" i="47"/>
  <c r="AQ96" i="47"/>
  <c r="AP98" i="47"/>
  <c r="AP101" i="47" s="1"/>
  <c r="AQ5" i="42"/>
  <c r="AQ5" i="6"/>
  <c r="AQ6" i="5"/>
  <c r="AQ47" i="5" s="1"/>
  <c r="AQ43" i="47"/>
  <c r="AQ39" i="47"/>
  <c r="AR20" i="55"/>
  <c r="AR7" i="47" s="1"/>
  <c r="AQ7" i="42"/>
  <c r="AQ8" i="5"/>
  <c r="AP40" i="47"/>
  <c r="AP41" i="47" s="1"/>
  <c r="AP44" i="47" s="1"/>
  <c r="AR4" i="5"/>
  <c r="AR37" i="5" s="1"/>
  <c r="AR3" i="47"/>
  <c r="AR3" i="7"/>
  <c r="AR37" i="7" s="1"/>
  <c r="AR17" i="55"/>
  <c r="AR3" i="6"/>
  <c r="AR3" i="42"/>
  <c r="AR16" i="55"/>
  <c r="AR3" i="2"/>
  <c r="AR33" i="54"/>
  <c r="AR11" i="5"/>
  <c r="AR5" i="47"/>
  <c r="AQ102" i="5"/>
  <c r="AQ88" i="5"/>
  <c r="AQ25" i="47"/>
  <c r="Y26" i="5" l="1"/>
  <c r="AQ26" i="5"/>
  <c r="Y38" i="5"/>
  <c r="Y30" i="5"/>
  <c r="AR32" i="5"/>
  <c r="AS44" i="5"/>
  <c r="AS99" i="42"/>
  <c r="AS91" i="42"/>
  <c r="AR98" i="42"/>
  <c r="AR94" i="42"/>
  <c r="AR100" i="42"/>
  <c r="AR93" i="42"/>
  <c r="AR102" i="42"/>
  <c r="AR92" i="42"/>
  <c r="AR90" i="42"/>
  <c r="AR101" i="42"/>
  <c r="AR9" i="5"/>
  <c r="AR13" i="47"/>
  <c r="AQ17" i="5"/>
  <c r="AQ19" i="5"/>
  <c r="AS12" i="55"/>
  <c r="Y15" i="5"/>
  <c r="Y12" i="47"/>
  <c r="X42" i="42"/>
  <c r="X78" i="42"/>
  <c r="X60" i="42"/>
  <c r="Y12" i="42"/>
  <c r="Y32" i="55"/>
  <c r="Y134" i="5"/>
  <c r="Y9" i="47"/>
  <c r="Y13" i="5"/>
  <c r="Z1" i="7"/>
  <c r="Z31" i="54"/>
  <c r="Z1" i="2"/>
  <c r="Z1" i="6"/>
  <c r="Z1" i="5"/>
  <c r="Z1" i="42"/>
  <c r="Z1" i="47"/>
  <c r="AS20" i="55"/>
  <c r="AS7" i="47" s="1"/>
  <c r="AS86" i="47" s="1"/>
  <c r="Z5" i="54"/>
  <c r="Z38" i="55"/>
  <c r="Z1" i="43"/>
  <c r="Y7" i="54"/>
  <c r="AR25" i="47"/>
  <c r="AR72" i="47"/>
  <c r="AS3" i="47"/>
  <c r="AS3" i="7"/>
  <c r="AS37" i="7" s="1"/>
  <c r="AS3" i="6"/>
  <c r="AS3" i="2"/>
  <c r="AS16" i="55"/>
  <c r="AS17" i="55"/>
  <c r="AS4" i="5"/>
  <c r="AS37" i="5" s="1"/>
  <c r="AS3" i="42"/>
  <c r="AS33" i="54"/>
  <c r="AT34" i="54"/>
  <c r="AT4" i="47"/>
  <c r="AT19" i="55"/>
  <c r="AT22" i="55" s="1"/>
  <c r="AT12" i="5" s="1"/>
  <c r="AT4" i="42"/>
  <c r="AT4" i="6"/>
  <c r="AT26" i="55"/>
  <c r="AT4" i="2"/>
  <c r="AT4" i="7"/>
  <c r="AU8" i="55"/>
  <c r="AT5" i="5"/>
  <c r="AT7" i="55"/>
  <c r="AT12" i="55" s="1"/>
  <c r="AT21" i="55"/>
  <c r="AT8" i="47" s="1"/>
  <c r="AR43" i="47"/>
  <c r="AR39" i="47"/>
  <c r="AR88" i="5"/>
  <c r="AR102" i="5"/>
  <c r="AR86" i="47"/>
  <c r="AS14" i="5"/>
  <c r="AS10" i="47"/>
  <c r="AR6" i="5"/>
  <c r="AR47" i="5" s="1"/>
  <c r="AR5" i="6"/>
  <c r="AR5" i="42"/>
  <c r="AR100" i="47"/>
  <c r="AR96" i="47"/>
  <c r="AR97" i="47" s="1"/>
  <c r="AQ40" i="47"/>
  <c r="AQ41" i="47" s="1"/>
  <c r="AQ44" i="47" s="1"/>
  <c r="AR7" i="42"/>
  <c r="AR8" i="5"/>
  <c r="AQ97" i="47"/>
  <c r="AQ98" i="47" s="1"/>
  <c r="AQ101" i="47" s="1"/>
  <c r="AS11" i="5"/>
  <c r="AS5" i="47"/>
  <c r="AR26" i="5" l="1"/>
  <c r="AS32" i="5"/>
  <c r="AT44" i="5"/>
  <c r="AT91" i="42"/>
  <c r="AT99" i="42"/>
  <c r="AS101" i="42"/>
  <c r="AS98" i="42"/>
  <c r="AS94" i="42"/>
  <c r="AS102" i="42"/>
  <c r="AS92" i="42"/>
  <c r="AS93" i="42"/>
  <c r="AS90" i="42"/>
  <c r="AS100" i="42"/>
  <c r="AS9" i="5"/>
  <c r="AS13" i="47"/>
  <c r="AR17" i="5"/>
  <c r="AR19" i="5"/>
  <c r="Y23" i="42"/>
  <c r="Y52" i="42"/>
  <c r="Y34" i="42"/>
  <c r="Y70" i="42"/>
  <c r="Z2" i="6"/>
  <c r="Z23" i="55"/>
  <c r="Z6" i="47" s="1"/>
  <c r="Z2" i="2"/>
  <c r="Z31" i="55"/>
  <c r="Z2" i="42"/>
  <c r="Z88" i="42" s="1"/>
  <c r="Z2" i="5"/>
  <c r="Z3" i="5" s="1"/>
  <c r="Z34" i="55"/>
  <c r="Z32" i="54"/>
  <c r="Z30" i="55"/>
  <c r="Z14" i="47" s="1"/>
  <c r="Z27" i="55"/>
  <c r="Z11" i="47" s="1"/>
  <c r="Z2" i="47"/>
  <c r="Z28" i="55"/>
  <c r="Z24" i="55"/>
  <c r="Z2" i="7"/>
  <c r="AT20" i="55"/>
  <c r="AT7" i="47" s="1"/>
  <c r="AT86" i="47" s="1"/>
  <c r="Z39" i="55"/>
  <c r="Z3" i="43" s="1"/>
  <c r="Z2" i="43"/>
  <c r="Z44" i="55"/>
  <c r="Z6" i="43" s="1"/>
  <c r="AA37" i="55"/>
  <c r="Z6" i="54"/>
  <c r="AR98" i="47"/>
  <c r="AR101" i="47" s="1"/>
  <c r="AS100" i="47"/>
  <c r="AS96" i="47"/>
  <c r="AU4" i="42"/>
  <c r="AU4" i="2"/>
  <c r="AU4" i="7"/>
  <c r="AU7" i="55"/>
  <c r="AU26" i="55"/>
  <c r="AU34" i="54"/>
  <c r="AU4" i="6"/>
  <c r="AU19" i="55"/>
  <c r="AU22" i="55" s="1"/>
  <c r="AU12" i="5" s="1"/>
  <c r="AV8" i="55"/>
  <c r="AU4" i="47"/>
  <c r="AU21" i="55"/>
  <c r="AU8" i="47" s="1"/>
  <c r="AU5" i="5"/>
  <c r="AT14" i="5"/>
  <c r="AT10" i="47"/>
  <c r="AT5" i="47"/>
  <c r="AT11" i="5"/>
  <c r="AS5" i="6"/>
  <c r="AS5" i="42"/>
  <c r="AS6" i="5"/>
  <c r="AS47" i="5" s="1"/>
  <c r="AS102" i="5"/>
  <c r="AS88" i="5"/>
  <c r="AS43" i="47"/>
  <c r="AS39" i="47"/>
  <c r="AT17" i="55"/>
  <c r="AT3" i="42"/>
  <c r="AT3" i="7"/>
  <c r="AT37" i="7" s="1"/>
  <c r="AT33" i="54"/>
  <c r="AT4" i="5"/>
  <c r="AT37" i="5" s="1"/>
  <c r="AT3" i="2"/>
  <c r="AT3" i="47"/>
  <c r="AT16" i="55"/>
  <c r="AT3" i="6"/>
  <c r="AS8" i="5"/>
  <c r="AS7" i="42"/>
  <c r="AS25" i="47"/>
  <c r="AS72" i="47"/>
  <c r="AR40" i="47"/>
  <c r="AR41" i="47" s="1"/>
  <c r="AR44" i="47" s="1"/>
  <c r="Z26" i="5" l="1"/>
  <c r="AS26" i="5"/>
  <c r="Z38" i="5"/>
  <c r="Z30" i="5"/>
  <c r="AT32" i="5"/>
  <c r="AU44" i="5"/>
  <c r="AU99" i="42"/>
  <c r="AU91" i="42"/>
  <c r="AT101" i="42"/>
  <c r="AT94" i="42"/>
  <c r="AT102" i="42"/>
  <c r="AT93" i="42"/>
  <c r="AT98" i="42"/>
  <c r="AT90" i="42"/>
  <c r="AT92" i="42"/>
  <c r="AT100" i="42"/>
  <c r="AT9" i="5"/>
  <c r="AT13" i="47"/>
  <c r="AS17" i="5"/>
  <c r="AS19" i="5"/>
  <c r="AU12" i="55"/>
  <c r="Z9" i="47"/>
  <c r="Z13" i="5"/>
  <c r="Y60" i="42"/>
  <c r="Y42" i="42"/>
  <c r="Y78" i="42"/>
  <c r="Z12" i="47"/>
  <c r="Z15" i="5"/>
  <c r="AA1" i="42"/>
  <c r="AA31" i="54"/>
  <c r="AA1" i="47"/>
  <c r="AA1" i="6"/>
  <c r="AA1" i="2"/>
  <c r="AA1" i="5"/>
  <c r="AA1" i="7"/>
  <c r="Z134" i="5"/>
  <c r="Z12" i="42"/>
  <c r="Z32" i="55"/>
  <c r="AA38" i="55"/>
  <c r="AA1" i="43"/>
  <c r="AA5" i="54"/>
  <c r="Z7" i="54"/>
  <c r="AT25" i="47"/>
  <c r="AT72" i="47"/>
  <c r="AT100" i="47"/>
  <c r="AT96" i="47"/>
  <c r="AU3" i="2"/>
  <c r="AU16" i="55"/>
  <c r="AU3" i="7"/>
  <c r="AU37" i="7" s="1"/>
  <c r="AU3" i="6"/>
  <c r="AU33" i="54"/>
  <c r="AU3" i="42"/>
  <c r="AU17" i="55"/>
  <c r="AU3" i="47"/>
  <c r="AU4" i="5"/>
  <c r="AU37" i="5" s="1"/>
  <c r="AT7" i="42"/>
  <c r="AT8" i="5"/>
  <c r="AT102" i="5"/>
  <c r="AT88" i="5"/>
  <c r="AS40" i="47"/>
  <c r="AS41" i="47" s="1"/>
  <c r="AS44" i="47" s="1"/>
  <c r="AW8" i="55"/>
  <c r="AV4" i="47"/>
  <c r="AV4" i="2"/>
  <c r="AV4" i="42"/>
  <c r="AV34" i="54"/>
  <c r="AV19" i="55"/>
  <c r="AV22" i="55" s="1"/>
  <c r="AV12" i="5" s="1"/>
  <c r="AV26" i="55"/>
  <c r="AV4" i="7"/>
  <c r="AV21" i="55"/>
  <c r="AV8" i="47" s="1"/>
  <c r="AV5" i="5"/>
  <c r="AV4" i="6"/>
  <c r="AV7" i="55"/>
  <c r="AU10" i="47"/>
  <c r="AU14" i="5"/>
  <c r="AS97" i="47"/>
  <c r="AS98" i="47" s="1"/>
  <c r="AS101" i="47" s="1"/>
  <c r="AT5" i="6"/>
  <c r="AT6" i="5"/>
  <c r="AT47" i="5" s="1"/>
  <c r="AT5" i="42"/>
  <c r="AT39" i="47"/>
  <c r="AT43" i="47"/>
  <c r="AU5" i="47"/>
  <c r="AU11" i="5"/>
  <c r="AU20" i="55"/>
  <c r="AU7" i="47" s="1"/>
  <c r="AT26" i="5" l="1"/>
  <c r="AU32" i="5"/>
  <c r="AV44" i="5"/>
  <c r="AV91" i="42"/>
  <c r="AV99" i="42"/>
  <c r="AU101" i="42"/>
  <c r="AU102" i="42"/>
  <c r="AU100" i="42"/>
  <c r="AU98" i="42"/>
  <c r="AU94" i="42"/>
  <c r="AU93" i="42"/>
  <c r="AU92" i="42"/>
  <c r="AU90" i="42"/>
  <c r="AU9" i="5"/>
  <c r="AU13" i="47"/>
  <c r="AT17" i="5"/>
  <c r="AT19" i="5"/>
  <c r="AV12" i="55"/>
  <c r="Z23" i="42"/>
  <c r="AA27" i="55"/>
  <c r="AA11" i="47" s="1"/>
  <c r="AA2" i="2"/>
  <c r="AA2" i="6"/>
  <c r="AA2" i="47"/>
  <c r="AA34" i="55"/>
  <c r="AA2" i="5"/>
  <c r="AA3" i="5" s="1"/>
  <c r="AA30" i="55"/>
  <c r="AA14" i="47" s="1"/>
  <c r="AA2" i="7"/>
  <c r="AA23" i="55"/>
  <c r="AA6" i="47" s="1"/>
  <c r="AA24" i="55"/>
  <c r="AA32" i="54"/>
  <c r="AA2" i="42"/>
  <c r="AA88" i="42" s="1"/>
  <c r="AA31" i="55"/>
  <c r="AA28" i="55"/>
  <c r="Z70" i="42"/>
  <c r="Z34" i="42"/>
  <c r="Z52" i="42"/>
  <c r="AV20" i="55"/>
  <c r="AV7" i="47" s="1"/>
  <c r="AV86" i="47" s="1"/>
  <c r="AA39" i="55"/>
  <c r="AA3" i="43" s="1"/>
  <c r="AA44" i="55"/>
  <c r="AA6" i="43" s="1"/>
  <c r="AA2" i="43"/>
  <c r="AB37" i="55"/>
  <c r="AA6" i="54"/>
  <c r="AX8" i="55"/>
  <c r="AW5" i="5"/>
  <c r="AW4" i="6"/>
  <c r="AW4" i="2"/>
  <c r="AW34" i="54"/>
  <c r="AW19" i="55"/>
  <c r="AW22" i="55" s="1"/>
  <c r="AW12" i="5" s="1"/>
  <c r="AW4" i="47"/>
  <c r="AW4" i="42"/>
  <c r="AW7" i="55"/>
  <c r="AW26" i="55"/>
  <c r="AW4" i="7"/>
  <c r="AW21" i="55"/>
  <c r="AW8" i="47" s="1"/>
  <c r="AU6" i="5"/>
  <c r="AU47" i="5" s="1"/>
  <c r="AU5" i="6"/>
  <c r="AU5" i="42"/>
  <c r="AV14" i="5"/>
  <c r="AV10" i="47"/>
  <c r="AU88" i="5"/>
  <c r="AU102" i="5"/>
  <c r="AU8" i="5"/>
  <c r="AU7" i="42"/>
  <c r="AU43" i="47"/>
  <c r="AU39" i="47"/>
  <c r="AU86" i="47"/>
  <c r="AU96" i="47"/>
  <c r="AU97" i="47" s="1"/>
  <c r="AU100" i="47"/>
  <c r="AV5" i="47"/>
  <c r="AV11" i="5"/>
  <c r="AU25" i="47"/>
  <c r="AT97" i="47"/>
  <c r="AT98" i="47" s="1"/>
  <c r="AT101" i="47" s="1"/>
  <c r="AT40" i="47"/>
  <c r="AT41" i="47" s="1"/>
  <c r="AT44" i="47" s="1"/>
  <c r="AV3" i="6"/>
  <c r="AV4" i="5"/>
  <c r="AV37" i="5" s="1"/>
  <c r="AV16" i="55"/>
  <c r="AV3" i="2"/>
  <c r="AV33" i="54"/>
  <c r="AV3" i="7"/>
  <c r="AV37" i="7" s="1"/>
  <c r="AV3" i="47"/>
  <c r="AV3" i="42"/>
  <c r="AV17" i="55"/>
  <c r="AU26" i="5" l="1"/>
  <c r="AA26" i="5"/>
  <c r="AA38" i="5"/>
  <c r="AA30" i="5"/>
  <c r="AV32" i="5"/>
  <c r="AW44" i="5"/>
  <c r="AW99" i="42"/>
  <c r="AW91" i="42"/>
  <c r="AV101" i="42"/>
  <c r="AV94" i="42"/>
  <c r="AV102" i="42"/>
  <c r="AV93" i="42"/>
  <c r="AV100" i="42"/>
  <c r="AV92" i="42"/>
  <c r="AV90" i="42"/>
  <c r="AV98" i="42"/>
  <c r="AV9" i="5"/>
  <c r="AV13" i="47"/>
  <c r="AU17" i="5"/>
  <c r="AU19" i="5"/>
  <c r="AW12" i="55"/>
  <c r="Z42" i="42"/>
  <c r="Z60" i="42"/>
  <c r="Z78" i="42"/>
  <c r="AA12" i="47"/>
  <c r="AA15" i="5"/>
  <c r="AA13" i="5"/>
  <c r="AA9" i="47"/>
  <c r="AA12" i="42"/>
  <c r="AA134" i="5"/>
  <c r="AA32" i="55"/>
  <c r="AB31" i="54"/>
  <c r="AB1" i="2"/>
  <c r="AB1" i="6"/>
  <c r="AB1" i="7"/>
  <c r="AB1" i="47"/>
  <c r="AB1" i="5"/>
  <c r="AB1" i="42"/>
  <c r="AB5" i="54"/>
  <c r="AB38" i="55"/>
  <c r="AB1" i="43"/>
  <c r="AA7" i="54"/>
  <c r="AV25" i="47"/>
  <c r="AV72" i="47"/>
  <c r="AV8" i="5"/>
  <c r="AV7" i="42"/>
  <c r="AW3" i="7"/>
  <c r="AW37" i="7" s="1"/>
  <c r="AW3" i="42"/>
  <c r="AW3" i="47"/>
  <c r="AW3" i="6"/>
  <c r="AW16" i="55"/>
  <c r="AW17" i="55"/>
  <c r="AW3" i="2"/>
  <c r="AW33" i="54"/>
  <c r="AW4" i="5"/>
  <c r="AW37" i="5" s="1"/>
  <c r="AW20" i="55"/>
  <c r="AW7" i="47" s="1"/>
  <c r="AV88" i="5"/>
  <c r="AV102" i="5"/>
  <c r="AV100" i="47"/>
  <c r="AV96" i="47"/>
  <c r="AV97" i="47" s="1"/>
  <c r="AW5" i="47"/>
  <c r="AW11" i="5"/>
  <c r="AU98" i="47"/>
  <c r="AU101" i="47" s="1"/>
  <c r="AX5" i="5"/>
  <c r="AX4" i="2"/>
  <c r="AX19" i="55"/>
  <c r="AX22" i="55" s="1"/>
  <c r="AX12" i="5" s="1"/>
  <c r="AX4" i="42"/>
  <c r="AX4" i="47"/>
  <c r="AX4" i="6"/>
  <c r="AY8" i="55"/>
  <c r="AX34" i="54"/>
  <c r="AX26" i="55"/>
  <c r="AX4" i="7"/>
  <c r="AX7" i="55"/>
  <c r="AX21" i="55"/>
  <c r="AX8" i="47" s="1"/>
  <c r="AV5" i="42"/>
  <c r="AV6" i="5"/>
  <c r="AV47" i="5" s="1"/>
  <c r="AV5" i="6"/>
  <c r="AV43" i="47"/>
  <c r="AV39" i="47"/>
  <c r="AW10" i="47"/>
  <c r="AW14" i="5"/>
  <c r="AU40" i="47"/>
  <c r="AU41" i="47" s="1"/>
  <c r="AU44" i="47" s="1"/>
  <c r="AV26" i="5" l="1"/>
  <c r="AW32" i="5"/>
  <c r="AX44" i="5"/>
  <c r="AX99" i="42"/>
  <c r="AX91" i="42"/>
  <c r="AW102" i="42"/>
  <c r="AW100" i="42"/>
  <c r="AW98" i="42"/>
  <c r="AW94" i="42"/>
  <c r="AW93" i="42"/>
  <c r="AW92" i="42"/>
  <c r="AW90" i="42"/>
  <c r="AW101" i="42"/>
  <c r="AW9" i="5"/>
  <c r="AW13" i="47"/>
  <c r="AV17" i="5"/>
  <c r="AV19" i="5"/>
  <c r="AX12" i="55"/>
  <c r="AB34" i="55"/>
  <c r="AB27" i="55"/>
  <c r="AB11" i="47" s="1"/>
  <c r="AB32" i="54"/>
  <c r="AB24" i="55"/>
  <c r="AB23" i="55"/>
  <c r="AB6" i="47" s="1"/>
  <c r="AB2" i="42"/>
  <c r="AB88" i="42" s="1"/>
  <c r="AB2" i="47"/>
  <c r="AB28" i="55"/>
  <c r="AB2" i="7"/>
  <c r="AB2" i="6"/>
  <c r="AB31" i="55"/>
  <c r="AB30" i="55"/>
  <c r="AB14" i="47" s="1"/>
  <c r="AB2" i="5"/>
  <c r="AB3" i="5" s="1"/>
  <c r="AB2" i="2"/>
  <c r="AA34" i="42"/>
  <c r="AA52" i="42"/>
  <c r="AA70" i="42"/>
  <c r="AA23" i="42"/>
  <c r="AX20" i="55"/>
  <c r="AX7" i="47" s="1"/>
  <c r="AX86" i="47" s="1"/>
  <c r="AB44" i="55"/>
  <c r="AB6" i="43" s="1"/>
  <c r="AB6" i="54"/>
  <c r="AB39" i="55"/>
  <c r="AB3" i="43" s="1"/>
  <c r="AC37" i="55"/>
  <c r="AB2" i="43"/>
  <c r="AX14" i="5"/>
  <c r="AX10" i="47"/>
  <c r="AX5" i="47"/>
  <c r="AX11" i="5"/>
  <c r="AW6" i="5"/>
  <c r="AW47" i="5" s="1"/>
  <c r="AW5" i="42"/>
  <c r="AW5" i="6"/>
  <c r="AW25" i="47"/>
  <c r="AW72" i="47"/>
  <c r="AW102" i="5"/>
  <c r="AW88" i="5"/>
  <c r="AW100" i="47"/>
  <c r="AW96" i="47"/>
  <c r="AW97" i="47" s="1"/>
  <c r="AV40" i="47"/>
  <c r="AV41" i="47" s="1"/>
  <c r="AV44" i="47" s="1"/>
  <c r="AX3" i="6"/>
  <c r="AX3" i="42"/>
  <c r="AX16" i="55"/>
  <c r="AX17" i="55"/>
  <c r="AX3" i="47"/>
  <c r="AX4" i="5"/>
  <c r="AX37" i="5" s="1"/>
  <c r="AX33" i="54"/>
  <c r="AX3" i="7"/>
  <c r="AX37" i="7" s="1"/>
  <c r="AX3" i="2"/>
  <c r="AY26" i="55"/>
  <c r="AY4" i="2"/>
  <c r="AY4" i="7"/>
  <c r="AY19" i="55"/>
  <c r="AY22" i="55" s="1"/>
  <c r="AY12" i="5" s="1"/>
  <c r="AZ8" i="55"/>
  <c r="AY5" i="5"/>
  <c r="AY21" i="55"/>
  <c r="AY8" i="47" s="1"/>
  <c r="AY4" i="47"/>
  <c r="AY4" i="6"/>
  <c r="AY4" i="42"/>
  <c r="AY34" i="54"/>
  <c r="AY7" i="55"/>
  <c r="AW39" i="47"/>
  <c r="AW43" i="47"/>
  <c r="AW7" i="42"/>
  <c r="AW8" i="5"/>
  <c r="AV98" i="47"/>
  <c r="AV101" i="47" s="1"/>
  <c r="AW86" i="47"/>
  <c r="AW26" i="5" l="1"/>
  <c r="AB26" i="5"/>
  <c r="AB38" i="5"/>
  <c r="AB30" i="5"/>
  <c r="AX32" i="5"/>
  <c r="AY44" i="5"/>
  <c r="AY91" i="42"/>
  <c r="AY99" i="42"/>
  <c r="AX102" i="42"/>
  <c r="AX90" i="42"/>
  <c r="AX93" i="42"/>
  <c r="AX100" i="42"/>
  <c r="AX94" i="42"/>
  <c r="AX98" i="42"/>
  <c r="AX101" i="42"/>
  <c r="AX92" i="42"/>
  <c r="AX9" i="5"/>
  <c r="AX13" i="47"/>
  <c r="AW17" i="5"/>
  <c r="AW19" i="5"/>
  <c r="AY12" i="55"/>
  <c r="AB12" i="47"/>
  <c r="AB15" i="5"/>
  <c r="AB9" i="47"/>
  <c r="AB13" i="5"/>
  <c r="AC1" i="5"/>
  <c r="AC1" i="7"/>
  <c r="AC1" i="2"/>
  <c r="AC1" i="47"/>
  <c r="AC1" i="6"/>
  <c r="AC31" i="54"/>
  <c r="AC1" i="42"/>
  <c r="AB12" i="42"/>
  <c r="AB32" i="55"/>
  <c r="AB134" i="5"/>
  <c r="AA42" i="42"/>
  <c r="AA60" i="42"/>
  <c r="AA78" i="42"/>
  <c r="AC1" i="43"/>
  <c r="AC5" i="54"/>
  <c r="AC38" i="55"/>
  <c r="AB7" i="54"/>
  <c r="AW40" i="47"/>
  <c r="AW41" i="47" s="1"/>
  <c r="AW44" i="47" s="1"/>
  <c r="AX6" i="5"/>
  <c r="AX47" i="5" s="1"/>
  <c r="AX5" i="6"/>
  <c r="AX5" i="42"/>
  <c r="AZ26" i="55"/>
  <c r="AZ4" i="47"/>
  <c r="AZ4" i="7"/>
  <c r="AZ19" i="55"/>
  <c r="AZ22" i="55" s="1"/>
  <c r="AZ12" i="5" s="1"/>
  <c r="BA8" i="55"/>
  <c r="AZ7" i="55"/>
  <c r="AZ34" i="54"/>
  <c r="AZ4" i="6"/>
  <c r="AZ21" i="55"/>
  <c r="AZ8" i="47" s="1"/>
  <c r="AZ4" i="42"/>
  <c r="AZ4" i="2"/>
  <c r="AZ5" i="5"/>
  <c r="AX8" i="5"/>
  <c r="AX7" i="42"/>
  <c r="AX43" i="47"/>
  <c r="AX39" i="47"/>
  <c r="AY3" i="6"/>
  <c r="AY3" i="7"/>
  <c r="AY37" i="7" s="1"/>
  <c r="AY16" i="55"/>
  <c r="AY3" i="47"/>
  <c r="AY3" i="42"/>
  <c r="AY3" i="2"/>
  <c r="AY4" i="5"/>
  <c r="AY37" i="5" s="1"/>
  <c r="AY17" i="55"/>
  <c r="AY33" i="54"/>
  <c r="AY20" i="55"/>
  <c r="AY7" i="47" s="1"/>
  <c r="AY14" i="5"/>
  <c r="AY10" i="47"/>
  <c r="AX102" i="5"/>
  <c r="AX88" i="5"/>
  <c r="AW98" i="47"/>
  <c r="AW101" i="47" s="1"/>
  <c r="AY5" i="47"/>
  <c r="AY11" i="5"/>
  <c r="AX25" i="47"/>
  <c r="AX72" i="47"/>
  <c r="AX100" i="47"/>
  <c r="AX96" i="47"/>
  <c r="AX97" i="47" s="1"/>
  <c r="AX26" i="5" l="1"/>
  <c r="AY32" i="5"/>
  <c r="AZ44" i="5"/>
  <c r="AZ99" i="42"/>
  <c r="AZ91" i="42"/>
  <c r="AY102" i="42"/>
  <c r="AY93" i="42"/>
  <c r="AY100" i="42"/>
  <c r="AY92" i="42"/>
  <c r="AY101" i="42"/>
  <c r="AY98" i="42"/>
  <c r="AY90" i="42"/>
  <c r="AY94" i="42"/>
  <c r="AY9" i="5"/>
  <c r="AY13" i="47"/>
  <c r="AX17" i="5"/>
  <c r="AX19" i="5"/>
  <c r="AZ12" i="55"/>
  <c r="AC30" i="55"/>
  <c r="AC14" i="47" s="1"/>
  <c r="AC23" i="55"/>
  <c r="AC6" i="47" s="1"/>
  <c r="AC2" i="47"/>
  <c r="AC2" i="5"/>
  <c r="AC3" i="5" s="1"/>
  <c r="AC28" i="55"/>
  <c r="AC27" i="55"/>
  <c r="AC11" i="47" s="1"/>
  <c r="AC2" i="6"/>
  <c r="AC24" i="55"/>
  <c r="AC32" i="54"/>
  <c r="AC34" i="55"/>
  <c r="AC31" i="55"/>
  <c r="AC2" i="2"/>
  <c r="AC2" i="7"/>
  <c r="AC2" i="42"/>
  <c r="AC88" i="42" s="1"/>
  <c r="AB34" i="42"/>
  <c r="AB52" i="42"/>
  <c r="AB70" i="42"/>
  <c r="AB23" i="42"/>
  <c r="AZ20" i="55"/>
  <c r="AZ7" i="47" s="1"/>
  <c r="AZ86" i="47" s="1"/>
  <c r="AC2" i="43"/>
  <c r="AC39" i="55"/>
  <c r="AC3" i="43" s="1"/>
  <c r="AC44" i="55"/>
  <c r="AC6" i="43" s="1"/>
  <c r="AC6" i="54"/>
  <c r="AD37" i="55"/>
  <c r="AX98" i="47"/>
  <c r="AX101" i="47" s="1"/>
  <c r="AY96" i="47"/>
  <c r="AY97" i="47" s="1"/>
  <c r="AY100" i="47"/>
  <c r="AY5" i="42"/>
  <c r="AY6" i="5"/>
  <c r="AY47" i="5" s="1"/>
  <c r="AY5" i="6"/>
  <c r="AX40" i="47"/>
  <c r="AX41" i="47" s="1"/>
  <c r="AX44" i="47" s="1"/>
  <c r="AZ5" i="47"/>
  <c r="AZ11" i="5"/>
  <c r="AY25" i="47"/>
  <c r="AZ4" i="5"/>
  <c r="AZ37" i="5" s="1"/>
  <c r="AZ17" i="55"/>
  <c r="AZ33" i="54"/>
  <c r="AZ3" i="7"/>
  <c r="AZ37" i="7" s="1"/>
  <c r="AZ3" i="2"/>
  <c r="AZ3" i="6"/>
  <c r="AZ16" i="55"/>
  <c r="AZ3" i="42"/>
  <c r="AZ3" i="47"/>
  <c r="AY39" i="47"/>
  <c r="AY43" i="47"/>
  <c r="AY86" i="47"/>
  <c r="AY88" i="5"/>
  <c r="AY102" i="5"/>
  <c r="AY8" i="5"/>
  <c r="AY7" i="42"/>
  <c r="BB8" i="55"/>
  <c r="BA4" i="7"/>
  <c r="BA4" i="2"/>
  <c r="BA4" i="42"/>
  <c r="BA34" i="54"/>
  <c r="BA5" i="5"/>
  <c r="BA7" i="55"/>
  <c r="BA26" i="55"/>
  <c r="BA4" i="47"/>
  <c r="BA19" i="55"/>
  <c r="BA21" i="55"/>
  <c r="BA8" i="47" s="1"/>
  <c r="BA4" i="6"/>
  <c r="AZ10" i="47"/>
  <c r="AZ14" i="5"/>
  <c r="AC26" i="5" l="1"/>
  <c r="AY26" i="5"/>
  <c r="AC38" i="5"/>
  <c r="AC30" i="5"/>
  <c r="AZ32" i="5"/>
  <c r="BA99" i="42"/>
  <c r="BA91" i="42"/>
  <c r="AZ100" i="42"/>
  <c r="AZ92" i="42"/>
  <c r="AZ101" i="42"/>
  <c r="AZ98" i="42"/>
  <c r="AZ102" i="42"/>
  <c r="AZ93" i="42"/>
  <c r="AZ94" i="42"/>
  <c r="AZ90" i="42"/>
  <c r="AZ9" i="5"/>
  <c r="AZ13" i="47"/>
  <c r="AY17" i="5"/>
  <c r="AY19" i="5"/>
  <c r="BA12" i="55"/>
  <c r="AD1" i="6"/>
  <c r="AD1" i="5"/>
  <c r="AD1" i="2"/>
  <c r="AD1" i="42"/>
  <c r="AD1" i="47"/>
  <c r="AD31" i="54"/>
  <c r="AD1" i="7"/>
  <c r="AC12" i="47"/>
  <c r="AC15" i="5"/>
  <c r="AC13" i="5"/>
  <c r="AC9" i="47"/>
  <c r="AB60" i="42"/>
  <c r="AB78" i="42"/>
  <c r="AB42" i="42"/>
  <c r="AC32" i="55"/>
  <c r="AC12" i="42"/>
  <c r="AC134" i="5"/>
  <c r="BA20" i="55"/>
  <c r="BA7" i="47" s="1"/>
  <c r="BA86" i="47" s="1"/>
  <c r="AC7" i="54"/>
  <c r="AD1" i="43"/>
  <c r="AD38" i="55"/>
  <c r="AD5" i="54"/>
  <c r="BA10" i="47"/>
  <c r="BA14" i="5"/>
  <c r="BB4" i="47"/>
  <c r="BB34" i="54"/>
  <c r="BB4" i="42"/>
  <c r="BB4" i="2"/>
  <c r="BC8" i="55"/>
  <c r="BB4" i="7"/>
  <c r="BB4" i="6"/>
  <c r="BB7" i="55"/>
  <c r="BB12" i="55" s="1"/>
  <c r="BB26" i="55"/>
  <c r="BB5" i="5"/>
  <c r="BB19" i="55"/>
  <c r="BB22" i="55" s="1"/>
  <c r="BB12" i="5" s="1"/>
  <c r="BB21" i="55"/>
  <c r="BB8" i="47" s="1"/>
  <c r="AZ25" i="47"/>
  <c r="AZ72" i="47"/>
  <c r="AY40" i="47"/>
  <c r="AY41" i="47" s="1"/>
  <c r="AY44" i="47" s="1"/>
  <c r="AZ88" i="5"/>
  <c r="AZ102" i="5"/>
  <c r="AZ43" i="47"/>
  <c r="AZ39" i="47"/>
  <c r="AZ100" i="47"/>
  <c r="AZ96" i="47"/>
  <c r="AZ97" i="47" s="1"/>
  <c r="BA11" i="5"/>
  <c r="BA5" i="47"/>
  <c r="BA3" i="2"/>
  <c r="BA17" i="55"/>
  <c r="BA16" i="55"/>
  <c r="BA3" i="6"/>
  <c r="BA4" i="5"/>
  <c r="BA37" i="5" s="1"/>
  <c r="BA3" i="7"/>
  <c r="BA37" i="7" s="1"/>
  <c r="BA33" i="54"/>
  <c r="BA3" i="42"/>
  <c r="BA3" i="47"/>
  <c r="AZ6" i="5"/>
  <c r="AZ47" i="5" s="1"/>
  <c r="AZ5" i="6"/>
  <c r="AZ5" i="42"/>
  <c r="BA22" i="55"/>
  <c r="BA12" i="5" s="1"/>
  <c r="AZ7" i="42"/>
  <c r="AZ8" i="5"/>
  <c r="AY98" i="47"/>
  <c r="AY101" i="47" s="1"/>
  <c r="AZ26" i="5" l="1"/>
  <c r="BA32" i="5"/>
  <c r="BA44" i="5"/>
  <c r="BB44" i="5"/>
  <c r="BB99" i="42"/>
  <c r="BB91" i="42"/>
  <c r="BA101" i="42"/>
  <c r="BA100" i="42"/>
  <c r="BA92" i="42"/>
  <c r="BA98" i="42"/>
  <c r="BA90" i="42"/>
  <c r="BA102" i="42"/>
  <c r="BA94" i="42"/>
  <c r="BA93" i="42"/>
  <c r="BA9" i="5"/>
  <c r="BA13" i="47"/>
  <c r="AZ17" i="5"/>
  <c r="AZ19" i="5"/>
  <c r="AC70" i="42"/>
  <c r="AC34" i="42"/>
  <c r="AC52" i="42"/>
  <c r="AC23" i="42"/>
  <c r="AD27" i="55"/>
  <c r="AD11" i="47" s="1"/>
  <c r="AD2" i="2"/>
  <c r="AD2" i="42"/>
  <c r="AD88" i="42" s="1"/>
  <c r="AD32" i="54"/>
  <c r="AD23" i="55"/>
  <c r="AD6" i="47" s="1"/>
  <c r="AD24" i="55"/>
  <c r="AD34" i="55"/>
  <c r="AD2" i="6"/>
  <c r="AD2" i="5"/>
  <c r="AD3" i="5" s="1"/>
  <c r="AD2" i="7"/>
  <c r="AD2" i="47"/>
  <c r="AD30" i="55"/>
  <c r="AD14" i="47" s="1"/>
  <c r="AD28" i="55"/>
  <c r="AD31" i="55"/>
  <c r="BB20" i="55"/>
  <c r="BB7" i="47" s="1"/>
  <c r="BB86" i="47" s="1"/>
  <c r="AD6" i="54"/>
  <c r="AD2" i="43"/>
  <c r="AD39" i="55"/>
  <c r="AD3" i="43" s="1"/>
  <c r="AD44" i="55"/>
  <c r="AD6" i="43" s="1"/>
  <c r="AE37" i="55"/>
  <c r="BA25" i="47"/>
  <c r="BA72" i="47"/>
  <c r="BA102" i="5"/>
  <c r="BA88" i="5"/>
  <c r="AZ40" i="47"/>
  <c r="AZ41" i="47" s="1"/>
  <c r="AZ44" i="47" s="1"/>
  <c r="AZ98" i="47"/>
  <c r="AZ101" i="47" s="1"/>
  <c r="BB14" i="5"/>
  <c r="BB10" i="47"/>
  <c r="BA96" i="47"/>
  <c r="BA97" i="47" s="1"/>
  <c r="BA100" i="47"/>
  <c r="BA7" i="42"/>
  <c r="BA8" i="5"/>
  <c r="BA43" i="47"/>
  <c r="BA39" i="47"/>
  <c r="BC5" i="5"/>
  <c r="BC4" i="7"/>
  <c r="BC19" i="55"/>
  <c r="BC22" i="55" s="1"/>
  <c r="BC12" i="5" s="1"/>
  <c r="BC4" i="42"/>
  <c r="BC4" i="47"/>
  <c r="BC4" i="6"/>
  <c r="BC21" i="55"/>
  <c r="BC8" i="47" s="1"/>
  <c r="BD8" i="55"/>
  <c r="BC34" i="54"/>
  <c r="BC26" i="55"/>
  <c r="BC4" i="2"/>
  <c r="BC7" i="55"/>
  <c r="BA5" i="6"/>
  <c r="BA6" i="5"/>
  <c r="BA47" i="5" s="1"/>
  <c r="BA5" i="42"/>
  <c r="BB5" i="47"/>
  <c r="BB11" i="5"/>
  <c r="BB4" i="5"/>
  <c r="BB37" i="5" s="1"/>
  <c r="BB3" i="7"/>
  <c r="BB37" i="7" s="1"/>
  <c r="BB3" i="6"/>
  <c r="BB3" i="42"/>
  <c r="BB3" i="2"/>
  <c r="BB3" i="47"/>
  <c r="BB16" i="55"/>
  <c r="BB17" i="55"/>
  <c r="BB33" i="54"/>
  <c r="AD26" i="5" l="1"/>
  <c r="BA26" i="5"/>
  <c r="AD38" i="5"/>
  <c r="AD30" i="5"/>
  <c r="BB32" i="5"/>
  <c r="BC44" i="5"/>
  <c r="BC99" i="42"/>
  <c r="BC91" i="42"/>
  <c r="BB101" i="42"/>
  <c r="BB98" i="42"/>
  <c r="BB94" i="42"/>
  <c r="BB102" i="42"/>
  <c r="BB93" i="42"/>
  <c r="BB90" i="42"/>
  <c r="BB100" i="42"/>
  <c r="BB92" i="42"/>
  <c r="BB9" i="5"/>
  <c r="BB13" i="47"/>
  <c r="BA17" i="5"/>
  <c r="BA19" i="5"/>
  <c r="BC12" i="55"/>
  <c r="AD134" i="5"/>
  <c r="AD32" i="55"/>
  <c r="AD12" i="42"/>
  <c r="AD13" i="5"/>
  <c r="AD9" i="47"/>
  <c r="AC78" i="42"/>
  <c r="AC60" i="42"/>
  <c r="AC42" i="42"/>
  <c r="AD15" i="5"/>
  <c r="AD12" i="47"/>
  <c r="AE1" i="5"/>
  <c r="AE1" i="7"/>
  <c r="AE1" i="42"/>
  <c r="AE1" i="47"/>
  <c r="AE1" i="2"/>
  <c r="AE1" i="6"/>
  <c r="AE31" i="54"/>
  <c r="AD7" i="54"/>
  <c r="BA98" i="47"/>
  <c r="BA101" i="47" s="1"/>
  <c r="AE5" i="54"/>
  <c r="AE1" i="43"/>
  <c r="AE38" i="55"/>
  <c r="BB102" i="5"/>
  <c r="BB88" i="5"/>
  <c r="BC14" i="5"/>
  <c r="BC10" i="47"/>
  <c r="BA40" i="47"/>
  <c r="BA41" i="47" s="1"/>
  <c r="BA44" i="47" s="1"/>
  <c r="BC5" i="47"/>
  <c r="BC11" i="5"/>
  <c r="BB7" i="42"/>
  <c r="BB8" i="5"/>
  <c r="BB39" i="47"/>
  <c r="BB43" i="47"/>
  <c r="BC16" i="55"/>
  <c r="BC4" i="5"/>
  <c r="BC37" i="5" s="1"/>
  <c r="BC17" i="55"/>
  <c r="BC3" i="2"/>
  <c r="BC3" i="42"/>
  <c r="BC3" i="47"/>
  <c r="BC3" i="6"/>
  <c r="BC3" i="7"/>
  <c r="BC37" i="7" s="1"/>
  <c r="BC33" i="54"/>
  <c r="BD26" i="55"/>
  <c r="BD34" i="54"/>
  <c r="BD19" i="55"/>
  <c r="BD22" i="55" s="1"/>
  <c r="BD12" i="5" s="1"/>
  <c r="BD21" i="55"/>
  <c r="BD8" i="47" s="1"/>
  <c r="BD4" i="47"/>
  <c r="BD4" i="2"/>
  <c r="BD4" i="42"/>
  <c r="BD4" i="7"/>
  <c r="BE8" i="55"/>
  <c r="BD4" i="6"/>
  <c r="BD5" i="5"/>
  <c r="BD7" i="55"/>
  <c r="BB5" i="42"/>
  <c r="BB5" i="6"/>
  <c r="BB6" i="5"/>
  <c r="BB47" i="5" s="1"/>
  <c r="BB25" i="47"/>
  <c r="BB72" i="47"/>
  <c r="BC20" i="55"/>
  <c r="BC7" i="47" s="1"/>
  <c r="BB100" i="47"/>
  <c r="BB96" i="47"/>
  <c r="BB97" i="47" s="1"/>
  <c r="BB26" i="5" l="1"/>
  <c r="BC32" i="5"/>
  <c r="BD44" i="5"/>
  <c r="BD91" i="42"/>
  <c r="BD99" i="42"/>
  <c r="BC101" i="42"/>
  <c r="BC102" i="42"/>
  <c r="BC100" i="42"/>
  <c r="BC98" i="42"/>
  <c r="BC94" i="42"/>
  <c r="BC93" i="42"/>
  <c r="BC92" i="42"/>
  <c r="BC90" i="42"/>
  <c r="BC9" i="5"/>
  <c r="BC13" i="47"/>
  <c r="BB17" i="5"/>
  <c r="BB19" i="5"/>
  <c r="BD12" i="55"/>
  <c r="AD23" i="42"/>
  <c r="AE2" i="42"/>
  <c r="AE88" i="42" s="1"/>
  <c r="AE2" i="5"/>
  <c r="AE3" i="5" s="1"/>
  <c r="AE30" i="55"/>
  <c r="AE14" i="47" s="1"/>
  <c r="AE32" i="54"/>
  <c r="AE2" i="7"/>
  <c r="AE2" i="47"/>
  <c r="AE24" i="55"/>
  <c r="AE31" i="55"/>
  <c r="AE27" i="55"/>
  <c r="AE11" i="47" s="1"/>
  <c r="AE2" i="2"/>
  <c r="AE23" i="55"/>
  <c r="AE6" i="47" s="1"/>
  <c r="AE2" i="6"/>
  <c r="AE34" i="55"/>
  <c r="AE28" i="55"/>
  <c r="AD52" i="42"/>
  <c r="AD34" i="42"/>
  <c r="AD70" i="42"/>
  <c r="AE2" i="43"/>
  <c r="AE44" i="55"/>
  <c r="AE6" i="43" s="1"/>
  <c r="AE39" i="55"/>
  <c r="AE3" i="43" s="1"/>
  <c r="AF37" i="55"/>
  <c r="AE6" i="54"/>
  <c r="BD20" i="55"/>
  <c r="BD7" i="47" s="1"/>
  <c r="BD86" i="47" s="1"/>
  <c r="BC86" i="47"/>
  <c r="BD10" i="47"/>
  <c r="BD14" i="5"/>
  <c r="BC25" i="47"/>
  <c r="BC88" i="5"/>
  <c r="BC102" i="5"/>
  <c r="BC43" i="47"/>
  <c r="BC39" i="47"/>
  <c r="BC100" i="47"/>
  <c r="BC96" i="47"/>
  <c r="BC97" i="47" s="1"/>
  <c r="BF8" i="55"/>
  <c r="BE4" i="7"/>
  <c r="BE4" i="6"/>
  <c r="BE7" i="55"/>
  <c r="BE26" i="55"/>
  <c r="BE34" i="54"/>
  <c r="BE19" i="55"/>
  <c r="BE22" i="55" s="1"/>
  <c r="BE12" i="5" s="1"/>
  <c r="BE21" i="55"/>
  <c r="BE8" i="47" s="1"/>
  <c r="BE4" i="2"/>
  <c r="BE4" i="47"/>
  <c r="BE4" i="42"/>
  <c r="BE5" i="5"/>
  <c r="BD5" i="47"/>
  <c r="BD11" i="5"/>
  <c r="BC5" i="6"/>
  <c r="BC6" i="5"/>
  <c r="BC47" i="5" s="1"/>
  <c r="BC5" i="42"/>
  <c r="BB40" i="47"/>
  <c r="BB41" i="47" s="1"/>
  <c r="BB44" i="47" s="1"/>
  <c r="BB98" i="47"/>
  <c r="BB101" i="47" s="1"/>
  <c r="BD17" i="55"/>
  <c r="BD16" i="55"/>
  <c r="BD4" i="5"/>
  <c r="BD37" i="5" s="1"/>
  <c r="BD3" i="6"/>
  <c r="BD3" i="2"/>
  <c r="BD3" i="42"/>
  <c r="BD33" i="54"/>
  <c r="BD3" i="7"/>
  <c r="BD37" i="7" s="1"/>
  <c r="BD3" i="47"/>
  <c r="BC7" i="42"/>
  <c r="BC8" i="5"/>
  <c r="AE26" i="5" l="1"/>
  <c r="BC26" i="5"/>
  <c r="AE38" i="5"/>
  <c r="AE30" i="5"/>
  <c r="BD32" i="5"/>
  <c r="BE44" i="5"/>
  <c r="BE99" i="42"/>
  <c r="BE91" i="42"/>
  <c r="BD101" i="42"/>
  <c r="BD98" i="42"/>
  <c r="BD94" i="42"/>
  <c r="BD100" i="42"/>
  <c r="BD92" i="42"/>
  <c r="BD102" i="42"/>
  <c r="BD93" i="42"/>
  <c r="BD90" i="42"/>
  <c r="BD9" i="5"/>
  <c r="BD13" i="47"/>
  <c r="BC17" i="5"/>
  <c r="BC19" i="5"/>
  <c r="BE12" i="55"/>
  <c r="AE134" i="5"/>
  <c r="AE12" i="42"/>
  <c r="AE32" i="55"/>
  <c r="AE9" i="47"/>
  <c r="AE13" i="5"/>
  <c r="AF1" i="5"/>
  <c r="AF1" i="7"/>
  <c r="AF1" i="47"/>
  <c r="AF1" i="6"/>
  <c r="AF31" i="54"/>
  <c r="AF1" i="2"/>
  <c r="AF1" i="42"/>
  <c r="AD78" i="42"/>
  <c r="AD60" i="42"/>
  <c r="AD42" i="42"/>
  <c r="AE15" i="5"/>
  <c r="AE12" i="47"/>
  <c r="BE20" i="55"/>
  <c r="BE7" i="47" s="1"/>
  <c r="BE86" i="47" s="1"/>
  <c r="AE7" i="54"/>
  <c r="AF5" i="54"/>
  <c r="AF38" i="55"/>
  <c r="AF1" i="43"/>
  <c r="BD6" i="5"/>
  <c r="BD47" i="5" s="1"/>
  <c r="BD5" i="42"/>
  <c r="BD5" i="6"/>
  <c r="BE14" i="5"/>
  <c r="BE10" i="47"/>
  <c r="BF21" i="55"/>
  <c r="BF8" i="47" s="1"/>
  <c r="BF4" i="6"/>
  <c r="BF4" i="7"/>
  <c r="BF4" i="47"/>
  <c r="BF7" i="55"/>
  <c r="BF4" i="42"/>
  <c r="BF26" i="55"/>
  <c r="BF4" i="2"/>
  <c r="BF19" i="55"/>
  <c r="BF22" i="55" s="1"/>
  <c r="BF12" i="5" s="1"/>
  <c r="BG8" i="55"/>
  <c r="BF34" i="54"/>
  <c r="BF5" i="5"/>
  <c r="BC98" i="47"/>
  <c r="BC101" i="47" s="1"/>
  <c r="BD100" i="47"/>
  <c r="BD96" i="47"/>
  <c r="BD102" i="5"/>
  <c r="BD88" i="5"/>
  <c r="BE11" i="5"/>
  <c r="BE5" i="47"/>
  <c r="BE3" i="7"/>
  <c r="BE37" i="7" s="1"/>
  <c r="BE16" i="55"/>
  <c r="BE33" i="54"/>
  <c r="BE4" i="5"/>
  <c r="BE37" i="5" s="1"/>
  <c r="BE3" i="42"/>
  <c r="BE3" i="47"/>
  <c r="BE17" i="55"/>
  <c r="BE3" i="2"/>
  <c r="BE3" i="6"/>
  <c r="BC40" i="47"/>
  <c r="BC41" i="47" s="1"/>
  <c r="BC44" i="47" s="1"/>
  <c r="BD25" i="47"/>
  <c r="BD72" i="47"/>
  <c r="BD7" i="42"/>
  <c r="BD8" i="5"/>
  <c r="BD43" i="47"/>
  <c r="BD39" i="47"/>
  <c r="BD26" i="5" l="1"/>
  <c r="BE32" i="5"/>
  <c r="BF44" i="5"/>
  <c r="BF99" i="42"/>
  <c r="BF91" i="42"/>
  <c r="BE102" i="42"/>
  <c r="BE100" i="42"/>
  <c r="BE98" i="42"/>
  <c r="BE94" i="42"/>
  <c r="BE93" i="42"/>
  <c r="BE92" i="42"/>
  <c r="BE101" i="42"/>
  <c r="BE90" i="42"/>
  <c r="BE9" i="5"/>
  <c r="BE13" i="47"/>
  <c r="BD17" i="5"/>
  <c r="BD19" i="5"/>
  <c r="BF12" i="55"/>
  <c r="AF27" i="55"/>
  <c r="AF11" i="47" s="1"/>
  <c r="AF2" i="6"/>
  <c r="AF24" i="55"/>
  <c r="AF2" i="7"/>
  <c r="AF23" i="55"/>
  <c r="AF6" i="47" s="1"/>
  <c r="AF34" i="55"/>
  <c r="AF2" i="2"/>
  <c r="AF28" i="55"/>
  <c r="AF31" i="55"/>
  <c r="AF2" i="5"/>
  <c r="AF3" i="5" s="1"/>
  <c r="AF32" i="54"/>
  <c r="AF2" i="42"/>
  <c r="AF88" i="42" s="1"/>
  <c r="AF2" i="47"/>
  <c r="AF30" i="55"/>
  <c r="AF14" i="47" s="1"/>
  <c r="AE34" i="42"/>
  <c r="AE70" i="42"/>
  <c r="AE52" i="42"/>
  <c r="AE23" i="42"/>
  <c r="BF20" i="55"/>
  <c r="BF7" i="47" s="1"/>
  <c r="BF86" i="47" s="1"/>
  <c r="AF6" i="54"/>
  <c r="AG37" i="55"/>
  <c r="AF2" i="43"/>
  <c r="AF39" i="55"/>
  <c r="AF3" i="43" s="1"/>
  <c r="AF44" i="55"/>
  <c r="AF6" i="43" s="1"/>
  <c r="BE102" i="5"/>
  <c r="BE88" i="5"/>
  <c r="BE39" i="47"/>
  <c r="BE40" i="47" s="1"/>
  <c r="BE43" i="47"/>
  <c r="BG5" i="5"/>
  <c r="BG4" i="7"/>
  <c r="BG21" i="55"/>
  <c r="BG8" i="47" s="1"/>
  <c r="BG4" i="42"/>
  <c r="BG4" i="2"/>
  <c r="BG4" i="6"/>
  <c r="BG26" i="55"/>
  <c r="BG34" i="54"/>
  <c r="BG19" i="55"/>
  <c r="BG22" i="55" s="1"/>
  <c r="BG12" i="5" s="1"/>
  <c r="BH8" i="55"/>
  <c r="BG4" i="47"/>
  <c r="BG7" i="55"/>
  <c r="BF14" i="5"/>
  <c r="BF10" i="47"/>
  <c r="BE25" i="47"/>
  <c r="BE72" i="47"/>
  <c r="BE100" i="47"/>
  <c r="BE96" i="47"/>
  <c r="BE97" i="47" s="1"/>
  <c r="BD40" i="47"/>
  <c r="BD41" i="47" s="1"/>
  <c r="BD44" i="47" s="1"/>
  <c r="BE5" i="42"/>
  <c r="BE5" i="6"/>
  <c r="BE6" i="5"/>
  <c r="BE47" i="5" s="1"/>
  <c r="BE8" i="5"/>
  <c r="BE7" i="42"/>
  <c r="BD97" i="47"/>
  <c r="BD98" i="47" s="1"/>
  <c r="BD101" i="47" s="1"/>
  <c r="BF11" i="5"/>
  <c r="BF5" i="47"/>
  <c r="BF4" i="5"/>
  <c r="BF37" i="5" s="1"/>
  <c r="BF3" i="42"/>
  <c r="BF3" i="47"/>
  <c r="BF3" i="6"/>
  <c r="BF17" i="55"/>
  <c r="BF33" i="54"/>
  <c r="BF3" i="2"/>
  <c r="BF3" i="7"/>
  <c r="BF37" i="7" s="1"/>
  <c r="BF16" i="55"/>
  <c r="BE26" i="5" l="1"/>
  <c r="AF38" i="5"/>
  <c r="AF30" i="5"/>
  <c r="BF32" i="5"/>
  <c r="BG44" i="5"/>
  <c r="BG99" i="42"/>
  <c r="BG91" i="42"/>
  <c r="BF102" i="42"/>
  <c r="BF90" i="42"/>
  <c r="BF101" i="42"/>
  <c r="BF94" i="42"/>
  <c r="BF93" i="42"/>
  <c r="BF92" i="42"/>
  <c r="BF100" i="42"/>
  <c r="BF98" i="42"/>
  <c r="BF9" i="5"/>
  <c r="BF13" i="47"/>
  <c r="BE17" i="5"/>
  <c r="BE19" i="5"/>
  <c r="BG12" i="55"/>
  <c r="AF12" i="47"/>
  <c r="AF15" i="5"/>
  <c r="AG1" i="47"/>
  <c r="AG1" i="2"/>
  <c r="AG1" i="42"/>
  <c r="AG1" i="6"/>
  <c r="AG1" i="7"/>
  <c r="AG1" i="5"/>
  <c r="AG31" i="54"/>
  <c r="AF134" i="5"/>
  <c r="AF32" i="55"/>
  <c r="AF12" i="42"/>
  <c r="AF13" i="5"/>
  <c r="AF9" i="47"/>
  <c r="AE42" i="42"/>
  <c r="AE78" i="42"/>
  <c r="AE60" i="42"/>
  <c r="AG38" i="55"/>
  <c r="AG1" i="43"/>
  <c r="AG5" i="54"/>
  <c r="BG20" i="55"/>
  <c r="BG7" i="47" s="1"/>
  <c r="BG86" i="47" s="1"/>
  <c r="AF7" i="54"/>
  <c r="BF7" i="42"/>
  <c r="BF8" i="5"/>
  <c r="BF88" i="5"/>
  <c r="BF102" i="5"/>
  <c r="BF96" i="47"/>
  <c r="BF97" i="47" s="1"/>
  <c r="BF100" i="47"/>
  <c r="BI8" i="55"/>
  <c r="BH34" i="54"/>
  <c r="BH21" i="55"/>
  <c r="BH8" i="47" s="1"/>
  <c r="BH26" i="55"/>
  <c r="BH4" i="2"/>
  <c r="BH4" i="47"/>
  <c r="BH4" i="7"/>
  <c r="BH7" i="55"/>
  <c r="BH4" i="42"/>
  <c r="BH4" i="6"/>
  <c r="BH5" i="5"/>
  <c r="BH19" i="55"/>
  <c r="BH22" i="55" s="1"/>
  <c r="BH12" i="5" s="1"/>
  <c r="BG10" i="47"/>
  <c r="BG14" i="5"/>
  <c r="BE41" i="47"/>
  <c r="BE44" i="47" s="1"/>
  <c r="BF25" i="47"/>
  <c r="BF72" i="47"/>
  <c r="BF43" i="47"/>
  <c r="BF39" i="47"/>
  <c r="BF5" i="42"/>
  <c r="BF5" i="6"/>
  <c r="BF6" i="5"/>
  <c r="BF47" i="5" s="1"/>
  <c r="BE98" i="47"/>
  <c r="BE101" i="47" s="1"/>
  <c r="BG3" i="47"/>
  <c r="BG3" i="7"/>
  <c r="BG37" i="7" s="1"/>
  <c r="BG17" i="55"/>
  <c r="BG16" i="55"/>
  <c r="BG4" i="5"/>
  <c r="BG37" i="5" s="1"/>
  <c r="BG33" i="54"/>
  <c r="BG3" i="42"/>
  <c r="BG3" i="6"/>
  <c r="BG3" i="2"/>
  <c r="BG5" i="47"/>
  <c r="BG11" i="5"/>
  <c r="BF26" i="5" l="1"/>
  <c r="BG32" i="5"/>
  <c r="BH44" i="5"/>
  <c r="BH91" i="42"/>
  <c r="BH99" i="42"/>
  <c r="BG101" i="42"/>
  <c r="BG94" i="42"/>
  <c r="BG93" i="42"/>
  <c r="BG102" i="42"/>
  <c r="BG100" i="42"/>
  <c r="BG92" i="42"/>
  <c r="BG98" i="42"/>
  <c r="BG90" i="42"/>
  <c r="BG9" i="5"/>
  <c r="BG13" i="47"/>
  <c r="BF17" i="5"/>
  <c r="BF19" i="5"/>
  <c r="BH12" i="55"/>
  <c r="AF70" i="42"/>
  <c r="AF52" i="42"/>
  <c r="AF34" i="42"/>
  <c r="AG30" i="55"/>
  <c r="AG14" i="47" s="1"/>
  <c r="AG2" i="7"/>
  <c r="AG34" i="55"/>
  <c r="AG2" i="2"/>
  <c r="AG23" i="55"/>
  <c r="AG6" i="47" s="1"/>
  <c r="AG24" i="55"/>
  <c r="AG28" i="55"/>
  <c r="AG2" i="47"/>
  <c r="AG2" i="6"/>
  <c r="AG2" i="42"/>
  <c r="AG88" i="42" s="1"/>
  <c r="AG2" i="5"/>
  <c r="AG3" i="5" s="1"/>
  <c r="AG32" i="54"/>
  <c r="AG27" i="55"/>
  <c r="AG11" i="47" s="1"/>
  <c r="AG31" i="55"/>
  <c r="AF23" i="42"/>
  <c r="BH20" i="55"/>
  <c r="BH7" i="47" s="1"/>
  <c r="BH86" i="47" s="1"/>
  <c r="AG6" i="54"/>
  <c r="AG39" i="55"/>
  <c r="AG3" i="43" s="1"/>
  <c r="AG2" i="43"/>
  <c r="AH37" i="55"/>
  <c r="AG44" i="55"/>
  <c r="AG6" i="43" s="1"/>
  <c r="BG8" i="5"/>
  <c r="BG7" i="42"/>
  <c r="BF40" i="47"/>
  <c r="BF41" i="47" s="1"/>
  <c r="BF44" i="47" s="1"/>
  <c r="BH14" i="5"/>
  <c r="BH10" i="47"/>
  <c r="BJ8" i="55"/>
  <c r="BI4" i="7"/>
  <c r="BI4" i="47"/>
  <c r="BI19" i="55"/>
  <c r="BI22" i="55" s="1"/>
  <c r="BI12" i="5" s="1"/>
  <c r="BI21" i="55"/>
  <c r="BI8" i="47" s="1"/>
  <c r="BI4" i="42"/>
  <c r="BI4" i="2"/>
  <c r="BI4" i="6"/>
  <c r="BI5" i="5"/>
  <c r="BI26" i="55"/>
  <c r="BI34" i="54"/>
  <c r="BI7" i="55"/>
  <c r="BG43" i="47"/>
  <c r="BG39" i="47"/>
  <c r="BG102" i="5"/>
  <c r="BG88" i="5"/>
  <c r="BG96" i="47"/>
  <c r="BG97" i="47" s="1"/>
  <c r="BG100" i="47"/>
  <c r="BG6" i="5"/>
  <c r="BG47" i="5" s="1"/>
  <c r="BG5" i="6"/>
  <c r="BG5" i="42"/>
  <c r="BG25" i="47"/>
  <c r="BH5" i="47"/>
  <c r="BH11" i="5"/>
  <c r="BH3" i="42"/>
  <c r="BH3" i="6"/>
  <c r="BH3" i="2"/>
  <c r="BH3" i="7"/>
  <c r="BH37" i="7" s="1"/>
  <c r="BH17" i="55"/>
  <c r="BH3" i="47"/>
  <c r="BH33" i="54"/>
  <c r="BH16" i="55"/>
  <c r="BH4" i="5"/>
  <c r="BH37" i="5" s="1"/>
  <c r="BF98" i="47"/>
  <c r="BF101" i="47" s="1"/>
  <c r="BG26" i="5" l="1"/>
  <c r="AG38" i="5"/>
  <c r="AG30" i="5"/>
  <c r="BH32" i="5"/>
  <c r="BI44" i="5"/>
  <c r="BI99" i="42"/>
  <c r="BI91" i="42"/>
  <c r="BH93" i="42"/>
  <c r="BH102" i="42"/>
  <c r="BH100" i="42"/>
  <c r="BH101" i="42"/>
  <c r="BH92" i="42"/>
  <c r="BH98" i="42"/>
  <c r="BH94" i="42"/>
  <c r="BH90" i="42"/>
  <c r="BH9" i="5"/>
  <c r="BH13" i="47"/>
  <c r="BG17" i="5"/>
  <c r="BG19" i="5"/>
  <c r="BI12" i="55"/>
  <c r="AG13" i="5"/>
  <c r="AG9" i="47"/>
  <c r="AF78" i="42"/>
  <c r="AF42" i="42"/>
  <c r="AF60" i="42"/>
  <c r="AG12" i="47"/>
  <c r="AG15" i="5"/>
  <c r="AH1" i="6"/>
  <c r="AH1" i="7"/>
  <c r="AH1" i="5"/>
  <c r="AH1" i="42"/>
  <c r="AH31" i="54"/>
  <c r="AH1" i="47"/>
  <c r="AH1" i="2"/>
  <c r="AG134" i="5"/>
  <c r="AG32" i="55"/>
  <c r="AG12" i="42"/>
  <c r="AG7" i="54"/>
  <c r="AH38" i="55"/>
  <c r="AH1" i="43"/>
  <c r="AH5" i="54"/>
  <c r="BI4" i="5"/>
  <c r="BI37" i="5" s="1"/>
  <c r="BI3" i="7"/>
  <c r="BI37" i="7" s="1"/>
  <c r="BI16" i="55"/>
  <c r="BI3" i="2"/>
  <c r="BI17" i="55"/>
  <c r="BI3" i="42"/>
  <c r="BI3" i="47"/>
  <c r="BI3" i="6"/>
  <c r="BI33" i="54"/>
  <c r="BH8" i="5"/>
  <c r="BH7" i="42"/>
  <c r="BH5" i="6"/>
  <c r="BH6" i="5"/>
  <c r="BH47" i="5" s="1"/>
  <c r="BH5" i="42"/>
  <c r="BI20" i="55"/>
  <c r="BI7" i="47" s="1"/>
  <c r="BJ5" i="5"/>
  <c r="BJ4" i="6"/>
  <c r="BJ19" i="55"/>
  <c r="BJ22" i="55" s="1"/>
  <c r="BJ12" i="5" s="1"/>
  <c r="BJ4" i="42"/>
  <c r="BJ4" i="47"/>
  <c r="BJ34" i="54"/>
  <c r="BK8" i="55"/>
  <c r="BJ4" i="7"/>
  <c r="BJ21" i="55"/>
  <c r="BJ8" i="47" s="1"/>
  <c r="BJ26" i="55"/>
  <c r="BJ4" i="2"/>
  <c r="BJ7" i="55"/>
  <c r="BJ12" i="55" s="1"/>
  <c r="BH102" i="5"/>
  <c r="BH88" i="5"/>
  <c r="BH25" i="47"/>
  <c r="BH72" i="47"/>
  <c r="BH43" i="47"/>
  <c r="BH39" i="47"/>
  <c r="BG98" i="47"/>
  <c r="BG101" i="47" s="1"/>
  <c r="BI14" i="5"/>
  <c r="BI10" i="47"/>
  <c r="BI5" i="47"/>
  <c r="BI11" i="5"/>
  <c r="BH100" i="47"/>
  <c r="BH96" i="47"/>
  <c r="BG40" i="47"/>
  <c r="BG41" i="47" s="1"/>
  <c r="BG44" i="47" s="1"/>
  <c r="BH26" i="5" l="1"/>
  <c r="BI32" i="5"/>
  <c r="BJ44" i="5"/>
  <c r="BJ91" i="42"/>
  <c r="BJ99" i="42"/>
  <c r="BI101" i="42"/>
  <c r="BI93" i="42"/>
  <c r="BI102" i="42"/>
  <c r="BI100" i="42"/>
  <c r="BI92" i="42"/>
  <c r="BI98" i="42"/>
  <c r="BI94" i="42"/>
  <c r="BI90" i="42"/>
  <c r="BI9" i="5"/>
  <c r="BI13" i="47"/>
  <c r="BH17" i="5"/>
  <c r="BH19" i="5"/>
  <c r="AG34" i="42"/>
  <c r="AG70" i="42"/>
  <c r="AG52" i="42"/>
  <c r="AH32" i="54"/>
  <c r="AH2" i="47"/>
  <c r="AH2" i="5"/>
  <c r="AH3" i="5" s="1"/>
  <c r="AH2" i="2"/>
  <c r="AH31" i="55"/>
  <c r="AH2" i="7"/>
  <c r="AH2" i="42"/>
  <c r="AH88" i="42" s="1"/>
  <c r="AH34" i="55"/>
  <c r="AH27" i="55"/>
  <c r="AH11" i="47" s="1"/>
  <c r="AH28" i="55"/>
  <c r="AH30" i="55"/>
  <c r="AH14" i="47" s="1"/>
  <c r="AH24" i="55"/>
  <c r="AH23" i="55"/>
  <c r="AH6" i="47" s="1"/>
  <c r="AH2" i="6"/>
  <c r="AG23" i="42"/>
  <c r="BJ20" i="55"/>
  <c r="BJ7" i="47" s="1"/>
  <c r="BJ86" i="47" s="1"/>
  <c r="AH44" i="55"/>
  <c r="AH6" i="43" s="1"/>
  <c r="AH39" i="55"/>
  <c r="AH3" i="43" s="1"/>
  <c r="AH2" i="43"/>
  <c r="AH6" i="54"/>
  <c r="AI37" i="55"/>
  <c r="BJ11" i="5"/>
  <c r="BJ5" i="47"/>
  <c r="BI43" i="47"/>
  <c r="BI39" i="47"/>
  <c r="BI40" i="47" s="1"/>
  <c r="BJ17" i="55"/>
  <c r="BJ16" i="55"/>
  <c r="BJ3" i="42"/>
  <c r="BJ3" i="47"/>
  <c r="BJ3" i="6"/>
  <c r="BJ4" i="5"/>
  <c r="BJ37" i="5" s="1"/>
  <c r="BJ3" i="7"/>
  <c r="BJ37" i="7" s="1"/>
  <c r="BJ33" i="54"/>
  <c r="BJ3" i="2"/>
  <c r="BI6" i="5"/>
  <c r="BI47" i="5" s="1"/>
  <c r="BI5" i="42"/>
  <c r="BI5" i="6"/>
  <c r="BI88" i="5"/>
  <c r="BI102" i="5"/>
  <c r="BI25" i="47"/>
  <c r="BI72" i="47"/>
  <c r="BI100" i="47"/>
  <c r="BI96" i="47"/>
  <c r="BH97" i="47"/>
  <c r="BH98" i="47" s="1"/>
  <c r="BH101" i="47" s="1"/>
  <c r="BJ10" i="47"/>
  <c r="BJ14" i="5"/>
  <c r="BL8" i="55"/>
  <c r="BK4" i="6"/>
  <c r="BK4" i="47"/>
  <c r="BK34" i="54"/>
  <c r="BK4" i="42"/>
  <c r="BK4" i="2"/>
  <c r="BK4" i="7"/>
  <c r="BK7" i="55"/>
  <c r="BK21" i="55"/>
  <c r="BK8" i="47" s="1"/>
  <c r="BK26" i="55"/>
  <c r="BK5" i="5"/>
  <c r="BK19" i="55"/>
  <c r="BK22" i="55" s="1"/>
  <c r="BK12" i="5" s="1"/>
  <c r="BI86" i="47"/>
  <c r="BI8" i="5"/>
  <c r="BI7" i="42"/>
  <c r="BH40" i="47"/>
  <c r="BH41" i="47" s="1"/>
  <c r="BH44" i="47" s="1"/>
  <c r="BI26" i="5" l="1"/>
  <c r="AH38" i="5"/>
  <c r="AH30" i="5"/>
  <c r="BJ32" i="5"/>
  <c r="BK44" i="5"/>
  <c r="BK99" i="42"/>
  <c r="BK91" i="42"/>
  <c r="BJ101" i="42"/>
  <c r="BJ102" i="42"/>
  <c r="BJ100" i="42"/>
  <c r="BJ92" i="42"/>
  <c r="BJ98" i="42"/>
  <c r="BJ90" i="42"/>
  <c r="BJ94" i="42"/>
  <c r="BJ93" i="42"/>
  <c r="BJ9" i="5"/>
  <c r="BJ13" i="47"/>
  <c r="BI17" i="5"/>
  <c r="BI19" i="5"/>
  <c r="BK12" i="55"/>
  <c r="AH13" i="5"/>
  <c r="AH9" i="47"/>
  <c r="AG78" i="42"/>
  <c r="AG42" i="42"/>
  <c r="AG60" i="42"/>
  <c r="AH134" i="5"/>
  <c r="AH32" i="55"/>
  <c r="AH12" i="42"/>
  <c r="AI31" i="54"/>
  <c r="AI1" i="47"/>
  <c r="AI1" i="7"/>
  <c r="AI1" i="42"/>
  <c r="AI1" i="6"/>
  <c r="AI1" i="2"/>
  <c r="AI1" i="5"/>
  <c r="AH12" i="47"/>
  <c r="AH15" i="5"/>
  <c r="BK20" i="55"/>
  <c r="BK7" i="47" s="1"/>
  <c r="BK86" i="47" s="1"/>
  <c r="AH7" i="54"/>
  <c r="AI38" i="55"/>
  <c r="AI5" i="54"/>
  <c r="AI1" i="43"/>
  <c r="BJ100" i="47"/>
  <c r="BJ96" i="47"/>
  <c r="BJ97" i="47" s="1"/>
  <c r="BL34" i="54"/>
  <c r="BL5" i="5"/>
  <c r="BL4" i="42"/>
  <c r="BL4" i="2"/>
  <c r="BL4" i="7"/>
  <c r="BL19" i="55"/>
  <c r="BL26" i="55"/>
  <c r="BL4" i="47"/>
  <c r="BL7" i="55"/>
  <c r="BL4" i="6"/>
  <c r="BL21" i="55"/>
  <c r="BL8" i="47" s="1"/>
  <c r="BM8" i="55"/>
  <c r="BK10" i="47"/>
  <c r="BK14" i="5"/>
  <c r="BJ88" i="5"/>
  <c r="BJ102" i="5"/>
  <c r="BJ8" i="5"/>
  <c r="BJ7" i="42"/>
  <c r="BK5" i="47"/>
  <c r="BK11" i="5"/>
  <c r="BK33" i="54"/>
  <c r="BK3" i="6"/>
  <c r="BK3" i="2"/>
  <c r="BK3" i="47"/>
  <c r="BK3" i="7"/>
  <c r="BK37" i="7" s="1"/>
  <c r="BK17" i="55"/>
  <c r="BK16" i="55"/>
  <c r="BK3" i="42"/>
  <c r="BK4" i="5"/>
  <c r="BK37" i="5" s="1"/>
  <c r="BI97" i="47"/>
  <c r="BI98" i="47" s="1"/>
  <c r="BI101" i="47" s="1"/>
  <c r="BJ5" i="42"/>
  <c r="BJ6" i="5"/>
  <c r="BJ47" i="5" s="1"/>
  <c r="BJ5" i="6"/>
  <c r="BJ25" i="47"/>
  <c r="BJ72" i="47"/>
  <c r="BJ43" i="47"/>
  <c r="BJ39" i="47"/>
  <c r="BI41" i="47"/>
  <c r="BI44" i="47" s="1"/>
  <c r="BJ26" i="5" l="1"/>
  <c r="BK32" i="5"/>
  <c r="BL99" i="42"/>
  <c r="BL91" i="42"/>
  <c r="BK101" i="42"/>
  <c r="BK102" i="42"/>
  <c r="BK100" i="42"/>
  <c r="BK98" i="42"/>
  <c r="BK94" i="42"/>
  <c r="BK93" i="42"/>
  <c r="BK92" i="42"/>
  <c r="BK90" i="42"/>
  <c r="BK9" i="5"/>
  <c r="BK13" i="47"/>
  <c r="BJ17" i="5"/>
  <c r="BJ19" i="5"/>
  <c r="BL12" i="55"/>
  <c r="AI24" i="55"/>
  <c r="AI23" i="55"/>
  <c r="AI6" i="47" s="1"/>
  <c r="AI27" i="55"/>
  <c r="AI11" i="47" s="1"/>
  <c r="AI2" i="5"/>
  <c r="AI3" i="5" s="1"/>
  <c r="AI30" i="55"/>
  <c r="AI14" i="47" s="1"/>
  <c r="AI2" i="2"/>
  <c r="AI34" i="55"/>
  <c r="AI2" i="47"/>
  <c r="AI28" i="55"/>
  <c r="AI2" i="6"/>
  <c r="AI31" i="55"/>
  <c r="AI2" i="7"/>
  <c r="AI32" i="54"/>
  <c r="AI2" i="42"/>
  <c r="AI88" i="42" s="1"/>
  <c r="AH34" i="42"/>
  <c r="AH70" i="42"/>
  <c r="AH52" i="42"/>
  <c r="AH23" i="42"/>
  <c r="BL20" i="55"/>
  <c r="BL7" i="47" s="1"/>
  <c r="BL86" i="47" s="1"/>
  <c r="AI6" i="54"/>
  <c r="AI44" i="55"/>
  <c r="AI6" i="43" s="1"/>
  <c r="AI39" i="55"/>
  <c r="AI3" i="43" s="1"/>
  <c r="AJ37" i="55"/>
  <c r="AI2" i="43"/>
  <c r="BK6" i="5"/>
  <c r="BK47" i="5" s="1"/>
  <c r="BK5" i="42"/>
  <c r="BK5" i="6"/>
  <c r="BK43" i="47"/>
  <c r="BK39" i="47"/>
  <c r="BK40" i="47" s="1"/>
  <c r="BM4" i="42"/>
  <c r="BM4" i="7"/>
  <c r="BM5" i="5"/>
  <c r="BM21" i="55"/>
  <c r="BM8" i="47" s="1"/>
  <c r="BN8" i="55"/>
  <c r="BM34" i="54"/>
  <c r="BM19" i="55"/>
  <c r="BM26" i="55"/>
  <c r="BM4" i="47"/>
  <c r="BM7" i="55"/>
  <c r="BM4" i="2"/>
  <c r="BM4" i="6"/>
  <c r="BL16" i="55"/>
  <c r="BL3" i="2"/>
  <c r="BL3" i="42"/>
  <c r="BL33" i="54"/>
  <c r="BL4" i="5"/>
  <c r="BL37" i="5" s="1"/>
  <c r="BL3" i="7"/>
  <c r="BL37" i="7" s="1"/>
  <c r="BL3" i="6"/>
  <c r="BL3" i="47"/>
  <c r="BL17" i="55"/>
  <c r="BK100" i="47"/>
  <c r="BK96" i="47"/>
  <c r="BL5" i="47"/>
  <c r="BL11" i="5"/>
  <c r="BK88" i="5"/>
  <c r="BK102" i="5"/>
  <c r="BL22" i="55"/>
  <c r="BL12" i="5" s="1"/>
  <c r="BK7" i="42"/>
  <c r="BK8" i="5"/>
  <c r="BJ40" i="47"/>
  <c r="BJ41" i="47" s="1"/>
  <c r="BJ44" i="47" s="1"/>
  <c r="BK25" i="47"/>
  <c r="BL14" i="5"/>
  <c r="BL10" i="47"/>
  <c r="BJ98" i="47"/>
  <c r="BJ101" i="47" s="1"/>
  <c r="BK26" i="5" l="1"/>
  <c r="AI38" i="5"/>
  <c r="AI30" i="5"/>
  <c r="BL32" i="5"/>
  <c r="BL44" i="5"/>
  <c r="BM99" i="42"/>
  <c r="BM91" i="42"/>
  <c r="BL101" i="42"/>
  <c r="BL100" i="42"/>
  <c r="BL92" i="42"/>
  <c r="BL98" i="42"/>
  <c r="BL90" i="42"/>
  <c r="BL94" i="42"/>
  <c r="BL93" i="42"/>
  <c r="BL102" i="42"/>
  <c r="BL9" i="5"/>
  <c r="BL13" i="47"/>
  <c r="BK17" i="5"/>
  <c r="BK19" i="5"/>
  <c r="BM12" i="55"/>
  <c r="AH42" i="42"/>
  <c r="AH60" i="42"/>
  <c r="AH78" i="42"/>
  <c r="AI134" i="5"/>
  <c r="AI32" i="55"/>
  <c r="AI12" i="42"/>
  <c r="AJ1" i="2"/>
  <c r="AJ1" i="7"/>
  <c r="AJ1" i="42"/>
  <c r="AJ31" i="54"/>
  <c r="AJ1" i="47"/>
  <c r="AJ1" i="5"/>
  <c r="AJ1" i="6"/>
  <c r="AI15" i="5"/>
  <c r="AI12" i="47"/>
  <c r="AI13" i="5"/>
  <c r="AI9" i="47"/>
  <c r="AI7" i="54"/>
  <c r="BM20" i="55"/>
  <c r="BM7" i="47" s="1"/>
  <c r="BM86" i="47" s="1"/>
  <c r="AJ38" i="55"/>
  <c r="AJ5" i="54"/>
  <c r="AJ1" i="43"/>
  <c r="BL43" i="47"/>
  <c r="BL39" i="47"/>
  <c r="BO8" i="55"/>
  <c r="BN5" i="5"/>
  <c r="BN21" i="55"/>
  <c r="BN8" i="47" s="1"/>
  <c r="BN26" i="55"/>
  <c r="BN34" i="54"/>
  <c r="BN7" i="55"/>
  <c r="BN4" i="47"/>
  <c r="BN4" i="2"/>
  <c r="BN19" i="55"/>
  <c r="BN4" i="6"/>
  <c r="BN4" i="42"/>
  <c r="BN4" i="7"/>
  <c r="BM10" i="47"/>
  <c r="BM14" i="5"/>
  <c r="BL100" i="47"/>
  <c r="BL96" i="47"/>
  <c r="BL97" i="47" s="1"/>
  <c r="BL5" i="42"/>
  <c r="BL5" i="6"/>
  <c r="BL6" i="5"/>
  <c r="BL47" i="5" s="1"/>
  <c r="BM3" i="42"/>
  <c r="BM4" i="5"/>
  <c r="BM37" i="5" s="1"/>
  <c r="BM3" i="7"/>
  <c r="BM37" i="7" s="1"/>
  <c r="BM17" i="55"/>
  <c r="BM3" i="47"/>
  <c r="BM16" i="55"/>
  <c r="BM3" i="2"/>
  <c r="BM33" i="54"/>
  <c r="BM3" i="6"/>
  <c r="BM11" i="5"/>
  <c r="BM5" i="47"/>
  <c r="BK97" i="47"/>
  <c r="BK98" i="47" s="1"/>
  <c r="BK101" i="47" s="1"/>
  <c r="BL25" i="47"/>
  <c r="BL72" i="47"/>
  <c r="BL102" i="5"/>
  <c r="BL88" i="5"/>
  <c r="BL8" i="5"/>
  <c r="BL7" i="42"/>
  <c r="BM22" i="55"/>
  <c r="BM12" i="5" s="1"/>
  <c r="BK41" i="47"/>
  <c r="BK44" i="47" s="1"/>
  <c r="BL26" i="5" l="1"/>
  <c r="BM32" i="5"/>
  <c r="BM44" i="5"/>
  <c r="BN99" i="42"/>
  <c r="BN91" i="42"/>
  <c r="BM102" i="42"/>
  <c r="BM100" i="42"/>
  <c r="BM98" i="42"/>
  <c r="BM94" i="42"/>
  <c r="BM93" i="42"/>
  <c r="BM92" i="42"/>
  <c r="BM90" i="42"/>
  <c r="BM101" i="42"/>
  <c r="BM9" i="5"/>
  <c r="BM13" i="47"/>
  <c r="BL17" i="5"/>
  <c r="BL19" i="5"/>
  <c r="BN12" i="55"/>
  <c r="AI34" i="42"/>
  <c r="AI52" i="42"/>
  <c r="AI70" i="42"/>
  <c r="AI23" i="42"/>
  <c r="AJ2" i="47"/>
  <c r="AJ30" i="55"/>
  <c r="AJ14" i="47" s="1"/>
  <c r="AJ23" i="55"/>
  <c r="AJ6" i="47" s="1"/>
  <c r="AJ28" i="55"/>
  <c r="AJ27" i="55"/>
  <c r="AJ11" i="47" s="1"/>
  <c r="AJ34" i="55"/>
  <c r="AJ2" i="42"/>
  <c r="AJ88" i="42" s="1"/>
  <c r="AJ24" i="55"/>
  <c r="AJ2" i="5"/>
  <c r="AJ3" i="5" s="1"/>
  <c r="AJ31" i="55"/>
  <c r="AJ2" i="6"/>
  <c r="AJ32" i="54"/>
  <c r="AJ2" i="7"/>
  <c r="AJ2" i="2"/>
  <c r="AJ6" i="54"/>
  <c r="AJ39" i="55"/>
  <c r="AJ3" i="43" s="1"/>
  <c r="AJ44" i="55"/>
  <c r="AJ6" i="43" s="1"/>
  <c r="AJ2" i="43"/>
  <c r="BN20" i="55"/>
  <c r="BN7" i="47" s="1"/>
  <c r="BN86" i="47" s="1"/>
  <c r="BM25" i="47"/>
  <c r="BM72" i="47"/>
  <c r="BM100" i="47"/>
  <c r="BM96" i="47"/>
  <c r="BM97" i="47" s="1"/>
  <c r="BN11" i="5"/>
  <c r="BN5" i="47"/>
  <c r="BL98" i="47"/>
  <c r="BL101" i="47" s="1"/>
  <c r="BN10" i="47"/>
  <c r="BN14" i="5"/>
  <c r="BO4" i="42"/>
  <c r="BO4" i="47"/>
  <c r="BO34" i="54"/>
  <c r="BO7" i="55"/>
  <c r="BO26" i="55"/>
  <c r="BO4" i="2"/>
  <c r="BO19" i="55"/>
  <c r="BO22" i="55" s="1"/>
  <c r="BO12" i="5" s="1"/>
  <c r="BO21" i="55"/>
  <c r="BO8" i="47" s="1"/>
  <c r="BP8" i="55"/>
  <c r="BO4" i="7"/>
  <c r="BO5" i="5"/>
  <c r="BO4" i="6"/>
  <c r="BM5" i="42"/>
  <c r="BM6" i="5"/>
  <c r="BM47" i="5" s="1"/>
  <c r="BM5" i="6"/>
  <c r="BN22" i="55"/>
  <c r="BN12" i="5" s="1"/>
  <c r="BM43" i="47"/>
  <c r="BM39" i="47"/>
  <c r="BM40" i="47" s="1"/>
  <c r="BM7" i="42"/>
  <c r="BM8" i="5"/>
  <c r="BM102" i="5"/>
  <c r="BM88" i="5"/>
  <c r="BL40" i="47"/>
  <c r="BL41" i="47" s="1"/>
  <c r="BL44" i="47" s="1"/>
  <c r="BN16" i="55"/>
  <c r="BN3" i="47"/>
  <c r="BN3" i="42"/>
  <c r="BN17" i="55"/>
  <c r="BN3" i="6"/>
  <c r="BN33" i="54"/>
  <c r="BN3" i="2"/>
  <c r="BN4" i="5"/>
  <c r="BN37" i="5" s="1"/>
  <c r="BN3" i="7"/>
  <c r="BN37" i="7" s="1"/>
  <c r="BM26" i="5" l="1"/>
  <c r="AJ38" i="5"/>
  <c r="AJ30" i="5"/>
  <c r="BN32" i="5"/>
  <c r="BO44" i="5"/>
  <c r="BN44" i="5"/>
  <c r="BO99" i="42"/>
  <c r="BO91" i="42"/>
  <c r="BN102" i="42"/>
  <c r="BN90" i="42"/>
  <c r="BN98" i="42"/>
  <c r="BN94" i="42"/>
  <c r="BN100" i="42"/>
  <c r="BN93" i="42"/>
  <c r="BN101" i="42"/>
  <c r="BN92" i="42"/>
  <c r="BN9" i="5"/>
  <c r="BN13" i="47"/>
  <c r="BM17" i="5"/>
  <c r="BM19" i="5"/>
  <c r="BO12" i="55"/>
  <c r="AI42" i="42"/>
  <c r="AI60" i="42"/>
  <c r="AI78" i="42"/>
  <c r="AK1" i="5"/>
  <c r="AK1" i="42"/>
  <c r="AK1" i="6"/>
  <c r="AK1" i="2"/>
  <c r="AK1" i="47"/>
  <c r="AK31" i="54"/>
  <c r="AK1" i="7"/>
  <c r="AJ32" i="55"/>
  <c r="AJ12" i="42"/>
  <c r="AJ134" i="5"/>
  <c r="AJ13" i="5"/>
  <c r="AJ9" i="47"/>
  <c r="AJ12" i="47"/>
  <c r="AJ15" i="5"/>
  <c r="AJ7" i="54"/>
  <c r="BO17" i="55"/>
  <c r="BO3" i="47"/>
  <c r="BO3" i="6"/>
  <c r="BO3" i="7"/>
  <c r="BO37" i="7" s="1"/>
  <c r="BO33" i="54"/>
  <c r="BO16" i="55"/>
  <c r="BO4" i="5"/>
  <c r="BO37" i="5" s="1"/>
  <c r="BO3" i="42"/>
  <c r="BO3" i="2"/>
  <c r="BN43" i="47"/>
  <c r="BN39" i="47"/>
  <c r="BN40" i="47" s="1"/>
  <c r="BN100" i="47"/>
  <c r="BN96" i="47"/>
  <c r="BN97" i="47" s="1"/>
  <c r="BN102" i="5"/>
  <c r="BN88" i="5"/>
  <c r="BN7" i="42"/>
  <c r="BN8" i="5"/>
  <c r="BO11" i="5"/>
  <c r="BO5" i="47"/>
  <c r="BM41" i="47"/>
  <c r="BM44" i="47" s="1"/>
  <c r="BP4" i="42"/>
  <c r="BP7" i="55"/>
  <c r="BP26" i="55"/>
  <c r="BP34" i="54"/>
  <c r="BP19" i="55"/>
  <c r="BP22" i="55" s="1"/>
  <c r="BP21" i="55"/>
  <c r="BQ8" i="55"/>
  <c r="BP4" i="2"/>
  <c r="BO10" i="47"/>
  <c r="BO14" i="5"/>
  <c r="BN5" i="6"/>
  <c r="BN5" i="42"/>
  <c r="BN6" i="5"/>
  <c r="BN47" i="5" s="1"/>
  <c r="BN25" i="47"/>
  <c r="BN72" i="47"/>
  <c r="BO20" i="55"/>
  <c r="BO7" i="47" s="1"/>
  <c r="BM98" i="47"/>
  <c r="BM101" i="47" s="1"/>
  <c r="BN26" i="5" l="1"/>
  <c r="BO32" i="5"/>
  <c r="H78" i="29"/>
  <c r="BP91" i="42"/>
  <c r="BP99" i="42"/>
  <c r="BO98" i="42"/>
  <c r="BO94" i="42"/>
  <c r="BO92" i="42"/>
  <c r="BO93" i="42"/>
  <c r="BO90" i="42"/>
  <c r="BO100" i="42"/>
  <c r="BO102" i="42"/>
  <c r="BO101" i="42"/>
  <c r="BO9" i="5"/>
  <c r="BO13" i="47"/>
  <c r="BN17" i="5"/>
  <c r="BN19" i="5"/>
  <c r="BP12" i="55"/>
  <c r="BP13" i="55" s="1"/>
  <c r="AK2" i="47"/>
  <c r="AK2" i="6"/>
  <c r="AK2" i="5"/>
  <c r="AK3" i="5" s="1"/>
  <c r="AK28" i="55"/>
  <c r="AK23" i="55"/>
  <c r="AK6" i="47" s="1"/>
  <c r="AK32" i="54"/>
  <c r="AK34" i="55"/>
  <c r="AK27" i="55"/>
  <c r="AK11" i="47" s="1"/>
  <c r="AK24" i="55"/>
  <c r="AK31" i="55"/>
  <c r="AK30" i="55"/>
  <c r="AK14" i="47" s="1"/>
  <c r="AK2" i="42"/>
  <c r="AK88" i="42" s="1"/>
  <c r="AK2" i="7"/>
  <c r="AK2" i="2"/>
  <c r="AL5" i="55"/>
  <c r="AL6" i="55" s="1"/>
  <c r="AJ23" i="42"/>
  <c r="AJ52" i="42"/>
  <c r="AJ34" i="42"/>
  <c r="AJ70" i="42"/>
  <c r="BP20" i="55"/>
  <c r="BN98" i="47"/>
  <c r="BN101" i="47" s="1"/>
  <c r="BO5" i="6"/>
  <c r="BO6" i="5"/>
  <c r="BO47" i="5" s="1"/>
  <c r="BO5" i="42"/>
  <c r="BP3" i="42"/>
  <c r="BP16" i="55"/>
  <c r="BP33" i="54"/>
  <c r="BP17" i="55"/>
  <c r="BP3" i="2"/>
  <c r="BN41" i="47"/>
  <c r="BN44" i="47" s="1"/>
  <c r="BO39" i="47"/>
  <c r="BO43" i="47"/>
  <c r="BO100" i="47"/>
  <c r="BO96" i="47"/>
  <c r="BO97" i="47" s="1"/>
  <c r="BO88" i="5"/>
  <c r="BO102" i="5"/>
  <c r="BO86" i="47"/>
  <c r="BQ21" i="55"/>
  <c r="BQ7" i="55"/>
  <c r="BQ19" i="55"/>
  <c r="BQ22" i="55" s="1"/>
  <c r="BQ4" i="42"/>
  <c r="BR8" i="55"/>
  <c r="BQ34" i="54"/>
  <c r="BQ26" i="55"/>
  <c r="BQ4" i="2"/>
  <c r="BO7" i="42"/>
  <c r="BO8" i="5"/>
  <c r="BO25" i="47"/>
  <c r="BO26" i="5" l="1"/>
  <c r="AK38" i="5"/>
  <c r="AK30" i="5"/>
  <c r="BQ99" i="42"/>
  <c r="BQ91" i="42"/>
  <c r="BP94" i="42"/>
  <c r="BP101" i="42"/>
  <c r="BP93" i="42"/>
  <c r="BP98" i="42"/>
  <c r="BP100" i="42"/>
  <c r="BP102" i="42"/>
  <c r="BP92" i="42"/>
  <c r="BP90" i="42"/>
  <c r="BO17" i="5"/>
  <c r="BO19" i="5"/>
  <c r="BQ12" i="55"/>
  <c r="BQ13" i="55" s="1"/>
  <c r="AK32" i="55"/>
  <c r="AK134" i="5"/>
  <c r="AK12" i="42"/>
  <c r="AJ42" i="42"/>
  <c r="AJ60" i="42"/>
  <c r="AJ78" i="42"/>
  <c r="AK9" i="47"/>
  <c r="AK13" i="5"/>
  <c r="AK12" i="47"/>
  <c r="AK15" i="5"/>
  <c r="AL1" i="47"/>
  <c r="AL1" i="6"/>
  <c r="AL31" i="54"/>
  <c r="AL1" i="42"/>
  <c r="AL1" i="5"/>
  <c r="AL1" i="7"/>
  <c r="AL1" i="2"/>
  <c r="BQ3" i="2"/>
  <c r="BQ16" i="55"/>
  <c r="BQ33" i="54"/>
  <c r="BQ3" i="42"/>
  <c r="BQ17" i="55"/>
  <c r="BQ20" i="55"/>
  <c r="BO40" i="47"/>
  <c r="BO41" i="47" s="1"/>
  <c r="BO44" i="47" s="1"/>
  <c r="BR4" i="42"/>
  <c r="BR4" i="2"/>
  <c r="BR34" i="54"/>
  <c r="BR19" i="55"/>
  <c r="BR22" i="55" s="1"/>
  <c r="BS8" i="55"/>
  <c r="BR21" i="55"/>
  <c r="BR26" i="55"/>
  <c r="BR7" i="55"/>
  <c r="BR12" i="55" s="1"/>
  <c r="BR13" i="55" s="1"/>
  <c r="BO98" i="47"/>
  <c r="BO101" i="47" s="1"/>
  <c r="BP7" i="42"/>
  <c r="BP5" i="42"/>
  <c r="BR91" i="42" l="1"/>
  <c r="BR99" i="42"/>
  <c r="BQ101" i="42"/>
  <c r="BQ94" i="42"/>
  <c r="BQ93" i="42"/>
  <c r="BQ102" i="42"/>
  <c r="BQ98" i="42"/>
  <c r="BQ100" i="42"/>
  <c r="BQ92" i="42"/>
  <c r="BQ90" i="42"/>
  <c r="AL9" i="55"/>
  <c r="AL34" i="55"/>
  <c r="AL2" i="42"/>
  <c r="AL88" i="42" s="1"/>
  <c r="AL30" i="55"/>
  <c r="AL14" i="47" s="1"/>
  <c r="AL31" i="55"/>
  <c r="AL2" i="6"/>
  <c r="AL24" i="55"/>
  <c r="AL2" i="47"/>
  <c r="AM5" i="55"/>
  <c r="AM6" i="55" s="1"/>
  <c r="AL2" i="2"/>
  <c r="AL2" i="7"/>
  <c r="AL23" i="55"/>
  <c r="AL6" i="47" s="1"/>
  <c r="AL32" i="54"/>
  <c r="AL28" i="55"/>
  <c r="AL27" i="55"/>
  <c r="AL11" i="47" s="1"/>
  <c r="AL2" i="5"/>
  <c r="AL3" i="5" s="1"/>
  <c r="AK23" i="42"/>
  <c r="AK34" i="42"/>
  <c r="AK70" i="42"/>
  <c r="AK52" i="42"/>
  <c r="BR20" i="55"/>
  <c r="BP6" i="42"/>
  <c r="BS19" i="55"/>
  <c r="BS22" i="55" s="1"/>
  <c r="BS7" i="55"/>
  <c r="BS4" i="42"/>
  <c r="BS21" i="55"/>
  <c r="BS4" i="2"/>
  <c r="BT8" i="55"/>
  <c r="BS34" i="54"/>
  <c r="BS26" i="55"/>
  <c r="BQ7" i="42"/>
  <c r="BR33" i="54"/>
  <c r="BR3" i="2"/>
  <c r="BR16" i="55"/>
  <c r="BR3" i="42"/>
  <c r="BR17" i="55"/>
  <c r="BQ5" i="42"/>
  <c r="AL38" i="5" l="1"/>
  <c r="AL30" i="5"/>
  <c r="BS99" i="42"/>
  <c r="BS91" i="42"/>
  <c r="BR101" i="42"/>
  <c r="BR93" i="42"/>
  <c r="BR102" i="42"/>
  <c r="BR100" i="42"/>
  <c r="BR94" i="42"/>
  <c r="BR92" i="42"/>
  <c r="BR90" i="42"/>
  <c r="BR98" i="42"/>
  <c r="BP105" i="42"/>
  <c r="BP104" i="42"/>
  <c r="BP97" i="42"/>
  <c r="BP96" i="42"/>
  <c r="BP95" i="42"/>
  <c r="BS12" i="55"/>
  <c r="BS13" i="55" s="1"/>
  <c r="AL12" i="42"/>
  <c r="AL134" i="5"/>
  <c r="AL32" i="55"/>
  <c r="AK78" i="42"/>
  <c r="AK42" i="42"/>
  <c r="AK60" i="42"/>
  <c r="AL13" i="5"/>
  <c r="AL9" i="47"/>
  <c r="AM1" i="2"/>
  <c r="AM1" i="7"/>
  <c r="AM1" i="47"/>
  <c r="AM1" i="5"/>
  <c r="AM1" i="42"/>
  <c r="AM31" i="54"/>
  <c r="AM1" i="6"/>
  <c r="AL15" i="5"/>
  <c r="AL12" i="47"/>
  <c r="BS20" i="55"/>
  <c r="BR7" i="42"/>
  <c r="BQ6" i="42"/>
  <c r="BR5" i="42"/>
  <c r="BT34" i="54"/>
  <c r="BT4" i="42"/>
  <c r="BT4" i="2"/>
  <c r="BT26" i="55"/>
  <c r="BT19" i="55"/>
  <c r="BT22" i="55" s="1"/>
  <c r="BT21" i="55"/>
  <c r="BU8" i="55"/>
  <c r="BT7" i="55"/>
  <c r="BS3" i="42"/>
  <c r="BS3" i="2"/>
  <c r="BS33" i="54"/>
  <c r="BS17" i="55"/>
  <c r="BS16" i="55"/>
  <c r="BT91" i="42" l="1"/>
  <c r="BT99" i="42"/>
  <c r="BS101" i="42"/>
  <c r="BS102" i="42"/>
  <c r="BS100" i="42"/>
  <c r="BS98" i="42"/>
  <c r="BS94" i="42"/>
  <c r="BS93" i="42"/>
  <c r="BS92" i="42"/>
  <c r="BS90" i="42"/>
  <c r="BQ104" i="42"/>
  <c r="BQ97" i="42"/>
  <c r="BQ96" i="42"/>
  <c r="BQ105" i="42"/>
  <c r="BQ95" i="42"/>
  <c r="AM9" i="55"/>
  <c r="BT12" i="55"/>
  <c r="BT13" i="55" s="1"/>
  <c r="AM2" i="5"/>
  <c r="AM3" i="5" s="1"/>
  <c r="AM2" i="42"/>
  <c r="AM88" i="42" s="1"/>
  <c r="AM2" i="47"/>
  <c r="AM2" i="2"/>
  <c r="AM30" i="55"/>
  <c r="AM14" i="47" s="1"/>
  <c r="AM28" i="55"/>
  <c r="AM2" i="6"/>
  <c r="AM31" i="55"/>
  <c r="AM34" i="55"/>
  <c r="AM23" i="55"/>
  <c r="AM6" i="47" s="1"/>
  <c r="AN5" i="55"/>
  <c r="AN6" i="55" s="1"/>
  <c r="AM27" i="55"/>
  <c r="AM11" i="47" s="1"/>
  <c r="AM24" i="55"/>
  <c r="AM32" i="54"/>
  <c r="AM2" i="7"/>
  <c r="AL34" i="42"/>
  <c r="AL52" i="42"/>
  <c r="AL70" i="42"/>
  <c r="AL23" i="42"/>
  <c r="BT20" i="55"/>
  <c r="BU26" i="55"/>
  <c r="BV8" i="55"/>
  <c r="BU34" i="54"/>
  <c r="BU21" i="55"/>
  <c r="BU19" i="55"/>
  <c r="BU22" i="55" s="1"/>
  <c r="BU4" i="2"/>
  <c r="BU7" i="55"/>
  <c r="BU4" i="42"/>
  <c r="BS5" i="42"/>
  <c r="BT17" i="55"/>
  <c r="BT33" i="54"/>
  <c r="BT3" i="42"/>
  <c r="BT3" i="2"/>
  <c r="BT16" i="55"/>
  <c r="BR6" i="42"/>
  <c r="BS7" i="42"/>
  <c r="AM38" i="5" l="1"/>
  <c r="AM30" i="5"/>
  <c r="BU99" i="42"/>
  <c r="BU91" i="42"/>
  <c r="BT101" i="42"/>
  <c r="BT93" i="42"/>
  <c r="BT102" i="42"/>
  <c r="BT100" i="42"/>
  <c r="BT92" i="42"/>
  <c r="BT90" i="42"/>
  <c r="BT98" i="42"/>
  <c r="BT94" i="42"/>
  <c r="BR105" i="42"/>
  <c r="BR95" i="42"/>
  <c r="BR104" i="42"/>
  <c r="BR96" i="42"/>
  <c r="BR97" i="42"/>
  <c r="BU12" i="55"/>
  <c r="BU13" i="55" s="1"/>
  <c r="AL42" i="42"/>
  <c r="AL60" i="42"/>
  <c r="AL78" i="42"/>
  <c r="AM134" i="5"/>
  <c r="AM12" i="42"/>
  <c r="AM32" i="55"/>
  <c r="AN1" i="47"/>
  <c r="AN1" i="7"/>
  <c r="AN1" i="5"/>
  <c r="AN1" i="6"/>
  <c r="AN1" i="42"/>
  <c r="AN31" i="54"/>
  <c r="AN1" i="2"/>
  <c r="AM12" i="47"/>
  <c r="AM15" i="5"/>
  <c r="AM9" i="47"/>
  <c r="AM13" i="5"/>
  <c r="BU20" i="55"/>
  <c r="BT7" i="42"/>
  <c r="BV34" i="54"/>
  <c r="BV4" i="42"/>
  <c r="BV7" i="55"/>
  <c r="BW8" i="55"/>
  <c r="BV19" i="55"/>
  <c r="BV22" i="55" s="1"/>
  <c r="BV21" i="55"/>
  <c r="BV4" i="2"/>
  <c r="BV26" i="55"/>
  <c r="BT5" i="42"/>
  <c r="BU17" i="55"/>
  <c r="BU33" i="54"/>
  <c r="BU3" i="42"/>
  <c r="BU3" i="2"/>
  <c r="BU16" i="55"/>
  <c r="BS6" i="42"/>
  <c r="BV99" i="42" l="1"/>
  <c r="BV91" i="42"/>
  <c r="BU102" i="42"/>
  <c r="BU100" i="42"/>
  <c r="BU98" i="42"/>
  <c r="BU94" i="42"/>
  <c r="BU93" i="42"/>
  <c r="BU92" i="42"/>
  <c r="BU101" i="42"/>
  <c r="BU90" i="42"/>
  <c r="BS96" i="42"/>
  <c r="BS97" i="42"/>
  <c r="BS104" i="42"/>
  <c r="BS105" i="42"/>
  <c r="BS95" i="42"/>
  <c r="AN9" i="55"/>
  <c r="BV12" i="55"/>
  <c r="BV13" i="55" s="1"/>
  <c r="AM23" i="42"/>
  <c r="AN30" i="55"/>
  <c r="AN14" i="47" s="1"/>
  <c r="AN28" i="55"/>
  <c r="AN2" i="6"/>
  <c r="AN31" i="55"/>
  <c r="AN2" i="7"/>
  <c r="AN2" i="42"/>
  <c r="AN88" i="42" s="1"/>
  <c r="AN23" i="55"/>
  <c r="AN6" i="47" s="1"/>
  <c r="AO5" i="55"/>
  <c r="AO6" i="55" s="1"/>
  <c r="AN2" i="47"/>
  <c r="AN2" i="5"/>
  <c r="AN3" i="5" s="1"/>
  <c r="AN32" i="54"/>
  <c r="AN24" i="55"/>
  <c r="AN34" i="55"/>
  <c r="AN2" i="2"/>
  <c r="AN27" i="55"/>
  <c r="AN11" i="47" s="1"/>
  <c r="AM34" i="42"/>
  <c r="AM52" i="42"/>
  <c r="AM70" i="42"/>
  <c r="BV20" i="55"/>
  <c r="BU7" i="42"/>
  <c r="BW4" i="42"/>
  <c r="BW7" i="55"/>
  <c r="BW26" i="55"/>
  <c r="BW4" i="2"/>
  <c r="BW19" i="55"/>
  <c r="BW22" i="55" s="1"/>
  <c r="BW21" i="55"/>
  <c r="BX8" i="55"/>
  <c r="BW34" i="54"/>
  <c r="BV16" i="55"/>
  <c r="BV3" i="42"/>
  <c r="BV17" i="55"/>
  <c r="BV3" i="2"/>
  <c r="BV33" i="54"/>
  <c r="BU5" i="42"/>
  <c r="BT6" i="42"/>
  <c r="AN38" i="5" l="1"/>
  <c r="AN30" i="5"/>
  <c r="BW91" i="42"/>
  <c r="BW99" i="42"/>
  <c r="BV102" i="42"/>
  <c r="BV90" i="42"/>
  <c r="BV101" i="42"/>
  <c r="BV100" i="42"/>
  <c r="BV92" i="42"/>
  <c r="BV98" i="42"/>
  <c r="BV93" i="42"/>
  <c r="BV94" i="42"/>
  <c r="BT105" i="42"/>
  <c r="BT104" i="42"/>
  <c r="BT97" i="42"/>
  <c r="BT96" i="42"/>
  <c r="BT95" i="42"/>
  <c r="BW12" i="55"/>
  <c r="BW13" i="55" s="1"/>
  <c r="AN12" i="47"/>
  <c r="AN15" i="5"/>
  <c r="AM60" i="42"/>
  <c r="AM78" i="42"/>
  <c r="AM42" i="42"/>
  <c r="AN9" i="47"/>
  <c r="AN13" i="5"/>
  <c r="AO31" i="54"/>
  <c r="AO1" i="7"/>
  <c r="AO1" i="5"/>
  <c r="AO1" i="47"/>
  <c r="AO1" i="6"/>
  <c r="AO1" i="42"/>
  <c r="AO1" i="2"/>
  <c r="AN134" i="5"/>
  <c r="AN12" i="42"/>
  <c r="AN32" i="55"/>
  <c r="BW20" i="55"/>
  <c r="BU6" i="42"/>
  <c r="BW16" i="55"/>
  <c r="BW3" i="42"/>
  <c r="BW3" i="2"/>
  <c r="BW17" i="55"/>
  <c r="BW33" i="54"/>
  <c r="BV7" i="42"/>
  <c r="BV5" i="42"/>
  <c r="BY8" i="55"/>
  <c r="BX4" i="2"/>
  <c r="BX19" i="55"/>
  <c r="BX22" i="55" s="1"/>
  <c r="BX21" i="55"/>
  <c r="BX26" i="55"/>
  <c r="BX7" i="55"/>
  <c r="BX4" i="42"/>
  <c r="BX34" i="54"/>
  <c r="BX91" i="42" l="1"/>
  <c r="BX99" i="42"/>
  <c r="BW101" i="42"/>
  <c r="BW100" i="42"/>
  <c r="BW92" i="42"/>
  <c r="BW102" i="42"/>
  <c r="BW98" i="42"/>
  <c r="BW94" i="42"/>
  <c r="BW93" i="42"/>
  <c r="BW90" i="42"/>
  <c r="BU95" i="42"/>
  <c r="BU97" i="42"/>
  <c r="BU104" i="42"/>
  <c r="BU105" i="42"/>
  <c r="BU96" i="42"/>
  <c r="AO9" i="55"/>
  <c r="BX12" i="55"/>
  <c r="BX13" i="55" s="1"/>
  <c r="AO2" i="7"/>
  <c r="AO2" i="42"/>
  <c r="AO88" i="42" s="1"/>
  <c r="AO2" i="2"/>
  <c r="AO23" i="55"/>
  <c r="AO6" i="47" s="1"/>
  <c r="AO2" i="5"/>
  <c r="AO3" i="5" s="1"/>
  <c r="AO2" i="47"/>
  <c r="AO24" i="55"/>
  <c r="AO2" i="6"/>
  <c r="AO27" i="55"/>
  <c r="AO11" i="47" s="1"/>
  <c r="AO31" i="55"/>
  <c r="AO28" i="55"/>
  <c r="AO34" i="55"/>
  <c r="AO30" i="55"/>
  <c r="AO14" i="47" s="1"/>
  <c r="AO32" i="54"/>
  <c r="AP5" i="55"/>
  <c r="AP6" i="55" s="1"/>
  <c r="AN34" i="42"/>
  <c r="AN70" i="42"/>
  <c r="AN52" i="42"/>
  <c r="AN23" i="42"/>
  <c r="BX20" i="55"/>
  <c r="BV6" i="42"/>
  <c r="BW7" i="42"/>
  <c r="BY26" i="55"/>
  <c r="BY19" i="55"/>
  <c r="BY22" i="55" s="1"/>
  <c r="BY4" i="42"/>
  <c r="BY21" i="55"/>
  <c r="BY7" i="55"/>
  <c r="BY34" i="54"/>
  <c r="BZ8" i="55"/>
  <c r="BY4" i="2"/>
  <c r="BX3" i="2"/>
  <c r="BX3" i="42"/>
  <c r="BX16" i="55"/>
  <c r="BX33" i="54"/>
  <c r="BX17" i="55"/>
  <c r="BW5" i="42"/>
  <c r="AO38" i="5" l="1"/>
  <c r="AO30" i="5"/>
  <c r="BY91" i="42"/>
  <c r="BY99" i="42"/>
  <c r="BX102" i="42"/>
  <c r="BX98" i="42"/>
  <c r="BX94" i="42"/>
  <c r="BX92" i="42"/>
  <c r="BX101" i="42"/>
  <c r="BX100" i="42"/>
  <c r="BX93" i="42"/>
  <c r="BX90" i="42"/>
  <c r="BV105" i="42"/>
  <c r="BV104" i="42"/>
  <c r="BV97" i="42"/>
  <c r="BV96" i="42"/>
  <c r="BV95" i="42"/>
  <c r="BY12" i="55"/>
  <c r="BY13" i="55" s="1"/>
  <c r="AO12" i="42"/>
  <c r="AO32" i="55"/>
  <c r="AO134" i="5"/>
  <c r="AN60" i="42"/>
  <c r="AN78" i="42"/>
  <c r="AN42" i="42"/>
  <c r="AP31" i="54"/>
  <c r="AP1" i="42"/>
  <c r="AP1" i="47"/>
  <c r="AP1" i="7"/>
  <c r="AP1" i="2"/>
  <c r="AP1" i="5"/>
  <c r="AP1" i="6"/>
  <c r="AO12" i="47"/>
  <c r="AO15" i="5"/>
  <c r="AO13" i="5"/>
  <c r="AO9" i="47"/>
  <c r="BX5" i="42"/>
  <c r="BZ26" i="55"/>
  <c r="BZ34" i="54"/>
  <c r="BZ4" i="2"/>
  <c r="BZ4" i="42"/>
  <c r="BZ7" i="55"/>
  <c r="BZ12" i="55" s="1"/>
  <c r="BZ13" i="55" s="1"/>
  <c r="CA8" i="55"/>
  <c r="BZ19" i="55"/>
  <c r="BZ22" i="55" s="1"/>
  <c r="BZ21" i="55"/>
  <c r="BY33" i="54"/>
  <c r="BY3" i="42"/>
  <c r="BY16" i="55"/>
  <c r="BY3" i="2"/>
  <c r="BY17" i="55"/>
  <c r="BW6" i="42"/>
  <c r="BY20" i="55"/>
  <c r="BX7" i="42"/>
  <c r="BZ91" i="42" l="1"/>
  <c r="BZ99" i="42"/>
  <c r="BY101" i="42"/>
  <c r="BY98" i="42"/>
  <c r="BY94" i="42"/>
  <c r="BY102" i="42"/>
  <c r="BY90" i="42"/>
  <c r="BY92" i="42"/>
  <c r="BY100" i="42"/>
  <c r="BY93" i="42"/>
  <c r="BW96" i="42"/>
  <c r="BW104" i="42"/>
  <c r="BW105" i="42"/>
  <c r="BW97" i="42"/>
  <c r="BW95" i="42"/>
  <c r="AP9" i="55"/>
  <c r="AP2" i="2"/>
  <c r="AP32" i="54"/>
  <c r="AP24" i="55"/>
  <c r="AQ5" i="55"/>
  <c r="AQ6" i="55" s="1"/>
  <c r="AP2" i="7"/>
  <c r="AP30" i="55"/>
  <c r="AP14" i="47" s="1"/>
  <c r="AP23" i="55"/>
  <c r="AP6" i="47" s="1"/>
  <c r="AP28" i="55"/>
  <c r="AP2" i="6"/>
  <c r="AP2" i="47"/>
  <c r="AP27" i="55"/>
  <c r="AP11" i="47" s="1"/>
  <c r="AP34" i="55"/>
  <c r="AP2" i="5"/>
  <c r="AP3" i="5" s="1"/>
  <c r="AP2" i="42"/>
  <c r="AP88" i="42" s="1"/>
  <c r="AP31" i="55"/>
  <c r="AO23" i="42"/>
  <c r="AO34" i="42"/>
  <c r="AO52" i="42"/>
  <c r="AO70" i="42"/>
  <c r="BZ16" i="55"/>
  <c r="BZ3" i="42"/>
  <c r="BZ17" i="55"/>
  <c r="BZ3" i="2"/>
  <c r="BZ33" i="54"/>
  <c r="BX6" i="42"/>
  <c r="BY7" i="42"/>
  <c r="CA4" i="42"/>
  <c r="CA26" i="55"/>
  <c r="CA4" i="2"/>
  <c r="CA19" i="55"/>
  <c r="CA22" i="55" s="1"/>
  <c r="CB8" i="55"/>
  <c r="CA7" i="55"/>
  <c r="CA34" i="54"/>
  <c r="CA21" i="55"/>
  <c r="BY5" i="42"/>
  <c r="BZ20" i="55"/>
  <c r="AP38" i="5" l="1"/>
  <c r="AP30" i="5"/>
  <c r="CA99" i="42"/>
  <c r="CA91" i="42"/>
  <c r="BZ101" i="42"/>
  <c r="BZ94" i="42"/>
  <c r="BZ93" i="42"/>
  <c r="BZ92" i="42"/>
  <c r="BZ100" i="42"/>
  <c r="BZ102" i="42"/>
  <c r="BZ98" i="42"/>
  <c r="BZ90" i="42"/>
  <c r="BX105" i="42"/>
  <c r="BX104" i="42"/>
  <c r="BX97" i="42"/>
  <c r="BX96" i="42"/>
  <c r="BX95" i="42"/>
  <c r="CA12" i="55"/>
  <c r="CA13" i="55" s="1"/>
  <c r="AP15" i="5"/>
  <c r="AP12" i="47"/>
  <c r="AQ1" i="7"/>
  <c r="AQ1" i="6"/>
  <c r="AQ1" i="5"/>
  <c r="AQ1" i="42"/>
  <c r="AQ31" i="54"/>
  <c r="AQ1" i="2"/>
  <c r="AQ1" i="47"/>
  <c r="AO42" i="42"/>
  <c r="AO60" i="42"/>
  <c r="AO78" i="42"/>
  <c r="AP32" i="55"/>
  <c r="AP12" i="42"/>
  <c r="AP134" i="5"/>
  <c r="AP13" i="5"/>
  <c r="AP9" i="47"/>
  <c r="CA20" i="55"/>
  <c r="BY6" i="42"/>
  <c r="CA16" i="55"/>
  <c r="CA17" i="55"/>
  <c r="CA33" i="54"/>
  <c r="CA3" i="42"/>
  <c r="CA3" i="2"/>
  <c r="BZ7" i="42"/>
  <c r="CB4" i="42"/>
  <c r="CC8" i="55"/>
  <c r="CB34" i="54"/>
  <c r="CB26" i="55"/>
  <c r="CB4" i="2"/>
  <c r="CB21" i="55"/>
  <c r="CB7" i="55"/>
  <c r="CB19" i="55"/>
  <c r="BZ5" i="42"/>
  <c r="CB99" i="42" l="1"/>
  <c r="CB91" i="42"/>
  <c r="CA101" i="42"/>
  <c r="CA102" i="42"/>
  <c r="CA100" i="42"/>
  <c r="CA98" i="42"/>
  <c r="CA94" i="42"/>
  <c r="CA93" i="42"/>
  <c r="CA92" i="42"/>
  <c r="CA90" i="42"/>
  <c r="BY95" i="42"/>
  <c r="BY97" i="42"/>
  <c r="BY104" i="42"/>
  <c r="BY105" i="42"/>
  <c r="BY96" i="42"/>
  <c r="AQ9" i="55"/>
  <c r="CB12" i="55"/>
  <c r="CB13" i="55" s="1"/>
  <c r="AQ2" i="2"/>
  <c r="AQ34" i="55"/>
  <c r="AQ2" i="47"/>
  <c r="AQ2" i="42"/>
  <c r="AQ88" i="42" s="1"/>
  <c r="AQ2" i="7"/>
  <c r="AR5" i="55"/>
  <c r="AR6" i="55" s="1"/>
  <c r="AQ2" i="6"/>
  <c r="AQ24" i="55"/>
  <c r="AQ27" i="55"/>
  <c r="AQ11" i="47" s="1"/>
  <c r="AQ31" i="55"/>
  <c r="AQ23" i="55"/>
  <c r="AQ6" i="47" s="1"/>
  <c r="AQ30" i="55"/>
  <c r="AQ14" i="47" s="1"/>
  <c r="AQ2" i="5"/>
  <c r="AQ3" i="5" s="1"/>
  <c r="AQ32" i="54"/>
  <c r="AQ28" i="55"/>
  <c r="AP70" i="42"/>
  <c r="AP52" i="42"/>
  <c r="AP34" i="42"/>
  <c r="AP23" i="42"/>
  <c r="CA7" i="42"/>
  <c r="CD8" i="55"/>
  <c r="CC19" i="55"/>
  <c r="CC26" i="55"/>
  <c r="CC7" i="55"/>
  <c r="CC4" i="2"/>
  <c r="CC34" i="54"/>
  <c r="CC21" i="55"/>
  <c r="CC4" i="42"/>
  <c r="BZ6" i="42"/>
  <c r="CB3" i="2"/>
  <c r="CB17" i="55"/>
  <c r="CB33" i="54"/>
  <c r="CB16" i="55"/>
  <c r="CB3" i="42"/>
  <c r="CB20" i="55"/>
  <c r="CB22" i="55"/>
  <c r="CA5" i="42"/>
  <c r="AQ38" i="5" l="1"/>
  <c r="AQ30" i="5"/>
  <c r="CC99" i="42"/>
  <c r="CC91" i="42"/>
  <c r="CB101" i="42"/>
  <c r="CB94" i="42"/>
  <c r="CB93" i="42"/>
  <c r="CB100" i="42"/>
  <c r="CB90" i="42"/>
  <c r="CB98" i="42"/>
  <c r="CB92" i="42"/>
  <c r="CB102" i="42"/>
  <c r="BZ96" i="42"/>
  <c r="BZ104" i="42"/>
  <c r="BZ105" i="42"/>
  <c r="BZ97" i="42"/>
  <c r="BZ95" i="42"/>
  <c r="CC12" i="55"/>
  <c r="CC13" i="55" s="1"/>
  <c r="AQ12" i="47"/>
  <c r="AQ15" i="5"/>
  <c r="AP78" i="42"/>
  <c r="AP60" i="42"/>
  <c r="AP42" i="42"/>
  <c r="AQ32" i="55"/>
  <c r="AQ12" i="42"/>
  <c r="AQ134" i="5"/>
  <c r="AR1" i="6"/>
  <c r="AR1" i="42"/>
  <c r="AR1" i="7"/>
  <c r="AR1" i="2"/>
  <c r="AR1" i="47"/>
  <c r="AR1" i="5"/>
  <c r="AR31" i="54"/>
  <c r="AQ13" i="5"/>
  <c r="AQ9" i="47"/>
  <c r="CC20" i="55"/>
  <c r="CC3" i="42"/>
  <c r="CC3" i="2"/>
  <c r="CC17" i="55"/>
  <c r="CC16" i="55"/>
  <c r="CC33" i="54"/>
  <c r="CA6" i="42"/>
  <c r="CB7" i="42"/>
  <c r="CC22" i="55"/>
  <c r="CB5" i="42"/>
  <c r="CD19" i="55"/>
  <c r="CD22" i="55" s="1"/>
  <c r="CD26" i="55"/>
  <c r="CD21" i="55"/>
  <c r="CD34" i="54"/>
  <c r="CD4" i="2"/>
  <c r="CD7" i="55"/>
  <c r="CD4" i="42"/>
  <c r="CE8" i="55"/>
  <c r="CD99" i="42" l="1"/>
  <c r="CD91" i="42"/>
  <c r="CC102" i="42"/>
  <c r="CC100" i="42"/>
  <c r="CC98" i="42"/>
  <c r="CC94" i="42"/>
  <c r="CC93" i="42"/>
  <c r="CC92" i="42"/>
  <c r="CC90" i="42"/>
  <c r="CC101" i="42"/>
  <c r="CA97" i="42"/>
  <c r="CA105" i="42"/>
  <c r="CA95" i="42"/>
  <c r="CA96" i="42"/>
  <c r="CA104" i="42"/>
  <c r="AR9" i="55"/>
  <c r="CD12" i="55"/>
  <c r="CD13" i="55" s="1"/>
  <c r="AR27" i="55"/>
  <c r="AR11" i="47" s="1"/>
  <c r="AR2" i="6"/>
  <c r="AR2" i="5"/>
  <c r="AR3" i="5" s="1"/>
  <c r="AR2" i="42"/>
  <c r="AR88" i="42" s="1"/>
  <c r="AR2" i="7"/>
  <c r="AR2" i="2"/>
  <c r="AR24" i="55"/>
  <c r="AR31" i="55"/>
  <c r="AR28" i="55"/>
  <c r="AR2" i="47"/>
  <c r="AR34" i="55"/>
  <c r="AR32" i="54"/>
  <c r="AR23" i="55"/>
  <c r="AR6" i="47" s="1"/>
  <c r="AS5" i="55"/>
  <c r="AS6" i="55" s="1"/>
  <c r="AR30" i="55"/>
  <c r="AR14" i="47" s="1"/>
  <c r="AQ70" i="42"/>
  <c r="AQ34" i="42"/>
  <c r="AQ52" i="42"/>
  <c r="AQ23" i="42"/>
  <c r="CD3" i="42"/>
  <c r="CD3" i="2"/>
  <c r="CD17" i="55"/>
  <c r="CD16" i="55"/>
  <c r="CD33" i="54"/>
  <c r="CB6" i="42"/>
  <c r="CC7" i="42"/>
  <c r="CC5" i="42"/>
  <c r="CE26" i="55"/>
  <c r="CE34" i="54"/>
  <c r="CE21" i="55"/>
  <c r="CF8" i="55"/>
  <c r="CE7" i="55"/>
  <c r="CE19" i="55"/>
  <c r="CE4" i="42"/>
  <c r="CE4" i="2"/>
  <c r="CD20" i="55"/>
  <c r="AR38" i="5" l="1"/>
  <c r="AR30" i="5"/>
  <c r="CE91" i="42"/>
  <c r="CE99" i="42"/>
  <c r="CD102" i="42"/>
  <c r="CD100" i="42"/>
  <c r="CD90" i="42"/>
  <c r="CD93" i="42"/>
  <c r="CD101" i="42"/>
  <c r="CD98" i="42"/>
  <c r="CD94" i="42"/>
  <c r="CD92" i="42"/>
  <c r="CB105" i="42"/>
  <c r="CB104" i="42"/>
  <c r="CB97" i="42"/>
  <c r="CB96" i="42"/>
  <c r="CB95" i="42"/>
  <c r="CE12" i="55"/>
  <c r="CE13" i="55" s="1"/>
  <c r="AQ42" i="42"/>
  <c r="AQ78" i="42"/>
  <c r="AQ60" i="42"/>
  <c r="AS1" i="6"/>
  <c r="AS1" i="7"/>
  <c r="AS1" i="42"/>
  <c r="AS31" i="54"/>
  <c r="AS1" i="5"/>
  <c r="AS1" i="47"/>
  <c r="AS1" i="2"/>
  <c r="AR15" i="5"/>
  <c r="AR12" i="47"/>
  <c r="AR134" i="5"/>
  <c r="AR12" i="42"/>
  <c r="AR32" i="55"/>
  <c r="AR9" i="47"/>
  <c r="AR13" i="5"/>
  <c r="CE20" i="55"/>
  <c r="CD7" i="42"/>
  <c r="CE22" i="55"/>
  <c r="CE3" i="42"/>
  <c r="CE17" i="55"/>
  <c r="CE3" i="2"/>
  <c r="CE33" i="54"/>
  <c r="CE16" i="55"/>
  <c r="CC6" i="42"/>
  <c r="CF26" i="55"/>
  <c r="CF19" i="55"/>
  <c r="CF22" i="55" s="1"/>
  <c r="CF21" i="55"/>
  <c r="CG8" i="55"/>
  <c r="CF34" i="54"/>
  <c r="CF7" i="55"/>
  <c r="CF4" i="42"/>
  <c r="CF4" i="2"/>
  <c r="CD5" i="42"/>
  <c r="CF99" i="42" l="1"/>
  <c r="CF91" i="42"/>
  <c r="CE93" i="42"/>
  <c r="CE92" i="42"/>
  <c r="CE100" i="42"/>
  <c r="CE90" i="42"/>
  <c r="CE102" i="42"/>
  <c r="CE101" i="42"/>
  <c r="CE98" i="42"/>
  <c r="CE94" i="42"/>
  <c r="CC104" i="42"/>
  <c r="CC96" i="42"/>
  <c r="CC105" i="42"/>
  <c r="CC95" i="42"/>
  <c r="CC97" i="42"/>
  <c r="AS9" i="55"/>
  <c r="CF12" i="55"/>
  <c r="CF13" i="55" s="1"/>
  <c r="AR23" i="42"/>
  <c r="AS2" i="6"/>
  <c r="AS27" i="55"/>
  <c r="AS11" i="47" s="1"/>
  <c r="AS2" i="47"/>
  <c r="AS31" i="55"/>
  <c r="AS32" i="54"/>
  <c r="AS2" i="2"/>
  <c r="AS23" i="55"/>
  <c r="AS6" i="47" s="1"/>
  <c r="AS2" i="7"/>
  <c r="AT5" i="55"/>
  <c r="AT6" i="55" s="1"/>
  <c r="AS2" i="5"/>
  <c r="AS3" i="5" s="1"/>
  <c r="AS28" i="55"/>
  <c r="AS24" i="55"/>
  <c r="AS30" i="55"/>
  <c r="AS14" i="47" s="1"/>
  <c r="AS2" i="42"/>
  <c r="AS88" i="42" s="1"/>
  <c r="AS34" i="55"/>
  <c r="AR52" i="42"/>
  <c r="AR70" i="42"/>
  <c r="AR34" i="42"/>
  <c r="CF20" i="55"/>
  <c r="CE7" i="42"/>
  <c r="CG34" i="54"/>
  <c r="CH8" i="55"/>
  <c r="CG4" i="42"/>
  <c r="CG7" i="55"/>
  <c r="CG21" i="55"/>
  <c r="CG26" i="55"/>
  <c r="CG4" i="2"/>
  <c r="CG19" i="55"/>
  <c r="CG22" i="55" s="1"/>
  <c r="CF33" i="54"/>
  <c r="CF3" i="2"/>
  <c r="CF17" i="55"/>
  <c r="CF3" i="42"/>
  <c r="CF16" i="55"/>
  <c r="CD6" i="42"/>
  <c r="CE5" i="42"/>
  <c r="AS38" i="5" l="1"/>
  <c r="AS30" i="5"/>
  <c r="CG99" i="42"/>
  <c r="CG91" i="42"/>
  <c r="CF92" i="42"/>
  <c r="CF100" i="42"/>
  <c r="CF101" i="42"/>
  <c r="CF102" i="42"/>
  <c r="CF98" i="42"/>
  <c r="CF94" i="42"/>
  <c r="CF90" i="42"/>
  <c r="CF93" i="42"/>
  <c r="CD105" i="42"/>
  <c r="CD104" i="42"/>
  <c r="CD97" i="42"/>
  <c r="CD96" i="42"/>
  <c r="CD95" i="42"/>
  <c r="CG12" i="55"/>
  <c r="CG13" i="55" s="1"/>
  <c r="AT1" i="42"/>
  <c r="AT1" i="6"/>
  <c r="AT1" i="5"/>
  <c r="AT1" i="47"/>
  <c r="AT1" i="2"/>
  <c r="AT31" i="54"/>
  <c r="AT1" i="7"/>
  <c r="AR78" i="42"/>
  <c r="AR60" i="42"/>
  <c r="AR42" i="42"/>
  <c r="AS9" i="47"/>
  <c r="AS13" i="5"/>
  <c r="AS15" i="5"/>
  <c r="AS12" i="47"/>
  <c r="AS134" i="5"/>
  <c r="AS12" i="42"/>
  <c r="AS32" i="55"/>
  <c r="CG20" i="55"/>
  <c r="CF7" i="42"/>
  <c r="CF5" i="42"/>
  <c r="CG3" i="42"/>
  <c r="CG3" i="2"/>
  <c r="CG33" i="54"/>
  <c r="CG16" i="55"/>
  <c r="CG17" i="55"/>
  <c r="CH4" i="42"/>
  <c r="CH4" i="2"/>
  <c r="CH19" i="55"/>
  <c r="CH22" i="55" s="1"/>
  <c r="CI8" i="55"/>
  <c r="CH34" i="54"/>
  <c r="CH7" i="55"/>
  <c r="CH12" i="55" s="1"/>
  <c r="CH13" i="55" s="1"/>
  <c r="CH26" i="55"/>
  <c r="CH21" i="55"/>
  <c r="CE6" i="42"/>
  <c r="CH99" i="42" l="1"/>
  <c r="CH91" i="42"/>
  <c r="CG101" i="42"/>
  <c r="CG92" i="42"/>
  <c r="CG100" i="42"/>
  <c r="CG102" i="42"/>
  <c r="CG98" i="42"/>
  <c r="CG94" i="42"/>
  <c r="CG93" i="42"/>
  <c r="CG90" i="42"/>
  <c r="CE105" i="42"/>
  <c r="CE95" i="42"/>
  <c r="CE104" i="42"/>
  <c r="CE97" i="42"/>
  <c r="CE96" i="42"/>
  <c r="AT9" i="55"/>
  <c r="AS23" i="42"/>
  <c r="AS70" i="42"/>
  <c r="AS52" i="42"/>
  <c r="AS34" i="42"/>
  <c r="AT34" i="55"/>
  <c r="AT27" i="55"/>
  <c r="AT11" i="47" s="1"/>
  <c r="AT24" i="55"/>
  <c r="AT31" i="55"/>
  <c r="AT2" i="6"/>
  <c r="AT2" i="5"/>
  <c r="AT3" i="5" s="1"/>
  <c r="AT28" i="55"/>
  <c r="AT2" i="47"/>
  <c r="AU5" i="55"/>
  <c r="AU6" i="55" s="1"/>
  <c r="AT32" i="54"/>
  <c r="AT2" i="7"/>
  <c r="AT2" i="42"/>
  <c r="AT88" i="42" s="1"/>
  <c r="AT23" i="55"/>
  <c r="AT6" i="47" s="1"/>
  <c r="AT30" i="55"/>
  <c r="AT14" i="47" s="1"/>
  <c r="AT2" i="2"/>
  <c r="CH3" i="2"/>
  <c r="CH17" i="55"/>
  <c r="CH16" i="55"/>
  <c r="CH33" i="54"/>
  <c r="CH3" i="42"/>
  <c r="CH20" i="55"/>
  <c r="CG5" i="42"/>
  <c r="CI26" i="55"/>
  <c r="CI21" i="55"/>
  <c r="CJ8" i="55"/>
  <c r="CI4" i="2"/>
  <c r="CI4" i="42"/>
  <c r="CI34" i="54"/>
  <c r="CI7" i="55"/>
  <c r="CI19" i="55"/>
  <c r="CI22" i="55" s="1"/>
  <c r="CG7" i="42"/>
  <c r="CF6" i="42"/>
  <c r="AT38" i="5" l="1"/>
  <c r="AT30" i="5"/>
  <c r="CI99" i="42"/>
  <c r="CI91" i="42"/>
  <c r="CH101" i="42"/>
  <c r="CH100" i="42"/>
  <c r="CH102" i="42"/>
  <c r="CH98" i="42"/>
  <c r="CH94" i="42"/>
  <c r="CH93" i="42"/>
  <c r="CH92" i="42"/>
  <c r="CH90" i="42"/>
  <c r="CF105" i="42"/>
  <c r="CF104" i="42"/>
  <c r="CF97" i="42"/>
  <c r="CF96" i="42"/>
  <c r="CF95" i="42"/>
  <c r="CI12" i="55"/>
  <c r="CI13" i="55" s="1"/>
  <c r="AU1" i="5"/>
  <c r="AU1" i="2"/>
  <c r="AU31" i="54"/>
  <c r="AU1" i="47"/>
  <c r="AU1" i="7"/>
  <c r="AU1" i="6"/>
  <c r="AU1" i="42"/>
  <c r="AT134" i="5"/>
  <c r="AT32" i="55"/>
  <c r="AT12" i="42"/>
  <c r="AS78" i="42"/>
  <c r="AS42" i="42"/>
  <c r="AS60" i="42"/>
  <c r="AT15" i="5"/>
  <c r="AT12" i="47"/>
  <c r="AT9" i="47"/>
  <c r="AT13" i="5"/>
  <c r="CJ34" i="54"/>
  <c r="CJ4" i="42"/>
  <c r="CJ7" i="55"/>
  <c r="CJ26" i="55"/>
  <c r="CJ19" i="55"/>
  <c r="CJ22" i="55" s="1"/>
  <c r="CJ21" i="55"/>
  <c r="CK8" i="55"/>
  <c r="CJ4" i="2"/>
  <c r="CG6" i="42"/>
  <c r="CH5" i="42"/>
  <c r="CI3" i="42"/>
  <c r="CI3" i="2"/>
  <c r="CI17" i="55"/>
  <c r="CI33" i="54"/>
  <c r="CI16" i="55"/>
  <c r="CI20" i="55"/>
  <c r="CH7" i="42"/>
  <c r="CJ91" i="42" l="1"/>
  <c r="CJ99" i="42"/>
  <c r="CI101" i="42"/>
  <c r="CI102" i="42"/>
  <c r="CI100" i="42"/>
  <c r="CI98" i="42"/>
  <c r="CI94" i="42"/>
  <c r="CI93" i="42"/>
  <c r="CI92" i="42"/>
  <c r="CI90" i="42"/>
  <c r="CG96" i="42"/>
  <c r="CG97" i="42"/>
  <c r="CG95" i="42"/>
  <c r="CG105" i="42"/>
  <c r="CG104" i="42"/>
  <c r="AU9" i="55"/>
  <c r="CJ12" i="55"/>
  <c r="CJ13" i="55" s="1"/>
  <c r="AT34" i="42"/>
  <c r="AT70" i="42"/>
  <c r="AT52" i="42"/>
  <c r="AT23" i="42"/>
  <c r="AU2" i="42"/>
  <c r="AU88" i="42" s="1"/>
  <c r="AU30" i="55"/>
  <c r="AU14" i="47" s="1"/>
  <c r="AU2" i="47"/>
  <c r="AU2" i="6"/>
  <c r="AU27" i="55"/>
  <c r="AU11" i="47" s="1"/>
  <c r="AU23" i="55"/>
  <c r="AU6" i="47" s="1"/>
  <c r="AU2" i="5"/>
  <c r="AU3" i="5" s="1"/>
  <c r="AU31" i="55"/>
  <c r="AU34" i="55"/>
  <c r="AU2" i="2"/>
  <c r="AU28" i="55"/>
  <c r="AV5" i="55"/>
  <c r="AV6" i="55" s="1"/>
  <c r="AU24" i="55"/>
  <c r="AU2" i="7"/>
  <c r="AU32" i="54"/>
  <c r="CJ20" i="55"/>
  <c r="CI5" i="42"/>
  <c r="CK4" i="42"/>
  <c r="CK4" i="2"/>
  <c r="CK21" i="55"/>
  <c r="CK26" i="55"/>
  <c r="CK34" i="54"/>
  <c r="CK19" i="55"/>
  <c r="CK7" i="55"/>
  <c r="CL8" i="55"/>
  <c r="CI7" i="42"/>
  <c r="CH6" i="42"/>
  <c r="CJ33" i="54"/>
  <c r="CJ3" i="42"/>
  <c r="CJ3" i="2"/>
  <c r="CJ17" i="55"/>
  <c r="CJ16" i="55"/>
  <c r="AU38" i="5" l="1"/>
  <c r="AU30" i="5"/>
  <c r="CK99" i="42"/>
  <c r="CK91" i="42"/>
  <c r="CJ101" i="42"/>
  <c r="CJ102" i="42"/>
  <c r="CJ98" i="42"/>
  <c r="CJ94" i="42"/>
  <c r="CJ100" i="42"/>
  <c r="CJ93" i="42"/>
  <c r="CJ90" i="42"/>
  <c r="CJ92" i="42"/>
  <c r="CH95" i="42"/>
  <c r="CH97" i="42"/>
  <c r="CH104" i="42"/>
  <c r="CH105" i="42"/>
  <c r="CH96" i="42"/>
  <c r="CK12" i="55"/>
  <c r="CK13" i="55" s="1"/>
  <c r="AV1" i="6"/>
  <c r="AV1" i="47"/>
  <c r="AV31" i="54"/>
  <c r="AV1" i="5"/>
  <c r="AV1" i="7"/>
  <c r="AV1" i="42"/>
  <c r="AV1" i="2"/>
  <c r="AU134" i="5"/>
  <c r="AU32" i="55"/>
  <c r="AU12" i="42"/>
  <c r="AT60" i="42"/>
  <c r="AT78" i="42"/>
  <c r="AT42" i="42"/>
  <c r="AU12" i="47"/>
  <c r="AU15" i="5"/>
  <c r="AU13" i="5"/>
  <c r="AU9" i="47"/>
  <c r="CK20" i="55"/>
  <c r="CJ7" i="42"/>
  <c r="CI6" i="42"/>
  <c r="CL4" i="42"/>
  <c r="CL21" i="55"/>
  <c r="CL19" i="55"/>
  <c r="CL34" i="54"/>
  <c r="CL4" i="2"/>
  <c r="CM8" i="55"/>
  <c r="CL7" i="55"/>
  <c r="CL26" i="55"/>
  <c r="CK3" i="42"/>
  <c r="CK16" i="55"/>
  <c r="CK17" i="55"/>
  <c r="CK3" i="2"/>
  <c r="CK33" i="54"/>
  <c r="CK22" i="55"/>
  <c r="CJ5" i="42"/>
  <c r="CL99" i="42" l="1"/>
  <c r="CL91" i="42"/>
  <c r="CK102" i="42"/>
  <c r="CK100" i="42"/>
  <c r="CK98" i="42"/>
  <c r="CK94" i="42"/>
  <c r="CK93" i="42"/>
  <c r="CK92" i="42"/>
  <c r="CK101" i="42"/>
  <c r="CK90" i="42"/>
  <c r="CI96" i="42"/>
  <c r="CI104" i="42"/>
  <c r="CI105" i="42"/>
  <c r="CI95" i="42"/>
  <c r="CI97" i="42"/>
  <c r="AV9" i="55"/>
  <c r="CL12" i="55"/>
  <c r="CL13" i="55" s="1"/>
  <c r="AU23" i="42"/>
  <c r="AV2" i="5"/>
  <c r="AV3" i="5" s="1"/>
  <c r="AV27" i="55"/>
  <c r="AV11" i="47" s="1"/>
  <c r="AV2" i="2"/>
  <c r="AW5" i="55"/>
  <c r="AW6" i="55" s="1"/>
  <c r="AV2" i="6"/>
  <c r="AV34" i="55"/>
  <c r="AV23" i="55"/>
  <c r="AV6" i="47" s="1"/>
  <c r="AV30" i="55"/>
  <c r="AV14" i="47" s="1"/>
  <c r="AV32" i="54"/>
  <c r="AV2" i="47"/>
  <c r="AV2" i="7"/>
  <c r="AV24" i="55"/>
  <c r="AV28" i="55"/>
  <c r="AV2" i="42"/>
  <c r="AV88" i="42" s="1"/>
  <c r="AV31" i="55"/>
  <c r="AU34" i="42"/>
  <c r="AU52" i="42"/>
  <c r="AU70" i="42"/>
  <c r="CL20" i="55"/>
  <c r="CJ6" i="42"/>
  <c r="CM26" i="55"/>
  <c r="CM7" i="55"/>
  <c r="CN8" i="55"/>
  <c r="CM21" i="55"/>
  <c r="CM34" i="54"/>
  <c r="CM19" i="55"/>
  <c r="CM22" i="55" s="1"/>
  <c r="CM4" i="42"/>
  <c r="CM4" i="2"/>
  <c r="CK5" i="42"/>
  <c r="CL22" i="55"/>
  <c r="CK7" i="42"/>
  <c r="CL17" i="55"/>
  <c r="CL16" i="55"/>
  <c r="CL33" i="54"/>
  <c r="CL3" i="42"/>
  <c r="CL3" i="2"/>
  <c r="AV38" i="5" l="1"/>
  <c r="AV30" i="5"/>
  <c r="CM99" i="42"/>
  <c r="CM91" i="42"/>
  <c r="CL102" i="42"/>
  <c r="CL100" i="42"/>
  <c r="CL90" i="42"/>
  <c r="CL101" i="42"/>
  <c r="CL94" i="42"/>
  <c r="CL93" i="42"/>
  <c r="CL98" i="42"/>
  <c r="CL92" i="42"/>
  <c r="CJ105" i="42"/>
  <c r="CJ104" i="42"/>
  <c r="CJ97" i="42"/>
  <c r="CJ96" i="42"/>
  <c r="CJ95" i="42"/>
  <c r="CM12" i="55"/>
  <c r="CM13" i="55" s="1"/>
  <c r="AV9" i="47"/>
  <c r="AV13" i="5"/>
  <c r="AW1" i="2"/>
  <c r="AW1" i="47"/>
  <c r="AW1" i="42"/>
  <c r="AW31" i="54"/>
  <c r="AW1" i="6"/>
  <c r="AW1" i="7"/>
  <c r="AW1" i="5"/>
  <c r="AV134" i="5"/>
  <c r="AV32" i="55"/>
  <c r="AV12" i="42"/>
  <c r="AU78" i="42"/>
  <c r="AU60" i="42"/>
  <c r="AU42" i="42"/>
  <c r="AV15" i="5"/>
  <c r="AV12" i="47"/>
  <c r="CM20" i="55"/>
  <c r="CL7" i="42"/>
  <c r="CK6" i="42"/>
  <c r="CL5" i="42"/>
  <c r="CM3" i="42"/>
  <c r="CM16" i="55"/>
  <c r="CM33" i="54"/>
  <c r="CM17" i="55"/>
  <c r="CM3" i="2"/>
  <c r="CN4" i="2"/>
  <c r="CN34" i="54"/>
  <c r="CN4" i="42"/>
  <c r="CN19" i="55"/>
  <c r="CN22" i="55" s="1"/>
  <c r="CN26" i="55"/>
  <c r="CN7" i="55"/>
  <c r="CO8" i="55"/>
  <c r="CN21" i="55"/>
  <c r="CN99" i="42" l="1"/>
  <c r="CN91" i="42"/>
  <c r="CM101" i="42"/>
  <c r="CM94" i="42"/>
  <c r="CM93" i="42"/>
  <c r="CM90" i="42"/>
  <c r="CM92" i="42"/>
  <c r="CM102" i="42"/>
  <c r="CM100" i="42"/>
  <c r="CM98" i="42"/>
  <c r="CK95" i="42"/>
  <c r="CK97" i="42"/>
  <c r="CK104" i="42"/>
  <c r="CK105" i="42"/>
  <c r="CK96" i="42"/>
  <c r="AW9" i="55"/>
  <c r="CN12" i="55"/>
  <c r="CN13" i="55" s="1"/>
  <c r="AV70" i="42"/>
  <c r="AV52" i="42"/>
  <c r="AV34" i="42"/>
  <c r="AV23" i="42"/>
  <c r="AW2" i="7"/>
  <c r="AW24" i="55"/>
  <c r="AW32" i="54"/>
  <c r="AX5" i="55"/>
  <c r="AX6" i="55" s="1"/>
  <c r="AW30" i="55"/>
  <c r="AW14" i="47" s="1"/>
  <c r="AW2" i="47"/>
  <c r="AW2" i="2"/>
  <c r="AW28" i="55"/>
  <c r="AW2" i="5"/>
  <c r="AW3" i="5" s="1"/>
  <c r="AW2" i="42"/>
  <c r="AW88" i="42" s="1"/>
  <c r="AW34" i="55"/>
  <c r="AW23" i="55"/>
  <c r="AW6" i="47" s="1"/>
  <c r="AW27" i="55"/>
  <c r="AW11" i="47" s="1"/>
  <c r="AW2" i="6"/>
  <c r="AW31" i="55"/>
  <c r="CM5" i="42"/>
  <c r="CL6" i="42"/>
  <c r="CN17" i="55"/>
  <c r="CN3" i="2"/>
  <c r="CN16" i="55"/>
  <c r="CN33" i="54"/>
  <c r="CN3" i="42"/>
  <c r="CN20" i="55"/>
  <c r="CO4" i="42"/>
  <c r="CO34" i="54"/>
  <c r="CO21" i="55"/>
  <c r="CO19" i="55"/>
  <c r="CO22" i="55" s="1"/>
  <c r="CP8" i="55"/>
  <c r="CO4" i="2"/>
  <c r="CO7" i="55"/>
  <c r="CO26" i="55"/>
  <c r="CM7" i="42"/>
  <c r="AW38" i="5" l="1"/>
  <c r="AW30" i="5"/>
  <c r="CO91" i="42"/>
  <c r="CO99" i="42"/>
  <c r="CN93" i="42"/>
  <c r="CN101" i="42"/>
  <c r="CN94" i="42"/>
  <c r="CN90" i="42"/>
  <c r="CN92" i="42"/>
  <c r="CN98" i="42"/>
  <c r="CN102" i="42"/>
  <c r="CN100" i="42"/>
  <c r="CL105" i="42"/>
  <c r="CL104" i="42"/>
  <c r="CL97" i="42"/>
  <c r="CL96" i="42"/>
  <c r="CL95" i="42"/>
  <c r="CO12" i="55"/>
  <c r="CO13" i="55" s="1"/>
  <c r="AW13" i="5"/>
  <c r="AW9" i="47"/>
  <c r="AV60" i="42"/>
  <c r="AV78" i="42"/>
  <c r="AV42" i="42"/>
  <c r="AW134" i="5"/>
  <c r="AW32" i="55"/>
  <c r="AW12" i="42"/>
  <c r="AW12" i="47"/>
  <c r="AW15" i="5"/>
  <c r="AX1" i="5"/>
  <c r="AX1" i="7"/>
  <c r="AX1" i="42"/>
  <c r="AX1" i="47"/>
  <c r="AX31" i="54"/>
  <c r="AX1" i="6"/>
  <c r="AX1" i="2"/>
  <c r="CO20" i="55"/>
  <c r="CN5" i="42"/>
  <c r="CN7" i="42"/>
  <c r="CO17" i="55"/>
  <c r="CO3" i="2"/>
  <c r="CO3" i="42"/>
  <c r="CO16" i="55"/>
  <c r="CO33" i="54"/>
  <c r="CP4" i="42"/>
  <c r="CQ8" i="55"/>
  <c r="CP34" i="54"/>
  <c r="CP21" i="55"/>
  <c r="CP26" i="55"/>
  <c r="CP7" i="55"/>
  <c r="CP12" i="55" s="1"/>
  <c r="CP13" i="55" s="1"/>
  <c r="CP19" i="55"/>
  <c r="CP4" i="2"/>
  <c r="CM6" i="42"/>
  <c r="CP99" i="42" l="1"/>
  <c r="CP91" i="42"/>
  <c r="CO101" i="42"/>
  <c r="CO93" i="42"/>
  <c r="CO92" i="42"/>
  <c r="CO94" i="42"/>
  <c r="CO102" i="42"/>
  <c r="CO100" i="42"/>
  <c r="CO98" i="42"/>
  <c r="CO90" i="42"/>
  <c r="CM96" i="42"/>
  <c r="CM104" i="42"/>
  <c r="CM105" i="42"/>
  <c r="CM97" i="42"/>
  <c r="CM95" i="42"/>
  <c r="AX9" i="55"/>
  <c r="AW23" i="42"/>
  <c r="AX2" i="47"/>
  <c r="AX34" i="55"/>
  <c r="AX2" i="2"/>
  <c r="AY5" i="55"/>
  <c r="AY6" i="55" s="1"/>
  <c r="AX2" i="5"/>
  <c r="AX3" i="5" s="1"/>
  <c r="AX31" i="55"/>
  <c r="AX28" i="55"/>
  <c r="AX24" i="55"/>
  <c r="AX2" i="6"/>
  <c r="AX2" i="7"/>
  <c r="AX27" i="55"/>
  <c r="AX11" i="47" s="1"/>
  <c r="AX2" i="42"/>
  <c r="AX88" i="42" s="1"/>
  <c r="AX32" i="54"/>
  <c r="AX23" i="55"/>
  <c r="AX6" i="47" s="1"/>
  <c r="AX30" i="55"/>
  <c r="AX14" i="47" s="1"/>
  <c r="AW52" i="42"/>
  <c r="AW34" i="42"/>
  <c r="AW70" i="42"/>
  <c r="CP20" i="55"/>
  <c r="CP22" i="55"/>
  <c r="CP17" i="55"/>
  <c r="CP33" i="54"/>
  <c r="CP16" i="55"/>
  <c r="CP3" i="42"/>
  <c r="CP3" i="2"/>
  <c r="CO5" i="42"/>
  <c r="CQ4" i="42"/>
  <c r="CQ26" i="55"/>
  <c r="CQ34" i="54"/>
  <c r="CQ4" i="2"/>
  <c r="CQ19" i="55"/>
  <c r="CQ7" i="55"/>
  <c r="CR8" i="55"/>
  <c r="CQ21" i="55"/>
  <c r="CO7" i="42"/>
  <c r="CN6" i="42"/>
  <c r="AX38" i="5" l="1"/>
  <c r="AX30" i="5"/>
  <c r="CQ99" i="42"/>
  <c r="CQ91" i="42"/>
  <c r="CP101" i="42"/>
  <c r="CP92" i="42"/>
  <c r="CP100" i="42"/>
  <c r="CP98" i="42"/>
  <c r="CP93" i="42"/>
  <c r="CP102" i="42"/>
  <c r="CP94" i="42"/>
  <c r="CP90" i="42"/>
  <c r="CN105" i="42"/>
  <c r="CN104" i="42"/>
  <c r="CN97" i="42"/>
  <c r="CN96" i="42"/>
  <c r="CN95" i="42"/>
  <c r="CQ12" i="55"/>
  <c r="CQ13" i="55" s="1"/>
  <c r="AX15" i="5"/>
  <c r="AX12" i="47"/>
  <c r="AX134" i="5"/>
  <c r="AX12" i="42"/>
  <c r="AX32" i="55"/>
  <c r="AW42" i="42"/>
  <c r="AW60" i="42"/>
  <c r="AW78" i="42"/>
  <c r="AX9" i="47"/>
  <c r="AX13" i="5"/>
  <c r="AY1" i="6"/>
  <c r="AY1" i="47"/>
  <c r="AY31" i="54"/>
  <c r="AY1" i="5"/>
  <c r="AY1" i="7"/>
  <c r="AY1" i="2"/>
  <c r="AY1" i="42"/>
  <c r="CQ16" i="55"/>
  <c r="CQ33" i="54"/>
  <c r="CQ3" i="2"/>
  <c r="CQ17" i="55"/>
  <c r="CQ3" i="42"/>
  <c r="CO6" i="42"/>
  <c r="CR4" i="42"/>
  <c r="CR34" i="54"/>
  <c r="CR26" i="55"/>
  <c r="CR4" i="2"/>
  <c r="CR21" i="55"/>
  <c r="CS8" i="55"/>
  <c r="CR7" i="55"/>
  <c r="CR19" i="55"/>
  <c r="CR22" i="55" s="1"/>
  <c r="CP5" i="42"/>
  <c r="CQ20" i="55"/>
  <c r="CQ22" i="55"/>
  <c r="CP7" i="42"/>
  <c r="CR99" i="42" l="1"/>
  <c r="CR91" i="42"/>
  <c r="CQ101" i="42"/>
  <c r="CQ102" i="42"/>
  <c r="CQ100" i="42"/>
  <c r="CQ98" i="42"/>
  <c r="CQ94" i="42"/>
  <c r="CQ93" i="42"/>
  <c r="CQ92" i="42"/>
  <c r="CQ90" i="42"/>
  <c r="CO97" i="42"/>
  <c r="CO105" i="42"/>
  <c r="CO104" i="42"/>
  <c r="CO96" i="42"/>
  <c r="CO95" i="42"/>
  <c r="AY9" i="55"/>
  <c r="CR12" i="55"/>
  <c r="CR13" i="55" s="1"/>
  <c r="AY32" i="54"/>
  <c r="AY30" i="55"/>
  <c r="AY14" i="47" s="1"/>
  <c r="AZ5" i="55"/>
  <c r="AZ6" i="55" s="1"/>
  <c r="AY27" i="55"/>
  <c r="AY11" i="47" s="1"/>
  <c r="AY2" i="7"/>
  <c r="AY23" i="55"/>
  <c r="AY6" i="47" s="1"/>
  <c r="AY2" i="5"/>
  <c r="AY3" i="5" s="1"/>
  <c r="AY28" i="55"/>
  <c r="AY2" i="47"/>
  <c r="AY2" i="6"/>
  <c r="AY24" i="55"/>
  <c r="AY2" i="42"/>
  <c r="AY88" i="42" s="1"/>
  <c r="AY34" i="55"/>
  <c r="AY31" i="55"/>
  <c r="AY2" i="2"/>
  <c r="AX23" i="42"/>
  <c r="AX34" i="42"/>
  <c r="AX70" i="42"/>
  <c r="AX52" i="42"/>
  <c r="CR20" i="55"/>
  <c r="CP6" i="42"/>
  <c r="CR3" i="42"/>
  <c r="CR33" i="54"/>
  <c r="CR3" i="2"/>
  <c r="CR17" i="55"/>
  <c r="CR16" i="55"/>
  <c r="CQ7" i="42"/>
  <c r="CS4" i="42"/>
  <c r="CS34" i="54"/>
  <c r="CT8" i="55"/>
  <c r="CS7" i="55"/>
  <c r="CS26" i="55"/>
  <c r="CS21" i="55"/>
  <c r="CS19" i="55"/>
  <c r="CS4" i="2"/>
  <c r="CQ5" i="42"/>
  <c r="AY38" i="5" l="1"/>
  <c r="AY30" i="5"/>
  <c r="CS99" i="42"/>
  <c r="CS91" i="42"/>
  <c r="CR101" i="42"/>
  <c r="CR92" i="42"/>
  <c r="CR100" i="42"/>
  <c r="CR98" i="42"/>
  <c r="CR102" i="42"/>
  <c r="CR93" i="42"/>
  <c r="CR94" i="42"/>
  <c r="CR90" i="42"/>
  <c r="CP104" i="42"/>
  <c r="CP97" i="42"/>
  <c r="CP96" i="42"/>
  <c r="CP95" i="42"/>
  <c r="CP105" i="42"/>
  <c r="CS12" i="55"/>
  <c r="CS13" i="55" s="1"/>
  <c r="AY15" i="5"/>
  <c r="AY12" i="47"/>
  <c r="AY9" i="47"/>
  <c r="AY13" i="5"/>
  <c r="AZ1" i="47"/>
  <c r="AZ1" i="6"/>
  <c r="AZ31" i="54"/>
  <c r="AZ1" i="42"/>
  <c r="AZ1" i="7"/>
  <c r="AZ1" i="2"/>
  <c r="AZ1" i="5"/>
  <c r="AX78" i="42"/>
  <c r="AX42" i="42"/>
  <c r="AX60" i="42"/>
  <c r="AY12" i="42"/>
  <c r="AY134" i="5"/>
  <c r="AY32" i="55"/>
  <c r="CQ6" i="42"/>
  <c r="CT34" i="54"/>
  <c r="CT4" i="2"/>
  <c r="CT21" i="55"/>
  <c r="CT4" i="42"/>
  <c r="CU8" i="55"/>
  <c r="CT7" i="55"/>
  <c r="CT26" i="55"/>
  <c r="CT19" i="55"/>
  <c r="CT22" i="55" s="1"/>
  <c r="CR7" i="42"/>
  <c r="CS20" i="55"/>
  <c r="CS22" i="55"/>
  <c r="CS17" i="55"/>
  <c r="CS33" i="54"/>
  <c r="CS3" i="2"/>
  <c r="CS3" i="42"/>
  <c r="CS16" i="55"/>
  <c r="CR5" i="42"/>
  <c r="CT99" i="42" l="1"/>
  <c r="CT91" i="42"/>
  <c r="CS102" i="42"/>
  <c r="CS100" i="42"/>
  <c r="CS98" i="42"/>
  <c r="CS94" i="42"/>
  <c r="CS93" i="42"/>
  <c r="CS92" i="42"/>
  <c r="CS90" i="42"/>
  <c r="CS101" i="42"/>
  <c r="CQ105" i="42"/>
  <c r="CQ95" i="42"/>
  <c r="CQ97" i="42"/>
  <c r="CQ104" i="42"/>
  <c r="CQ96" i="42"/>
  <c r="AZ9" i="55"/>
  <c r="CT12" i="55"/>
  <c r="CT13" i="55" s="1"/>
  <c r="AZ23" i="55"/>
  <c r="AZ6" i="47" s="1"/>
  <c r="AZ27" i="55"/>
  <c r="AZ11" i="47" s="1"/>
  <c r="AZ2" i="47"/>
  <c r="AZ2" i="7"/>
  <c r="AZ2" i="6"/>
  <c r="BA5" i="55"/>
  <c r="BA6" i="55" s="1"/>
  <c r="AZ24" i="55"/>
  <c r="AZ30" i="55"/>
  <c r="AZ14" i="47" s="1"/>
  <c r="AZ28" i="55"/>
  <c r="AZ2" i="42"/>
  <c r="AZ88" i="42" s="1"/>
  <c r="AZ31" i="55"/>
  <c r="AZ2" i="2"/>
  <c r="AZ32" i="54"/>
  <c r="AZ34" i="55"/>
  <c r="AZ2" i="5"/>
  <c r="AZ3" i="5" s="1"/>
  <c r="AY34" i="42"/>
  <c r="AY70" i="42"/>
  <c r="AY52" i="42"/>
  <c r="AY23" i="42"/>
  <c r="CT20" i="55"/>
  <c r="CS5" i="42"/>
  <c r="CR6" i="42"/>
  <c r="CS7" i="42"/>
  <c r="CT3" i="42"/>
  <c r="CT17" i="55"/>
  <c r="CT3" i="2"/>
  <c r="CT16" i="55"/>
  <c r="CT33" i="54"/>
  <c r="CU19" i="55"/>
  <c r="CU22" i="55" s="1"/>
  <c r="CV8" i="55"/>
  <c r="CU34" i="54"/>
  <c r="CU7" i="55"/>
  <c r="CU4" i="42"/>
  <c r="CU4" i="2"/>
  <c r="CU26" i="55"/>
  <c r="CU21" i="55"/>
  <c r="AZ38" i="5" l="1"/>
  <c r="AZ30" i="5"/>
  <c r="CU99" i="42"/>
  <c r="CU91" i="42"/>
  <c r="CT102" i="42"/>
  <c r="CT100" i="42"/>
  <c r="CT98" i="42"/>
  <c r="CT94" i="42"/>
  <c r="CT92" i="42"/>
  <c r="CT101" i="42"/>
  <c r="CT90" i="42"/>
  <c r="CT93" i="42"/>
  <c r="CR105" i="42"/>
  <c r="CR104" i="42"/>
  <c r="CR97" i="42"/>
  <c r="CR96" i="42"/>
  <c r="CR95" i="42"/>
  <c r="CU12" i="55"/>
  <c r="CU13" i="55" s="1"/>
  <c r="AZ12" i="42"/>
  <c r="AZ134" i="5"/>
  <c r="AZ32" i="55"/>
  <c r="AZ9" i="47"/>
  <c r="AZ13" i="5"/>
  <c r="AY42" i="42"/>
  <c r="AY78" i="42"/>
  <c r="AY60" i="42"/>
  <c r="BA1" i="42"/>
  <c r="BA1" i="47"/>
  <c r="BA1" i="5"/>
  <c r="BA1" i="2"/>
  <c r="BA1" i="7"/>
  <c r="BA31" i="54"/>
  <c r="BA1" i="6"/>
  <c r="AZ12" i="47"/>
  <c r="AZ15" i="5"/>
  <c r="CU20" i="55"/>
  <c r="CU3" i="42"/>
  <c r="CU3" i="2"/>
  <c r="CU17" i="55"/>
  <c r="CU16" i="55"/>
  <c r="CU33" i="54"/>
  <c r="CV4" i="42"/>
  <c r="CV26" i="55"/>
  <c r="CW8" i="55"/>
  <c r="CV34" i="54"/>
  <c r="CV21" i="55"/>
  <c r="CV4" i="2"/>
  <c r="CV19" i="55"/>
  <c r="CV22" i="55" s="1"/>
  <c r="CV7" i="55"/>
  <c r="CT7" i="42"/>
  <c r="CS6" i="42"/>
  <c r="CT5" i="42"/>
  <c r="CV99" i="42" l="1"/>
  <c r="CV91" i="42"/>
  <c r="CU98" i="42"/>
  <c r="CU90" i="42"/>
  <c r="CU100" i="42"/>
  <c r="CU102" i="42"/>
  <c r="CU94" i="42"/>
  <c r="CU92" i="42"/>
  <c r="CU101" i="42"/>
  <c r="CU93" i="42"/>
  <c r="CS96" i="42"/>
  <c r="CS97" i="42"/>
  <c r="CS104" i="42"/>
  <c r="CS95" i="42"/>
  <c r="CS105" i="42"/>
  <c r="BA9" i="55"/>
  <c r="CV12" i="55"/>
  <c r="CV13" i="55" s="1"/>
  <c r="AZ52" i="42"/>
  <c r="AZ70" i="42"/>
  <c r="AZ34" i="42"/>
  <c r="BA32" i="54"/>
  <c r="BA2" i="5"/>
  <c r="BA3" i="5" s="1"/>
  <c r="BA2" i="47"/>
  <c r="BA2" i="2"/>
  <c r="BA31" i="55"/>
  <c r="BA27" i="55"/>
  <c r="BA11" i="47" s="1"/>
  <c r="BA2" i="42"/>
  <c r="BA88" i="42" s="1"/>
  <c r="BA30" i="55"/>
  <c r="BA14" i="47" s="1"/>
  <c r="BA23" i="55"/>
  <c r="BA6" i="47" s="1"/>
  <c r="BB5" i="55"/>
  <c r="BB6" i="55" s="1"/>
  <c r="BA2" i="7"/>
  <c r="BA28" i="55"/>
  <c r="BA2" i="6"/>
  <c r="BA24" i="55"/>
  <c r="BA34" i="55"/>
  <c r="AZ23" i="42"/>
  <c r="CV20" i="55"/>
  <c r="CV33" i="54"/>
  <c r="CV16" i="55"/>
  <c r="CV17" i="55"/>
  <c r="CV3" i="42"/>
  <c r="CV3" i="2"/>
  <c r="CT6" i="42"/>
  <c r="CU5" i="42"/>
  <c r="CW4" i="2"/>
  <c r="CW7" i="55"/>
  <c r="CX8" i="55"/>
  <c r="CW19" i="55"/>
  <c r="CW4" i="42"/>
  <c r="CW21" i="55"/>
  <c r="CW26" i="55"/>
  <c r="CW34" i="54"/>
  <c r="CU7" i="42"/>
  <c r="BA38" i="5" l="1"/>
  <c r="BA30" i="5"/>
  <c r="CW99" i="42"/>
  <c r="CW91" i="42"/>
  <c r="CV100" i="42"/>
  <c r="CV102" i="42"/>
  <c r="CV94" i="42"/>
  <c r="CV101" i="42"/>
  <c r="CV93" i="42"/>
  <c r="CV90" i="42"/>
  <c r="CV92" i="42"/>
  <c r="CV98" i="42"/>
  <c r="CT105" i="42"/>
  <c r="CT104" i="42"/>
  <c r="CT97" i="42"/>
  <c r="CT96" i="42"/>
  <c r="CT95" i="42"/>
  <c r="CW12" i="55"/>
  <c r="CW13" i="55" s="1"/>
  <c r="CW20" i="55"/>
  <c r="AZ42" i="42"/>
  <c r="AZ60" i="42"/>
  <c r="AZ78" i="42"/>
  <c r="BA12" i="47"/>
  <c r="BA15" i="5"/>
  <c r="BA13" i="5"/>
  <c r="BA9" i="47"/>
  <c r="BB1" i="7"/>
  <c r="BB31" i="54"/>
  <c r="BB1" i="42"/>
  <c r="BB1" i="6"/>
  <c r="BB1" i="47"/>
  <c r="BB1" i="5"/>
  <c r="BB1" i="2"/>
  <c r="BA12" i="42"/>
  <c r="BA32" i="55"/>
  <c r="BA134" i="5"/>
  <c r="CU6" i="42"/>
  <c r="CW3" i="2"/>
  <c r="CW3" i="42"/>
  <c r="CW16" i="55"/>
  <c r="CW17" i="55"/>
  <c r="CW33" i="54"/>
  <c r="CY8" i="55"/>
  <c r="CX7" i="55"/>
  <c r="CX12" i="55" s="1"/>
  <c r="CX13" i="55" s="1"/>
  <c r="CX26" i="55"/>
  <c r="CX4" i="2"/>
  <c r="CX21" i="55"/>
  <c r="CX4" i="42"/>
  <c r="CX19" i="55"/>
  <c r="CX34" i="54"/>
  <c r="CW22" i="55"/>
  <c r="CV5" i="42"/>
  <c r="CV7" i="42"/>
  <c r="CX91" i="42" l="1"/>
  <c r="CX99" i="42"/>
  <c r="CW101" i="42"/>
  <c r="CW102" i="42"/>
  <c r="CW94" i="42"/>
  <c r="CW93" i="42"/>
  <c r="CW92" i="42"/>
  <c r="CW90" i="42"/>
  <c r="CW98" i="42"/>
  <c r="CW100" i="42"/>
  <c r="CU95" i="42"/>
  <c r="CU97" i="42"/>
  <c r="CU104" i="42"/>
  <c r="CU96" i="42"/>
  <c r="CU105" i="42"/>
  <c r="BB9" i="55"/>
  <c r="BB28" i="55"/>
  <c r="BB34" i="55"/>
  <c r="BB30" i="55"/>
  <c r="BB14" i="47" s="1"/>
  <c r="BC5" i="55"/>
  <c r="BC6" i="55" s="1"/>
  <c r="BB2" i="2"/>
  <c r="BB32" i="54"/>
  <c r="BB27" i="55"/>
  <c r="BB11" i="47" s="1"/>
  <c r="BB2" i="47"/>
  <c r="BB2" i="5"/>
  <c r="BB3" i="5" s="1"/>
  <c r="BB2" i="7"/>
  <c r="BB24" i="55"/>
  <c r="BB2" i="6"/>
  <c r="BB2" i="42"/>
  <c r="BB88" i="42" s="1"/>
  <c r="BB23" i="55"/>
  <c r="BB6" i="47" s="1"/>
  <c r="BB31" i="55"/>
  <c r="BA23" i="42"/>
  <c r="BA34" i="42"/>
  <c r="BA52" i="42"/>
  <c r="BA70" i="42"/>
  <c r="CX20" i="55"/>
  <c r="CX3" i="42"/>
  <c r="CX3" i="2"/>
  <c r="CX16" i="55"/>
  <c r="CX33" i="54"/>
  <c r="CX17" i="55"/>
  <c r="CX22" i="55"/>
  <c r="CW7" i="42"/>
  <c r="CV6" i="42"/>
  <c r="CY4" i="42"/>
  <c r="CY26" i="55"/>
  <c r="CY4" i="2"/>
  <c r="CY21" i="55"/>
  <c r="CY19" i="55"/>
  <c r="CY22" i="55" s="1"/>
  <c r="CY7" i="55"/>
  <c r="CY34" i="54"/>
  <c r="CZ8" i="55"/>
  <c r="CW5" i="42"/>
  <c r="BB38" i="5" l="1"/>
  <c r="BB30" i="5"/>
  <c r="CY99" i="42"/>
  <c r="CY91" i="42"/>
  <c r="CX101" i="42"/>
  <c r="CX93" i="42"/>
  <c r="CX92" i="42"/>
  <c r="CX102" i="42"/>
  <c r="CX90" i="42"/>
  <c r="CX98" i="42"/>
  <c r="CX100" i="42"/>
  <c r="CX94" i="42"/>
  <c r="CV105" i="42"/>
  <c r="CV104" i="42"/>
  <c r="CV97" i="42"/>
  <c r="CV96" i="42"/>
  <c r="CV95" i="42"/>
  <c r="CY12" i="55"/>
  <c r="CY13" i="55" s="1"/>
  <c r="BB15" i="5"/>
  <c r="BB12" i="47"/>
  <c r="BA42" i="42"/>
  <c r="BA60" i="42"/>
  <c r="BA78" i="42"/>
  <c r="BC31" i="54"/>
  <c r="BC1" i="6"/>
  <c r="BC1" i="5"/>
  <c r="BC1" i="47"/>
  <c r="BC1" i="2"/>
  <c r="BC1" i="7"/>
  <c r="BC1" i="42"/>
  <c r="BB32" i="55"/>
  <c r="BB12" i="42"/>
  <c r="BB134" i="5"/>
  <c r="BB13" i="5"/>
  <c r="BB9" i="47"/>
  <c r="CY20" i="55"/>
  <c r="CZ4" i="2"/>
  <c r="CZ4" i="42"/>
  <c r="CZ7" i="55"/>
  <c r="CZ34" i="54"/>
  <c r="CZ26" i="55"/>
  <c r="CZ19" i="55"/>
  <c r="DA8" i="55"/>
  <c r="CZ21" i="55"/>
  <c r="CX7" i="42"/>
  <c r="CY16" i="55"/>
  <c r="CY33" i="54"/>
  <c r="CY3" i="2"/>
  <c r="CY17" i="55"/>
  <c r="CY3" i="42"/>
  <c r="CW6" i="42"/>
  <c r="CX5" i="42"/>
  <c r="CZ99" i="42" l="1"/>
  <c r="CZ91" i="42"/>
  <c r="CY101" i="42"/>
  <c r="CY102" i="42"/>
  <c r="CY100" i="42"/>
  <c r="CY98" i="42"/>
  <c r="CY94" i="42"/>
  <c r="CY93" i="42"/>
  <c r="CY92" i="42"/>
  <c r="CY90" i="42"/>
  <c r="CW96" i="42"/>
  <c r="CW104" i="42"/>
  <c r="CW105" i="42"/>
  <c r="CW95" i="42"/>
  <c r="CW97" i="42"/>
  <c r="BC9" i="55"/>
  <c r="CZ12" i="55"/>
  <c r="CZ13" i="55" s="1"/>
  <c r="BC2" i="5"/>
  <c r="BC3" i="5" s="1"/>
  <c r="BC2" i="6"/>
  <c r="BC2" i="2"/>
  <c r="BC31" i="55"/>
  <c r="BC32" i="54"/>
  <c r="BC2" i="47"/>
  <c r="BC28" i="55"/>
  <c r="BC34" i="55"/>
  <c r="BC2" i="7"/>
  <c r="BC2" i="42"/>
  <c r="BC88" i="42" s="1"/>
  <c r="BC30" i="55"/>
  <c r="BC14" i="47" s="1"/>
  <c r="BD5" i="55"/>
  <c r="BD6" i="55" s="1"/>
  <c r="BC27" i="55"/>
  <c r="BC11" i="47" s="1"/>
  <c r="BC24" i="55"/>
  <c r="BC23" i="55"/>
  <c r="BC6" i="47" s="1"/>
  <c r="BB23" i="42"/>
  <c r="BB70" i="42"/>
  <c r="BB52" i="42"/>
  <c r="BB34" i="42"/>
  <c r="CZ20" i="55"/>
  <c r="CZ22" i="55"/>
  <c r="CX6" i="42"/>
  <c r="DA4" i="42"/>
  <c r="DA7" i="55"/>
  <c r="DA26" i="55"/>
  <c r="DA21" i="55"/>
  <c r="DA34" i="54"/>
  <c r="DA19" i="55"/>
  <c r="DB8" i="55"/>
  <c r="DA4" i="2"/>
  <c r="CY7" i="42"/>
  <c r="CZ33" i="54"/>
  <c r="CZ16" i="55"/>
  <c r="CZ3" i="42"/>
  <c r="CZ3" i="2"/>
  <c r="CZ17" i="55"/>
  <c r="CY5" i="42"/>
  <c r="BC38" i="5" l="1"/>
  <c r="BC30" i="5"/>
  <c r="DA99" i="42"/>
  <c r="DA91" i="42"/>
  <c r="CZ101" i="42"/>
  <c r="CZ93" i="42"/>
  <c r="CZ92" i="42"/>
  <c r="CZ98" i="42"/>
  <c r="CZ90" i="42"/>
  <c r="CZ100" i="42"/>
  <c r="CZ94" i="42"/>
  <c r="CZ102" i="42"/>
  <c r="CX95" i="42"/>
  <c r="CX97" i="42"/>
  <c r="CX104" i="42"/>
  <c r="CX105" i="42"/>
  <c r="CX96" i="42"/>
  <c r="DA12" i="55"/>
  <c r="DA13" i="55" s="1"/>
  <c r="BD31" i="54"/>
  <c r="BD1" i="6"/>
  <c r="BD1" i="2"/>
  <c r="BD1" i="5"/>
  <c r="BD1" i="42"/>
  <c r="BD1" i="47"/>
  <c r="BD1" i="7"/>
  <c r="BC12" i="47"/>
  <c r="BC15" i="5"/>
  <c r="BC134" i="5"/>
  <c r="BC32" i="55"/>
  <c r="BC12" i="42"/>
  <c r="BC13" i="5"/>
  <c r="BC9" i="47"/>
  <c r="BB78" i="42"/>
  <c r="BB42" i="42"/>
  <c r="BB60" i="42"/>
  <c r="DA20" i="55"/>
  <c r="DA22" i="55"/>
  <c r="CZ5" i="42"/>
  <c r="CY6" i="42"/>
  <c r="DB26" i="55"/>
  <c r="DB4" i="42"/>
  <c r="DB34" i="54"/>
  <c r="DB7" i="55"/>
  <c r="DC8" i="55"/>
  <c r="DB21" i="55"/>
  <c r="DB4" i="2"/>
  <c r="DB19" i="55"/>
  <c r="DA3" i="42"/>
  <c r="DA33" i="54"/>
  <c r="DA16" i="55"/>
  <c r="DA17" i="55"/>
  <c r="DA3" i="2"/>
  <c r="CZ7" i="42"/>
  <c r="DB99" i="42" l="1"/>
  <c r="DB91" i="42"/>
  <c r="DA102" i="42"/>
  <c r="DA100" i="42"/>
  <c r="DA98" i="42"/>
  <c r="DA94" i="42"/>
  <c r="DA93" i="42"/>
  <c r="DA92" i="42"/>
  <c r="DA90" i="42"/>
  <c r="DA101" i="42"/>
  <c r="CY96" i="42"/>
  <c r="CY104" i="42"/>
  <c r="CY105" i="42"/>
  <c r="CY97" i="42"/>
  <c r="CY95" i="42"/>
  <c r="BD9" i="55"/>
  <c r="DB12" i="55"/>
  <c r="DB13" i="55" s="1"/>
  <c r="BC70" i="42"/>
  <c r="BC52" i="42"/>
  <c r="BC34" i="42"/>
  <c r="BC23" i="42"/>
  <c r="BD2" i="42"/>
  <c r="BD88" i="42" s="1"/>
  <c r="BD27" i="55"/>
  <c r="BD11" i="47" s="1"/>
  <c r="BD28" i="55"/>
  <c r="BD2" i="47"/>
  <c r="BD23" i="55"/>
  <c r="BD6" i="47" s="1"/>
  <c r="BD2" i="7"/>
  <c r="BD2" i="5"/>
  <c r="BD3" i="5" s="1"/>
  <c r="BD34" i="55"/>
  <c r="BD24" i="55"/>
  <c r="BD32" i="54"/>
  <c r="BD2" i="2"/>
  <c r="BD2" i="6"/>
  <c r="BD31" i="55"/>
  <c r="BD30" i="55"/>
  <c r="BD14" i="47" s="1"/>
  <c r="BE5" i="55"/>
  <c r="BE6" i="55" s="1"/>
  <c r="DB20" i="55"/>
  <c r="DB22" i="55"/>
  <c r="DA5" i="42"/>
  <c r="DC26" i="55"/>
  <c r="DD8" i="55"/>
  <c r="DC4" i="2"/>
  <c r="DC7" i="55"/>
  <c r="DC19" i="55"/>
  <c r="DC34" i="54"/>
  <c r="DC21" i="55"/>
  <c r="DC4" i="42"/>
  <c r="DB3" i="42"/>
  <c r="DB3" i="2"/>
  <c r="DB16" i="55"/>
  <c r="DB17" i="55"/>
  <c r="DB33" i="54"/>
  <c r="DA7" i="42"/>
  <c r="CZ6" i="42"/>
  <c r="BD38" i="5" l="1"/>
  <c r="BD30" i="5"/>
  <c r="DC99" i="42"/>
  <c r="DC91" i="42"/>
  <c r="DB102" i="42"/>
  <c r="DB100" i="42"/>
  <c r="DB101" i="42"/>
  <c r="DB92" i="42"/>
  <c r="DB98" i="42"/>
  <c r="DB90" i="42"/>
  <c r="DB94" i="42"/>
  <c r="DB93" i="42"/>
  <c r="CZ105" i="42"/>
  <c r="CZ104" i="42"/>
  <c r="CZ97" i="42"/>
  <c r="CZ96" i="42"/>
  <c r="CZ95" i="42"/>
  <c r="DC12" i="55"/>
  <c r="DC13" i="55" s="1"/>
  <c r="BE31" i="54"/>
  <c r="BE1" i="2"/>
  <c r="BE1" i="47"/>
  <c r="BE1" i="42"/>
  <c r="BE1" i="7"/>
  <c r="BE1" i="6"/>
  <c r="BE1" i="5"/>
  <c r="BD12" i="47"/>
  <c r="BD15" i="5"/>
  <c r="BD12" i="42"/>
  <c r="BD134" i="5"/>
  <c r="BD32" i="55"/>
  <c r="BD13" i="5"/>
  <c r="BD9" i="47"/>
  <c r="BC78" i="42"/>
  <c r="BC60" i="42"/>
  <c r="BC42" i="42"/>
  <c r="DD19" i="55"/>
  <c r="DD34" i="54"/>
  <c r="DD7" i="55"/>
  <c r="DD4" i="42"/>
  <c r="DE8" i="55"/>
  <c r="DD4" i="2"/>
  <c r="DD26" i="55"/>
  <c r="DD21" i="55"/>
  <c r="DA6" i="42"/>
  <c r="DB7" i="42"/>
  <c r="DC20" i="55"/>
  <c r="DB5" i="42"/>
  <c r="DC3" i="42"/>
  <c r="DC3" i="2"/>
  <c r="DC17" i="55"/>
  <c r="DC16" i="55"/>
  <c r="DC33" i="54"/>
  <c r="DC22" i="55"/>
  <c r="DD91" i="42" l="1"/>
  <c r="DD99" i="42"/>
  <c r="DC101" i="42"/>
  <c r="DC92" i="42"/>
  <c r="DC98" i="42"/>
  <c r="DC90" i="42"/>
  <c r="DC100" i="42"/>
  <c r="DC94" i="42"/>
  <c r="DC93" i="42"/>
  <c r="DC102" i="42"/>
  <c r="DA97" i="42"/>
  <c r="DA105" i="42"/>
  <c r="DA104" i="42"/>
  <c r="DA95" i="42"/>
  <c r="DA96" i="42"/>
  <c r="BE9" i="55"/>
  <c r="DD12" i="55"/>
  <c r="DD13" i="55" s="1"/>
  <c r="BE2" i="5"/>
  <c r="BE3" i="5" s="1"/>
  <c r="BE34" i="55"/>
  <c r="BE2" i="2"/>
  <c r="BE28" i="55"/>
  <c r="BE2" i="7"/>
  <c r="BE2" i="47"/>
  <c r="BE27" i="55"/>
  <c r="BE11" i="47" s="1"/>
  <c r="BE30" i="55"/>
  <c r="BE14" i="47" s="1"/>
  <c r="BE24" i="55"/>
  <c r="BE31" i="55"/>
  <c r="BE32" i="54"/>
  <c r="BE23" i="55"/>
  <c r="BE6" i="47" s="1"/>
  <c r="BE2" i="42"/>
  <c r="BE88" i="42" s="1"/>
  <c r="BF5" i="55"/>
  <c r="BF6" i="55" s="1"/>
  <c r="BE2" i="6"/>
  <c r="BD23" i="42"/>
  <c r="BD34" i="42"/>
  <c r="BD70" i="42"/>
  <c r="BD52" i="42"/>
  <c r="DD20" i="55"/>
  <c r="DC5" i="42"/>
  <c r="DD22" i="55"/>
  <c r="DC7" i="42"/>
  <c r="DD3" i="42"/>
  <c r="DD33" i="54"/>
  <c r="DD3" i="2"/>
  <c r="DD17" i="55"/>
  <c r="DD16" i="55"/>
  <c r="DB6" i="42"/>
  <c r="DE4" i="2"/>
  <c r="DE7" i="55"/>
  <c r="DF8" i="55"/>
  <c r="DE19" i="55"/>
  <c r="DE22" i="55" s="1"/>
  <c r="DE26" i="55"/>
  <c r="DE34" i="54"/>
  <c r="DE21" i="55"/>
  <c r="DE4" i="42"/>
  <c r="BE38" i="5" l="1"/>
  <c r="BE30" i="5"/>
  <c r="DE91" i="42"/>
  <c r="DE99" i="42"/>
  <c r="DD98" i="42"/>
  <c r="DD100" i="42"/>
  <c r="DD94" i="42"/>
  <c r="DD93" i="42"/>
  <c r="DD102" i="42"/>
  <c r="DD101" i="42"/>
  <c r="DD92" i="42"/>
  <c r="DD90" i="42"/>
  <c r="DB105" i="42"/>
  <c r="DB104" i="42"/>
  <c r="DB97" i="42"/>
  <c r="DB96" i="42"/>
  <c r="DB95" i="42"/>
  <c r="DE12" i="55"/>
  <c r="DE13" i="55" s="1"/>
  <c r="BE15" i="5"/>
  <c r="BE12" i="47"/>
  <c r="BD42" i="42"/>
  <c r="BD60" i="42"/>
  <c r="BD78" i="42"/>
  <c r="BF31" i="54"/>
  <c r="BF1" i="5"/>
  <c r="BF1" i="7"/>
  <c r="BF1" i="42"/>
  <c r="BF1" i="6"/>
  <c r="BF1" i="2"/>
  <c r="BF1" i="47"/>
  <c r="BE32" i="55"/>
  <c r="BE12" i="42"/>
  <c r="BE134" i="5"/>
  <c r="BE9" i="47"/>
  <c r="BE13" i="5"/>
  <c r="DE20" i="55"/>
  <c r="DD5" i="42"/>
  <c r="DC6" i="42"/>
  <c r="DG8" i="55"/>
  <c r="DF19" i="55"/>
  <c r="DF22" i="55" s="1"/>
  <c r="DF21" i="55"/>
  <c r="DF26" i="55"/>
  <c r="DF4" i="2"/>
  <c r="DF34" i="54"/>
  <c r="DF7" i="55"/>
  <c r="DF12" i="55" s="1"/>
  <c r="DF13" i="55" s="1"/>
  <c r="DF4" i="42"/>
  <c r="DE16" i="55"/>
  <c r="DE3" i="2"/>
  <c r="DE17" i="55"/>
  <c r="DE3" i="42"/>
  <c r="DE33" i="54"/>
  <c r="DD7" i="42"/>
  <c r="DF99" i="42" l="1"/>
  <c r="DF91" i="42"/>
  <c r="DE101" i="42"/>
  <c r="DE98" i="42"/>
  <c r="DE90" i="42"/>
  <c r="DE100" i="42"/>
  <c r="DE94" i="42"/>
  <c r="DE102" i="42"/>
  <c r="DE93" i="42"/>
  <c r="DE92" i="42"/>
  <c r="DC104" i="42"/>
  <c r="DC95" i="42"/>
  <c r="DC105" i="42"/>
  <c r="DC96" i="42"/>
  <c r="DC97" i="42"/>
  <c r="BF9" i="55"/>
  <c r="BF34" i="55"/>
  <c r="BF2" i="5"/>
  <c r="BF3" i="5" s="1"/>
  <c r="BF2" i="47"/>
  <c r="BF31" i="55"/>
  <c r="BF2" i="6"/>
  <c r="BG5" i="55"/>
  <c r="BG6" i="55" s="1"/>
  <c r="BF2" i="42"/>
  <c r="BF88" i="42" s="1"/>
  <c r="BF24" i="55"/>
  <c r="BF27" i="55"/>
  <c r="BF11" i="47" s="1"/>
  <c r="BF28" i="55"/>
  <c r="BF32" i="54"/>
  <c r="BF2" i="7"/>
  <c r="BF2" i="2"/>
  <c r="BF23" i="55"/>
  <c r="BF6" i="47" s="1"/>
  <c r="BF30" i="55"/>
  <c r="BF14" i="47" s="1"/>
  <c r="BE70" i="42"/>
  <c r="BE34" i="42"/>
  <c r="BE52" i="42"/>
  <c r="BE23" i="42"/>
  <c r="DE5" i="42"/>
  <c r="DF17" i="55"/>
  <c r="DF3" i="42"/>
  <c r="DF3" i="2"/>
  <c r="DF33" i="54"/>
  <c r="DF16" i="55"/>
  <c r="DF20" i="55"/>
  <c r="DG19" i="55"/>
  <c r="DG22" i="55" s="1"/>
  <c r="DH8" i="55"/>
  <c r="DG34" i="54"/>
  <c r="DG21" i="55"/>
  <c r="DG4" i="42"/>
  <c r="DG26" i="55"/>
  <c r="DG4" i="2"/>
  <c r="DG7" i="55"/>
  <c r="DE7" i="42"/>
  <c r="DD6" i="42"/>
  <c r="BF38" i="5" l="1"/>
  <c r="BF30" i="5"/>
  <c r="DG99" i="42"/>
  <c r="DG91" i="42"/>
  <c r="DF101" i="42"/>
  <c r="DF100" i="42"/>
  <c r="DF94" i="42"/>
  <c r="DF102" i="42"/>
  <c r="DF93" i="42"/>
  <c r="DF98" i="42"/>
  <c r="DF92" i="42"/>
  <c r="DF90" i="42"/>
  <c r="DD105" i="42"/>
  <c r="DD104" i="42"/>
  <c r="DD97" i="42"/>
  <c r="DD96" i="42"/>
  <c r="DD95" i="42"/>
  <c r="DG12" i="55"/>
  <c r="DG13" i="55" s="1"/>
  <c r="DG20" i="55"/>
  <c r="BF13" i="5"/>
  <c r="BF9" i="47"/>
  <c r="BF32" i="55"/>
  <c r="BF12" i="42"/>
  <c r="BF134" i="5"/>
  <c r="BE42" i="42"/>
  <c r="BE60" i="42"/>
  <c r="BE78" i="42"/>
  <c r="BF15" i="5"/>
  <c r="BF12" i="47"/>
  <c r="BG1" i="7"/>
  <c r="BG1" i="42"/>
  <c r="BG1" i="2"/>
  <c r="BG31" i="54"/>
  <c r="BG1" i="47"/>
  <c r="BG1" i="6"/>
  <c r="BG1" i="5"/>
  <c r="DF5" i="42"/>
  <c r="DF7" i="42"/>
  <c r="DE6" i="42"/>
  <c r="DG16" i="55"/>
  <c r="DG33" i="54"/>
  <c r="DG3" i="42"/>
  <c r="DG3" i="2"/>
  <c r="DG17" i="55"/>
  <c r="DH26" i="55"/>
  <c r="DH34" i="54"/>
  <c r="DH7" i="55"/>
  <c r="DI8" i="55"/>
  <c r="DH4" i="2"/>
  <c r="DH21" i="55"/>
  <c r="DH4" i="42"/>
  <c r="DH19" i="55"/>
  <c r="DH22" i="55" s="1"/>
  <c r="DH99" i="42" l="1"/>
  <c r="DH91" i="42"/>
  <c r="DG101" i="42"/>
  <c r="DG102" i="42"/>
  <c r="DG100" i="42"/>
  <c r="DG98" i="42"/>
  <c r="DG94" i="42"/>
  <c r="DG93" i="42"/>
  <c r="DG92" i="42"/>
  <c r="DG90" i="42"/>
  <c r="DE105" i="42"/>
  <c r="DE95" i="42"/>
  <c r="DE104" i="42"/>
  <c r="DE96" i="42"/>
  <c r="DE97" i="42"/>
  <c r="BG9" i="55"/>
  <c r="DH12" i="55"/>
  <c r="DH13" i="55" s="1"/>
  <c r="BF23" i="42"/>
  <c r="BF60" i="42" s="1"/>
  <c r="BG28" i="55"/>
  <c r="BG27" i="55"/>
  <c r="BG11" i="47" s="1"/>
  <c r="BG34" i="55"/>
  <c r="BG2" i="47"/>
  <c r="BG31" i="55"/>
  <c r="BG23" i="55"/>
  <c r="BG6" i="47" s="1"/>
  <c r="BG2" i="7"/>
  <c r="BG30" i="55"/>
  <c r="BG14" i="47" s="1"/>
  <c r="BG32" i="54"/>
  <c r="BG24" i="55"/>
  <c r="BG2" i="6"/>
  <c r="BG2" i="2"/>
  <c r="BG2" i="5"/>
  <c r="BG3" i="5" s="1"/>
  <c r="BH5" i="55"/>
  <c r="BH6" i="55" s="1"/>
  <c r="BG2" i="42"/>
  <c r="BG88" i="42" s="1"/>
  <c r="BF70" i="42"/>
  <c r="BF34" i="42"/>
  <c r="BF52" i="42"/>
  <c r="DH20" i="55"/>
  <c r="DF6" i="42"/>
  <c r="DI34" i="54"/>
  <c r="DI4" i="42"/>
  <c r="DJ8" i="55"/>
  <c r="DI4" i="2"/>
  <c r="DI7" i="55"/>
  <c r="DI21" i="55"/>
  <c r="DI19" i="55"/>
  <c r="DI22" i="55" s="1"/>
  <c r="DI26" i="55"/>
  <c r="DH17" i="55"/>
  <c r="DH33" i="54"/>
  <c r="DH3" i="42"/>
  <c r="DH16" i="55"/>
  <c r="DH3" i="2"/>
  <c r="DG7" i="42"/>
  <c r="DG5" i="42"/>
  <c r="BG38" i="5" l="1"/>
  <c r="BG30" i="5"/>
  <c r="DI99" i="42"/>
  <c r="DI91" i="42"/>
  <c r="DH101" i="42"/>
  <c r="DH100" i="42"/>
  <c r="DH94" i="42"/>
  <c r="DH102" i="42"/>
  <c r="DH93" i="42"/>
  <c r="DH90" i="42"/>
  <c r="DH92" i="42"/>
  <c r="DH98" i="42"/>
  <c r="DF96" i="42"/>
  <c r="DF97" i="42"/>
  <c r="DF105" i="42"/>
  <c r="DF104" i="42"/>
  <c r="DF95" i="42"/>
  <c r="DI12" i="55"/>
  <c r="DI13" i="55" s="1"/>
  <c r="BF78" i="42"/>
  <c r="BF42" i="42"/>
  <c r="BH1" i="5"/>
  <c r="BH31" i="54"/>
  <c r="BH1" i="47"/>
  <c r="BH1" i="2"/>
  <c r="BH1" i="7"/>
  <c r="BH1" i="42"/>
  <c r="BH1" i="6"/>
  <c r="BG9" i="47"/>
  <c r="BG13" i="5"/>
  <c r="BG134" i="5"/>
  <c r="BG12" i="42"/>
  <c r="BG32" i="55"/>
  <c r="BG15" i="5"/>
  <c r="BG12" i="47"/>
  <c r="DI17" i="55"/>
  <c r="DI33" i="54"/>
  <c r="DI16" i="55"/>
  <c r="DI3" i="2"/>
  <c r="DI3" i="42"/>
  <c r="DG6" i="42"/>
  <c r="DH5" i="42"/>
  <c r="DH7" i="42"/>
  <c r="DI20" i="55"/>
  <c r="DJ4" i="42"/>
  <c r="DJ19" i="55"/>
  <c r="DJ4" i="2"/>
  <c r="DK8" i="55"/>
  <c r="DJ34" i="54"/>
  <c r="DJ7" i="55"/>
  <c r="DJ26" i="55"/>
  <c r="DJ21" i="55"/>
  <c r="DJ99" i="42" l="1"/>
  <c r="DJ91" i="42"/>
  <c r="DI102" i="42"/>
  <c r="DI100" i="42"/>
  <c r="DI98" i="42"/>
  <c r="DI94" i="42"/>
  <c r="DI93" i="42"/>
  <c r="DI92" i="42"/>
  <c r="DI90" i="42"/>
  <c r="DI101" i="42"/>
  <c r="DG95" i="42"/>
  <c r="DG97" i="42"/>
  <c r="DG104" i="42"/>
  <c r="DG105" i="42"/>
  <c r="DG96" i="42"/>
  <c r="BH9" i="55"/>
  <c r="DJ12" i="55"/>
  <c r="DJ13" i="55" s="1"/>
  <c r="BG23" i="42"/>
  <c r="BG42" i="42" s="1"/>
  <c r="BG52" i="42"/>
  <c r="BG34" i="42"/>
  <c r="BG70" i="42"/>
  <c r="BH2" i="7"/>
  <c r="BH2" i="5"/>
  <c r="BH3" i="5" s="1"/>
  <c r="BH24" i="55"/>
  <c r="BH2" i="6"/>
  <c r="BH2" i="47"/>
  <c r="BH23" i="55"/>
  <c r="BH6" i="47" s="1"/>
  <c r="BH30" i="55"/>
  <c r="BH14" i="47" s="1"/>
  <c r="BH32" i="54"/>
  <c r="BH2" i="42"/>
  <c r="BH88" i="42" s="1"/>
  <c r="BH27" i="55"/>
  <c r="BH11" i="47" s="1"/>
  <c r="BH31" i="55"/>
  <c r="BH28" i="55"/>
  <c r="BH2" i="2"/>
  <c r="BH34" i="55"/>
  <c r="BI5" i="55"/>
  <c r="BI6" i="55" s="1"/>
  <c r="DJ20" i="55"/>
  <c r="DJ22" i="55"/>
  <c r="DK26" i="55"/>
  <c r="DK7" i="55"/>
  <c r="DL8" i="55"/>
  <c r="DK21" i="55"/>
  <c r="DK4" i="42"/>
  <c r="DK34" i="54"/>
  <c r="DK4" i="2"/>
  <c r="DK19" i="55"/>
  <c r="DH6" i="42"/>
  <c r="DI7" i="42"/>
  <c r="DJ33" i="54"/>
  <c r="DJ3" i="2"/>
  <c r="DJ17" i="55"/>
  <c r="DJ3" i="42"/>
  <c r="DJ16" i="55"/>
  <c r="DI5" i="42"/>
  <c r="BH38" i="5" l="1"/>
  <c r="BH30" i="5"/>
  <c r="DK91" i="42"/>
  <c r="DK99" i="42"/>
  <c r="DJ102" i="42"/>
  <c r="DJ100" i="42"/>
  <c r="DJ93" i="42"/>
  <c r="DJ92" i="42"/>
  <c r="DJ94" i="42"/>
  <c r="DJ90" i="42"/>
  <c r="DJ101" i="42"/>
  <c r="DJ98" i="42"/>
  <c r="DH105" i="42"/>
  <c r="DH104" i="42"/>
  <c r="DH97" i="42"/>
  <c r="DH96" i="42"/>
  <c r="DH95" i="42"/>
  <c r="DK12" i="55"/>
  <c r="DK13" i="55" s="1"/>
  <c r="BG60" i="42"/>
  <c r="BG78" i="42"/>
  <c r="BH15" i="5"/>
  <c r="BH12" i="47"/>
  <c r="BI1" i="7"/>
  <c r="BI1" i="2"/>
  <c r="BI31" i="54"/>
  <c r="BI1" i="6"/>
  <c r="BI1" i="47"/>
  <c r="BI1" i="42"/>
  <c r="BI1" i="5"/>
  <c r="BH32" i="55"/>
  <c r="BH134" i="5"/>
  <c r="BH12" i="42"/>
  <c r="BH9" i="47"/>
  <c r="BH13" i="5"/>
  <c r="DK20" i="55"/>
  <c r="DJ7" i="42"/>
  <c r="DI6" i="42"/>
  <c r="DJ5" i="42"/>
  <c r="DL4" i="42"/>
  <c r="DL4" i="2"/>
  <c r="DL26" i="55"/>
  <c r="DL7" i="55"/>
  <c r="DM8" i="55"/>
  <c r="DL19" i="55"/>
  <c r="DL21" i="55"/>
  <c r="DL34" i="54"/>
  <c r="DK22" i="55"/>
  <c r="DK33" i="54"/>
  <c r="DK3" i="2"/>
  <c r="DK3" i="42"/>
  <c r="DK17" i="55"/>
  <c r="DK16" i="55"/>
  <c r="DL99" i="42" l="1"/>
  <c r="DL91" i="42"/>
  <c r="DK102" i="42"/>
  <c r="DK93" i="42"/>
  <c r="DK92" i="42"/>
  <c r="DK100" i="42"/>
  <c r="DK90" i="42"/>
  <c r="DK94" i="42"/>
  <c r="DK101" i="42"/>
  <c r="DK98" i="42"/>
  <c r="DI96" i="42"/>
  <c r="DI104" i="42"/>
  <c r="DI105" i="42"/>
  <c r="DI97" i="42"/>
  <c r="DI95" i="42"/>
  <c r="BI9" i="55"/>
  <c r="DL12" i="55"/>
  <c r="DL13" i="55" s="1"/>
  <c r="BH23" i="42"/>
  <c r="BH60" i="42" s="1"/>
  <c r="BI2" i="2"/>
  <c r="BI23" i="55"/>
  <c r="BI6" i="47" s="1"/>
  <c r="BI2" i="6"/>
  <c r="BJ5" i="55"/>
  <c r="BJ6" i="55" s="1"/>
  <c r="BI2" i="5"/>
  <c r="BI3" i="5" s="1"/>
  <c r="BI24" i="55"/>
  <c r="BI28" i="55"/>
  <c r="BI2" i="47"/>
  <c r="BI32" i="54"/>
  <c r="BI30" i="55"/>
  <c r="BI14" i="47" s="1"/>
  <c r="BI34" i="55"/>
  <c r="BI2" i="42"/>
  <c r="BI88" i="42" s="1"/>
  <c r="BI31" i="55"/>
  <c r="BI2" i="7"/>
  <c r="BI27" i="55"/>
  <c r="BI11" i="47" s="1"/>
  <c r="BH70" i="42"/>
  <c r="BH34" i="42"/>
  <c r="BH52" i="42"/>
  <c r="DL20" i="55"/>
  <c r="DL22" i="55"/>
  <c r="DM26" i="55"/>
  <c r="DM34" i="54"/>
  <c r="DM21" i="55"/>
  <c r="DM19" i="55"/>
  <c r="DM22" i="55" s="1"/>
  <c r="DN8" i="55"/>
  <c r="DM4" i="2"/>
  <c r="DM4" i="42"/>
  <c r="DM7" i="55"/>
  <c r="DJ6" i="42"/>
  <c r="DK5" i="42"/>
  <c r="DL3" i="2"/>
  <c r="DL17" i="55"/>
  <c r="DL16" i="55"/>
  <c r="DL33" i="54"/>
  <c r="DL3" i="42"/>
  <c r="DK7" i="42"/>
  <c r="BI38" i="5" l="1"/>
  <c r="BI30" i="5"/>
  <c r="DM99" i="42"/>
  <c r="DM91" i="42"/>
  <c r="DL92" i="42"/>
  <c r="DL101" i="42"/>
  <c r="DL98" i="42"/>
  <c r="DL93" i="42"/>
  <c r="DL100" i="42"/>
  <c r="DL90" i="42"/>
  <c r="DL102" i="42"/>
  <c r="DL94" i="42"/>
  <c r="DJ105" i="42"/>
  <c r="DJ104" i="42"/>
  <c r="DJ97" i="42"/>
  <c r="DJ96" i="42"/>
  <c r="DJ95" i="42"/>
  <c r="DM12" i="55"/>
  <c r="DM13" i="55" s="1"/>
  <c r="BH42" i="42"/>
  <c r="BH78" i="42"/>
  <c r="BI12" i="42"/>
  <c r="BI134" i="5"/>
  <c r="BI32" i="55"/>
  <c r="BJ1" i="5"/>
  <c r="BJ1" i="7"/>
  <c r="BJ1" i="2"/>
  <c r="BJ1" i="47"/>
  <c r="BJ1" i="6"/>
  <c r="BJ31" i="54"/>
  <c r="BJ1" i="42"/>
  <c r="BI9" i="47"/>
  <c r="BI13" i="5"/>
  <c r="BI15" i="5"/>
  <c r="BI12" i="47"/>
  <c r="DM20" i="55"/>
  <c r="DL5" i="42"/>
  <c r="DK6" i="42"/>
  <c r="DN26" i="55"/>
  <c r="DN21" i="55"/>
  <c r="DN4" i="42"/>
  <c r="DN4" i="2"/>
  <c r="DN19" i="55"/>
  <c r="DO8" i="55"/>
  <c r="DN34" i="54"/>
  <c r="DN7" i="55"/>
  <c r="DL7" i="42"/>
  <c r="DM3" i="42"/>
  <c r="DM3" i="2"/>
  <c r="DM16" i="55"/>
  <c r="DM33" i="54"/>
  <c r="DM17" i="55"/>
  <c r="DN91" i="42" l="1"/>
  <c r="DN99" i="42"/>
  <c r="DM101" i="42"/>
  <c r="DM92" i="42"/>
  <c r="DM98" i="42"/>
  <c r="DM90" i="42"/>
  <c r="DM93" i="42"/>
  <c r="DM102" i="42"/>
  <c r="DM94" i="42"/>
  <c r="DM100" i="42"/>
  <c r="DK95" i="42"/>
  <c r="DK97" i="42"/>
  <c r="DK104" i="42"/>
  <c r="DK105" i="42"/>
  <c r="DK96" i="42"/>
  <c r="BJ9" i="55"/>
  <c r="DN12" i="55"/>
  <c r="DN13" i="55" s="1"/>
  <c r="BI23" i="42"/>
  <c r="BI78" i="42" s="1"/>
  <c r="BJ2" i="47"/>
  <c r="BJ34" i="55"/>
  <c r="BJ30" i="55"/>
  <c r="BJ14" i="47" s="1"/>
  <c r="BK5" i="55"/>
  <c r="BK6" i="55" s="1"/>
  <c r="BJ27" i="55"/>
  <c r="BJ11" i="47" s="1"/>
  <c r="BJ28" i="55"/>
  <c r="BJ2" i="5"/>
  <c r="BJ3" i="5" s="1"/>
  <c r="BJ32" i="54"/>
  <c r="BJ2" i="6"/>
  <c r="BJ31" i="55"/>
  <c r="BJ24" i="55"/>
  <c r="BJ2" i="7"/>
  <c r="BJ23" i="55"/>
  <c r="BJ6" i="47" s="1"/>
  <c r="BJ2" i="42"/>
  <c r="BJ88" i="42" s="1"/>
  <c r="BJ2" i="2"/>
  <c r="BI34" i="42"/>
  <c r="BI70" i="42"/>
  <c r="BI52" i="42"/>
  <c r="DN20" i="55"/>
  <c r="DL6" i="42"/>
  <c r="DP8" i="55"/>
  <c r="DO19" i="55"/>
  <c r="DO4" i="2"/>
  <c r="DO7" i="55"/>
  <c r="DO4" i="42"/>
  <c r="DO34" i="54"/>
  <c r="DO26" i="55"/>
  <c r="DO21" i="55"/>
  <c r="DN22" i="55"/>
  <c r="DM7" i="42"/>
  <c r="DM5" i="42"/>
  <c r="DN16" i="55"/>
  <c r="DN3" i="42"/>
  <c r="DN3" i="2"/>
  <c r="DN33" i="54"/>
  <c r="DN17" i="55"/>
  <c r="BJ38" i="5" l="1"/>
  <c r="BJ30" i="5"/>
  <c r="DO99" i="42"/>
  <c r="DO91" i="42"/>
  <c r="DN101" i="42"/>
  <c r="DN98" i="42"/>
  <c r="DN90" i="42"/>
  <c r="DN94" i="42"/>
  <c r="DN92" i="42"/>
  <c r="DN102" i="42"/>
  <c r="DN100" i="42"/>
  <c r="DN93" i="42"/>
  <c r="DL105" i="42"/>
  <c r="DL104" i="42"/>
  <c r="DL97" i="42"/>
  <c r="DL96" i="42"/>
  <c r="DL95" i="42"/>
  <c r="DO12" i="55"/>
  <c r="DO13" i="55" s="1"/>
  <c r="BI42" i="42"/>
  <c r="BI60" i="42"/>
  <c r="BK1" i="5"/>
  <c r="BK1" i="47"/>
  <c r="BK1" i="42"/>
  <c r="BK1" i="2"/>
  <c r="BK1" i="6"/>
  <c r="BK1" i="7"/>
  <c r="BK31" i="54"/>
  <c r="BJ9" i="47"/>
  <c r="BJ13" i="5"/>
  <c r="BJ32" i="55"/>
  <c r="BJ12" i="42"/>
  <c r="BJ134" i="5"/>
  <c r="BJ15" i="5"/>
  <c r="BJ12" i="47"/>
  <c r="DP7" i="55"/>
  <c r="DP4" i="42"/>
  <c r="DQ8" i="55"/>
  <c r="DP19" i="55"/>
  <c r="DP22" i="55" s="1"/>
  <c r="DP26" i="55"/>
  <c r="DP4" i="2"/>
  <c r="DP34" i="54"/>
  <c r="DP21" i="55"/>
  <c r="DN5" i="42"/>
  <c r="DN7" i="42"/>
  <c r="DO20" i="55"/>
  <c r="DO16" i="55"/>
  <c r="DO3" i="42"/>
  <c r="DO3" i="2"/>
  <c r="DO17" i="55"/>
  <c r="DO33" i="54"/>
  <c r="DO22" i="55"/>
  <c r="DM6" i="42"/>
  <c r="DP99" i="42" l="1"/>
  <c r="DP91" i="42"/>
  <c r="DO101" i="42"/>
  <c r="DO102" i="42"/>
  <c r="DO100" i="42"/>
  <c r="DO98" i="42"/>
  <c r="DO94" i="42"/>
  <c r="DO93" i="42"/>
  <c r="DO92" i="42"/>
  <c r="DO90" i="42"/>
  <c r="DM96" i="42"/>
  <c r="DM104" i="42"/>
  <c r="DM105" i="42"/>
  <c r="DM95" i="42"/>
  <c r="DM97" i="42"/>
  <c r="BK9" i="55"/>
  <c r="DP12" i="55"/>
  <c r="DP13" i="55" s="1"/>
  <c r="BJ23" i="42"/>
  <c r="BJ60" i="42" s="1"/>
  <c r="BJ34" i="42"/>
  <c r="BJ52" i="42"/>
  <c r="BJ70" i="42"/>
  <c r="BK24" i="55"/>
  <c r="BK2" i="42"/>
  <c r="BK88" i="42" s="1"/>
  <c r="BK2" i="7"/>
  <c r="BK28" i="55"/>
  <c r="BK2" i="47"/>
  <c r="BK2" i="6"/>
  <c r="BK30" i="55"/>
  <c r="BK14" i="47" s="1"/>
  <c r="BK34" i="55"/>
  <c r="BK23" i="55"/>
  <c r="BK6" i="47" s="1"/>
  <c r="BK32" i="54"/>
  <c r="BK31" i="55"/>
  <c r="BK2" i="5"/>
  <c r="BK3" i="5" s="1"/>
  <c r="BK2" i="2"/>
  <c r="BK27" i="55"/>
  <c r="BK11" i="47" s="1"/>
  <c r="BL5" i="55"/>
  <c r="BL6" i="55" s="1"/>
  <c r="DP20" i="55"/>
  <c r="DQ4" i="42"/>
  <c r="DQ7" i="55"/>
  <c r="DQ21" i="55"/>
  <c r="DQ26" i="55"/>
  <c r="DQ19" i="55"/>
  <c r="DQ22" i="55" s="1"/>
  <c r="DQ34" i="54"/>
  <c r="DR8" i="55"/>
  <c r="DQ4" i="2"/>
  <c r="DO7" i="42"/>
  <c r="DN6" i="42"/>
  <c r="DP33" i="54"/>
  <c r="DP16" i="55"/>
  <c r="DP3" i="2"/>
  <c r="DP3" i="42"/>
  <c r="DP17" i="55"/>
  <c r="DO5" i="42"/>
  <c r="BK38" i="5" l="1"/>
  <c r="BK30" i="5"/>
  <c r="DQ99" i="42"/>
  <c r="DQ91" i="42"/>
  <c r="DP101" i="42"/>
  <c r="DP98" i="42"/>
  <c r="DP90" i="42"/>
  <c r="DP94" i="42"/>
  <c r="DP100" i="42"/>
  <c r="DP102" i="42"/>
  <c r="DP92" i="42"/>
  <c r="DP93" i="42"/>
  <c r="DN97" i="42"/>
  <c r="DN105" i="42"/>
  <c r="DN95" i="42"/>
  <c r="DN96" i="42"/>
  <c r="DN104" i="42"/>
  <c r="DQ12" i="55"/>
  <c r="DQ13" i="55" s="1"/>
  <c r="BJ42" i="42"/>
  <c r="BJ78" i="42"/>
  <c r="BK9" i="47"/>
  <c r="BK13" i="5"/>
  <c r="BK15" i="5"/>
  <c r="BK12" i="47"/>
  <c r="BL1" i="5"/>
  <c r="BL1" i="42"/>
  <c r="BL1" i="2"/>
  <c r="BL1" i="7"/>
  <c r="BL1" i="47"/>
  <c r="BL31" i="54"/>
  <c r="BL1" i="6"/>
  <c r="BK32" i="55"/>
  <c r="BK134" i="5"/>
  <c r="BK12" i="42"/>
  <c r="DQ20" i="55"/>
  <c r="DO6" i="42"/>
  <c r="DP7" i="42"/>
  <c r="DQ3" i="2"/>
  <c r="DQ17" i="55"/>
  <c r="DQ16" i="55"/>
  <c r="DQ33" i="54"/>
  <c r="DQ3" i="42"/>
  <c r="DP5" i="42"/>
  <c r="DR4" i="42"/>
  <c r="DR4" i="2"/>
  <c r="DR19" i="55"/>
  <c r="DR22" i="55" s="1"/>
  <c r="DS8" i="55"/>
  <c r="DR7" i="55"/>
  <c r="DR26" i="55"/>
  <c r="DR34" i="54"/>
  <c r="DR21" i="55"/>
  <c r="DR99" i="42" l="1"/>
  <c r="DR91" i="42"/>
  <c r="DQ102" i="42"/>
  <c r="DQ100" i="42"/>
  <c r="DQ98" i="42"/>
  <c r="DQ94" i="42"/>
  <c r="DQ93" i="42"/>
  <c r="DQ92" i="42"/>
  <c r="DQ90" i="42"/>
  <c r="DQ101" i="42"/>
  <c r="DO104" i="42"/>
  <c r="DO97" i="42"/>
  <c r="DO95" i="42"/>
  <c r="DO96" i="42"/>
  <c r="DO105" i="42"/>
  <c r="BL9" i="55"/>
  <c r="DR12" i="55"/>
  <c r="DR13" i="55" s="1"/>
  <c r="BK23" i="42"/>
  <c r="BK42" i="42" s="1"/>
  <c r="BK34" i="42"/>
  <c r="BK70" i="42"/>
  <c r="BK52" i="42"/>
  <c r="BL2" i="42"/>
  <c r="BL88" i="42" s="1"/>
  <c r="BL23" i="55"/>
  <c r="BL6" i="47" s="1"/>
  <c r="BL28" i="55"/>
  <c r="BM5" i="55"/>
  <c r="BM6" i="55" s="1"/>
  <c r="BL24" i="55"/>
  <c r="BL2" i="5"/>
  <c r="BL3" i="5" s="1"/>
  <c r="BL27" i="55"/>
  <c r="BL11" i="47" s="1"/>
  <c r="BL2" i="2"/>
  <c r="BL32" i="54"/>
  <c r="BL2" i="7"/>
  <c r="BL2" i="47"/>
  <c r="BL34" i="55"/>
  <c r="BL30" i="55"/>
  <c r="BL14" i="47" s="1"/>
  <c r="BL2" i="6"/>
  <c r="BL31" i="55"/>
  <c r="DR3" i="42"/>
  <c r="DR17" i="55"/>
  <c r="DR3" i="2"/>
  <c r="DR16" i="55"/>
  <c r="DR33" i="54"/>
  <c r="DS4" i="42"/>
  <c r="DS34" i="54"/>
  <c r="DS19" i="55"/>
  <c r="DS22" i="55" s="1"/>
  <c r="DS26" i="55"/>
  <c r="DS7" i="55"/>
  <c r="DT8" i="55"/>
  <c r="DS21" i="55"/>
  <c r="DS4" i="2"/>
  <c r="DR20" i="55"/>
  <c r="DQ5" i="42"/>
  <c r="DQ7" i="42"/>
  <c r="DP6" i="42"/>
  <c r="BL38" i="5" l="1"/>
  <c r="BL30" i="5"/>
  <c r="DS99" i="42"/>
  <c r="DS91" i="42"/>
  <c r="DR102" i="42"/>
  <c r="DR100" i="42"/>
  <c r="DR101" i="42"/>
  <c r="DR94" i="42"/>
  <c r="DR93" i="42"/>
  <c r="DR92" i="42"/>
  <c r="DR90" i="42"/>
  <c r="DR98" i="42"/>
  <c r="DP105" i="42"/>
  <c r="DP104" i="42"/>
  <c r="DP97" i="42"/>
  <c r="DP96" i="42"/>
  <c r="DP95" i="42"/>
  <c r="DS12" i="55"/>
  <c r="DS13" i="55" s="1"/>
  <c r="BK78" i="42"/>
  <c r="BK60" i="42"/>
  <c r="BL9" i="47"/>
  <c r="BL13" i="5"/>
  <c r="BM1" i="42"/>
  <c r="BM1" i="6"/>
  <c r="BM1" i="7"/>
  <c r="BM31" i="54"/>
  <c r="BM1" i="47"/>
  <c r="BM1" i="2"/>
  <c r="BM1" i="5"/>
  <c r="BL134" i="5"/>
  <c r="BL12" i="42"/>
  <c r="BL32" i="55"/>
  <c r="BL12" i="47"/>
  <c r="BL15" i="5"/>
  <c r="DS20" i="55"/>
  <c r="DS3" i="42"/>
  <c r="DS33" i="54"/>
  <c r="DS3" i="2"/>
  <c r="DS16" i="55"/>
  <c r="DS17" i="55"/>
  <c r="DQ6" i="42"/>
  <c r="DR7" i="42"/>
  <c r="DR5" i="42"/>
  <c r="DT34" i="54"/>
  <c r="DT7" i="55"/>
  <c r="DT4" i="2"/>
  <c r="DT4" i="42"/>
  <c r="DT26" i="55"/>
  <c r="DT21" i="55"/>
  <c r="DU8" i="55"/>
  <c r="DT19" i="55"/>
  <c r="DT22" i="55" s="1"/>
  <c r="DT91" i="42" l="1"/>
  <c r="DT99" i="42"/>
  <c r="DS101" i="42"/>
  <c r="DS94" i="42"/>
  <c r="DS100" i="42"/>
  <c r="DS93" i="42"/>
  <c r="DS102" i="42"/>
  <c r="DS98" i="42"/>
  <c r="DS92" i="42"/>
  <c r="DS90" i="42"/>
  <c r="DQ105" i="42"/>
  <c r="DQ95" i="42"/>
  <c r="DQ96" i="42"/>
  <c r="DQ104" i="42"/>
  <c r="DQ97" i="42"/>
  <c r="BM9" i="55"/>
  <c r="DT12" i="55"/>
  <c r="DT13" i="55" s="1"/>
  <c r="BL23" i="42"/>
  <c r="BL78" i="42" s="1"/>
  <c r="BM34" i="55"/>
  <c r="BM2" i="2"/>
  <c r="BM2" i="42"/>
  <c r="BM88" i="42" s="1"/>
  <c r="BN5" i="55"/>
  <c r="BN6" i="55" s="1"/>
  <c r="BM27" i="55"/>
  <c r="BM11" i="47" s="1"/>
  <c r="BM2" i="5"/>
  <c r="BM3" i="5" s="1"/>
  <c r="BM23" i="55"/>
  <c r="BM6" i="47" s="1"/>
  <c r="BM2" i="7"/>
  <c r="BM30" i="55"/>
  <c r="BM14" i="47" s="1"/>
  <c r="BM28" i="55"/>
  <c r="BM2" i="6"/>
  <c r="BM2" i="47"/>
  <c r="BM32" i="54"/>
  <c r="BM24" i="55"/>
  <c r="BM31" i="55"/>
  <c r="BL52" i="42"/>
  <c r="BL70" i="42"/>
  <c r="BL34" i="42"/>
  <c r="DT20" i="55"/>
  <c r="DS5" i="42"/>
  <c r="DU4" i="2"/>
  <c r="DV8" i="55"/>
  <c r="DU26" i="55"/>
  <c r="DU34" i="54"/>
  <c r="DU21" i="55"/>
  <c r="DU19" i="55"/>
  <c r="DU22" i="55" s="1"/>
  <c r="DU4" i="42"/>
  <c r="DU7" i="55"/>
  <c r="DT33" i="54"/>
  <c r="DT16" i="55"/>
  <c r="DT3" i="42"/>
  <c r="DT17" i="55"/>
  <c r="DT3" i="2"/>
  <c r="DR6" i="42"/>
  <c r="DS7" i="42"/>
  <c r="BM38" i="5" l="1"/>
  <c r="BM30" i="5"/>
  <c r="DU91" i="42"/>
  <c r="DU99" i="42"/>
  <c r="DT101" i="42"/>
  <c r="DT100" i="42"/>
  <c r="DT93" i="42"/>
  <c r="DT102" i="42"/>
  <c r="DT92" i="42"/>
  <c r="DT98" i="42"/>
  <c r="DT94" i="42"/>
  <c r="DT90" i="42"/>
  <c r="DR105" i="42"/>
  <c r="DR104" i="42"/>
  <c r="DR97" i="42"/>
  <c r="DR96" i="42"/>
  <c r="DR95" i="42"/>
  <c r="DU12" i="55"/>
  <c r="DU13" i="55" s="1"/>
  <c r="DU20" i="55"/>
  <c r="BL42" i="42"/>
  <c r="BL60" i="42"/>
  <c r="BN1" i="47"/>
  <c r="BN1" i="2"/>
  <c r="BN1" i="5"/>
  <c r="BN1" i="42"/>
  <c r="BN1" i="6"/>
  <c r="BN31" i="54"/>
  <c r="BN1" i="7"/>
  <c r="BM12" i="42"/>
  <c r="BM134" i="5"/>
  <c r="BM32" i="55"/>
  <c r="BM9" i="47"/>
  <c r="BM13" i="5"/>
  <c r="BM15" i="5"/>
  <c r="BM12" i="47"/>
  <c r="DT5" i="42"/>
  <c r="DS6" i="42"/>
  <c r="DT7" i="42"/>
  <c r="DU16" i="55"/>
  <c r="DU33" i="54"/>
  <c r="DU3" i="42"/>
  <c r="DU17" i="55"/>
  <c r="DU3" i="2"/>
  <c r="DV19" i="55"/>
  <c r="DV22" i="55" s="1"/>
  <c r="DW8" i="55"/>
  <c r="DV4" i="2"/>
  <c r="DV21" i="55"/>
  <c r="DV4" i="42"/>
  <c r="DV26" i="55"/>
  <c r="DV34" i="54"/>
  <c r="DV7" i="55"/>
  <c r="DV91" i="42" l="1"/>
  <c r="DV99" i="42"/>
  <c r="DU101" i="42"/>
  <c r="DU100" i="42"/>
  <c r="DU93" i="42"/>
  <c r="DU102" i="42"/>
  <c r="DU92" i="42"/>
  <c r="DU98" i="42"/>
  <c r="DU94" i="42"/>
  <c r="DU90" i="42"/>
  <c r="DS96" i="42"/>
  <c r="DS97" i="42"/>
  <c r="DS105" i="42"/>
  <c r="DS95" i="42"/>
  <c r="DS104" i="42"/>
  <c r="BN9" i="55"/>
  <c r="DV12" i="55"/>
  <c r="DV13" i="55" s="1"/>
  <c r="BM23" i="42"/>
  <c r="BM42" i="42" s="1"/>
  <c r="BN30" i="55"/>
  <c r="BN14" i="47" s="1"/>
  <c r="BN2" i="42"/>
  <c r="BN88" i="42" s="1"/>
  <c r="BN27" i="55"/>
  <c r="BN11" i="47" s="1"/>
  <c r="BN31" i="55"/>
  <c r="BN28" i="55"/>
  <c r="BO5" i="55"/>
  <c r="BO6" i="55" s="1"/>
  <c r="BN2" i="47"/>
  <c r="BN32" i="54"/>
  <c r="BN2" i="5"/>
  <c r="BN3" i="5" s="1"/>
  <c r="BN24" i="55"/>
  <c r="BN23" i="55"/>
  <c r="BN6" i="47" s="1"/>
  <c r="BN2" i="7"/>
  <c r="BN2" i="2"/>
  <c r="BN2" i="6"/>
  <c r="BN34" i="55"/>
  <c r="BM70" i="42"/>
  <c r="BM52" i="42"/>
  <c r="BM34" i="42"/>
  <c r="DV3" i="42"/>
  <c r="DV3" i="2"/>
  <c r="DV17" i="55"/>
  <c r="DV16" i="55"/>
  <c r="DV33" i="54"/>
  <c r="DW19" i="55"/>
  <c r="DW22" i="55" s="1"/>
  <c r="DW26" i="55"/>
  <c r="DW7" i="55"/>
  <c r="BL10" i="55" s="1"/>
  <c r="BL13" i="55" s="1"/>
  <c r="DW34" i="54"/>
  <c r="DW4" i="42"/>
  <c r="DW4" i="2"/>
  <c r="DW21" i="55"/>
  <c r="I74" i="29"/>
  <c r="Q74" i="29"/>
  <c r="J74" i="29"/>
  <c r="P74" i="29"/>
  <c r="L74" i="29"/>
  <c r="D74" i="29"/>
  <c r="F74" i="29"/>
  <c r="K74" i="29"/>
  <c r="O74" i="29"/>
  <c r="M74" i="29"/>
  <c r="N74" i="29"/>
  <c r="R74" i="29"/>
  <c r="E74" i="29"/>
  <c r="G74" i="29"/>
  <c r="DU5" i="42"/>
  <c r="DU7" i="42"/>
  <c r="DV20" i="55"/>
  <c r="DT6" i="42"/>
  <c r="BN38" i="5" l="1"/>
  <c r="BN30" i="5"/>
  <c r="DW99" i="42"/>
  <c r="DW91" i="42"/>
  <c r="DV101" i="42"/>
  <c r="DV102" i="42"/>
  <c r="DV92" i="42"/>
  <c r="DV98" i="42"/>
  <c r="DV90" i="42"/>
  <c r="DV94" i="42"/>
  <c r="DV100" i="42"/>
  <c r="DV93" i="42"/>
  <c r="DT105" i="42"/>
  <c r="DT104" i="42"/>
  <c r="DT97" i="42"/>
  <c r="DT96" i="42"/>
  <c r="DT95" i="42"/>
  <c r="G10" i="55"/>
  <c r="M10" i="55"/>
  <c r="M13" i="55" s="1"/>
  <c r="L10" i="55"/>
  <c r="L13" i="55" s="1"/>
  <c r="AC10" i="55"/>
  <c r="AC13" i="55" s="1"/>
  <c r="Q10" i="55"/>
  <c r="N10" i="55"/>
  <c r="N13" i="55" s="1"/>
  <c r="AA10" i="55"/>
  <c r="AA13" i="55" s="1"/>
  <c r="V10" i="55"/>
  <c r="V13" i="55" s="1"/>
  <c r="AD10" i="55"/>
  <c r="AD13" i="55" s="1"/>
  <c r="AG10" i="55"/>
  <c r="AG13" i="55" s="1"/>
  <c r="S10" i="55"/>
  <c r="S13" i="55" s="1"/>
  <c r="Y10" i="55"/>
  <c r="Y13" i="55" s="1"/>
  <c r="T10" i="55"/>
  <c r="T13" i="55" s="1"/>
  <c r="I10" i="55"/>
  <c r="I13" i="55" s="1"/>
  <c r="AF10" i="55"/>
  <c r="AF13" i="55" s="1"/>
  <c r="R10" i="55"/>
  <c r="R13" i="55" s="1"/>
  <c r="AE10" i="55"/>
  <c r="AE13" i="55" s="1"/>
  <c r="P10" i="55"/>
  <c r="P13" i="55" s="1"/>
  <c r="AB10" i="55"/>
  <c r="AB13" i="55" s="1"/>
  <c r="Z10" i="55"/>
  <c r="Z13" i="55" s="1"/>
  <c r="K10" i="55"/>
  <c r="K13" i="55" s="1"/>
  <c r="H10" i="55"/>
  <c r="H13" i="55" s="1"/>
  <c r="U10" i="55"/>
  <c r="U13" i="55" s="1"/>
  <c r="AI10" i="55"/>
  <c r="AI13" i="55" s="1"/>
  <c r="X10" i="55"/>
  <c r="X13" i="55" s="1"/>
  <c r="W10" i="55"/>
  <c r="W13" i="55" s="1"/>
  <c r="J10" i="55"/>
  <c r="J13" i="55" s="1"/>
  <c r="O10" i="55"/>
  <c r="O13" i="55" s="1"/>
  <c r="AJ10" i="55"/>
  <c r="AJ13" i="55" s="1"/>
  <c r="AH10" i="55"/>
  <c r="AH13" i="55" s="1"/>
  <c r="AK10" i="55"/>
  <c r="AK13" i="55" s="1"/>
  <c r="AL10" i="55"/>
  <c r="AL13" i="55" s="1"/>
  <c r="AM10" i="55"/>
  <c r="AM13" i="55" s="1"/>
  <c r="AO10" i="55"/>
  <c r="AO13" i="55" s="1"/>
  <c r="AN10" i="55"/>
  <c r="AN13" i="55" s="1"/>
  <c r="AP10" i="55"/>
  <c r="AP13" i="55" s="1"/>
  <c r="AQ10" i="55"/>
  <c r="AR10" i="55"/>
  <c r="AR13" i="55" s="1"/>
  <c r="AS10" i="55"/>
  <c r="AS13" i="55" s="1"/>
  <c r="AT10" i="55"/>
  <c r="AT13" i="55" s="1"/>
  <c r="AU10" i="55"/>
  <c r="AU13" i="55" s="1"/>
  <c r="AW10" i="55"/>
  <c r="AV10" i="55"/>
  <c r="AY10" i="55"/>
  <c r="AY13" i="55" s="1"/>
  <c r="AX10" i="55"/>
  <c r="AZ10" i="55"/>
  <c r="BA10" i="55"/>
  <c r="BC10" i="55"/>
  <c r="BB10" i="55"/>
  <c r="BD10" i="55"/>
  <c r="BE10" i="55"/>
  <c r="BG10" i="55"/>
  <c r="BF10" i="55"/>
  <c r="BI10" i="55"/>
  <c r="BH10" i="55"/>
  <c r="BM10" i="55"/>
  <c r="BK10" i="55"/>
  <c r="BJ10" i="55"/>
  <c r="DW12" i="55"/>
  <c r="DW13" i="55" s="1"/>
  <c r="BL15" i="55"/>
  <c r="BL5" i="2" s="1"/>
  <c r="D87" i="29"/>
  <c r="BM60" i="42"/>
  <c r="BM78" i="42"/>
  <c r="BN12" i="47"/>
  <c r="BN15" i="5"/>
  <c r="BN12" i="42"/>
  <c r="BN134" i="5"/>
  <c r="BN32" i="55"/>
  <c r="BN13" i="5"/>
  <c r="BN9" i="47"/>
  <c r="BO1" i="5"/>
  <c r="BO1" i="2"/>
  <c r="BO1" i="47"/>
  <c r="BO1" i="6"/>
  <c r="BO1" i="42"/>
  <c r="BO1" i="7"/>
  <c r="BO31" i="54"/>
  <c r="DW20" i="55"/>
  <c r="DW17" i="55"/>
  <c r="DW16" i="55"/>
  <c r="DW3" i="42"/>
  <c r="DW3" i="2"/>
  <c r="DW33" i="54"/>
  <c r="DV7" i="42"/>
  <c r="DU6" i="42"/>
  <c r="DV5" i="42"/>
  <c r="DW101" i="42" l="1"/>
  <c r="DW102" i="42"/>
  <c r="DW100" i="42"/>
  <c r="DW98" i="42"/>
  <c r="DW94" i="42"/>
  <c r="DW93" i="42"/>
  <c r="DW92" i="42"/>
  <c r="DW90" i="42"/>
  <c r="DU95" i="42"/>
  <c r="DU97" i="42"/>
  <c r="DU104" i="42"/>
  <c r="DU105" i="42"/>
  <c r="DU96" i="42"/>
  <c r="AP15" i="55"/>
  <c r="AP5" i="2" s="1"/>
  <c r="AU15" i="55"/>
  <c r="AU5" i="2" s="1"/>
  <c r="AY15" i="55"/>
  <c r="AY5" i="2" s="1"/>
  <c r="BO9" i="55"/>
  <c r="BO10" i="55" s="1"/>
  <c r="BO13" i="55" s="1"/>
  <c r="BJ15" i="55"/>
  <c r="BJ5" i="2" s="1"/>
  <c r="BJ13" i="55"/>
  <c r="BJ6" i="42" s="1"/>
  <c r="BK15" i="55"/>
  <c r="BK5" i="2" s="1"/>
  <c r="BK13" i="55"/>
  <c r="BK6" i="6" s="1"/>
  <c r="BM15" i="55"/>
  <c r="BM5" i="2" s="1"/>
  <c r="BM13" i="55"/>
  <c r="BM6" i="6" s="1"/>
  <c r="BG15" i="55"/>
  <c r="BG5" i="2" s="1"/>
  <c r="BG13" i="55"/>
  <c r="BG6" i="6" s="1"/>
  <c r="BI15" i="55"/>
  <c r="BI5" i="2" s="1"/>
  <c r="BI13" i="55"/>
  <c r="BI6" i="42" s="1"/>
  <c r="BF15" i="55"/>
  <c r="BF5" i="2" s="1"/>
  <c r="BF13" i="55"/>
  <c r="BF7" i="5" s="1"/>
  <c r="BF36" i="5" s="1"/>
  <c r="BF41" i="5" s="1"/>
  <c r="AM15" i="55"/>
  <c r="AM5" i="2" s="1"/>
  <c r="BH15" i="55"/>
  <c r="BH5" i="2" s="1"/>
  <c r="BH13" i="55"/>
  <c r="BH7" i="5" s="1"/>
  <c r="BH36" i="5" s="1"/>
  <c r="BH41" i="5" s="1"/>
  <c r="BB15" i="55"/>
  <c r="BB5" i="2" s="1"/>
  <c r="BB13" i="55"/>
  <c r="BB7" i="5" s="1"/>
  <c r="BB36" i="5" s="1"/>
  <c r="BB41" i="5" s="1"/>
  <c r="AX15" i="55"/>
  <c r="AX5" i="2" s="1"/>
  <c r="AX13" i="55"/>
  <c r="AX7" i="5" s="1"/>
  <c r="AX36" i="5" s="1"/>
  <c r="AX41" i="5" s="1"/>
  <c r="AZ15" i="55"/>
  <c r="AZ5" i="2" s="1"/>
  <c r="AZ13" i="55"/>
  <c r="AZ7" i="5" s="1"/>
  <c r="AZ36" i="5" s="1"/>
  <c r="AZ41" i="5" s="1"/>
  <c r="AW15" i="55"/>
  <c r="AW5" i="2" s="1"/>
  <c r="AW13" i="55"/>
  <c r="AW6" i="42" s="1"/>
  <c r="BC15" i="55"/>
  <c r="BC5" i="2" s="1"/>
  <c r="BC13" i="55"/>
  <c r="BC7" i="5" s="1"/>
  <c r="BC36" i="5" s="1"/>
  <c r="BC41" i="5" s="1"/>
  <c r="BD15" i="55"/>
  <c r="BD5" i="2" s="1"/>
  <c r="BD13" i="55"/>
  <c r="BD6" i="42" s="1"/>
  <c r="BE15" i="55"/>
  <c r="BE5" i="2" s="1"/>
  <c r="BE13" i="55"/>
  <c r="BE6" i="42" s="1"/>
  <c r="BA15" i="55"/>
  <c r="BA5" i="2" s="1"/>
  <c r="BA13" i="55"/>
  <c r="BA7" i="5" s="1"/>
  <c r="BA36" i="5" s="1"/>
  <c r="BA41" i="5" s="1"/>
  <c r="AV15" i="55"/>
  <c r="AV5" i="2" s="1"/>
  <c r="AV13" i="55"/>
  <c r="AV6" i="6" s="1"/>
  <c r="AN15" i="55"/>
  <c r="AN5" i="2" s="1"/>
  <c r="AS15" i="55"/>
  <c r="AS5" i="2" s="1"/>
  <c r="AO15" i="55"/>
  <c r="AO5" i="2" s="1"/>
  <c r="AQ15" i="55"/>
  <c r="AQ5" i="2" s="1"/>
  <c r="AQ13" i="55"/>
  <c r="AQ6" i="42" s="1"/>
  <c r="Q15" i="55"/>
  <c r="Q5" i="2" s="1"/>
  <c r="Q13" i="55"/>
  <c r="Q6" i="6" s="1"/>
  <c r="AI15" i="55"/>
  <c r="AI5" i="2" s="1"/>
  <c r="R15" i="55"/>
  <c r="R5" i="2" s="1"/>
  <c r="V15" i="55"/>
  <c r="V5" i="2" s="1"/>
  <c r="AK15" i="55"/>
  <c r="AK5" i="2" s="1"/>
  <c r="U15" i="55"/>
  <c r="U5" i="2" s="1"/>
  <c r="AF15" i="55"/>
  <c r="AF5" i="2" s="1"/>
  <c r="AA15" i="55"/>
  <c r="AA5" i="2" s="1"/>
  <c r="AH15" i="55"/>
  <c r="AH5" i="2" s="1"/>
  <c r="H15" i="55"/>
  <c r="H5" i="2" s="1"/>
  <c r="I15" i="55"/>
  <c r="I5" i="2" s="1"/>
  <c r="N15" i="55"/>
  <c r="N5" i="2" s="1"/>
  <c r="AJ15" i="55"/>
  <c r="AJ5" i="2" s="1"/>
  <c r="K15" i="55"/>
  <c r="K5" i="2" s="1"/>
  <c r="T15" i="55"/>
  <c r="T5" i="2" s="1"/>
  <c r="O15" i="55"/>
  <c r="O5" i="2" s="1"/>
  <c r="Z15" i="55"/>
  <c r="Z5" i="2" s="1"/>
  <c r="Y15" i="55"/>
  <c r="Y5" i="2" s="1"/>
  <c r="AC15" i="55"/>
  <c r="AC5" i="2" s="1"/>
  <c r="J15" i="55"/>
  <c r="J5" i="2" s="1"/>
  <c r="AB15" i="55"/>
  <c r="AB5" i="2" s="1"/>
  <c r="S15" i="55"/>
  <c r="S5" i="2" s="1"/>
  <c r="L15" i="55"/>
  <c r="L5" i="2" s="1"/>
  <c r="W15" i="55"/>
  <c r="W5" i="2" s="1"/>
  <c r="P15" i="55"/>
  <c r="P5" i="2" s="1"/>
  <c r="AG15" i="55"/>
  <c r="AG5" i="2" s="1"/>
  <c r="M15" i="55"/>
  <c r="M5" i="2" s="1"/>
  <c r="X15" i="55"/>
  <c r="X5" i="2" s="1"/>
  <c r="AE15" i="55"/>
  <c r="AE5" i="2" s="1"/>
  <c r="AD15" i="55"/>
  <c r="AD5" i="2" s="1"/>
  <c r="AT15" i="55"/>
  <c r="AT5" i="2" s="1"/>
  <c r="AL7" i="5"/>
  <c r="AL36" i="5" s="1"/>
  <c r="AL41" i="5" s="1"/>
  <c r="AL15" i="55"/>
  <c r="AL5" i="2" s="1"/>
  <c r="AR6" i="42"/>
  <c r="AR15" i="55"/>
  <c r="AR5" i="2" s="1"/>
  <c r="S74" i="29"/>
  <c r="BL6" i="6"/>
  <c r="BL7" i="5"/>
  <c r="BL36" i="5" s="1"/>
  <c r="BL41" i="5" s="1"/>
  <c r="BL6" i="42"/>
  <c r="BN23" i="42"/>
  <c r="BN78" i="42" s="1"/>
  <c r="BN52" i="42"/>
  <c r="BN70" i="42"/>
  <c r="BN34" i="42"/>
  <c r="BO2" i="6"/>
  <c r="BO28" i="55"/>
  <c r="BO27" i="55"/>
  <c r="BO11" i="47" s="1"/>
  <c r="BO31" i="55"/>
  <c r="BO2" i="5"/>
  <c r="BO3" i="5" s="1"/>
  <c r="BO2" i="7"/>
  <c r="BO2" i="42"/>
  <c r="BO88" i="42" s="1"/>
  <c r="BP5" i="55"/>
  <c r="BP6" i="55" s="1"/>
  <c r="BO23" i="55"/>
  <c r="BO6" i="47" s="1"/>
  <c r="BO30" i="55"/>
  <c r="BO14" i="47" s="1"/>
  <c r="BO2" i="47"/>
  <c r="BO34" i="55"/>
  <c r="BO24" i="55"/>
  <c r="BO2" i="2"/>
  <c r="BO32" i="54"/>
  <c r="AU7" i="5"/>
  <c r="AU36" i="5" s="1"/>
  <c r="AU41" i="5" s="1"/>
  <c r="AU6" i="42"/>
  <c r="AU6" i="6"/>
  <c r="AP6" i="42"/>
  <c r="AP7" i="5"/>
  <c r="AP36" i="5" s="1"/>
  <c r="AP41" i="5" s="1"/>
  <c r="AP6" i="6"/>
  <c r="AH6" i="6"/>
  <c r="AH7" i="5"/>
  <c r="AH36" i="5" s="1"/>
  <c r="AH41" i="5" s="1"/>
  <c r="AH6" i="42"/>
  <c r="AD7" i="5"/>
  <c r="AD6" i="6"/>
  <c r="AD6" i="42"/>
  <c r="Z6" i="6"/>
  <c r="Z7" i="5"/>
  <c r="Z6" i="42"/>
  <c r="V7" i="5"/>
  <c r="V6" i="6"/>
  <c r="V6" i="42"/>
  <c r="R6" i="6"/>
  <c r="R7" i="5"/>
  <c r="R6" i="42"/>
  <c r="O6" i="6"/>
  <c r="O7" i="5"/>
  <c r="O6" i="42"/>
  <c r="DW5" i="42"/>
  <c r="DW7" i="42"/>
  <c r="AY6" i="42"/>
  <c r="AY6" i="6"/>
  <c r="AY7" i="5"/>
  <c r="AY36" i="5" s="1"/>
  <c r="AY41" i="5" s="1"/>
  <c r="AT6" i="6"/>
  <c r="AT7" i="5"/>
  <c r="AT36" i="5" s="1"/>
  <c r="AT41" i="5" s="1"/>
  <c r="AT6" i="42"/>
  <c r="AM7" i="5"/>
  <c r="AM36" i="5" s="1"/>
  <c r="AM41" i="5" s="1"/>
  <c r="AM6" i="6"/>
  <c r="AM6" i="42"/>
  <c r="AI6" i="6"/>
  <c r="AI7" i="5"/>
  <c r="AI36" i="5" s="1"/>
  <c r="AI41" i="5" s="1"/>
  <c r="AI6" i="42"/>
  <c r="AE7" i="5"/>
  <c r="AE6" i="42"/>
  <c r="AE6" i="6"/>
  <c r="AA6" i="42"/>
  <c r="AA6" i="6"/>
  <c r="AA7" i="5"/>
  <c r="W6" i="42"/>
  <c r="W7" i="5"/>
  <c r="W6" i="6"/>
  <c r="S6" i="42"/>
  <c r="S7" i="5"/>
  <c r="S6" i="6"/>
  <c r="N6" i="6"/>
  <c r="N7" i="5"/>
  <c r="N6" i="42"/>
  <c r="DV6" i="42"/>
  <c r="AS6" i="42"/>
  <c r="AS7" i="5"/>
  <c r="AS36" i="5" s="1"/>
  <c r="AS41" i="5" s="1"/>
  <c r="AS6" i="6"/>
  <c r="AO6" i="42"/>
  <c r="AO6" i="6"/>
  <c r="AO7" i="5"/>
  <c r="AO36" i="5" s="1"/>
  <c r="AO41" i="5" s="1"/>
  <c r="AK7" i="5"/>
  <c r="AK36" i="5" s="1"/>
  <c r="AK41" i="5" s="1"/>
  <c r="AK6" i="6"/>
  <c r="AK6" i="42"/>
  <c r="AF6" i="6"/>
  <c r="AF7" i="5"/>
  <c r="AF36" i="5" s="1"/>
  <c r="AF41" i="5" s="1"/>
  <c r="AF6" i="42"/>
  <c r="AB6" i="42"/>
  <c r="AB6" i="6"/>
  <c r="AB7" i="5"/>
  <c r="X6" i="6"/>
  <c r="X7" i="5"/>
  <c r="X6" i="42"/>
  <c r="T7" i="5"/>
  <c r="T6" i="6"/>
  <c r="T6" i="42"/>
  <c r="P6" i="6"/>
  <c r="P7" i="5"/>
  <c r="P6" i="42"/>
  <c r="M6" i="42"/>
  <c r="M6" i="6"/>
  <c r="M7" i="5"/>
  <c r="T78" i="29"/>
  <c r="E78" i="29"/>
  <c r="N78" i="29"/>
  <c r="AB78" i="29"/>
  <c r="P78" i="29"/>
  <c r="R78" i="29"/>
  <c r="D78" i="29"/>
  <c r="G78" i="29"/>
  <c r="I78" i="29"/>
  <c r="AC78" i="29"/>
  <c r="J78" i="29"/>
  <c r="Q78" i="29"/>
  <c r="X78" i="29"/>
  <c r="Y78" i="29"/>
  <c r="S78" i="29"/>
  <c r="U78" i="29"/>
  <c r="L78" i="29"/>
  <c r="Z78" i="29"/>
  <c r="V78" i="29"/>
  <c r="AA78" i="29"/>
  <c r="M78" i="29"/>
  <c r="O78" i="29"/>
  <c r="W78" i="29"/>
  <c r="F78" i="29"/>
  <c r="K78" i="29"/>
  <c r="AN6" i="42"/>
  <c r="AN7" i="5"/>
  <c r="AN36" i="5" s="1"/>
  <c r="AN41" i="5" s="1"/>
  <c r="AN6" i="6"/>
  <c r="AJ6" i="6"/>
  <c r="AJ7" i="5"/>
  <c r="AJ36" i="5" s="1"/>
  <c r="AJ41" i="5" s="1"/>
  <c r="AJ6" i="42"/>
  <c r="AG6" i="42"/>
  <c r="AG6" i="6"/>
  <c r="AG7" i="5"/>
  <c r="AG36" i="5" s="1"/>
  <c r="AG41" i="5" s="1"/>
  <c r="AC6" i="42"/>
  <c r="AC7" i="5"/>
  <c r="AC6" i="6"/>
  <c r="Y7" i="5"/>
  <c r="Y6" i="42"/>
  <c r="Y6" i="6"/>
  <c r="U6" i="42"/>
  <c r="U6" i="6"/>
  <c r="U7" i="5"/>
  <c r="L6" i="6"/>
  <c r="L7" i="5"/>
  <c r="L6" i="42"/>
  <c r="BO38" i="5" l="1"/>
  <c r="BO30" i="5"/>
  <c r="L32" i="5"/>
  <c r="L36" i="5"/>
  <c r="L41" i="5" s="1"/>
  <c r="M32" i="5"/>
  <c r="M36" i="5"/>
  <c r="M41" i="5" s="1"/>
  <c r="T32" i="5"/>
  <c r="T36" i="5"/>
  <c r="T41" i="5" s="1"/>
  <c r="R32" i="5"/>
  <c r="R36" i="5"/>
  <c r="R41" i="5" s="1"/>
  <c r="U32" i="5"/>
  <c r="U36" i="5"/>
  <c r="U41" i="5" s="1"/>
  <c r="X32" i="5"/>
  <c r="X36" i="5"/>
  <c r="X41" i="5" s="1"/>
  <c r="S32" i="5"/>
  <c r="S36" i="5"/>
  <c r="S41" i="5" s="1"/>
  <c r="O32" i="5"/>
  <c r="O36" i="5"/>
  <c r="O41" i="5" s="1"/>
  <c r="AD32" i="5"/>
  <c r="AD36" i="5"/>
  <c r="AD41" i="5" s="1"/>
  <c r="Y32" i="5"/>
  <c r="Y36" i="5"/>
  <c r="Y41" i="5" s="1"/>
  <c r="AC32" i="5"/>
  <c r="AC36" i="5"/>
  <c r="AC41" i="5" s="1"/>
  <c r="P32" i="5"/>
  <c r="P36" i="5"/>
  <c r="P41" i="5" s="1"/>
  <c r="AB32" i="5"/>
  <c r="AB36" i="5"/>
  <c r="AB41" i="5" s="1"/>
  <c r="AE32" i="5"/>
  <c r="AE36" i="5"/>
  <c r="AE41" i="5" s="1"/>
  <c r="W32" i="5"/>
  <c r="W36" i="5"/>
  <c r="W41" i="5" s="1"/>
  <c r="V32" i="5"/>
  <c r="V36" i="5"/>
  <c r="V41" i="5" s="1"/>
  <c r="N32" i="5"/>
  <c r="N36" i="5"/>
  <c r="N41" i="5" s="1"/>
  <c r="AA32" i="5"/>
  <c r="AA36" i="5"/>
  <c r="AA41" i="5" s="1"/>
  <c r="Z32" i="5"/>
  <c r="Z36" i="5"/>
  <c r="Z41" i="5" s="1"/>
  <c r="BF6" i="42"/>
  <c r="BF105" i="42" s="1"/>
  <c r="AA105" i="42"/>
  <c r="AA104" i="42"/>
  <c r="AA96" i="42"/>
  <c r="AA97" i="42"/>
  <c r="AA95" i="42"/>
  <c r="AD97" i="42"/>
  <c r="AD96" i="42"/>
  <c r="AD95" i="42"/>
  <c r="AD104" i="42"/>
  <c r="AD105" i="42"/>
  <c r="AP105" i="42"/>
  <c r="AP104" i="42"/>
  <c r="AP97" i="42"/>
  <c r="AP96" i="42"/>
  <c r="AP95" i="42"/>
  <c r="AQ104" i="42"/>
  <c r="AQ105" i="42"/>
  <c r="AQ97" i="42"/>
  <c r="AQ96" i="42"/>
  <c r="AQ95" i="42"/>
  <c r="BE105" i="42"/>
  <c r="BE95" i="42"/>
  <c r="BE104" i="42"/>
  <c r="BE97" i="42"/>
  <c r="BE96" i="42"/>
  <c r="X105" i="42"/>
  <c r="X96" i="42"/>
  <c r="X95" i="42"/>
  <c r="X97" i="42"/>
  <c r="X104" i="42"/>
  <c r="P105" i="42"/>
  <c r="P96" i="42"/>
  <c r="P95" i="42"/>
  <c r="P104" i="42"/>
  <c r="P97" i="42"/>
  <c r="S105" i="42"/>
  <c r="S97" i="42"/>
  <c r="S96" i="42"/>
  <c r="S104" i="42"/>
  <c r="S95" i="42"/>
  <c r="AE104" i="42"/>
  <c r="AE105" i="42"/>
  <c r="AE97" i="42"/>
  <c r="AE96" i="42"/>
  <c r="AE95" i="42"/>
  <c r="AT96" i="42"/>
  <c r="AT95" i="42"/>
  <c r="AT105" i="42"/>
  <c r="AT97" i="42"/>
  <c r="AT104" i="42"/>
  <c r="V97" i="42"/>
  <c r="V105" i="42"/>
  <c r="V104" i="42"/>
  <c r="V95" i="42"/>
  <c r="V96" i="42"/>
  <c r="AU95" i="42"/>
  <c r="AU97" i="42"/>
  <c r="AU104" i="42"/>
  <c r="AU96" i="42"/>
  <c r="AU105" i="42"/>
  <c r="AC104" i="42"/>
  <c r="AC95" i="42"/>
  <c r="AC96" i="42"/>
  <c r="AC97" i="42"/>
  <c r="AC105" i="42"/>
  <c r="AS105" i="42"/>
  <c r="AS95" i="42"/>
  <c r="AS97" i="42"/>
  <c r="AS96" i="42"/>
  <c r="AS104" i="42"/>
  <c r="U104" i="42"/>
  <c r="U97" i="42"/>
  <c r="U105" i="42"/>
  <c r="U96" i="42"/>
  <c r="U95" i="42"/>
  <c r="DV96" i="42"/>
  <c r="DV104" i="42"/>
  <c r="DV105" i="42"/>
  <c r="DV95" i="42"/>
  <c r="DV97" i="42"/>
  <c r="AH97" i="42"/>
  <c r="AH96" i="42"/>
  <c r="AH105" i="42"/>
  <c r="AH104" i="42"/>
  <c r="AH95" i="42"/>
  <c r="BD105" i="42"/>
  <c r="BD104" i="42"/>
  <c r="BD97" i="42"/>
  <c r="BD96" i="42"/>
  <c r="BD95" i="42"/>
  <c r="AG104" i="42"/>
  <c r="AG97" i="42"/>
  <c r="AG96" i="42"/>
  <c r="AG105" i="42"/>
  <c r="AG95" i="42"/>
  <c r="AI105" i="42"/>
  <c r="AI96" i="42"/>
  <c r="AI97" i="42"/>
  <c r="AI95" i="42"/>
  <c r="AI104" i="42"/>
  <c r="O97" i="42"/>
  <c r="O95" i="42"/>
  <c r="O104" i="42"/>
  <c r="O96" i="42"/>
  <c r="O105" i="42"/>
  <c r="BI95" i="42"/>
  <c r="BI97" i="42"/>
  <c r="BI104" i="42"/>
  <c r="BI96" i="42"/>
  <c r="BI105" i="42"/>
  <c r="BJ96" i="42"/>
  <c r="BJ104" i="42"/>
  <c r="BJ105" i="42"/>
  <c r="BJ97" i="42"/>
  <c r="BJ95" i="42"/>
  <c r="M104" i="42"/>
  <c r="M105" i="42"/>
  <c r="M95" i="42"/>
  <c r="M97" i="42"/>
  <c r="M96" i="42"/>
  <c r="AK104" i="42"/>
  <c r="AK105" i="42"/>
  <c r="AK95" i="42"/>
  <c r="AK96" i="42"/>
  <c r="AK97" i="42"/>
  <c r="AN105" i="42"/>
  <c r="AN104" i="42"/>
  <c r="AN97" i="42"/>
  <c r="AN96" i="42"/>
  <c r="AN95" i="42"/>
  <c r="Y104" i="42"/>
  <c r="Y105" i="42"/>
  <c r="Y97" i="42"/>
  <c r="Y95" i="42"/>
  <c r="Y96" i="42"/>
  <c r="AJ105" i="42"/>
  <c r="AJ95" i="42"/>
  <c r="AJ97" i="42"/>
  <c r="AJ96" i="42"/>
  <c r="AJ104" i="42"/>
  <c r="T105" i="42"/>
  <c r="T96" i="42"/>
  <c r="T95" i="42"/>
  <c r="T104" i="42"/>
  <c r="T97" i="42"/>
  <c r="AB105" i="42"/>
  <c r="AB97" i="42"/>
  <c r="AB96" i="42"/>
  <c r="AB95" i="42"/>
  <c r="AB104" i="42"/>
  <c r="N97" i="42"/>
  <c r="N95" i="42"/>
  <c r="N104" i="42"/>
  <c r="N105" i="42"/>
  <c r="N96" i="42"/>
  <c r="W104" i="42"/>
  <c r="W97" i="42"/>
  <c r="W96" i="42"/>
  <c r="W95" i="42"/>
  <c r="W105" i="42"/>
  <c r="Z97" i="42"/>
  <c r="Z105" i="42"/>
  <c r="Z96" i="42"/>
  <c r="Z95" i="42"/>
  <c r="Z104" i="42"/>
  <c r="AR105" i="42"/>
  <c r="AR104" i="42"/>
  <c r="AR97" i="42"/>
  <c r="AR96" i="42"/>
  <c r="AR95" i="42"/>
  <c r="AF105" i="42"/>
  <c r="AF95" i="42"/>
  <c r="AF104" i="42"/>
  <c r="AF96" i="42"/>
  <c r="AF97" i="42"/>
  <c r="L105" i="42"/>
  <c r="L104" i="42"/>
  <c r="L96" i="42"/>
  <c r="L95" i="42"/>
  <c r="L97" i="42"/>
  <c r="AO97" i="42"/>
  <c r="AO105" i="42"/>
  <c r="AO104" i="42"/>
  <c r="AO96" i="42"/>
  <c r="AO95" i="42"/>
  <c r="AM97" i="42"/>
  <c r="AM96" i="42"/>
  <c r="AM104" i="42"/>
  <c r="AM105" i="42"/>
  <c r="AM95" i="42"/>
  <c r="AY95" i="42"/>
  <c r="AY97" i="42"/>
  <c r="AY104" i="42"/>
  <c r="AY105" i="42"/>
  <c r="AY96" i="42"/>
  <c r="R97" i="42"/>
  <c r="R105" i="42"/>
  <c r="R96" i="42"/>
  <c r="R95" i="42"/>
  <c r="R104" i="42"/>
  <c r="BL105" i="42"/>
  <c r="BL104" i="42"/>
  <c r="BL97" i="42"/>
  <c r="BL96" i="42"/>
  <c r="BL95" i="42"/>
  <c r="AW96" i="42"/>
  <c r="AW104" i="42"/>
  <c r="AW105" i="42"/>
  <c r="AW97" i="42"/>
  <c r="AW95" i="42"/>
  <c r="AZ6" i="6"/>
  <c r="AZ6" i="42"/>
  <c r="AV7" i="5"/>
  <c r="AV36" i="5" s="1"/>
  <c r="AV41" i="5" s="1"/>
  <c r="AV6" i="42"/>
  <c r="BC6" i="6"/>
  <c r="BC6" i="42"/>
  <c r="BE6" i="6"/>
  <c r="BE7" i="5"/>
  <c r="BE36" i="5" s="1"/>
  <c r="BE41" i="5" s="1"/>
  <c r="BB6" i="42"/>
  <c r="BK6" i="42"/>
  <c r="BB6" i="6"/>
  <c r="BJ6" i="6"/>
  <c r="BI6" i="6"/>
  <c r="BF6" i="6"/>
  <c r="BK7" i="5"/>
  <c r="BK36" i="5" s="1"/>
  <c r="BK41" i="5" s="1"/>
  <c r="BG7" i="5"/>
  <c r="BG36" i="5" s="1"/>
  <c r="BG41" i="5" s="1"/>
  <c r="BI7" i="5"/>
  <c r="BI36" i="5" s="1"/>
  <c r="BI41" i="5" s="1"/>
  <c r="BM7" i="5"/>
  <c r="BM36" i="5" s="1"/>
  <c r="BM41" i="5" s="1"/>
  <c r="BG6" i="42"/>
  <c r="AQ6" i="6"/>
  <c r="BH6" i="6"/>
  <c r="BN10" i="55"/>
  <c r="BN15" i="55" s="1"/>
  <c r="BN5" i="2" s="1"/>
  <c r="BA6" i="42"/>
  <c r="AQ7" i="5"/>
  <c r="AQ36" i="5" s="1"/>
  <c r="AQ41" i="5" s="1"/>
  <c r="AX6" i="6"/>
  <c r="BH6" i="42"/>
  <c r="BM6" i="42"/>
  <c r="BJ7" i="5"/>
  <c r="BJ36" i="5" s="1"/>
  <c r="BJ41" i="5" s="1"/>
  <c r="BA6" i="6"/>
  <c r="AW6" i="6"/>
  <c r="BD6" i="6"/>
  <c r="BD7" i="5"/>
  <c r="BD36" i="5" s="1"/>
  <c r="BD41" i="5" s="1"/>
  <c r="AX6" i="42"/>
  <c r="AW7" i="5"/>
  <c r="AW36" i="5" s="1"/>
  <c r="AW41" i="5" s="1"/>
  <c r="Q6" i="42"/>
  <c r="Q7" i="5"/>
  <c r="AR6" i="6"/>
  <c r="AR7" i="5"/>
  <c r="AR36" i="5" s="1"/>
  <c r="AR41" i="5" s="1"/>
  <c r="AL6" i="42"/>
  <c r="AL6" i="6"/>
  <c r="AL7" i="2"/>
  <c r="BO6" i="6"/>
  <c r="BO7" i="5"/>
  <c r="BO6" i="42"/>
  <c r="BK21" i="2"/>
  <c r="BK7" i="2"/>
  <c r="BK13" i="2"/>
  <c r="BK27" i="2"/>
  <c r="BK15" i="2"/>
  <c r="BK25" i="2"/>
  <c r="BK16" i="2"/>
  <c r="BK14" i="2"/>
  <c r="BK26" i="2"/>
  <c r="BK8" i="2"/>
  <c r="BK24" i="2"/>
  <c r="BK9" i="2"/>
  <c r="BK23" i="2"/>
  <c r="BF42" i="5"/>
  <c r="BF64" i="5"/>
  <c r="BF69" i="5"/>
  <c r="BF60" i="5"/>
  <c r="BF59" i="5"/>
  <c r="BF62" i="5"/>
  <c r="BF66" i="5"/>
  <c r="BF65" i="5"/>
  <c r="BF67" i="5"/>
  <c r="BF57" i="5"/>
  <c r="BF58" i="5"/>
  <c r="BF70" i="5"/>
  <c r="BH24" i="2"/>
  <c r="BH26" i="2"/>
  <c r="BH27" i="2"/>
  <c r="BH9" i="2"/>
  <c r="BH23" i="2"/>
  <c r="BH25" i="2"/>
  <c r="BH14" i="2"/>
  <c r="BH7" i="2"/>
  <c r="BH13" i="2"/>
  <c r="BH21" i="2"/>
  <c r="BH15" i="2"/>
  <c r="BH8" i="2"/>
  <c r="BH16" i="2"/>
  <c r="BM16" i="2"/>
  <c r="BM7" i="2"/>
  <c r="BM27" i="2"/>
  <c r="BM8" i="2"/>
  <c r="BM26" i="2"/>
  <c r="BM25" i="2"/>
  <c r="BM9" i="2"/>
  <c r="BM23" i="2"/>
  <c r="BM21" i="2"/>
  <c r="BM14" i="2"/>
  <c r="BM24" i="2"/>
  <c r="BM13" i="2"/>
  <c r="BM15" i="2"/>
  <c r="BF14" i="2"/>
  <c r="BF21" i="2"/>
  <c r="BF16" i="2"/>
  <c r="BF13" i="2"/>
  <c r="BF26" i="2"/>
  <c r="BF15" i="2"/>
  <c r="BF9" i="2"/>
  <c r="BF27" i="2"/>
  <c r="BF24" i="2"/>
  <c r="BF23" i="2"/>
  <c r="BF25" i="2"/>
  <c r="BF7" i="2"/>
  <c r="BF8" i="2"/>
  <c r="BH42" i="5"/>
  <c r="BH62" i="5"/>
  <c r="BH64" i="5"/>
  <c r="BH69" i="5"/>
  <c r="BH67" i="5"/>
  <c r="BH58" i="5"/>
  <c r="BH65" i="5"/>
  <c r="BH66" i="5"/>
  <c r="BH59" i="5"/>
  <c r="BH70" i="5"/>
  <c r="BH57" i="5"/>
  <c r="BH60" i="5"/>
  <c r="BL14" i="2"/>
  <c r="BL9" i="2"/>
  <c r="BL23" i="2"/>
  <c r="BL13" i="2"/>
  <c r="BL24" i="2"/>
  <c r="BL26" i="2"/>
  <c r="BL8" i="2"/>
  <c r="BL27" i="2"/>
  <c r="BL16" i="2"/>
  <c r="BL15" i="2"/>
  <c r="BL7" i="2"/>
  <c r="BL25" i="2"/>
  <c r="BL21" i="2"/>
  <c r="BG27" i="2"/>
  <c r="BG23" i="2"/>
  <c r="BG13" i="2"/>
  <c r="BG26" i="2"/>
  <c r="BG14" i="2"/>
  <c r="BG8" i="2"/>
  <c r="BG9" i="2"/>
  <c r="BG15" i="2"/>
  <c r="BG7" i="2"/>
  <c r="BG25" i="2"/>
  <c r="BG16" i="2"/>
  <c r="BG21" i="2"/>
  <c r="BG24" i="2"/>
  <c r="BL42" i="5"/>
  <c r="BL60" i="5"/>
  <c r="BL62" i="5"/>
  <c r="BL66" i="5"/>
  <c r="BL67" i="5"/>
  <c r="BL65" i="5"/>
  <c r="BL64" i="5"/>
  <c r="BL70" i="5"/>
  <c r="BL57" i="5"/>
  <c r="BL69" i="5"/>
  <c r="BL59" i="5"/>
  <c r="BL58" i="5"/>
  <c r="BI15" i="2"/>
  <c r="BI21" i="2"/>
  <c r="BI26" i="2"/>
  <c r="BI27" i="2"/>
  <c r="BI16" i="2"/>
  <c r="BI24" i="2"/>
  <c r="BI9" i="2"/>
  <c r="BI7" i="2"/>
  <c r="BI23" i="2"/>
  <c r="BI14" i="2"/>
  <c r="BI8" i="2"/>
  <c r="BI13" i="2"/>
  <c r="BI25" i="2"/>
  <c r="BJ27" i="2"/>
  <c r="BJ8" i="2"/>
  <c r="BJ15" i="2"/>
  <c r="BJ14" i="2"/>
  <c r="BJ23" i="2"/>
  <c r="BJ21" i="2"/>
  <c r="BJ13" i="2"/>
  <c r="BJ25" i="2"/>
  <c r="BJ24" i="2"/>
  <c r="BJ26" i="2"/>
  <c r="BJ7" i="2"/>
  <c r="BJ16" i="2"/>
  <c r="BJ9" i="2"/>
  <c r="BN42" i="42"/>
  <c r="BN60" i="42"/>
  <c r="BO9" i="47"/>
  <c r="BO13" i="5"/>
  <c r="BP1" i="2"/>
  <c r="BP1" i="42"/>
  <c r="BP9" i="55"/>
  <c r="BP31" i="54"/>
  <c r="BO12" i="42"/>
  <c r="BO134" i="5"/>
  <c r="BO32" i="55"/>
  <c r="BO15" i="5"/>
  <c r="BO12" i="47"/>
  <c r="Y42" i="5"/>
  <c r="Y62" i="5"/>
  <c r="Y69" i="5"/>
  <c r="Y57" i="5"/>
  <c r="Y66" i="5"/>
  <c r="Y58" i="5"/>
  <c r="Y67" i="5"/>
  <c r="Y70" i="5"/>
  <c r="Y64" i="5"/>
  <c r="Y59" i="5"/>
  <c r="Y60" i="5"/>
  <c r="Y65" i="5"/>
  <c r="X42" i="5"/>
  <c r="X58" i="5"/>
  <c r="X66" i="5"/>
  <c r="X70" i="5"/>
  <c r="X65" i="5"/>
  <c r="X64" i="5"/>
  <c r="X67" i="5"/>
  <c r="X69" i="5"/>
  <c r="X60" i="5"/>
  <c r="X62" i="5"/>
  <c r="X59" i="5"/>
  <c r="X57" i="5"/>
  <c r="AB42" i="5"/>
  <c r="AB62" i="5"/>
  <c r="AB58" i="5"/>
  <c r="AB65" i="5"/>
  <c r="AB60" i="5"/>
  <c r="AB67" i="5"/>
  <c r="AB69" i="5"/>
  <c r="AB66" i="5"/>
  <c r="AB70" i="5"/>
  <c r="AB59" i="5"/>
  <c r="AB57" i="5"/>
  <c r="AB64" i="5"/>
  <c r="AF21" i="2"/>
  <c r="AF9" i="2"/>
  <c r="AF15" i="2"/>
  <c r="AF16" i="2"/>
  <c r="AF8" i="2"/>
  <c r="AF7" i="2"/>
  <c r="AF13" i="2"/>
  <c r="AF24" i="2"/>
  <c r="AF23" i="2"/>
  <c r="AF25" i="2"/>
  <c r="AF14" i="2"/>
  <c r="AF26" i="2"/>
  <c r="AF27" i="2"/>
  <c r="AS42" i="5"/>
  <c r="AS65" i="5"/>
  <c r="AS67" i="5"/>
  <c r="AS60" i="5"/>
  <c r="AS62" i="5"/>
  <c r="AS69" i="5"/>
  <c r="AS59" i="5"/>
  <c r="AS57" i="5"/>
  <c r="AS64" i="5"/>
  <c r="AS70" i="5"/>
  <c r="AS66" i="5"/>
  <c r="AS58" i="5"/>
  <c r="AE42" i="5"/>
  <c r="AE64" i="5"/>
  <c r="AE69" i="5"/>
  <c r="AE65" i="5"/>
  <c r="AE67" i="5"/>
  <c r="AE59" i="5"/>
  <c r="AE57" i="5"/>
  <c r="AE70" i="5"/>
  <c r="AE62" i="5"/>
  <c r="AE58" i="5"/>
  <c r="AE60" i="5"/>
  <c r="AE66" i="5"/>
  <c r="AM42" i="5"/>
  <c r="AM65" i="5"/>
  <c r="AM70" i="5"/>
  <c r="AM67" i="5"/>
  <c r="AM62" i="5"/>
  <c r="AM59" i="5"/>
  <c r="AM60" i="5"/>
  <c r="AM58" i="5"/>
  <c r="AM69" i="5"/>
  <c r="AM64" i="5"/>
  <c r="AM66" i="5"/>
  <c r="AM57" i="5"/>
  <c r="AQ21" i="2"/>
  <c r="AQ15" i="2"/>
  <c r="AQ26" i="2"/>
  <c r="AQ9" i="2"/>
  <c r="AQ7" i="2"/>
  <c r="AQ8" i="2"/>
  <c r="AQ24" i="2"/>
  <c r="AQ14" i="2"/>
  <c r="AQ16" i="2"/>
  <c r="AQ13" i="2"/>
  <c r="AQ27" i="2"/>
  <c r="AQ23" i="2"/>
  <c r="AQ25" i="2"/>
  <c r="BB42" i="5"/>
  <c r="BB58" i="5"/>
  <c r="BB66" i="5"/>
  <c r="BB70" i="5"/>
  <c r="BB57" i="5"/>
  <c r="BB60" i="5"/>
  <c r="BB59" i="5"/>
  <c r="BB65" i="5"/>
  <c r="BB64" i="5"/>
  <c r="BB67" i="5"/>
  <c r="BB62" i="5"/>
  <c r="BB69" i="5"/>
  <c r="E52" i="5"/>
  <c r="E55" i="29" s="1"/>
  <c r="D55" i="29" s="1"/>
  <c r="C55" i="29" s="1"/>
  <c r="AX42" i="5"/>
  <c r="AX65" i="5"/>
  <c r="AX59" i="5"/>
  <c r="AX57" i="5"/>
  <c r="AX64" i="5"/>
  <c r="AX70" i="5"/>
  <c r="AX69" i="5"/>
  <c r="AX60" i="5"/>
  <c r="AX66" i="5"/>
  <c r="AX62" i="5"/>
  <c r="AX58" i="5"/>
  <c r="AX67" i="5"/>
  <c r="BC14" i="2"/>
  <c r="BC16" i="2"/>
  <c r="BC27" i="2"/>
  <c r="BC9" i="2"/>
  <c r="BC23" i="2"/>
  <c r="BC21" i="2"/>
  <c r="BC25" i="2"/>
  <c r="BC7" i="2"/>
  <c r="BC15" i="2"/>
  <c r="BC8" i="2"/>
  <c r="BC13" i="2"/>
  <c r="BC24" i="2"/>
  <c r="BC26" i="2"/>
  <c r="BA42" i="5"/>
  <c r="BA59" i="5"/>
  <c r="BA70" i="5"/>
  <c r="BA60" i="5"/>
  <c r="BA66" i="5"/>
  <c r="BA64" i="5"/>
  <c r="BA65" i="5"/>
  <c r="BA58" i="5"/>
  <c r="BA57" i="5"/>
  <c r="BA67" i="5"/>
  <c r="BA69" i="5"/>
  <c r="BA62" i="5"/>
  <c r="U42" i="5"/>
  <c r="U66" i="5"/>
  <c r="U62" i="5"/>
  <c r="U70" i="5"/>
  <c r="U69" i="5"/>
  <c r="U67" i="5"/>
  <c r="U65" i="5"/>
  <c r="U59" i="5"/>
  <c r="U58" i="5"/>
  <c r="U60" i="5"/>
  <c r="U64" i="5"/>
  <c r="U57" i="5"/>
  <c r="AC14" i="2"/>
  <c r="AC13" i="2"/>
  <c r="AC9" i="2"/>
  <c r="AC15" i="2"/>
  <c r="AC27" i="2"/>
  <c r="AC8" i="2"/>
  <c r="AC24" i="2"/>
  <c r="AC16" i="2"/>
  <c r="AC23" i="2"/>
  <c r="AC26" i="2"/>
  <c r="AC7" i="2"/>
  <c r="AC25" i="2"/>
  <c r="AC21" i="2"/>
  <c r="AG42" i="5"/>
  <c r="AG64" i="5"/>
  <c r="AG60" i="5"/>
  <c r="AG58" i="5"/>
  <c r="AG57" i="5"/>
  <c r="AG62" i="5"/>
  <c r="AG65" i="5"/>
  <c r="AG70" i="5"/>
  <c r="AG67" i="5"/>
  <c r="AG69" i="5"/>
  <c r="AG66" i="5"/>
  <c r="AG59" i="5"/>
  <c r="AJ13" i="2"/>
  <c r="AJ8" i="2"/>
  <c r="AJ9" i="2"/>
  <c r="AJ21" i="2"/>
  <c r="AJ25" i="2"/>
  <c r="AJ24" i="2"/>
  <c r="AJ7" i="2"/>
  <c r="AJ16" i="2"/>
  <c r="AJ14" i="2"/>
  <c r="AJ15" i="2"/>
  <c r="AJ26" i="2"/>
  <c r="AJ27" i="2"/>
  <c r="AJ23" i="2"/>
  <c r="AR14" i="2"/>
  <c r="AR9" i="2"/>
  <c r="AR25" i="2"/>
  <c r="AR21" i="2"/>
  <c r="AR15" i="2"/>
  <c r="AR27" i="2"/>
  <c r="AR16" i="2"/>
  <c r="AR13" i="2"/>
  <c r="AR24" i="2"/>
  <c r="AR26" i="2"/>
  <c r="AR23" i="2"/>
  <c r="AR8" i="2"/>
  <c r="AR7" i="2"/>
  <c r="M25" i="2"/>
  <c r="M9" i="2"/>
  <c r="M14" i="2"/>
  <c r="M23" i="2"/>
  <c r="M8" i="2"/>
  <c r="M15" i="2"/>
  <c r="M24" i="2"/>
  <c r="M7" i="2"/>
  <c r="M21" i="2"/>
  <c r="M13" i="2"/>
  <c r="M16" i="2"/>
  <c r="M26" i="2"/>
  <c r="M27" i="2"/>
  <c r="P42" i="5"/>
  <c r="P70" i="5"/>
  <c r="P64" i="5"/>
  <c r="P66" i="5"/>
  <c r="P65" i="5"/>
  <c r="P69" i="5"/>
  <c r="P67" i="5"/>
  <c r="P59" i="5"/>
  <c r="P62" i="5"/>
  <c r="P58" i="5"/>
  <c r="P60" i="5"/>
  <c r="P57" i="5"/>
  <c r="T42" i="5"/>
  <c r="T67" i="5"/>
  <c r="T64" i="5"/>
  <c r="T59" i="5"/>
  <c r="T57" i="5"/>
  <c r="T58" i="5"/>
  <c r="T60" i="5"/>
  <c r="T66" i="5"/>
  <c r="T70" i="5"/>
  <c r="T65" i="5"/>
  <c r="T62" i="5"/>
  <c r="T69" i="5"/>
  <c r="AF42" i="5"/>
  <c r="AF62" i="5"/>
  <c r="AF60" i="5"/>
  <c r="AF57" i="5"/>
  <c r="AF65" i="5"/>
  <c r="AF67" i="5"/>
  <c r="AF70" i="5"/>
  <c r="AF58" i="5"/>
  <c r="AF66" i="5"/>
  <c r="AF59" i="5"/>
  <c r="AF69" i="5"/>
  <c r="AF64" i="5"/>
  <c r="AK9" i="2"/>
  <c r="AK21" i="2"/>
  <c r="AK13" i="2"/>
  <c r="AK16" i="2"/>
  <c r="AK24" i="2"/>
  <c r="AK15" i="2"/>
  <c r="AK14" i="2"/>
  <c r="AK25" i="2"/>
  <c r="AK7" i="2"/>
  <c r="AK8" i="2"/>
  <c r="AK27" i="2"/>
  <c r="AK23" i="2"/>
  <c r="AK26" i="2"/>
  <c r="AS23" i="2"/>
  <c r="AS9" i="2"/>
  <c r="AS13" i="2"/>
  <c r="AS24" i="2"/>
  <c r="AS14" i="2"/>
  <c r="AS15" i="2"/>
  <c r="AS26" i="2"/>
  <c r="AS16" i="2"/>
  <c r="AS21" i="2"/>
  <c r="AS25" i="2"/>
  <c r="AS27" i="2"/>
  <c r="AS8" i="2"/>
  <c r="AS7" i="2"/>
  <c r="AZ14" i="2"/>
  <c r="AZ21" i="2"/>
  <c r="AZ15" i="2"/>
  <c r="AZ7" i="2"/>
  <c r="AZ9" i="2"/>
  <c r="AZ8" i="2"/>
  <c r="AZ26" i="2"/>
  <c r="AZ23" i="2"/>
  <c r="AZ27" i="2"/>
  <c r="AZ13" i="2"/>
  <c r="AZ16" i="2"/>
  <c r="AZ24" i="2"/>
  <c r="AZ25" i="2"/>
  <c r="N23" i="2"/>
  <c r="N26" i="2"/>
  <c r="N16" i="2"/>
  <c r="N7" i="2"/>
  <c r="N27" i="2"/>
  <c r="N21" i="2"/>
  <c r="N25" i="2"/>
  <c r="N24" i="2"/>
  <c r="N14" i="2"/>
  <c r="N9" i="2"/>
  <c r="N13" i="2"/>
  <c r="N8" i="2"/>
  <c r="N15" i="2"/>
  <c r="AA42" i="5"/>
  <c r="AA62" i="5"/>
  <c r="AA59" i="5"/>
  <c r="AA66" i="5"/>
  <c r="AA65" i="5"/>
  <c r="AA67" i="5"/>
  <c r="AA69" i="5"/>
  <c r="AA64" i="5"/>
  <c r="AA60" i="5"/>
  <c r="AA70" i="5"/>
  <c r="AA57" i="5"/>
  <c r="AA58" i="5"/>
  <c r="AE7" i="2"/>
  <c r="AE21" i="2"/>
  <c r="AE8" i="2"/>
  <c r="AE24" i="2"/>
  <c r="AE25" i="2"/>
  <c r="AE27" i="2"/>
  <c r="AE15" i="2"/>
  <c r="AE26" i="2"/>
  <c r="AE13" i="2"/>
  <c r="AE9" i="2"/>
  <c r="AE16" i="2"/>
  <c r="AE23" i="2"/>
  <c r="AE14" i="2"/>
  <c r="AI9" i="2"/>
  <c r="AI24" i="2"/>
  <c r="AI14" i="2"/>
  <c r="AI23" i="2"/>
  <c r="AI7" i="2"/>
  <c r="AI27" i="2"/>
  <c r="AI15" i="2"/>
  <c r="AI25" i="2"/>
  <c r="AI16" i="2"/>
  <c r="AI26" i="2"/>
  <c r="AI8" i="2"/>
  <c r="AI21" i="2"/>
  <c r="AI13" i="2"/>
  <c r="AY42" i="5"/>
  <c r="AY70" i="5"/>
  <c r="AY60" i="5"/>
  <c r="AY59" i="5"/>
  <c r="AY67" i="5"/>
  <c r="AY66" i="5"/>
  <c r="AY69" i="5"/>
  <c r="AY57" i="5"/>
  <c r="AY64" i="5"/>
  <c r="AY65" i="5"/>
  <c r="AY62" i="5"/>
  <c r="AY58" i="5"/>
  <c r="D44" i="47"/>
  <c r="H14" i="29" s="1"/>
  <c r="O42" i="5"/>
  <c r="O60" i="5"/>
  <c r="O57" i="5"/>
  <c r="O62" i="5"/>
  <c r="O69" i="5"/>
  <c r="O58" i="5"/>
  <c r="O65" i="5"/>
  <c r="O59" i="5"/>
  <c r="O66" i="5"/>
  <c r="O64" i="5"/>
  <c r="O70" i="5"/>
  <c r="O67" i="5"/>
  <c r="R42" i="5"/>
  <c r="R67" i="5"/>
  <c r="R60" i="5"/>
  <c r="R59" i="5"/>
  <c r="R64" i="5"/>
  <c r="R69" i="5"/>
  <c r="R70" i="5"/>
  <c r="R62" i="5"/>
  <c r="R57" i="5"/>
  <c r="R66" i="5"/>
  <c r="R65" i="5"/>
  <c r="R58" i="5"/>
  <c r="Z26" i="2"/>
  <c r="Z25" i="2"/>
  <c r="Z9" i="2"/>
  <c r="Z7" i="2"/>
  <c r="Z16" i="2"/>
  <c r="Z27" i="2"/>
  <c r="Z21" i="2"/>
  <c r="Z23" i="2"/>
  <c r="Z15" i="2"/>
  <c r="Z14" i="2"/>
  <c r="Z8" i="2"/>
  <c r="Z24" i="2"/>
  <c r="Z13" i="2"/>
  <c r="AH42" i="5"/>
  <c r="AH65" i="5"/>
  <c r="AH66" i="5"/>
  <c r="AH70" i="5"/>
  <c r="AH62" i="5"/>
  <c r="AH67" i="5"/>
  <c r="AH60" i="5"/>
  <c r="AH58" i="5"/>
  <c r="AH57" i="5"/>
  <c r="AH59" i="5"/>
  <c r="AH64" i="5"/>
  <c r="AH69" i="5"/>
  <c r="AL42" i="5"/>
  <c r="AL69" i="5"/>
  <c r="AL57" i="5"/>
  <c r="AL60" i="5"/>
  <c r="AL62" i="5"/>
  <c r="AL59" i="5"/>
  <c r="AL58" i="5"/>
  <c r="AL65" i="5"/>
  <c r="AL70" i="5"/>
  <c r="AL64" i="5"/>
  <c r="AL67" i="5"/>
  <c r="AL66" i="5"/>
  <c r="AP42" i="5"/>
  <c r="AP62" i="5"/>
  <c r="AP67" i="5"/>
  <c r="AP64" i="5"/>
  <c r="AP57" i="5"/>
  <c r="AP70" i="5"/>
  <c r="AP69" i="5"/>
  <c r="AP65" i="5"/>
  <c r="AP59" i="5"/>
  <c r="AP60" i="5"/>
  <c r="AP66" i="5"/>
  <c r="AP58" i="5"/>
  <c r="AG13" i="2"/>
  <c r="AG25" i="2"/>
  <c r="AG21" i="2"/>
  <c r="AG16" i="2"/>
  <c r="AG27" i="2"/>
  <c r="AG14" i="2"/>
  <c r="AG7" i="2"/>
  <c r="AG24" i="2"/>
  <c r="AG15" i="2"/>
  <c r="AG23" i="2"/>
  <c r="AG9" i="2"/>
  <c r="AG8" i="2"/>
  <c r="AG26" i="2"/>
  <c r="AN7" i="2"/>
  <c r="AN26" i="2"/>
  <c r="AN23" i="2"/>
  <c r="AN8" i="2"/>
  <c r="AN15" i="2"/>
  <c r="AN14" i="2"/>
  <c r="AN24" i="2"/>
  <c r="AN9" i="2"/>
  <c r="AN25" i="2"/>
  <c r="AN21" i="2"/>
  <c r="AN27" i="2"/>
  <c r="AN16" i="2"/>
  <c r="AN13" i="2"/>
  <c r="AN42" i="5"/>
  <c r="AN70" i="5"/>
  <c r="AN69" i="5"/>
  <c r="AN66" i="5"/>
  <c r="AN62" i="5"/>
  <c r="AN60" i="5"/>
  <c r="AN67" i="5"/>
  <c r="AN65" i="5"/>
  <c r="AN58" i="5"/>
  <c r="AN57" i="5"/>
  <c r="AN64" i="5"/>
  <c r="AN59" i="5"/>
  <c r="T24" i="2"/>
  <c r="T16" i="2"/>
  <c r="T23" i="2"/>
  <c r="T8" i="2"/>
  <c r="T21" i="2"/>
  <c r="T14" i="2"/>
  <c r="T26" i="2"/>
  <c r="T13" i="2"/>
  <c r="T27" i="2"/>
  <c r="T15" i="2"/>
  <c r="T7" i="2"/>
  <c r="T9" i="2"/>
  <c r="T25" i="2"/>
  <c r="X16" i="2"/>
  <c r="X23" i="2"/>
  <c r="X9" i="2"/>
  <c r="X25" i="2"/>
  <c r="X24" i="2"/>
  <c r="X15" i="2"/>
  <c r="X13" i="2"/>
  <c r="X8" i="2"/>
  <c r="X21" i="2"/>
  <c r="X7" i="2"/>
  <c r="X27" i="2"/>
  <c r="X26" i="2"/>
  <c r="X14" i="2"/>
  <c r="AK42" i="5"/>
  <c r="AK60" i="5"/>
  <c r="AK67" i="5"/>
  <c r="AK59" i="5"/>
  <c r="AK69" i="5"/>
  <c r="AK64" i="5"/>
  <c r="AK66" i="5"/>
  <c r="AK70" i="5"/>
  <c r="AK57" i="5"/>
  <c r="AK58" i="5"/>
  <c r="AK62" i="5"/>
  <c r="AK65" i="5"/>
  <c r="AO25" i="2"/>
  <c r="AO23" i="2"/>
  <c r="AO24" i="2"/>
  <c r="AO21" i="2"/>
  <c r="AO13" i="2"/>
  <c r="AO8" i="2"/>
  <c r="AO27" i="2"/>
  <c r="AO14" i="2"/>
  <c r="AO26" i="2"/>
  <c r="AO9" i="2"/>
  <c r="AO16" i="2"/>
  <c r="AO7" i="2"/>
  <c r="AO15" i="2"/>
  <c r="AZ42" i="5"/>
  <c r="AZ62" i="5"/>
  <c r="AZ57" i="5"/>
  <c r="AZ64" i="5"/>
  <c r="AZ58" i="5"/>
  <c r="AZ67" i="5"/>
  <c r="AZ66" i="5"/>
  <c r="AZ70" i="5"/>
  <c r="AZ59" i="5"/>
  <c r="AZ69" i="5"/>
  <c r="AZ65" i="5"/>
  <c r="AZ60" i="5"/>
  <c r="BD25" i="2"/>
  <c r="BD26" i="2"/>
  <c r="BD27" i="2"/>
  <c r="BD8" i="2"/>
  <c r="BD14" i="2"/>
  <c r="BD9" i="2"/>
  <c r="BD23" i="2"/>
  <c r="BD24" i="2"/>
  <c r="BD15" i="2"/>
  <c r="BD16" i="2"/>
  <c r="BD13" i="2"/>
  <c r="BD21" i="2"/>
  <c r="BD7" i="2"/>
  <c r="S8" i="2"/>
  <c r="S9" i="2"/>
  <c r="S26" i="2"/>
  <c r="S24" i="2"/>
  <c r="S27" i="2"/>
  <c r="S16" i="2"/>
  <c r="S21" i="2"/>
  <c r="S25" i="2"/>
  <c r="S23" i="2"/>
  <c r="S7" i="2"/>
  <c r="S14" i="2"/>
  <c r="S13" i="2"/>
  <c r="S15" i="2"/>
  <c r="W26" i="2"/>
  <c r="W25" i="2"/>
  <c r="W8" i="2"/>
  <c r="W14" i="2"/>
  <c r="W24" i="2"/>
  <c r="W7" i="2"/>
  <c r="W15" i="2"/>
  <c r="W16" i="2"/>
  <c r="W27" i="2"/>
  <c r="W21" i="2"/>
  <c r="W23" i="2"/>
  <c r="W9" i="2"/>
  <c r="W13" i="2"/>
  <c r="AT21" i="2"/>
  <c r="AT27" i="2"/>
  <c r="AT15" i="2"/>
  <c r="AT7" i="2"/>
  <c r="AT25" i="2"/>
  <c r="AT16" i="2"/>
  <c r="AT8" i="2"/>
  <c r="AT23" i="2"/>
  <c r="AT9" i="2"/>
  <c r="AT14" i="2"/>
  <c r="AT13" i="2"/>
  <c r="AT26" i="2"/>
  <c r="AT24" i="2"/>
  <c r="AY25" i="2"/>
  <c r="AY8" i="2"/>
  <c r="AY7" i="2"/>
  <c r="AY14" i="2"/>
  <c r="AY15" i="2"/>
  <c r="AY21" i="2"/>
  <c r="AY23" i="2"/>
  <c r="AY9" i="2"/>
  <c r="AY24" i="2"/>
  <c r="AY13" i="2"/>
  <c r="AY26" i="2"/>
  <c r="AY27" i="2"/>
  <c r="AY16" i="2"/>
  <c r="DW6" i="42"/>
  <c r="R16" i="2"/>
  <c r="R9" i="2"/>
  <c r="R14" i="2"/>
  <c r="R23" i="2"/>
  <c r="R15" i="2"/>
  <c r="R13" i="2"/>
  <c r="R8" i="2"/>
  <c r="R21" i="2"/>
  <c r="R24" i="2"/>
  <c r="R7" i="2"/>
  <c r="R25" i="2"/>
  <c r="R27" i="2"/>
  <c r="R26" i="2"/>
  <c r="V16" i="2"/>
  <c r="V14" i="2"/>
  <c r="V23" i="2"/>
  <c r="V15" i="2"/>
  <c r="V27" i="2"/>
  <c r="V24" i="2"/>
  <c r="V21" i="2"/>
  <c r="V25" i="2"/>
  <c r="V7" i="2"/>
  <c r="V9" i="2"/>
  <c r="V26" i="2"/>
  <c r="V13" i="2"/>
  <c r="V8" i="2"/>
  <c r="Z42" i="5"/>
  <c r="Z58" i="5"/>
  <c r="Z66" i="5"/>
  <c r="Z59" i="5"/>
  <c r="Z57" i="5"/>
  <c r="Z60" i="5"/>
  <c r="Z67" i="5"/>
  <c r="Z69" i="5"/>
  <c r="Z64" i="5"/>
  <c r="Z70" i="5"/>
  <c r="Z65" i="5"/>
  <c r="Z62" i="5"/>
  <c r="AD25" i="2"/>
  <c r="AD9" i="2"/>
  <c r="AD13" i="2"/>
  <c r="AD24" i="2"/>
  <c r="AD15" i="2"/>
  <c r="AD27" i="2"/>
  <c r="AD14" i="2"/>
  <c r="AD7" i="2"/>
  <c r="AD8" i="2"/>
  <c r="AD16" i="2"/>
  <c r="AD23" i="2"/>
  <c r="AD21" i="2"/>
  <c r="AD26" i="2"/>
  <c r="AU15" i="2"/>
  <c r="AU16" i="2"/>
  <c r="AU21" i="2"/>
  <c r="AU24" i="2"/>
  <c r="AU7" i="2"/>
  <c r="AU8" i="2"/>
  <c r="AU27" i="2"/>
  <c r="AU14" i="2"/>
  <c r="AU23" i="2"/>
  <c r="AU13" i="2"/>
  <c r="AU26" i="2"/>
  <c r="AU25" i="2"/>
  <c r="AU9" i="2"/>
  <c r="BC42" i="5"/>
  <c r="BC66" i="5"/>
  <c r="BC69" i="5"/>
  <c r="BC60" i="5"/>
  <c r="BC59" i="5"/>
  <c r="BC58" i="5"/>
  <c r="BC64" i="5"/>
  <c r="BC65" i="5"/>
  <c r="BC67" i="5"/>
  <c r="BC57" i="5"/>
  <c r="BC62" i="5"/>
  <c r="BC70" i="5"/>
  <c r="L42" i="5"/>
  <c r="L57" i="5"/>
  <c r="L60" i="5"/>
  <c r="L64" i="5"/>
  <c r="L62" i="5"/>
  <c r="L59" i="5"/>
  <c r="L69" i="5"/>
  <c r="L66" i="5"/>
  <c r="L67" i="5"/>
  <c r="L65" i="5"/>
  <c r="L58" i="5"/>
  <c r="L70" i="5"/>
  <c r="U16" i="2"/>
  <c r="U24" i="2"/>
  <c r="U9" i="2"/>
  <c r="U21" i="2"/>
  <c r="U14" i="2"/>
  <c r="U26" i="2"/>
  <c r="U27" i="2"/>
  <c r="U23" i="2"/>
  <c r="U7" i="2"/>
  <c r="U25" i="2"/>
  <c r="U8" i="2"/>
  <c r="U15" i="2"/>
  <c r="U13" i="2"/>
  <c r="Y27" i="2"/>
  <c r="Y23" i="2"/>
  <c r="Y21" i="2"/>
  <c r="Y25" i="2"/>
  <c r="Y7" i="2"/>
  <c r="Y14" i="2"/>
  <c r="Y8" i="2"/>
  <c r="Y24" i="2"/>
  <c r="Y16" i="2"/>
  <c r="Y13" i="2"/>
  <c r="Y9" i="2"/>
  <c r="Y26" i="2"/>
  <c r="Y15" i="2"/>
  <c r="BE24" i="2"/>
  <c r="BE21" i="2"/>
  <c r="BE15" i="2"/>
  <c r="BE23" i="2"/>
  <c r="BE9" i="2"/>
  <c r="BE25" i="2"/>
  <c r="BE27" i="2"/>
  <c r="BE14" i="2"/>
  <c r="BE13" i="2"/>
  <c r="BE26" i="2"/>
  <c r="BE8" i="2"/>
  <c r="BE7" i="2"/>
  <c r="BE16" i="2"/>
  <c r="L7" i="2"/>
  <c r="L13" i="2"/>
  <c r="L24" i="2"/>
  <c r="L16" i="2"/>
  <c r="L26" i="2"/>
  <c r="L8" i="2"/>
  <c r="L14" i="2"/>
  <c r="L25" i="2"/>
  <c r="L27" i="2"/>
  <c r="L15" i="2"/>
  <c r="L9" i="2"/>
  <c r="L23" i="2"/>
  <c r="L21" i="2"/>
  <c r="Q27" i="2"/>
  <c r="Q23" i="2"/>
  <c r="Q7" i="2"/>
  <c r="Q9" i="2"/>
  <c r="Q8" i="2"/>
  <c r="Q14" i="2"/>
  <c r="Q13" i="2"/>
  <c r="Q25" i="2"/>
  <c r="Q26" i="2"/>
  <c r="Q24" i="2"/>
  <c r="Q21" i="2"/>
  <c r="Q15" i="2"/>
  <c r="Q16" i="2"/>
  <c r="AC42" i="5"/>
  <c r="AC66" i="5"/>
  <c r="AC65" i="5"/>
  <c r="AC70" i="5"/>
  <c r="AC67" i="5"/>
  <c r="AC62" i="5"/>
  <c r="AC58" i="5"/>
  <c r="AC59" i="5"/>
  <c r="AC60" i="5"/>
  <c r="AC69" i="5"/>
  <c r="AC57" i="5"/>
  <c r="AC64" i="5"/>
  <c r="AJ42" i="5"/>
  <c r="AJ59" i="5"/>
  <c r="AJ60" i="5"/>
  <c r="AJ64" i="5"/>
  <c r="AJ67" i="5"/>
  <c r="AJ58" i="5"/>
  <c r="AJ57" i="5"/>
  <c r="AJ62" i="5"/>
  <c r="AJ69" i="5"/>
  <c r="AJ70" i="5"/>
  <c r="AJ66" i="5"/>
  <c r="AJ65" i="5"/>
  <c r="AV25" i="2"/>
  <c r="AV27" i="2"/>
  <c r="AV14" i="2"/>
  <c r="AV23" i="2"/>
  <c r="AV13" i="2"/>
  <c r="AV24" i="2"/>
  <c r="AV8" i="2"/>
  <c r="AV26" i="2"/>
  <c r="AV15" i="2"/>
  <c r="AV21" i="2"/>
  <c r="AV16" i="2"/>
  <c r="AV9" i="2"/>
  <c r="AV7" i="2"/>
  <c r="BA14" i="2"/>
  <c r="BA23" i="2"/>
  <c r="BA15" i="2"/>
  <c r="BA26" i="2"/>
  <c r="BA16" i="2"/>
  <c r="BA25" i="2"/>
  <c r="BA27" i="2"/>
  <c r="BA7" i="2"/>
  <c r="BA24" i="2"/>
  <c r="BA21" i="2"/>
  <c r="BA9" i="2"/>
  <c r="BA13" i="2"/>
  <c r="BA8" i="2"/>
  <c r="M42" i="5"/>
  <c r="M66" i="5"/>
  <c r="M57" i="5"/>
  <c r="M65" i="5"/>
  <c r="M70" i="5"/>
  <c r="M58" i="5"/>
  <c r="M64" i="5"/>
  <c r="M60" i="5"/>
  <c r="M67" i="5"/>
  <c r="M62" i="5"/>
  <c r="M59" i="5"/>
  <c r="M69" i="5"/>
  <c r="P21" i="2"/>
  <c r="P15" i="2"/>
  <c r="P24" i="2"/>
  <c r="P27" i="2"/>
  <c r="P25" i="2"/>
  <c r="P13" i="2"/>
  <c r="P7" i="2"/>
  <c r="P8" i="2"/>
  <c r="P14" i="2"/>
  <c r="P26" i="2"/>
  <c r="P16" i="2"/>
  <c r="P23" i="2"/>
  <c r="P9" i="2"/>
  <c r="AB24" i="2"/>
  <c r="AB21" i="2"/>
  <c r="AB13" i="2"/>
  <c r="AB25" i="2"/>
  <c r="AB15" i="2"/>
  <c r="AB9" i="2"/>
  <c r="AB27" i="2"/>
  <c r="AB14" i="2"/>
  <c r="AB16" i="2"/>
  <c r="AB7" i="2"/>
  <c r="AB23" i="2"/>
  <c r="AB8" i="2"/>
  <c r="AB26" i="2"/>
  <c r="AO42" i="5"/>
  <c r="AO66" i="5"/>
  <c r="AO69" i="5"/>
  <c r="AO64" i="5"/>
  <c r="AO60" i="5"/>
  <c r="AO58" i="5"/>
  <c r="AO62" i="5"/>
  <c r="AO59" i="5"/>
  <c r="AO67" i="5"/>
  <c r="AO65" i="5"/>
  <c r="AO57" i="5"/>
  <c r="AO70" i="5"/>
  <c r="AW14" i="2"/>
  <c r="AW25" i="2"/>
  <c r="AW23" i="2"/>
  <c r="AW16" i="2"/>
  <c r="AW9" i="2"/>
  <c r="AW7" i="2"/>
  <c r="AW15" i="2"/>
  <c r="AW26" i="2"/>
  <c r="AW13" i="2"/>
  <c r="AW27" i="2"/>
  <c r="AW8" i="2"/>
  <c r="AW24" i="2"/>
  <c r="AW21" i="2"/>
  <c r="N42" i="5"/>
  <c r="N58" i="5"/>
  <c r="N70" i="5"/>
  <c r="N59" i="5"/>
  <c r="N65" i="5"/>
  <c r="N62" i="5"/>
  <c r="N67" i="5"/>
  <c r="N69" i="5"/>
  <c r="N66" i="5"/>
  <c r="N57" i="5"/>
  <c r="N64" i="5"/>
  <c r="N60" i="5"/>
  <c r="S42" i="5"/>
  <c r="S64" i="5"/>
  <c r="S59" i="5"/>
  <c r="S58" i="5"/>
  <c r="S70" i="5"/>
  <c r="S62" i="5"/>
  <c r="S66" i="5"/>
  <c r="S60" i="5"/>
  <c r="S67" i="5"/>
  <c r="S65" i="5"/>
  <c r="S69" i="5"/>
  <c r="S57" i="5"/>
  <c r="W42" i="5"/>
  <c r="W57" i="5"/>
  <c r="W69" i="5"/>
  <c r="W64" i="5"/>
  <c r="W66" i="5"/>
  <c r="W70" i="5"/>
  <c r="W65" i="5"/>
  <c r="W67" i="5"/>
  <c r="W59" i="5"/>
  <c r="W60" i="5"/>
  <c r="W62" i="5"/>
  <c r="W58" i="5"/>
  <c r="AA24" i="2"/>
  <c r="AA27" i="2"/>
  <c r="AA14" i="2"/>
  <c r="AA26" i="2"/>
  <c r="AA25" i="2"/>
  <c r="AA8" i="2"/>
  <c r="AA15" i="2"/>
  <c r="AA9" i="2"/>
  <c r="AA16" i="2"/>
  <c r="AA23" i="2"/>
  <c r="AA13" i="2"/>
  <c r="AA7" i="2"/>
  <c r="AA21" i="2"/>
  <c r="AI42" i="5"/>
  <c r="AI69" i="5"/>
  <c r="AI66" i="5"/>
  <c r="AI59" i="5"/>
  <c r="AI65" i="5"/>
  <c r="AI64" i="5"/>
  <c r="AI57" i="5"/>
  <c r="AI58" i="5"/>
  <c r="AI60" i="5"/>
  <c r="AI62" i="5"/>
  <c r="AI70" i="5"/>
  <c r="AI67" i="5"/>
  <c r="AM27" i="2"/>
  <c r="AM7" i="2"/>
  <c r="AM21" i="2"/>
  <c r="AM25" i="2"/>
  <c r="AM24" i="2"/>
  <c r="AM26" i="2"/>
  <c r="AM14" i="2"/>
  <c r="AM15" i="2"/>
  <c r="AM23" i="2"/>
  <c r="AM8" i="2"/>
  <c r="AM9" i="2"/>
  <c r="AM16" i="2"/>
  <c r="AM13" i="2"/>
  <c r="AT42" i="5"/>
  <c r="AT65" i="5"/>
  <c r="AT64" i="5"/>
  <c r="AT66" i="5"/>
  <c r="AT62" i="5"/>
  <c r="AT57" i="5"/>
  <c r="AT58" i="5"/>
  <c r="AT59" i="5"/>
  <c r="AT60" i="5"/>
  <c r="AT70" i="5"/>
  <c r="AT67" i="5"/>
  <c r="AT69" i="5"/>
  <c r="BB13" i="2"/>
  <c r="BB15" i="2"/>
  <c r="BB16" i="2"/>
  <c r="BB7" i="2"/>
  <c r="BB23" i="2"/>
  <c r="BB24" i="2"/>
  <c r="BB9" i="2"/>
  <c r="BB25" i="2"/>
  <c r="BB26" i="2"/>
  <c r="BB14" i="2"/>
  <c r="BB27" i="2"/>
  <c r="BB21" i="2"/>
  <c r="BB8" i="2"/>
  <c r="O23" i="2"/>
  <c r="O25" i="2"/>
  <c r="O26" i="2"/>
  <c r="O7" i="2"/>
  <c r="O24" i="2"/>
  <c r="O14" i="2"/>
  <c r="O21" i="2"/>
  <c r="O9" i="2"/>
  <c r="O13" i="2"/>
  <c r="O16" i="2"/>
  <c r="O15" i="2"/>
  <c r="O8" i="2"/>
  <c r="O27" i="2"/>
  <c r="V42" i="5"/>
  <c r="V70" i="5"/>
  <c r="V66" i="5"/>
  <c r="V67" i="5"/>
  <c r="V60" i="5"/>
  <c r="V58" i="5"/>
  <c r="V57" i="5"/>
  <c r="V62" i="5"/>
  <c r="V69" i="5"/>
  <c r="V65" i="5"/>
  <c r="V59" i="5"/>
  <c r="V64" i="5"/>
  <c r="AD42" i="5"/>
  <c r="AD60" i="5"/>
  <c r="AD58" i="5"/>
  <c r="AD57" i="5"/>
  <c r="AD65" i="5"/>
  <c r="AD69" i="5"/>
  <c r="AD66" i="5"/>
  <c r="AD67" i="5"/>
  <c r="AD59" i="5"/>
  <c r="AD70" i="5"/>
  <c r="AD62" i="5"/>
  <c r="AD64" i="5"/>
  <c r="AH24" i="2"/>
  <c r="AH15" i="2"/>
  <c r="AH27" i="2"/>
  <c r="AH8" i="2"/>
  <c r="AH25" i="2"/>
  <c r="AH13" i="2"/>
  <c r="AH7" i="2"/>
  <c r="AH26" i="2"/>
  <c r="AH21" i="2"/>
  <c r="AH9" i="2"/>
  <c r="AH14" i="2"/>
  <c r="AH16" i="2"/>
  <c r="AH23" i="2"/>
  <c r="AL16" i="2"/>
  <c r="AL15" i="2"/>
  <c r="AL14" i="2"/>
  <c r="AL13" i="2"/>
  <c r="AL9" i="2"/>
  <c r="AL24" i="2"/>
  <c r="AL8" i="2"/>
  <c r="AL26" i="2"/>
  <c r="AL27" i="2"/>
  <c r="AL23" i="2"/>
  <c r="AL25" i="2"/>
  <c r="AL21" i="2"/>
  <c r="AP9" i="2"/>
  <c r="AP24" i="2"/>
  <c r="AP26" i="2"/>
  <c r="AP23" i="2"/>
  <c r="AP25" i="2"/>
  <c r="AP13" i="2"/>
  <c r="AP15" i="2"/>
  <c r="AP21" i="2"/>
  <c r="AP8" i="2"/>
  <c r="AP27" i="2"/>
  <c r="AP7" i="2"/>
  <c r="AP14" i="2"/>
  <c r="AP16" i="2"/>
  <c r="AU42" i="5"/>
  <c r="AU59" i="5"/>
  <c r="AU62" i="5"/>
  <c r="AU60" i="5"/>
  <c r="AU57" i="5"/>
  <c r="AU65" i="5"/>
  <c r="AU67" i="5"/>
  <c r="AU58" i="5"/>
  <c r="AU66" i="5"/>
  <c r="AU64" i="5"/>
  <c r="AU70" i="5"/>
  <c r="AU69" i="5"/>
  <c r="AX7" i="2"/>
  <c r="AX26" i="2"/>
  <c r="AX24" i="2"/>
  <c r="AX8" i="2"/>
  <c r="AX16" i="2"/>
  <c r="AX21" i="2"/>
  <c r="AX9" i="2"/>
  <c r="AX14" i="2"/>
  <c r="AX15" i="2"/>
  <c r="AX13" i="2"/>
  <c r="AX25" i="2"/>
  <c r="AX27" i="2"/>
  <c r="AX23" i="2"/>
  <c r="BO36" i="5" l="1"/>
  <c r="BO41" i="5" s="1"/>
  <c r="Q32" i="5"/>
  <c r="Q36" i="5"/>
  <c r="Q41" i="5" s="1"/>
  <c r="Q65" i="5"/>
  <c r="BJ60" i="5"/>
  <c r="AV58" i="5"/>
  <c r="BM65" i="5"/>
  <c r="BI42" i="5"/>
  <c r="AQ62" i="5"/>
  <c r="BG66" i="5"/>
  <c r="BE60" i="5"/>
  <c r="BK69" i="5"/>
  <c r="AV42" i="5"/>
  <c r="BF95" i="42"/>
  <c r="BF96" i="42"/>
  <c r="BF97" i="42"/>
  <c r="BF104" i="42"/>
  <c r="AV57" i="5"/>
  <c r="AV69" i="5"/>
  <c r="AV60" i="5"/>
  <c r="AV59" i="5"/>
  <c r="AV67" i="5"/>
  <c r="AV62" i="5"/>
  <c r="AV65" i="5"/>
  <c r="AV66" i="5"/>
  <c r="AV64" i="5"/>
  <c r="AV70" i="5"/>
  <c r="BC104" i="42"/>
  <c r="BC105" i="42"/>
  <c r="BC97" i="42"/>
  <c r="BC95" i="42"/>
  <c r="BC96" i="42"/>
  <c r="BO97" i="42"/>
  <c r="BO105" i="42"/>
  <c r="BO95" i="42"/>
  <c r="BO104" i="42"/>
  <c r="BO96" i="42"/>
  <c r="AV105" i="42"/>
  <c r="AV104" i="42"/>
  <c r="AV97" i="42"/>
  <c r="AV96" i="42"/>
  <c r="AV95" i="42"/>
  <c r="Q104" i="42"/>
  <c r="Q97" i="42"/>
  <c r="Q95" i="42"/>
  <c r="Q105" i="42"/>
  <c r="Q96" i="42"/>
  <c r="BM96" i="42"/>
  <c r="BM104" i="42"/>
  <c r="BM105" i="42"/>
  <c r="BM97" i="42"/>
  <c r="BM95" i="42"/>
  <c r="BG96" i="42"/>
  <c r="BG104" i="42"/>
  <c r="BG95" i="42"/>
  <c r="BG97" i="42"/>
  <c r="BG105" i="42"/>
  <c r="BH105" i="42"/>
  <c r="BH104" i="42"/>
  <c r="BH97" i="42"/>
  <c r="BH96" i="42"/>
  <c r="BH95" i="42"/>
  <c r="BK95" i="42"/>
  <c r="BK97" i="42"/>
  <c r="BK104" i="42"/>
  <c r="BK105" i="42"/>
  <c r="BK96" i="42"/>
  <c r="AZ105" i="42"/>
  <c r="AZ104" i="42"/>
  <c r="AZ97" i="42"/>
  <c r="AZ96" i="42"/>
  <c r="AZ95" i="42"/>
  <c r="DW95" i="42"/>
  <c r="DW97" i="42"/>
  <c r="DW104" i="42"/>
  <c r="DW105" i="42"/>
  <c r="DW96" i="42"/>
  <c r="AX105" i="42"/>
  <c r="AX104" i="42"/>
  <c r="AX97" i="42"/>
  <c r="AX96" i="42"/>
  <c r="AX95" i="42"/>
  <c r="BB97" i="42"/>
  <c r="BB105" i="42"/>
  <c r="BB96" i="42"/>
  <c r="BB95" i="42"/>
  <c r="BB104" i="42"/>
  <c r="AL97" i="42"/>
  <c r="AL96" i="42"/>
  <c r="AL105" i="42"/>
  <c r="AL104" i="42"/>
  <c r="AL95" i="42"/>
  <c r="BA96" i="42"/>
  <c r="BA104" i="42"/>
  <c r="BA105" i="42"/>
  <c r="BA95" i="42"/>
  <c r="BA97" i="42"/>
  <c r="BE65" i="5"/>
  <c r="BE62" i="5"/>
  <c r="BE67" i="5"/>
  <c r="BE64" i="5"/>
  <c r="BE70" i="5"/>
  <c r="BE42" i="5"/>
  <c r="BE66" i="5"/>
  <c r="BE59" i="5"/>
  <c r="BE58" i="5"/>
  <c r="BE69" i="5"/>
  <c r="BE57" i="5"/>
  <c r="AQ60" i="5"/>
  <c r="AQ70" i="5"/>
  <c r="AQ64" i="5"/>
  <c r="AQ65" i="5"/>
  <c r="AQ42" i="5"/>
  <c r="AQ67" i="5"/>
  <c r="AQ66" i="5"/>
  <c r="AQ59" i="5"/>
  <c r="AQ57" i="5"/>
  <c r="AQ58" i="5"/>
  <c r="AQ69" i="5"/>
  <c r="BK58" i="5"/>
  <c r="BK59" i="5"/>
  <c r="BK60" i="5"/>
  <c r="BK64" i="5"/>
  <c r="BJ57" i="5"/>
  <c r="BJ66" i="5"/>
  <c r="BK70" i="5"/>
  <c r="BK65" i="5"/>
  <c r="BM70" i="5"/>
  <c r="BK42" i="5"/>
  <c r="BM62" i="5"/>
  <c r="BG69" i="5"/>
  <c r="BM60" i="5"/>
  <c r="BJ58" i="5"/>
  <c r="BG64" i="5"/>
  <c r="BM57" i="5"/>
  <c r="BG42" i="5"/>
  <c r="BM42" i="5"/>
  <c r="BG58" i="5"/>
  <c r="BJ69" i="5"/>
  <c r="BG65" i="5"/>
  <c r="BJ65" i="5"/>
  <c r="BM59" i="5"/>
  <c r="BG59" i="5"/>
  <c r="BI65" i="5"/>
  <c r="BJ42" i="5"/>
  <c r="BG70" i="5"/>
  <c r="BJ70" i="5"/>
  <c r="BG60" i="5"/>
  <c r="BJ62" i="5"/>
  <c r="BM66" i="5"/>
  <c r="BK57" i="5"/>
  <c r="BG62" i="5"/>
  <c r="BJ64" i="5"/>
  <c r="BM69" i="5"/>
  <c r="BK67" i="5"/>
  <c r="BG57" i="5"/>
  <c r="BJ59" i="5"/>
  <c r="BM58" i="5"/>
  <c r="BK62" i="5"/>
  <c r="BG67" i="5"/>
  <c r="BJ67" i="5"/>
  <c r="BM67" i="5"/>
  <c r="BK66" i="5"/>
  <c r="BM64" i="5"/>
  <c r="BI67" i="5"/>
  <c r="BI57" i="5"/>
  <c r="BI59" i="5"/>
  <c r="BI60" i="5"/>
  <c r="BI58" i="5"/>
  <c r="BI64" i="5"/>
  <c r="BI69" i="5"/>
  <c r="BI70" i="5"/>
  <c r="BI66" i="5"/>
  <c r="BI62" i="5"/>
  <c r="AW57" i="5"/>
  <c r="AW60" i="5"/>
  <c r="AW59" i="5"/>
  <c r="AW70" i="5"/>
  <c r="AW65" i="5"/>
  <c r="AW64" i="5"/>
  <c r="AW67" i="5"/>
  <c r="AW66" i="5"/>
  <c r="AW42" i="5"/>
  <c r="BN13" i="55"/>
  <c r="BN6" i="42" s="1"/>
  <c r="AW69" i="5"/>
  <c r="AW62" i="5"/>
  <c r="AW58" i="5"/>
  <c r="AR57" i="5"/>
  <c r="AR42" i="5"/>
  <c r="AR69" i="5"/>
  <c r="AR59" i="5"/>
  <c r="Q70" i="5"/>
  <c r="BD62" i="5"/>
  <c r="AR66" i="5"/>
  <c r="AR62" i="5"/>
  <c r="Q67" i="5"/>
  <c r="BD69" i="5"/>
  <c r="AR58" i="5"/>
  <c r="AR60" i="5"/>
  <c r="AR65" i="5"/>
  <c r="Q66" i="5"/>
  <c r="Q57" i="5"/>
  <c r="Q59" i="5"/>
  <c r="BD70" i="5"/>
  <c r="BD66" i="5"/>
  <c r="Q69" i="5"/>
  <c r="Q60" i="5"/>
  <c r="BD67" i="5"/>
  <c r="BD64" i="5"/>
  <c r="BD59" i="5"/>
  <c r="BD60" i="5"/>
  <c r="AR70" i="5"/>
  <c r="AR64" i="5"/>
  <c r="AR67" i="5"/>
  <c r="Q64" i="5"/>
  <c r="Q62" i="5"/>
  <c r="Q58" i="5"/>
  <c r="Q42" i="5"/>
  <c r="BD57" i="5"/>
  <c r="BD58" i="5"/>
  <c r="BD65" i="5"/>
  <c r="BD42" i="5"/>
  <c r="BO15" i="55"/>
  <c r="BO5" i="2" s="1"/>
  <c r="BO9" i="2" s="1"/>
  <c r="BN8" i="2"/>
  <c r="BN25" i="2"/>
  <c r="BN14" i="2"/>
  <c r="BN16" i="2"/>
  <c r="BN7" i="2"/>
  <c r="BN15" i="2"/>
  <c r="BN9" i="2"/>
  <c r="BN21" i="2"/>
  <c r="BN13" i="2"/>
  <c r="BN27" i="2"/>
  <c r="BN26" i="2"/>
  <c r="BN24" i="2"/>
  <c r="BN23" i="2"/>
  <c r="BO42" i="5"/>
  <c r="BO60" i="5"/>
  <c r="BO66" i="5"/>
  <c r="BO57" i="5"/>
  <c r="BO70" i="5"/>
  <c r="BO64" i="5"/>
  <c r="BO65" i="5"/>
  <c r="BO67" i="5"/>
  <c r="BO59" i="5"/>
  <c r="BO62" i="5"/>
  <c r="BO69" i="5"/>
  <c r="BO58" i="5"/>
  <c r="BO23" i="42"/>
  <c r="BO78" i="42" s="1"/>
  <c r="BO52" i="42"/>
  <c r="BO34" i="42"/>
  <c r="BO70" i="42"/>
  <c r="BP24" i="55"/>
  <c r="BP2" i="2"/>
  <c r="BP2" i="42"/>
  <c r="BP88" i="42" s="1"/>
  <c r="BP23" i="55"/>
  <c r="BP27" i="55"/>
  <c r="BP31" i="55"/>
  <c r="BP34" i="55"/>
  <c r="BP30" i="55"/>
  <c r="BP28" i="55"/>
  <c r="BP32" i="54"/>
  <c r="BQ5" i="55"/>
  <c r="BQ6" i="55" s="1"/>
  <c r="BN105" i="42" l="1"/>
  <c r="BN104" i="42"/>
  <c r="BN97" i="42"/>
  <c r="BN96" i="42"/>
  <c r="BN95" i="42"/>
  <c r="BN6" i="6"/>
  <c r="E13" i="55"/>
  <c r="BN7" i="5"/>
  <c r="BN36" i="5" s="1"/>
  <c r="BN41" i="5" s="1"/>
  <c r="BO24" i="2"/>
  <c r="BO13" i="2"/>
  <c r="BO27" i="2"/>
  <c r="BO14" i="2"/>
  <c r="BO25" i="2"/>
  <c r="BO15" i="2"/>
  <c r="BO21" i="2"/>
  <c r="BO26" i="2"/>
  <c r="BO23" i="2"/>
  <c r="BO16" i="2"/>
  <c r="BO7" i="2"/>
  <c r="BO8" i="2"/>
  <c r="D101" i="47"/>
  <c r="H20" i="29" s="1"/>
  <c r="BO42" i="42"/>
  <c r="BO60" i="42"/>
  <c r="BP12" i="42"/>
  <c r="BP32" i="55"/>
  <c r="BQ1" i="42"/>
  <c r="BQ1" i="2"/>
  <c r="BQ31" i="54"/>
  <c r="BQ9" i="55"/>
  <c r="BN64" i="5" l="1"/>
  <c r="BN65" i="5"/>
  <c r="BN57" i="5"/>
  <c r="BN42" i="5"/>
  <c r="BN58" i="5"/>
  <c r="BN66" i="5"/>
  <c r="BN60" i="5"/>
  <c r="BN59" i="5"/>
  <c r="BN62" i="5"/>
  <c r="BN70" i="5"/>
  <c r="BN69" i="5"/>
  <c r="BN67" i="5"/>
  <c r="BQ10" i="55"/>
  <c r="BP10" i="55"/>
  <c r="BP15" i="55" s="1"/>
  <c r="BP5" i="2" s="1"/>
  <c r="T74" i="29"/>
  <c r="C47" i="51"/>
  <c r="J49" i="51"/>
  <c r="F49" i="51"/>
  <c r="H49" i="51"/>
  <c r="D49" i="51"/>
  <c r="F380" i="32"/>
  <c r="BP23" i="42"/>
  <c r="BP78" i="42" s="1"/>
  <c r="BP52" i="42"/>
  <c r="BP70" i="42"/>
  <c r="BP34" i="42"/>
  <c r="BQ28" i="55"/>
  <c r="BQ34" i="55"/>
  <c r="BR5" i="55"/>
  <c r="BR6" i="55" s="1"/>
  <c r="BQ23" i="55"/>
  <c r="BQ27" i="55"/>
  <c r="BQ2" i="42"/>
  <c r="BQ88" i="42" s="1"/>
  <c r="BQ24" i="55"/>
  <c r="BQ2" i="2"/>
  <c r="BQ32" i="54"/>
  <c r="BQ30" i="55"/>
  <c r="BQ31" i="55"/>
  <c r="BP8" i="2" l="1"/>
  <c r="BP21" i="2"/>
  <c r="BP23" i="2"/>
  <c r="BP27" i="2"/>
  <c r="BP14" i="2"/>
  <c r="BP15" i="2"/>
  <c r="BP13" i="2"/>
  <c r="BP24" i="2"/>
  <c r="BP26" i="2"/>
  <c r="BP9" i="2"/>
  <c r="BP16" i="2"/>
  <c r="BP25" i="2"/>
  <c r="BP7" i="2"/>
  <c r="N47" i="51"/>
  <c r="E28" i="32" s="1"/>
  <c r="G14" i="43" s="1"/>
  <c r="AN47" i="51"/>
  <c r="AE28" i="32" s="1"/>
  <c r="AG14" i="43" s="1"/>
  <c r="T47" i="51"/>
  <c r="K28" i="32" s="1"/>
  <c r="M14" i="43" s="1"/>
  <c r="AM47" i="51"/>
  <c r="AD28" i="32" s="1"/>
  <c r="AF14" i="43" s="1"/>
  <c r="P47" i="51"/>
  <c r="G28" i="32" s="1"/>
  <c r="I14" i="43" s="1"/>
  <c r="AF47" i="51"/>
  <c r="W28" i="32" s="1"/>
  <c r="Y14" i="43" s="1"/>
  <c r="AQ47" i="51"/>
  <c r="AH28" i="32" s="1"/>
  <c r="AJ14" i="43" s="1"/>
  <c r="AE47" i="51"/>
  <c r="V28" i="32" s="1"/>
  <c r="X14" i="43" s="1"/>
  <c r="AB47" i="51"/>
  <c r="S28" i="32" s="1"/>
  <c r="U14" i="43" s="1"/>
  <c r="W47" i="51"/>
  <c r="N28" i="32" s="1"/>
  <c r="P14" i="43" s="1"/>
  <c r="AJ47" i="51"/>
  <c r="AA28" i="32" s="1"/>
  <c r="AC14" i="43" s="1"/>
  <c r="X47" i="51"/>
  <c r="O28" i="32" s="1"/>
  <c r="Q14" i="43" s="1"/>
  <c r="O47" i="51"/>
  <c r="F28" i="32" s="1"/>
  <c r="H14" i="43" s="1"/>
  <c r="AA47" i="51"/>
  <c r="R28" i="32" s="1"/>
  <c r="T14" i="43" s="1"/>
  <c r="S47" i="51"/>
  <c r="J28" i="32" s="1"/>
  <c r="L14" i="43" s="1"/>
  <c r="AP47" i="51"/>
  <c r="AG28" i="32" s="1"/>
  <c r="AI14" i="43" s="1"/>
  <c r="AL47" i="51"/>
  <c r="AC28" i="32" s="1"/>
  <c r="AE14" i="43" s="1"/>
  <c r="AI47" i="51"/>
  <c r="Z28" i="32" s="1"/>
  <c r="AB14" i="43" s="1"/>
  <c r="AD47" i="51"/>
  <c r="U28" i="32" s="1"/>
  <c r="W14" i="43" s="1"/>
  <c r="Z47" i="51"/>
  <c r="Q28" i="32" s="1"/>
  <c r="S14" i="43" s="1"/>
  <c r="V47" i="51"/>
  <c r="M28" i="32" s="1"/>
  <c r="O14" i="43" s="1"/>
  <c r="R47" i="51"/>
  <c r="I28" i="32" s="1"/>
  <c r="K14" i="43" s="1"/>
  <c r="AO47" i="51"/>
  <c r="AF28" i="32" s="1"/>
  <c r="AH14" i="43" s="1"/>
  <c r="AK47" i="51"/>
  <c r="AB28" i="32" s="1"/>
  <c r="AD14" i="43" s="1"/>
  <c r="AH47" i="51"/>
  <c r="Y28" i="32" s="1"/>
  <c r="AA14" i="43" s="1"/>
  <c r="AG47" i="51"/>
  <c r="X28" i="32" s="1"/>
  <c r="Z14" i="43" s="1"/>
  <c r="AC47" i="51"/>
  <c r="T28" i="32" s="1"/>
  <c r="V14" i="43" s="1"/>
  <c r="Y47" i="51"/>
  <c r="P28" i="32" s="1"/>
  <c r="R14" i="43" s="1"/>
  <c r="U47" i="51"/>
  <c r="L28" i="32" s="1"/>
  <c r="N14" i="43" s="1"/>
  <c r="Q47" i="51"/>
  <c r="H28" i="32" s="1"/>
  <c r="J14" i="43" s="1"/>
  <c r="G380" i="32"/>
  <c r="C12" i="2" s="1"/>
  <c r="D47" i="51"/>
  <c r="C28" i="32"/>
  <c r="C14" i="43" s="1"/>
  <c r="BP60" i="42"/>
  <c r="BP42" i="42"/>
  <c r="BR31" i="54"/>
  <c r="BR9" i="55"/>
  <c r="BR1" i="2"/>
  <c r="BR1" i="42"/>
  <c r="BQ32" i="55"/>
  <c r="BQ12" i="42"/>
  <c r="BQ15" i="55" l="1"/>
  <c r="BQ5" i="2" s="1"/>
  <c r="BQ12" i="2" s="1"/>
  <c r="D14" i="43"/>
  <c r="M47" i="51"/>
  <c r="H380" i="32"/>
  <c r="D28" i="32"/>
  <c r="G12" i="2"/>
  <c r="BF12" i="2"/>
  <c r="BG12" i="2"/>
  <c r="BH12" i="2"/>
  <c r="BI12" i="2"/>
  <c r="BJ12" i="2"/>
  <c r="BK12" i="2"/>
  <c r="BL12" i="2"/>
  <c r="BM12" i="2"/>
  <c r="BN12" i="2"/>
  <c r="BO12" i="2"/>
  <c r="BP12" i="2"/>
  <c r="AR12" i="2"/>
  <c r="AI12" i="2"/>
  <c r="AN12" i="2"/>
  <c r="BD12" i="2"/>
  <c r="S12" i="2"/>
  <c r="AY12" i="2"/>
  <c r="AD12" i="2"/>
  <c r="U12" i="2"/>
  <c r="AJ12" i="2"/>
  <c r="M12" i="2"/>
  <c r="N12" i="2"/>
  <c r="AE12" i="2"/>
  <c r="Z12" i="2"/>
  <c r="X12" i="2"/>
  <c r="R12" i="2"/>
  <c r="AV12" i="2"/>
  <c r="BA12" i="2"/>
  <c r="AH12" i="2"/>
  <c r="AX12" i="2"/>
  <c r="Q12" i="2"/>
  <c r="AF12" i="2"/>
  <c r="AQ12" i="2"/>
  <c r="BC12" i="2"/>
  <c r="AC12" i="2"/>
  <c r="AS12" i="2"/>
  <c r="V12" i="2"/>
  <c r="BE12" i="2"/>
  <c r="L12" i="2"/>
  <c r="AW12" i="2"/>
  <c r="AL12" i="2"/>
  <c r="AP12" i="2"/>
  <c r="AB12" i="2"/>
  <c r="AK12" i="2"/>
  <c r="AZ12" i="2"/>
  <c r="AG12" i="2"/>
  <c r="T12" i="2"/>
  <c r="AO12" i="2"/>
  <c r="W12" i="2"/>
  <c r="AT12" i="2"/>
  <c r="Y12" i="2"/>
  <c r="AA12" i="2"/>
  <c r="AM12" i="2"/>
  <c r="BB12" i="2"/>
  <c r="O12" i="2"/>
  <c r="AU12" i="2"/>
  <c r="P12" i="2"/>
  <c r="BQ23" i="42"/>
  <c r="BQ42" i="42" s="1"/>
  <c r="BQ34" i="42"/>
  <c r="BQ70" i="42"/>
  <c r="BQ52" i="42"/>
  <c r="BR23" i="55"/>
  <c r="BR24" i="55"/>
  <c r="BS5" i="55"/>
  <c r="BS6" i="55" s="1"/>
  <c r="BR2" i="2"/>
  <c r="BR34" i="55"/>
  <c r="BR28" i="55"/>
  <c r="BR30" i="55"/>
  <c r="BR27" i="55"/>
  <c r="BR2" i="42"/>
  <c r="BR88" i="42" s="1"/>
  <c r="BR32" i="54"/>
  <c r="BR31" i="55"/>
  <c r="BQ16" i="2" l="1"/>
  <c r="BQ26" i="2"/>
  <c r="BQ14" i="2"/>
  <c r="BQ25" i="2"/>
  <c r="BQ9" i="2"/>
  <c r="BQ13" i="2"/>
  <c r="BQ8" i="2"/>
  <c r="BQ7" i="2"/>
  <c r="BQ15" i="2"/>
  <c r="BQ23" i="2"/>
  <c r="BQ24" i="2"/>
  <c r="BQ21" i="2"/>
  <c r="BQ27" i="2"/>
  <c r="BQ60" i="42"/>
  <c r="BQ78" i="42"/>
  <c r="BS9" i="55"/>
  <c r="BS1" i="2"/>
  <c r="BS31" i="54"/>
  <c r="BS1" i="42"/>
  <c r="BR32" i="55"/>
  <c r="BR12" i="42"/>
  <c r="BR10" i="55" l="1"/>
  <c r="BR15" i="55" s="1"/>
  <c r="BR5" i="2" s="1"/>
  <c r="BS10" i="55"/>
  <c r="U74" i="29"/>
  <c r="BR23" i="42"/>
  <c r="BR42" i="42" s="1"/>
  <c r="BR34" i="42"/>
  <c r="BR52" i="42"/>
  <c r="BR70" i="42"/>
  <c r="BS24" i="55"/>
  <c r="BS32" i="54"/>
  <c r="BS27" i="55"/>
  <c r="BS28" i="55"/>
  <c r="BS34" i="55"/>
  <c r="BS23" i="55"/>
  <c r="BS31" i="55"/>
  <c r="BS30" i="55"/>
  <c r="BS2" i="2"/>
  <c r="BT5" i="55"/>
  <c r="BT6" i="55" s="1"/>
  <c r="BS2" i="42"/>
  <c r="BS88" i="42" s="1"/>
  <c r="BR7" i="2" l="1"/>
  <c r="BR23" i="2"/>
  <c r="BR9" i="2"/>
  <c r="BR24" i="2"/>
  <c r="BR16" i="2"/>
  <c r="BR8" i="2"/>
  <c r="BR15" i="2"/>
  <c r="BR25" i="2"/>
  <c r="BR27" i="2"/>
  <c r="BR14" i="2"/>
  <c r="BR21" i="2"/>
  <c r="BR13" i="2"/>
  <c r="BR26" i="2"/>
  <c r="BR12" i="2"/>
  <c r="BR60" i="42"/>
  <c r="BR78" i="42"/>
  <c r="BT31" i="54"/>
  <c r="BT1" i="2"/>
  <c r="BT1" i="42"/>
  <c r="BT9" i="55"/>
  <c r="BS12" i="42"/>
  <c r="BS32" i="55"/>
  <c r="BS15" i="55" l="1"/>
  <c r="BS5" i="2" s="1"/>
  <c r="BS23" i="42"/>
  <c r="BS42" i="42" s="1"/>
  <c r="BS52" i="42"/>
  <c r="BS70" i="42"/>
  <c r="BS34" i="42"/>
  <c r="BT2" i="2"/>
  <c r="BU5" i="55"/>
  <c r="BU6" i="55" s="1"/>
  <c r="BT24" i="55"/>
  <c r="BT28" i="55"/>
  <c r="BT2" i="42"/>
  <c r="BT88" i="42" s="1"/>
  <c r="BT27" i="55"/>
  <c r="BT30" i="55"/>
  <c r="BT34" i="55"/>
  <c r="BT32" i="54"/>
  <c r="BT23" i="55"/>
  <c r="BT31" i="55"/>
  <c r="BS7" i="2" l="1"/>
  <c r="BS27" i="2"/>
  <c r="BS25" i="2"/>
  <c r="BS15" i="2"/>
  <c r="BS23" i="2"/>
  <c r="BS9" i="2"/>
  <c r="BS14" i="2"/>
  <c r="BS16" i="2"/>
  <c r="BS24" i="2"/>
  <c r="BS13" i="2"/>
  <c r="BS8" i="2"/>
  <c r="BS21" i="2"/>
  <c r="BS26" i="2"/>
  <c r="BS12" i="2"/>
  <c r="BS78" i="42"/>
  <c r="BS60" i="42"/>
  <c r="BU1" i="2"/>
  <c r="BU31" i="54"/>
  <c r="BU1" i="42"/>
  <c r="BU9" i="55"/>
  <c r="BT12" i="42"/>
  <c r="BT32" i="55"/>
  <c r="V74" i="29" l="1"/>
  <c r="BT23" i="42"/>
  <c r="BT42" i="42" s="1"/>
  <c r="BT34" i="42"/>
  <c r="BT70" i="42"/>
  <c r="BT52" i="42"/>
  <c r="BU24" i="55"/>
  <c r="BU27" i="55"/>
  <c r="BU23" i="55"/>
  <c r="BV5" i="55"/>
  <c r="BV6" i="55" s="1"/>
  <c r="BU2" i="2"/>
  <c r="BU34" i="55"/>
  <c r="BU28" i="55"/>
  <c r="BU2" i="42"/>
  <c r="BU88" i="42" s="1"/>
  <c r="BU30" i="55"/>
  <c r="BU32" i="54"/>
  <c r="BU31" i="55"/>
  <c r="BU10" i="55" l="1"/>
  <c r="BT10" i="55"/>
  <c r="BT15" i="55" s="1"/>
  <c r="BT5" i="2" s="1"/>
  <c r="BT78" i="42"/>
  <c r="BT60" i="42"/>
  <c r="BV31" i="54"/>
  <c r="BV9" i="55"/>
  <c r="BV1" i="2"/>
  <c r="BV1" i="42"/>
  <c r="BU12" i="42"/>
  <c r="BU32" i="55"/>
  <c r="BT9" i="2" l="1"/>
  <c r="BT25" i="2"/>
  <c r="BT27" i="2"/>
  <c r="BT16" i="2"/>
  <c r="BT13" i="2"/>
  <c r="BT12" i="2"/>
  <c r="BT7" i="2"/>
  <c r="BT14" i="2"/>
  <c r="BT24" i="2"/>
  <c r="BT26" i="2"/>
  <c r="BT8" i="2"/>
  <c r="BT21" i="2"/>
  <c r="BT23" i="2"/>
  <c r="BT15" i="2"/>
  <c r="BU15" i="55"/>
  <c r="BU5" i="2" s="1"/>
  <c r="BU23" i="42"/>
  <c r="BU60" i="42" s="1"/>
  <c r="BU70" i="42"/>
  <c r="BU52" i="42"/>
  <c r="BU34" i="42"/>
  <c r="BV28" i="55"/>
  <c r="BV32" i="54"/>
  <c r="BV27" i="55"/>
  <c r="BW5" i="55"/>
  <c r="BW6" i="55" s="1"/>
  <c r="BV23" i="55"/>
  <c r="BV2" i="2"/>
  <c r="BV30" i="55"/>
  <c r="BV2" i="42"/>
  <c r="BV88" i="42" s="1"/>
  <c r="BV24" i="55"/>
  <c r="BV34" i="55"/>
  <c r="BV31" i="55"/>
  <c r="BU27" i="2" l="1"/>
  <c r="BU15" i="2"/>
  <c r="BU7" i="2"/>
  <c r="BU24" i="2"/>
  <c r="BU13" i="2"/>
  <c r="BU9" i="2"/>
  <c r="BU8" i="2"/>
  <c r="BU25" i="2"/>
  <c r="BU14" i="2"/>
  <c r="BU26" i="2"/>
  <c r="BU21" i="2"/>
  <c r="BU16" i="2"/>
  <c r="BU23" i="2"/>
  <c r="BU12" i="2"/>
  <c r="BU42" i="42"/>
  <c r="BU78" i="42"/>
  <c r="BV12" i="42"/>
  <c r="BV32" i="55"/>
  <c r="BW1" i="42"/>
  <c r="BW1" i="2"/>
  <c r="BW31" i="54"/>
  <c r="BW9" i="55"/>
  <c r="BW10" i="55" l="1"/>
  <c r="BV10" i="55"/>
  <c r="BV15" i="55" s="1"/>
  <c r="BV5" i="2" s="1"/>
  <c r="W74" i="29"/>
  <c r="BV23" i="42"/>
  <c r="BV78" i="42" s="1"/>
  <c r="BV34" i="42"/>
  <c r="BV70" i="42"/>
  <c r="BV52" i="42"/>
  <c r="BW30" i="55"/>
  <c r="BW2" i="42"/>
  <c r="BW88" i="42" s="1"/>
  <c r="BW27" i="55"/>
  <c r="BW24" i="55"/>
  <c r="BW2" i="2"/>
  <c r="BW23" i="55"/>
  <c r="BW31" i="55"/>
  <c r="BW28" i="55"/>
  <c r="BW32" i="54"/>
  <c r="BX5" i="55"/>
  <c r="BX6" i="55" s="1"/>
  <c r="BW34" i="55"/>
  <c r="BV26" i="2" l="1"/>
  <c r="BV25" i="2"/>
  <c r="BV23" i="2"/>
  <c r="BV21" i="2"/>
  <c r="BV27" i="2"/>
  <c r="BV14" i="2"/>
  <c r="BV8" i="2"/>
  <c r="BV13" i="2"/>
  <c r="BV24" i="2"/>
  <c r="BV7" i="2"/>
  <c r="BV9" i="2"/>
  <c r="BV15" i="2"/>
  <c r="BV16" i="2"/>
  <c r="BV12" i="2"/>
  <c r="BV60" i="42"/>
  <c r="BV42" i="42"/>
  <c r="BX1" i="42"/>
  <c r="BX31" i="54"/>
  <c r="BX1" i="2"/>
  <c r="BX9" i="55"/>
  <c r="BW32" i="55"/>
  <c r="BW12" i="42"/>
  <c r="BW15" i="55" l="1"/>
  <c r="BW5" i="2" s="1"/>
  <c r="BW23" i="42"/>
  <c r="BW60" i="42" s="1"/>
  <c r="BW34" i="42"/>
  <c r="BW52" i="42"/>
  <c r="BW70" i="42"/>
  <c r="BX27" i="55"/>
  <c r="BY5" i="55"/>
  <c r="BY6" i="55" s="1"/>
  <c r="BX24" i="55"/>
  <c r="BX2" i="2"/>
  <c r="BX30" i="55"/>
  <c r="BX28" i="55"/>
  <c r="BX34" i="55"/>
  <c r="BX2" i="42"/>
  <c r="BX88" i="42" s="1"/>
  <c r="BX31" i="55"/>
  <c r="BX32" i="54"/>
  <c r="BX23" i="55"/>
  <c r="BW16" i="2" l="1"/>
  <c r="BW14" i="2"/>
  <c r="BW24" i="2"/>
  <c r="BW23" i="2"/>
  <c r="BW25" i="2"/>
  <c r="BW13" i="2"/>
  <c r="BW9" i="2"/>
  <c r="BW26" i="2"/>
  <c r="BW8" i="2"/>
  <c r="BW27" i="2"/>
  <c r="BW21" i="2"/>
  <c r="BW7" i="2"/>
  <c r="BW15" i="2"/>
  <c r="BW12" i="2"/>
  <c r="BW42" i="42"/>
  <c r="BW78" i="42"/>
  <c r="BX32" i="55"/>
  <c r="BX12" i="42"/>
  <c r="BY1" i="42"/>
  <c r="BY1" i="2"/>
  <c r="BY9" i="55"/>
  <c r="BY31" i="54"/>
  <c r="BY10" i="55" l="1"/>
  <c r="BX10" i="55"/>
  <c r="BX15" i="55" s="1"/>
  <c r="BX5" i="2" s="1"/>
  <c r="X74" i="29"/>
  <c r="BX23" i="42"/>
  <c r="BX42" i="42" s="1"/>
  <c r="BY28" i="55"/>
  <c r="BZ5" i="55"/>
  <c r="BZ6" i="55" s="1"/>
  <c r="BY2" i="42"/>
  <c r="BY88" i="42" s="1"/>
  <c r="BY30" i="55"/>
  <c r="BY34" i="55"/>
  <c r="BY27" i="55"/>
  <c r="BY32" i="54"/>
  <c r="BY23" i="55"/>
  <c r="BY24" i="55"/>
  <c r="BY2" i="2"/>
  <c r="BY31" i="55"/>
  <c r="BX34" i="42"/>
  <c r="BX52" i="42"/>
  <c r="BX70" i="42"/>
  <c r="BX8" i="2" l="1"/>
  <c r="BX27" i="2"/>
  <c r="BX14" i="2"/>
  <c r="BX16" i="2"/>
  <c r="BX13" i="2"/>
  <c r="BX21" i="2"/>
  <c r="BX7" i="2"/>
  <c r="BX15" i="2"/>
  <c r="BX26" i="2"/>
  <c r="BX24" i="2"/>
  <c r="BX25" i="2"/>
  <c r="BX9" i="2"/>
  <c r="BX23" i="2"/>
  <c r="BX12" i="2"/>
  <c r="BX60" i="42"/>
  <c r="BX78" i="42"/>
  <c r="BZ31" i="54"/>
  <c r="BZ1" i="42"/>
  <c r="BZ9" i="55"/>
  <c r="BZ1" i="2"/>
  <c r="BY12" i="42"/>
  <c r="BY32" i="55"/>
  <c r="BY15" i="55" l="1"/>
  <c r="BY5" i="2" s="1"/>
  <c r="BY23" i="42"/>
  <c r="BY60" i="42" s="1"/>
  <c r="BY34" i="42"/>
  <c r="BY52" i="42"/>
  <c r="BY70" i="42"/>
  <c r="BZ2" i="42"/>
  <c r="BZ88" i="42" s="1"/>
  <c r="BZ34" i="55"/>
  <c r="BZ23" i="55"/>
  <c r="BZ27" i="55"/>
  <c r="BZ28" i="55"/>
  <c r="BZ24" i="55"/>
  <c r="BZ31" i="55"/>
  <c r="BZ32" i="54"/>
  <c r="BZ30" i="55"/>
  <c r="CA5" i="55"/>
  <c r="CA6" i="55" s="1"/>
  <c r="BZ2" i="2"/>
  <c r="BY78" i="42" l="1"/>
  <c r="BY23" i="2"/>
  <c r="BY25" i="2"/>
  <c r="BY26" i="2"/>
  <c r="BY7" i="2"/>
  <c r="BY27" i="2"/>
  <c r="BY15" i="2"/>
  <c r="BY9" i="2"/>
  <c r="BY16" i="2"/>
  <c r="BY8" i="2"/>
  <c r="BY21" i="2"/>
  <c r="BY14" i="2"/>
  <c r="BY24" i="2"/>
  <c r="BY13" i="2"/>
  <c r="BY12" i="2"/>
  <c r="BY42" i="42"/>
  <c r="BZ32" i="55"/>
  <c r="BZ12" i="42"/>
  <c r="CA31" i="54"/>
  <c r="CA9" i="55"/>
  <c r="CA1" i="42"/>
  <c r="CA1" i="2"/>
  <c r="BZ10" i="55" l="1"/>
  <c r="BZ15" i="55" s="1"/>
  <c r="BZ5" i="2" s="1"/>
  <c r="CA10" i="55"/>
  <c r="Y74" i="29"/>
  <c r="BZ23" i="42"/>
  <c r="BZ78" i="42" s="1"/>
  <c r="CA2" i="42"/>
  <c r="CA88" i="42" s="1"/>
  <c r="CA32" i="54"/>
  <c r="CA34" i="55"/>
  <c r="CA2" i="2"/>
  <c r="CA28" i="55"/>
  <c r="CA31" i="55"/>
  <c r="CA30" i="55"/>
  <c r="CA23" i="55"/>
  <c r="CB5" i="55"/>
  <c r="CB6" i="55" s="1"/>
  <c r="CA27" i="55"/>
  <c r="CA24" i="55"/>
  <c r="BZ70" i="42"/>
  <c r="BZ52" i="42"/>
  <c r="BZ34" i="42"/>
  <c r="BZ24" i="2" l="1"/>
  <c r="BZ27" i="2"/>
  <c r="BZ8" i="2"/>
  <c r="BZ9" i="2"/>
  <c r="BZ25" i="2"/>
  <c r="BZ16" i="2"/>
  <c r="BZ14" i="2"/>
  <c r="BZ13" i="2"/>
  <c r="BZ21" i="2"/>
  <c r="BZ23" i="2"/>
  <c r="BZ15" i="2"/>
  <c r="BZ26" i="2"/>
  <c r="BZ7" i="2"/>
  <c r="BZ12" i="2"/>
  <c r="BZ60" i="42"/>
  <c r="BZ42" i="42"/>
  <c r="CB1" i="42"/>
  <c r="CB1" i="2"/>
  <c r="CB9" i="55"/>
  <c r="CB31" i="54"/>
  <c r="CA32" i="55"/>
  <c r="CA12" i="42"/>
  <c r="CA15" i="55" l="1"/>
  <c r="CA5" i="2" s="1"/>
  <c r="CA23" i="42"/>
  <c r="CA60" i="42" s="1"/>
  <c r="CA52" i="42"/>
  <c r="CA34" i="42"/>
  <c r="CA70" i="42"/>
  <c r="CB24" i="55"/>
  <c r="CB2" i="42"/>
  <c r="CB88" i="42" s="1"/>
  <c r="CB28" i="55"/>
  <c r="CB32" i="54"/>
  <c r="CB23" i="55"/>
  <c r="CB31" i="55"/>
  <c r="CB34" i="55"/>
  <c r="CB2" i="2"/>
  <c r="CB27" i="55"/>
  <c r="CB30" i="55"/>
  <c r="CC5" i="55"/>
  <c r="CC6" i="55" s="1"/>
  <c r="CA8" i="2" l="1"/>
  <c r="CA7" i="2"/>
  <c r="CA23" i="2"/>
  <c r="CA14" i="2"/>
  <c r="CA26" i="2"/>
  <c r="CA13" i="2"/>
  <c r="CA15" i="2"/>
  <c r="CA16" i="2"/>
  <c r="CA9" i="2"/>
  <c r="CA24" i="2"/>
  <c r="CA25" i="2"/>
  <c r="CA27" i="2"/>
  <c r="CA21" i="2"/>
  <c r="CA12" i="2"/>
  <c r="CA42" i="42"/>
  <c r="CA78" i="42"/>
  <c r="CB12" i="42"/>
  <c r="CB32" i="55"/>
  <c r="CC1" i="42"/>
  <c r="CC1" i="2"/>
  <c r="CC31" i="54"/>
  <c r="CC9" i="55"/>
  <c r="CC10" i="55" l="1"/>
  <c r="CB10" i="55"/>
  <c r="CB15" i="55" s="1"/>
  <c r="CB5" i="2" s="1"/>
  <c r="Z74" i="29"/>
  <c r="CB23" i="42"/>
  <c r="CB42" i="42" s="1"/>
  <c r="CC24" i="55"/>
  <c r="CC27" i="55"/>
  <c r="CD5" i="55"/>
  <c r="CD6" i="55" s="1"/>
  <c r="CC2" i="2"/>
  <c r="CC30" i="55"/>
  <c r="CC32" i="54"/>
  <c r="CC23" i="55"/>
  <c r="CC2" i="42"/>
  <c r="CC88" i="42" s="1"/>
  <c r="CC28" i="55"/>
  <c r="CC34" i="55"/>
  <c r="CC31" i="55"/>
  <c r="CB70" i="42"/>
  <c r="CB34" i="42"/>
  <c r="CB52" i="42"/>
  <c r="CB8" i="2" l="1"/>
  <c r="CB16" i="2"/>
  <c r="CB27" i="2"/>
  <c r="CB21" i="2"/>
  <c r="CB23" i="2"/>
  <c r="CB7" i="2"/>
  <c r="CB15" i="2"/>
  <c r="CB24" i="2"/>
  <c r="CB25" i="2"/>
  <c r="CB14" i="2"/>
  <c r="CB26" i="2"/>
  <c r="CB9" i="2"/>
  <c r="CB13" i="2"/>
  <c r="CB12" i="2"/>
  <c r="CB78" i="42"/>
  <c r="CB60" i="42"/>
  <c r="CD1" i="2"/>
  <c r="CD31" i="54"/>
  <c r="CD1" i="42"/>
  <c r="CD9" i="55"/>
  <c r="CC32" i="55"/>
  <c r="CC12" i="42"/>
  <c r="CC15" i="55" l="1"/>
  <c r="CC5" i="2" s="1"/>
  <c r="CC23" i="42"/>
  <c r="CC78" i="42" s="1"/>
  <c r="CC52" i="42"/>
  <c r="CC34" i="42"/>
  <c r="CC70" i="42"/>
  <c r="CD2" i="2"/>
  <c r="CD28" i="55"/>
  <c r="CD31" i="55"/>
  <c r="CD34" i="55"/>
  <c r="CD27" i="55"/>
  <c r="CD24" i="55"/>
  <c r="CE5" i="55"/>
  <c r="CE6" i="55" s="1"/>
  <c r="CD23" i="55"/>
  <c r="CD32" i="54"/>
  <c r="CD30" i="55"/>
  <c r="CD2" i="42"/>
  <c r="CD88" i="42" s="1"/>
  <c r="CC27" i="2" l="1"/>
  <c r="CC21" i="2"/>
  <c r="CC8" i="2"/>
  <c r="CC16" i="2"/>
  <c r="CC14" i="2"/>
  <c r="CC23" i="2"/>
  <c r="CC24" i="2"/>
  <c r="CC25" i="2"/>
  <c r="CC26" i="2"/>
  <c r="CC9" i="2"/>
  <c r="CC7" i="2"/>
  <c r="CC13" i="2"/>
  <c r="CC15" i="2"/>
  <c r="CC12" i="2"/>
  <c r="CC42" i="42"/>
  <c r="CC60" i="42"/>
  <c r="CE31" i="54"/>
  <c r="CE1" i="2"/>
  <c r="CE1" i="42"/>
  <c r="CE9" i="55"/>
  <c r="CD12" i="42"/>
  <c r="CD32" i="55"/>
  <c r="CE10" i="55" l="1"/>
  <c r="CD10" i="55"/>
  <c r="CD15" i="55" s="1"/>
  <c r="CD5" i="2" s="1"/>
  <c r="AA74" i="29"/>
  <c r="CD23" i="42"/>
  <c r="CD42" i="42" s="1"/>
  <c r="CD70" i="42"/>
  <c r="CD52" i="42"/>
  <c r="CD34" i="42"/>
  <c r="CE27" i="55"/>
  <c r="CE2" i="42"/>
  <c r="CE88" i="42" s="1"/>
  <c r="CE2" i="2"/>
  <c r="CE30" i="55"/>
  <c r="CE32" i="54"/>
  <c r="CE34" i="55"/>
  <c r="CE23" i="55"/>
  <c r="CE24" i="55"/>
  <c r="CE31" i="55"/>
  <c r="CE28" i="55"/>
  <c r="CF5" i="55"/>
  <c r="CF6" i="55" s="1"/>
  <c r="CD16" i="2" l="1"/>
  <c r="CD15" i="2"/>
  <c r="CD7" i="2"/>
  <c r="CD21" i="2"/>
  <c r="CD14" i="2"/>
  <c r="CD8" i="2"/>
  <c r="CD13" i="2"/>
  <c r="CD24" i="2"/>
  <c r="CD23" i="2"/>
  <c r="CD27" i="2"/>
  <c r="CD25" i="2"/>
  <c r="CD26" i="2"/>
  <c r="CD9" i="2"/>
  <c r="CD12" i="2"/>
  <c r="CD78" i="42"/>
  <c r="CD60" i="42"/>
  <c r="CF1" i="42"/>
  <c r="CF1" i="2"/>
  <c r="CF9" i="55"/>
  <c r="CF31" i="54"/>
  <c r="CE12" i="42"/>
  <c r="CE32" i="55"/>
  <c r="CE15" i="55" l="1"/>
  <c r="CE5" i="2" s="1"/>
  <c r="CE23" i="42"/>
  <c r="CE78" i="42" s="1"/>
  <c r="CE70" i="42"/>
  <c r="CE34" i="42"/>
  <c r="CE52" i="42"/>
  <c r="CF24" i="55"/>
  <c r="CF2" i="2"/>
  <c r="CF2" i="42"/>
  <c r="CF88" i="42" s="1"/>
  <c r="CG5" i="55"/>
  <c r="CG6" i="55" s="1"/>
  <c r="CF34" i="55"/>
  <c r="CF27" i="55"/>
  <c r="CF28" i="55"/>
  <c r="CF30" i="55"/>
  <c r="CF23" i="55"/>
  <c r="CF31" i="55"/>
  <c r="CF32" i="54"/>
  <c r="CE60" i="42" l="1"/>
  <c r="CE42" i="42"/>
  <c r="CE24" i="2"/>
  <c r="CE13" i="2"/>
  <c r="CE27" i="2"/>
  <c r="CE8" i="2"/>
  <c r="CE26" i="2"/>
  <c r="CE25" i="2"/>
  <c r="CE16" i="2"/>
  <c r="CE7" i="2"/>
  <c r="CE23" i="2"/>
  <c r="CE15" i="2"/>
  <c r="CE21" i="2"/>
  <c r="CE9" i="2"/>
  <c r="CE14" i="2"/>
  <c r="CE12" i="2"/>
  <c r="CG31" i="54"/>
  <c r="CG1" i="42"/>
  <c r="CG9" i="55"/>
  <c r="CG1" i="2"/>
  <c r="CF12" i="42"/>
  <c r="CF32" i="55"/>
  <c r="CG10" i="55" l="1"/>
  <c r="CF10" i="55"/>
  <c r="CF15" i="55" s="1"/>
  <c r="CF5" i="2" s="1"/>
  <c r="AB74" i="29"/>
  <c r="CF23" i="42"/>
  <c r="CF42" i="42" s="1"/>
  <c r="CG23" i="55"/>
  <c r="CG24" i="55"/>
  <c r="CG2" i="2"/>
  <c r="CG2" i="42"/>
  <c r="CG88" i="42" s="1"/>
  <c r="CG31" i="55"/>
  <c r="CG34" i="55"/>
  <c r="CG28" i="55"/>
  <c r="CG32" i="54"/>
  <c r="CH5" i="55"/>
  <c r="CH6" i="55" s="1"/>
  <c r="CG30" i="55"/>
  <c r="CG27" i="55"/>
  <c r="CF70" i="42"/>
  <c r="CF52" i="42"/>
  <c r="CF34" i="42"/>
  <c r="CF23" i="2" l="1"/>
  <c r="CF8" i="2"/>
  <c r="CF16" i="2"/>
  <c r="CF21" i="2"/>
  <c r="CF13" i="2"/>
  <c r="CF14" i="2"/>
  <c r="CF15" i="2"/>
  <c r="CF7" i="2"/>
  <c r="CF24" i="2"/>
  <c r="CF25" i="2"/>
  <c r="CF9" i="2"/>
  <c r="CF26" i="2"/>
  <c r="CF27" i="2"/>
  <c r="CF12" i="2"/>
  <c r="CF60" i="42"/>
  <c r="CF78" i="42"/>
  <c r="CH1" i="2"/>
  <c r="CH9" i="55"/>
  <c r="CH31" i="54"/>
  <c r="CH1" i="42"/>
  <c r="CG12" i="42"/>
  <c r="CG32" i="55"/>
  <c r="CG15" i="55" l="1"/>
  <c r="CG5" i="2" s="1"/>
  <c r="CG23" i="42"/>
  <c r="CG42" i="42" s="1"/>
  <c r="CH28" i="55"/>
  <c r="CH27" i="55"/>
  <c r="CI5" i="55"/>
  <c r="CI6" i="55" s="1"/>
  <c r="CH2" i="2"/>
  <c r="CH23" i="55"/>
  <c r="CH30" i="55"/>
  <c r="CH24" i="55"/>
  <c r="CH34" i="55"/>
  <c r="CH32" i="54"/>
  <c r="CH2" i="42"/>
  <c r="CH88" i="42" s="1"/>
  <c r="CH31" i="55"/>
  <c r="CG34" i="42"/>
  <c r="CG70" i="42"/>
  <c r="CG52" i="42"/>
  <c r="CG9" i="2" l="1"/>
  <c r="CG8" i="2"/>
  <c r="CG16" i="2"/>
  <c r="CG13" i="2"/>
  <c r="CG25" i="2"/>
  <c r="CG26" i="2"/>
  <c r="CG27" i="2"/>
  <c r="CG7" i="2"/>
  <c r="CG21" i="2"/>
  <c r="CG14" i="2"/>
  <c r="CG15" i="2"/>
  <c r="CG23" i="2"/>
  <c r="CG24" i="2"/>
  <c r="CG12" i="2"/>
  <c r="CG60" i="42"/>
  <c r="CG78" i="42"/>
  <c r="CI31" i="54"/>
  <c r="CI9" i="55"/>
  <c r="CI1" i="42"/>
  <c r="CI1" i="2"/>
  <c r="CH12" i="42"/>
  <c r="CH32" i="55"/>
  <c r="CH10" i="55" l="1"/>
  <c r="CH15" i="55" s="1"/>
  <c r="CH5" i="2" s="1"/>
  <c r="CI10" i="55"/>
  <c r="AC74" i="29"/>
  <c r="CH23" i="42"/>
  <c r="CH60" i="42" s="1"/>
  <c r="CI34" i="55"/>
  <c r="CI2" i="42"/>
  <c r="CI88" i="42" s="1"/>
  <c r="CI2" i="2"/>
  <c r="CI30" i="55"/>
  <c r="CI31" i="55"/>
  <c r="CI27" i="55"/>
  <c r="CI23" i="55"/>
  <c r="CI24" i="55"/>
  <c r="CJ5" i="55"/>
  <c r="CJ6" i="55" s="1"/>
  <c r="CI28" i="55"/>
  <c r="CI32" i="54"/>
  <c r="CH34" i="42"/>
  <c r="CH52" i="42"/>
  <c r="CH70" i="42"/>
  <c r="CH9" i="2" l="1"/>
  <c r="CH7" i="2"/>
  <c r="CH15" i="2"/>
  <c r="CH24" i="2"/>
  <c r="CH27" i="2"/>
  <c r="CH14" i="2"/>
  <c r="CH16" i="2"/>
  <c r="CH23" i="2"/>
  <c r="CH13" i="2"/>
  <c r="CH8" i="2"/>
  <c r="CH25" i="2"/>
  <c r="CH21" i="2"/>
  <c r="CH26" i="2"/>
  <c r="CH12" i="2"/>
  <c r="CH42" i="42"/>
  <c r="CH78" i="42"/>
  <c r="CJ1" i="2"/>
  <c r="CJ9" i="55"/>
  <c r="CJ1" i="42"/>
  <c r="CJ31" i="54"/>
  <c r="CI32" i="55"/>
  <c r="CI12" i="42"/>
  <c r="CI15" i="55" l="1"/>
  <c r="CI5" i="2" s="1"/>
  <c r="CI23" i="42"/>
  <c r="CI42" i="42" s="1"/>
  <c r="CI52" i="42"/>
  <c r="CI70" i="42"/>
  <c r="CI34" i="42"/>
  <c r="CJ28" i="55"/>
  <c r="CJ2" i="42"/>
  <c r="CJ88" i="42" s="1"/>
  <c r="CJ31" i="55"/>
  <c r="CJ24" i="55"/>
  <c r="CJ27" i="55"/>
  <c r="CJ2" i="2"/>
  <c r="CK5" i="55"/>
  <c r="CK6" i="55" s="1"/>
  <c r="CJ32" i="54"/>
  <c r="CJ23" i="55"/>
  <c r="CJ30" i="55"/>
  <c r="CJ34" i="55"/>
  <c r="CI15" i="2" l="1"/>
  <c r="CI27" i="2"/>
  <c r="CI16" i="2"/>
  <c r="CI14" i="2"/>
  <c r="CI23" i="2"/>
  <c r="CI9" i="2"/>
  <c r="CI26" i="2"/>
  <c r="CI8" i="2"/>
  <c r="CI13" i="2"/>
  <c r="CI7" i="2"/>
  <c r="CI25" i="2"/>
  <c r="CI21" i="2"/>
  <c r="CI24" i="2"/>
  <c r="CI12" i="2"/>
  <c r="CI78" i="42"/>
  <c r="CI60" i="42"/>
  <c r="CJ12" i="42"/>
  <c r="CJ32" i="55"/>
  <c r="CK9" i="55"/>
  <c r="CK1" i="2"/>
  <c r="CK1" i="42"/>
  <c r="CK31" i="54"/>
  <c r="CK10" i="55" l="1"/>
  <c r="CJ10" i="55"/>
  <c r="CJ15" i="55" s="1"/>
  <c r="CJ5" i="2" s="1"/>
  <c r="CJ23" i="42"/>
  <c r="CJ78" i="42" s="1"/>
  <c r="CK28" i="55"/>
  <c r="CK2" i="2"/>
  <c r="CK23" i="55"/>
  <c r="CK30" i="55"/>
  <c r="CK31" i="55"/>
  <c r="CK27" i="55"/>
  <c r="CK2" i="42"/>
  <c r="CK88" i="42" s="1"/>
  <c r="CK34" i="55"/>
  <c r="CK32" i="54"/>
  <c r="CK24" i="55"/>
  <c r="CL5" i="55"/>
  <c r="CL6" i="55" s="1"/>
  <c r="CJ70" i="42"/>
  <c r="CJ52" i="42"/>
  <c r="CJ34" i="42"/>
  <c r="CJ42" i="42" l="1"/>
  <c r="CJ16" i="2"/>
  <c r="CJ15" i="2"/>
  <c r="CJ25" i="2"/>
  <c r="CJ23" i="2"/>
  <c r="CJ26" i="2"/>
  <c r="CJ9" i="2"/>
  <c r="CJ24" i="2"/>
  <c r="CJ27" i="2"/>
  <c r="CJ8" i="2"/>
  <c r="CJ13" i="2"/>
  <c r="CJ21" i="2"/>
  <c r="CJ14" i="2"/>
  <c r="CJ7" i="2"/>
  <c r="CJ12" i="2"/>
  <c r="CJ60" i="42"/>
  <c r="CK32" i="55"/>
  <c r="CK12" i="42"/>
  <c r="CL1" i="2"/>
  <c r="CL1" i="42"/>
  <c r="CL9" i="55"/>
  <c r="CL31" i="54"/>
  <c r="CK15" i="55" l="1"/>
  <c r="CK5" i="2" s="1"/>
  <c r="CK23" i="42"/>
  <c r="CK42" i="42" s="1"/>
  <c r="CL27" i="55"/>
  <c r="CL23" i="55"/>
  <c r="CM5" i="55"/>
  <c r="CM6" i="55" s="1"/>
  <c r="CL30" i="55"/>
  <c r="CL32" i="54"/>
  <c r="CL24" i="55"/>
  <c r="CL2" i="2"/>
  <c r="CL2" i="42"/>
  <c r="CL88" i="42" s="1"/>
  <c r="CL34" i="55"/>
  <c r="CL28" i="55"/>
  <c r="CL31" i="55"/>
  <c r="CK52" i="42"/>
  <c r="CK34" i="42"/>
  <c r="CK70" i="42"/>
  <c r="CK21" i="2" l="1"/>
  <c r="CK24" i="2"/>
  <c r="CK23" i="2"/>
  <c r="CK26" i="2"/>
  <c r="CK27" i="2"/>
  <c r="CK13" i="2"/>
  <c r="CK15" i="2"/>
  <c r="CK25" i="2"/>
  <c r="CK14" i="2"/>
  <c r="CK9" i="2"/>
  <c r="CK8" i="2"/>
  <c r="CK7" i="2"/>
  <c r="CK16" i="2"/>
  <c r="CK12" i="2"/>
  <c r="CK78" i="42"/>
  <c r="CK60" i="42"/>
  <c r="CM1" i="42"/>
  <c r="CM9" i="55"/>
  <c r="CM1" i="2"/>
  <c r="CM31" i="54"/>
  <c r="CL12" i="42"/>
  <c r="CL32" i="55"/>
  <c r="CM10" i="55" l="1"/>
  <c r="CL10" i="55"/>
  <c r="CL15" i="55" s="1"/>
  <c r="CL5" i="2" s="1"/>
  <c r="CL23" i="42"/>
  <c r="CL60" i="42" s="1"/>
  <c r="CL70" i="42"/>
  <c r="CL52" i="42"/>
  <c r="CL34" i="42"/>
  <c r="CM27" i="55"/>
  <c r="CM23" i="55"/>
  <c r="CM30" i="55"/>
  <c r="CN5" i="55"/>
  <c r="CN6" i="55" s="1"/>
  <c r="CM2" i="42"/>
  <c r="CM88" i="42" s="1"/>
  <c r="CM28" i="55"/>
  <c r="CM32" i="54"/>
  <c r="CM2" i="2"/>
  <c r="CM34" i="55"/>
  <c r="CM24" i="55"/>
  <c r="CM31" i="55"/>
  <c r="CL78" i="42" l="1"/>
  <c r="CL7" i="2"/>
  <c r="CL23" i="2"/>
  <c r="CL27" i="2"/>
  <c r="CL16" i="2"/>
  <c r="CL26" i="2"/>
  <c r="CL13" i="2"/>
  <c r="CL15" i="2"/>
  <c r="CL14" i="2"/>
  <c r="CL24" i="2"/>
  <c r="CL21" i="2"/>
  <c r="CL9" i="2"/>
  <c r="CL25" i="2"/>
  <c r="CL8" i="2"/>
  <c r="CL12" i="2"/>
  <c r="CL42" i="42"/>
  <c r="CN9" i="55"/>
  <c r="CN1" i="2"/>
  <c r="CN31" i="54"/>
  <c r="CN1" i="42"/>
  <c r="CM32" i="55"/>
  <c r="CM12" i="42"/>
  <c r="CM15" i="55" l="1"/>
  <c r="CM5" i="2" s="1"/>
  <c r="CM23" i="42"/>
  <c r="CM60" i="42" s="1"/>
  <c r="CM52" i="42"/>
  <c r="CM70" i="42"/>
  <c r="CM34" i="42"/>
  <c r="CN28" i="55"/>
  <c r="CN2" i="2"/>
  <c r="CN34" i="55"/>
  <c r="CO5" i="55"/>
  <c r="CO6" i="55" s="1"/>
  <c r="CN23" i="55"/>
  <c r="CN2" i="42"/>
  <c r="CN88" i="42" s="1"/>
  <c r="CN24" i="55"/>
  <c r="CN30" i="55"/>
  <c r="CN31" i="55"/>
  <c r="CN27" i="55"/>
  <c r="CN32" i="54"/>
  <c r="CM27" i="2" l="1"/>
  <c r="CM8" i="2"/>
  <c r="CM21" i="2"/>
  <c r="CM7" i="2"/>
  <c r="CM9" i="2"/>
  <c r="CM15" i="2"/>
  <c r="CM24" i="2"/>
  <c r="CM14" i="2"/>
  <c r="CM23" i="2"/>
  <c r="CM26" i="2"/>
  <c r="CM16" i="2"/>
  <c r="CM13" i="2"/>
  <c r="CM25" i="2"/>
  <c r="CM12" i="2"/>
  <c r="CM42" i="42"/>
  <c r="CM78" i="42"/>
  <c r="CN12" i="42"/>
  <c r="CN32" i="55"/>
  <c r="CO1" i="42"/>
  <c r="CO31" i="54"/>
  <c r="CO9" i="55"/>
  <c r="CO1" i="2"/>
  <c r="CO10" i="55" l="1"/>
  <c r="CN10" i="55"/>
  <c r="CN15" i="55" s="1"/>
  <c r="CN5" i="2" s="1"/>
  <c r="CN23" i="42"/>
  <c r="CN60" i="42" s="1"/>
  <c r="CO28" i="55"/>
  <c r="CO32" i="54"/>
  <c r="CO27" i="55"/>
  <c r="CO2" i="42"/>
  <c r="CO88" i="42" s="1"/>
  <c r="CO30" i="55"/>
  <c r="CO34" i="55"/>
  <c r="CO31" i="55"/>
  <c r="CO23" i="55"/>
  <c r="CO24" i="55"/>
  <c r="CO2" i="2"/>
  <c r="CP5" i="55"/>
  <c r="CP6" i="55" s="1"/>
  <c r="CN34" i="42"/>
  <c r="CN70" i="42"/>
  <c r="CN52" i="42"/>
  <c r="CN23" i="2" l="1"/>
  <c r="CN13" i="2"/>
  <c r="CN25" i="2"/>
  <c r="CN7" i="2"/>
  <c r="CN8" i="2"/>
  <c r="CN9" i="2"/>
  <c r="CN24" i="2"/>
  <c r="CN27" i="2"/>
  <c r="CN21" i="2"/>
  <c r="CN16" i="2"/>
  <c r="CN26" i="2"/>
  <c r="CN15" i="2"/>
  <c r="CN14" i="2"/>
  <c r="CN12" i="2"/>
  <c r="CN78" i="42"/>
  <c r="CN42" i="42"/>
  <c r="CO12" i="42"/>
  <c r="CO32" i="55"/>
  <c r="CP1" i="2"/>
  <c r="CP31" i="54"/>
  <c r="CP9" i="55"/>
  <c r="CP1" i="42"/>
  <c r="CO15" i="55" l="1"/>
  <c r="CO5" i="2" s="1"/>
  <c r="CO23" i="42"/>
  <c r="CO78" i="42" s="1"/>
  <c r="CO52" i="42"/>
  <c r="CO70" i="42"/>
  <c r="CO34" i="42"/>
  <c r="CP24" i="55"/>
  <c r="CP32" i="54"/>
  <c r="CP31" i="55"/>
  <c r="CP30" i="55"/>
  <c r="CP27" i="55"/>
  <c r="CQ5" i="55"/>
  <c r="CQ6" i="55" s="1"/>
  <c r="CP23" i="55"/>
  <c r="CP2" i="42"/>
  <c r="CP88" i="42" s="1"/>
  <c r="CP28" i="55"/>
  <c r="CP2" i="2"/>
  <c r="CP34" i="55"/>
  <c r="CO21" i="2" l="1"/>
  <c r="CO16" i="2"/>
  <c r="CO15" i="2"/>
  <c r="CO7" i="2"/>
  <c r="CO24" i="2"/>
  <c r="CO14" i="2"/>
  <c r="CO25" i="2"/>
  <c r="CO26" i="2"/>
  <c r="CO13" i="2"/>
  <c r="CO8" i="2"/>
  <c r="CO9" i="2"/>
  <c r="CO23" i="2"/>
  <c r="CO27" i="2"/>
  <c r="CO12" i="2"/>
  <c r="CO60" i="42"/>
  <c r="CO42" i="42"/>
  <c r="CP32" i="55"/>
  <c r="CP12" i="42"/>
  <c r="CQ1" i="42"/>
  <c r="CQ1" i="2"/>
  <c r="CQ31" i="54"/>
  <c r="CQ9" i="55"/>
  <c r="CP10" i="55" l="1"/>
  <c r="CP15" i="55" s="1"/>
  <c r="CP5" i="2" s="1"/>
  <c r="CQ10" i="55"/>
  <c r="CP23" i="42"/>
  <c r="CP42" i="42" s="1"/>
  <c r="CQ34" i="55"/>
  <c r="CQ2" i="2"/>
  <c r="CQ28" i="55"/>
  <c r="CQ24" i="55"/>
  <c r="CQ27" i="55"/>
  <c r="CQ2" i="42"/>
  <c r="CQ88" i="42" s="1"/>
  <c r="CQ30" i="55"/>
  <c r="CQ32" i="54"/>
  <c r="CQ31" i="55"/>
  <c r="CR5" i="55"/>
  <c r="CR6" i="55" s="1"/>
  <c r="CQ23" i="55"/>
  <c r="CP70" i="42"/>
  <c r="CP52" i="42"/>
  <c r="CP34" i="42"/>
  <c r="CP9" i="2" l="1"/>
  <c r="CP7" i="2"/>
  <c r="CP24" i="2"/>
  <c r="CP15" i="2"/>
  <c r="CP25" i="2"/>
  <c r="CP16" i="2"/>
  <c r="CP13" i="2"/>
  <c r="CP23" i="2"/>
  <c r="CP26" i="2"/>
  <c r="CP21" i="2"/>
  <c r="CP14" i="2"/>
  <c r="CP8" i="2"/>
  <c r="CP27" i="2"/>
  <c r="CP12" i="2"/>
  <c r="CP78" i="42"/>
  <c r="CP60" i="42"/>
  <c r="CR1" i="2"/>
  <c r="CR1" i="42"/>
  <c r="CR9" i="55"/>
  <c r="CR31" i="54"/>
  <c r="CQ12" i="42"/>
  <c r="CQ32" i="55"/>
  <c r="CQ15" i="55" l="1"/>
  <c r="CQ5" i="2" s="1"/>
  <c r="CQ23" i="42"/>
  <c r="CQ42" i="42" s="1"/>
  <c r="CQ52" i="42"/>
  <c r="CQ70" i="42"/>
  <c r="CQ34" i="42"/>
  <c r="CR32" i="54"/>
  <c r="CR27" i="55"/>
  <c r="CR30" i="55"/>
  <c r="CR31" i="55"/>
  <c r="CR24" i="55"/>
  <c r="CR28" i="55"/>
  <c r="CR2" i="2"/>
  <c r="CR2" i="42"/>
  <c r="CR88" i="42" s="1"/>
  <c r="CR23" i="55"/>
  <c r="CR34" i="55"/>
  <c r="CS5" i="55"/>
  <c r="CS6" i="55" s="1"/>
  <c r="CQ15" i="2" l="1"/>
  <c r="CQ7" i="2"/>
  <c r="CQ26" i="2"/>
  <c r="CQ21" i="2"/>
  <c r="CQ25" i="2"/>
  <c r="CQ14" i="2"/>
  <c r="CQ23" i="2"/>
  <c r="CQ27" i="2"/>
  <c r="CQ9" i="2"/>
  <c r="CQ13" i="2"/>
  <c r="CQ24" i="2"/>
  <c r="CQ8" i="2"/>
  <c r="CQ16" i="2"/>
  <c r="CQ12" i="2"/>
  <c r="CQ60" i="42"/>
  <c r="CQ78" i="42"/>
  <c r="CS1" i="2"/>
  <c r="CS31" i="54"/>
  <c r="CS1" i="42"/>
  <c r="CS9" i="55"/>
  <c r="CR32" i="55"/>
  <c r="CR12" i="42"/>
  <c r="CS10" i="55" l="1"/>
  <c r="CR10" i="55"/>
  <c r="CR15" i="55" s="1"/>
  <c r="CR5" i="2" s="1"/>
  <c r="CR23" i="42"/>
  <c r="CR60" i="42" s="1"/>
  <c r="CR52" i="42"/>
  <c r="CR34" i="42"/>
  <c r="CR70" i="42"/>
  <c r="CS27" i="55"/>
  <c r="CS28" i="55"/>
  <c r="CS32" i="54"/>
  <c r="CS23" i="55"/>
  <c r="CS34" i="55"/>
  <c r="CS2" i="2"/>
  <c r="CS31" i="55"/>
  <c r="CS24" i="55"/>
  <c r="CS30" i="55"/>
  <c r="CS2" i="42"/>
  <c r="CS88" i="42" s="1"/>
  <c r="CT5" i="55"/>
  <c r="CT6" i="55" s="1"/>
  <c r="CR9" i="2" l="1"/>
  <c r="CR8" i="2"/>
  <c r="CR16" i="2"/>
  <c r="CR15" i="2"/>
  <c r="CR14" i="2"/>
  <c r="CR13" i="2"/>
  <c r="CR27" i="2"/>
  <c r="CR21" i="2"/>
  <c r="CR26" i="2"/>
  <c r="CR25" i="2"/>
  <c r="CR23" i="2"/>
  <c r="CR24" i="2"/>
  <c r="CR7" i="2"/>
  <c r="CR12" i="2"/>
  <c r="CR78" i="42"/>
  <c r="CR42" i="42"/>
  <c r="CS12" i="42"/>
  <c r="CS32" i="55"/>
  <c r="CT31" i="54"/>
  <c r="CT1" i="2"/>
  <c r="CT1" i="42"/>
  <c r="CT9" i="55"/>
  <c r="CS15" i="55" l="1"/>
  <c r="CS5" i="2" s="1"/>
  <c r="CS23" i="42"/>
  <c r="CS60" i="42" s="1"/>
  <c r="CT24" i="55"/>
  <c r="CT28" i="55"/>
  <c r="CT32" i="54"/>
  <c r="CT31" i="55"/>
  <c r="CT34" i="55"/>
  <c r="CT27" i="55"/>
  <c r="CT23" i="55"/>
  <c r="CT30" i="55"/>
  <c r="CU5" i="55"/>
  <c r="CU6" i="55" s="1"/>
  <c r="CT2" i="42"/>
  <c r="CT88" i="42" s="1"/>
  <c r="CT2" i="2"/>
  <c r="CS70" i="42"/>
  <c r="CS52" i="42"/>
  <c r="CS34" i="42"/>
  <c r="CS42" i="42" l="1"/>
  <c r="CS14" i="2"/>
  <c r="CS8" i="2"/>
  <c r="CS27" i="2"/>
  <c r="CS9" i="2"/>
  <c r="CS21" i="2"/>
  <c r="CS23" i="2"/>
  <c r="CS7" i="2"/>
  <c r="CS24" i="2"/>
  <c r="CS13" i="2"/>
  <c r="CS16" i="2"/>
  <c r="CS25" i="2"/>
  <c r="CS26" i="2"/>
  <c r="CS15" i="2"/>
  <c r="CS12" i="2"/>
  <c r="CS78" i="42"/>
  <c r="CT32" i="55"/>
  <c r="CT12" i="42"/>
  <c r="CU1" i="42"/>
  <c r="CU1" i="2"/>
  <c r="CU31" i="54"/>
  <c r="CU9" i="55"/>
  <c r="CU10" i="55" l="1"/>
  <c r="CT10" i="55"/>
  <c r="CT15" i="55" s="1"/>
  <c r="CT5" i="2" s="1"/>
  <c r="CT23" i="42"/>
  <c r="CT78" i="42" s="1"/>
  <c r="CT34" i="42"/>
  <c r="CT70" i="42"/>
  <c r="CT52" i="42"/>
  <c r="CU30" i="55"/>
  <c r="CU32" i="54"/>
  <c r="CU28" i="55"/>
  <c r="CU2" i="42"/>
  <c r="CU88" i="42" s="1"/>
  <c r="CU2" i="2"/>
  <c r="CV5" i="55"/>
  <c r="CV6" i="55" s="1"/>
  <c r="CU23" i="55"/>
  <c r="CU34" i="55"/>
  <c r="CU31" i="55"/>
  <c r="CU24" i="55"/>
  <c r="CU27" i="55"/>
  <c r="CT14" i="2" l="1"/>
  <c r="CT24" i="2"/>
  <c r="CT26" i="2"/>
  <c r="CT16" i="2"/>
  <c r="CT13" i="2"/>
  <c r="CT25" i="2"/>
  <c r="CT8" i="2"/>
  <c r="CT23" i="2"/>
  <c r="CT15" i="2"/>
  <c r="CT9" i="2"/>
  <c r="CT21" i="2"/>
  <c r="CT7" i="2"/>
  <c r="CT27" i="2"/>
  <c r="CT12" i="2"/>
  <c r="CT60" i="42"/>
  <c r="CT42" i="42"/>
  <c r="CU12" i="42"/>
  <c r="CU32" i="55"/>
  <c r="CV31" i="54"/>
  <c r="CV1" i="42"/>
  <c r="CV1" i="2"/>
  <c r="CV9" i="55"/>
  <c r="CU15" i="55" l="1"/>
  <c r="CU5" i="2" s="1"/>
  <c r="CU23" i="42"/>
  <c r="CU42" i="42" s="1"/>
  <c r="CU70" i="42"/>
  <c r="CU52" i="42"/>
  <c r="CU34" i="42"/>
  <c r="CV28" i="55"/>
  <c r="CV24" i="55"/>
  <c r="CV34" i="55"/>
  <c r="CV27" i="55"/>
  <c r="CV30" i="55"/>
  <c r="CV31" i="55"/>
  <c r="CV2" i="42"/>
  <c r="CV88" i="42" s="1"/>
  <c r="CV23" i="55"/>
  <c r="CW5" i="55"/>
  <c r="CW6" i="55" s="1"/>
  <c r="CV32" i="54"/>
  <c r="CV2" i="2"/>
  <c r="CU24" i="2" l="1"/>
  <c r="CU27" i="2"/>
  <c r="CU13" i="2"/>
  <c r="CU14" i="2"/>
  <c r="CU8" i="2"/>
  <c r="CU23" i="2"/>
  <c r="CU26" i="2"/>
  <c r="CU9" i="2"/>
  <c r="CU15" i="2"/>
  <c r="CU7" i="2"/>
  <c r="CU21" i="2"/>
  <c r="CU25" i="2"/>
  <c r="CU16" i="2"/>
  <c r="CU12" i="2"/>
  <c r="CU78" i="42"/>
  <c r="CU60" i="42"/>
  <c r="CW9" i="55"/>
  <c r="CW1" i="2"/>
  <c r="CW31" i="54"/>
  <c r="CW1" i="42"/>
  <c r="CV32" i="55"/>
  <c r="CV12" i="42"/>
  <c r="CW10" i="55" l="1"/>
  <c r="CV10" i="55"/>
  <c r="CV15" i="55" s="1"/>
  <c r="CV5" i="2" s="1"/>
  <c r="CV23" i="42"/>
  <c r="CV60" i="42" s="1"/>
  <c r="CW30" i="55"/>
  <c r="CW32" i="54"/>
  <c r="CW24" i="55"/>
  <c r="CW31" i="55"/>
  <c r="CW28" i="55"/>
  <c r="CW27" i="55"/>
  <c r="CW2" i="42"/>
  <c r="CW88" i="42" s="1"/>
  <c r="CW34" i="55"/>
  <c r="CW23" i="55"/>
  <c r="CW2" i="2"/>
  <c r="CX5" i="55"/>
  <c r="CX6" i="55" s="1"/>
  <c r="CV52" i="42"/>
  <c r="CV34" i="42"/>
  <c r="CV70" i="42"/>
  <c r="CV78" i="42" l="1"/>
  <c r="CV9" i="2"/>
  <c r="CV16" i="2"/>
  <c r="CV21" i="2"/>
  <c r="CV15" i="2"/>
  <c r="CV7" i="2"/>
  <c r="CV13" i="2"/>
  <c r="CV24" i="2"/>
  <c r="CV8" i="2"/>
  <c r="CV23" i="2"/>
  <c r="CV27" i="2"/>
  <c r="CV26" i="2"/>
  <c r="CV25" i="2"/>
  <c r="CV14" i="2"/>
  <c r="CV12" i="2"/>
  <c r="CV42" i="42"/>
  <c r="CW32" i="55"/>
  <c r="CW12" i="42"/>
  <c r="CX1" i="42"/>
  <c r="CX9" i="55"/>
  <c r="CX31" i="54"/>
  <c r="CX1" i="2"/>
  <c r="CW15" i="55" l="1"/>
  <c r="CW5" i="2" s="1"/>
  <c r="CW23" i="42"/>
  <c r="CW42" i="42" s="1"/>
  <c r="CX27" i="55"/>
  <c r="CY5" i="55"/>
  <c r="CY6" i="55" s="1"/>
  <c r="CX24" i="55"/>
  <c r="CX30" i="55"/>
  <c r="CX23" i="55"/>
  <c r="CX34" i="55"/>
  <c r="CX32" i="54"/>
  <c r="CX31" i="55"/>
  <c r="CX2" i="2"/>
  <c r="CX28" i="55"/>
  <c r="CX2" i="42"/>
  <c r="CX88" i="42" s="1"/>
  <c r="CW52" i="42"/>
  <c r="CW34" i="42"/>
  <c r="CW70" i="42"/>
  <c r="CW27" i="2" l="1"/>
  <c r="CW21" i="2"/>
  <c r="CW15" i="2"/>
  <c r="CW7" i="2"/>
  <c r="CW13" i="2"/>
  <c r="CW8" i="2"/>
  <c r="CW16" i="2"/>
  <c r="CW24" i="2"/>
  <c r="CW9" i="2"/>
  <c r="CW14" i="2"/>
  <c r="CW26" i="2"/>
  <c r="CW25" i="2"/>
  <c r="CW23" i="2"/>
  <c r="CW12" i="2"/>
  <c r="CW60" i="42"/>
  <c r="CW78" i="42"/>
  <c r="CX12" i="42"/>
  <c r="CX32" i="55"/>
  <c r="CY9" i="55"/>
  <c r="CY1" i="2"/>
  <c r="CY31" i="54"/>
  <c r="CY1" i="42"/>
  <c r="CX10" i="55" l="1"/>
  <c r="CX15" i="55" s="1"/>
  <c r="CX5" i="2" s="1"/>
  <c r="CY10" i="55"/>
  <c r="CX23" i="42"/>
  <c r="CX60" i="42" s="1"/>
  <c r="CY32" i="54"/>
  <c r="CY2" i="2"/>
  <c r="CY28" i="55"/>
  <c r="CZ5" i="55"/>
  <c r="CZ6" i="55" s="1"/>
  <c r="CY2" i="42"/>
  <c r="CY88" i="42" s="1"/>
  <c r="CY34" i="55"/>
  <c r="CY24" i="55"/>
  <c r="CY31" i="55"/>
  <c r="CY27" i="55"/>
  <c r="CY23" i="55"/>
  <c r="CY30" i="55"/>
  <c r="CX52" i="42"/>
  <c r="CX70" i="42"/>
  <c r="CX34" i="42"/>
  <c r="CX27" i="2" l="1"/>
  <c r="CX7" i="2"/>
  <c r="CX25" i="2"/>
  <c r="CX8" i="2"/>
  <c r="CX9" i="2"/>
  <c r="CX23" i="2"/>
  <c r="CX26" i="2"/>
  <c r="CX21" i="2"/>
  <c r="CX24" i="2"/>
  <c r="CX13" i="2"/>
  <c r="CX14" i="2"/>
  <c r="CX16" i="2"/>
  <c r="CX15" i="2"/>
  <c r="CX12" i="2"/>
  <c r="CX42" i="42"/>
  <c r="CX78" i="42"/>
  <c r="CY32" i="55"/>
  <c r="CY12" i="42"/>
  <c r="CZ1" i="42"/>
  <c r="CZ31" i="54"/>
  <c r="CZ9" i="55"/>
  <c r="CZ1" i="2"/>
  <c r="CY15" i="55" l="1"/>
  <c r="CY5" i="2" s="1"/>
  <c r="CY23" i="42"/>
  <c r="CY42" i="42" s="1"/>
  <c r="CZ28" i="55"/>
  <c r="CZ23" i="55"/>
  <c r="CZ32" i="54"/>
  <c r="CZ30" i="55"/>
  <c r="CZ2" i="2"/>
  <c r="CZ31" i="55"/>
  <c r="DA5" i="55"/>
  <c r="DA6" i="55" s="1"/>
  <c r="CZ24" i="55"/>
  <c r="CZ34" i="55"/>
  <c r="CZ2" i="42"/>
  <c r="CZ88" i="42" s="1"/>
  <c r="CZ27" i="55"/>
  <c r="CY34" i="42"/>
  <c r="CY70" i="42"/>
  <c r="CY52" i="42"/>
  <c r="CY27" i="2" l="1"/>
  <c r="CY9" i="2"/>
  <c r="CY8" i="2"/>
  <c r="CY25" i="2"/>
  <c r="CY15" i="2"/>
  <c r="CY24" i="2"/>
  <c r="CY23" i="2"/>
  <c r="CY21" i="2"/>
  <c r="CY13" i="2"/>
  <c r="CY16" i="2"/>
  <c r="CY7" i="2"/>
  <c r="CY14" i="2"/>
  <c r="CY26" i="2"/>
  <c r="CY12" i="2"/>
  <c r="CY78" i="42"/>
  <c r="CY60" i="42"/>
  <c r="DA1" i="2"/>
  <c r="DA1" i="42"/>
  <c r="DA31" i="54"/>
  <c r="DA9" i="55"/>
  <c r="CZ32" i="55"/>
  <c r="CZ12" i="42"/>
  <c r="DA10" i="55" l="1"/>
  <c r="CZ10" i="55"/>
  <c r="CZ15" i="55" s="1"/>
  <c r="CZ5" i="2" s="1"/>
  <c r="CZ23" i="42"/>
  <c r="CZ78" i="42" s="1"/>
  <c r="CZ52" i="42"/>
  <c r="CZ70" i="42"/>
  <c r="CZ34" i="42"/>
  <c r="DA30" i="55"/>
  <c r="DA34" i="55"/>
  <c r="DA32" i="54"/>
  <c r="DA23" i="55"/>
  <c r="DA24" i="55"/>
  <c r="DA2" i="2"/>
  <c r="DA2" i="42"/>
  <c r="DA88" i="42" s="1"/>
  <c r="DB5" i="55"/>
  <c r="DB6" i="55" s="1"/>
  <c r="DA27" i="55"/>
  <c r="DA28" i="55"/>
  <c r="DA31" i="55"/>
  <c r="CZ7" i="2" l="1"/>
  <c r="CZ25" i="2"/>
  <c r="CZ21" i="2"/>
  <c r="CZ27" i="2"/>
  <c r="CZ9" i="2"/>
  <c r="CZ26" i="2"/>
  <c r="CZ23" i="2"/>
  <c r="CZ15" i="2"/>
  <c r="CZ14" i="2"/>
  <c r="CZ24" i="2"/>
  <c r="CZ16" i="2"/>
  <c r="CZ13" i="2"/>
  <c r="CZ8" i="2"/>
  <c r="CZ12" i="2"/>
  <c r="CZ42" i="42"/>
  <c r="CZ60" i="42"/>
  <c r="DA12" i="42"/>
  <c r="DA32" i="55"/>
  <c r="DB9" i="55"/>
  <c r="DB1" i="42"/>
  <c r="DB1" i="2"/>
  <c r="DB31" i="54"/>
  <c r="DA15" i="55" l="1"/>
  <c r="DA5" i="2" s="1"/>
  <c r="DA23" i="42"/>
  <c r="DA78" i="42" s="1"/>
  <c r="DB34" i="55"/>
  <c r="DB32" i="54"/>
  <c r="DB31" i="55"/>
  <c r="DB30" i="55"/>
  <c r="DB24" i="55"/>
  <c r="DB2" i="2"/>
  <c r="DB23" i="55"/>
  <c r="DC5" i="55"/>
  <c r="DC6" i="55" s="1"/>
  <c r="DB27" i="55"/>
  <c r="DB28" i="55"/>
  <c r="DB2" i="42"/>
  <c r="DB88" i="42" s="1"/>
  <c r="DA70" i="42"/>
  <c r="DA52" i="42"/>
  <c r="DA34" i="42"/>
  <c r="DA26" i="2" l="1"/>
  <c r="DA8" i="2"/>
  <c r="DA14" i="2"/>
  <c r="DA21" i="2"/>
  <c r="DA23" i="2"/>
  <c r="DA7" i="2"/>
  <c r="DA9" i="2"/>
  <c r="DA15" i="2"/>
  <c r="DA25" i="2"/>
  <c r="DA13" i="2"/>
  <c r="DA24" i="2"/>
  <c r="DA16" i="2"/>
  <c r="DA27" i="2"/>
  <c r="DA12" i="2"/>
  <c r="DA42" i="42"/>
  <c r="DA60" i="42"/>
  <c r="DC1" i="42"/>
  <c r="DC31" i="54"/>
  <c r="DC1" i="2"/>
  <c r="DC9" i="55"/>
  <c r="DB12" i="42"/>
  <c r="DB32" i="55"/>
  <c r="DC10" i="55" l="1"/>
  <c r="DB10" i="55"/>
  <c r="DB15" i="55" s="1"/>
  <c r="DB5" i="2" s="1"/>
  <c r="DB23" i="42"/>
  <c r="DB78" i="42" s="1"/>
  <c r="DC34" i="55"/>
  <c r="DC24" i="55"/>
  <c r="DC2" i="2"/>
  <c r="DC31" i="55"/>
  <c r="DC2" i="42"/>
  <c r="DC88" i="42" s="1"/>
  <c r="DC32" i="54"/>
  <c r="DC28" i="55"/>
  <c r="DC23" i="55"/>
  <c r="DC27" i="55"/>
  <c r="DC30" i="55"/>
  <c r="DD5" i="55"/>
  <c r="DD6" i="55" s="1"/>
  <c r="DB70" i="42"/>
  <c r="DB52" i="42"/>
  <c r="DB34" i="42"/>
  <c r="DB60" i="42" l="1"/>
  <c r="DB21" i="2"/>
  <c r="DB13" i="2"/>
  <c r="DB7" i="2"/>
  <c r="DB15" i="2"/>
  <c r="DB23" i="2"/>
  <c r="DB16" i="2"/>
  <c r="DB24" i="2"/>
  <c r="DB9" i="2"/>
  <c r="DB8" i="2"/>
  <c r="DB25" i="2"/>
  <c r="DB14" i="2"/>
  <c r="DB27" i="2"/>
  <c r="DB26" i="2"/>
  <c r="DB12" i="2"/>
  <c r="DB42" i="42"/>
  <c r="DD31" i="54"/>
  <c r="DD9" i="55"/>
  <c r="DD1" i="42"/>
  <c r="DD1" i="2"/>
  <c r="DC12" i="42"/>
  <c r="DC32" i="55"/>
  <c r="DC15" i="55" l="1"/>
  <c r="DC5" i="2" s="1"/>
  <c r="DC23" i="42"/>
  <c r="DC42" i="42" s="1"/>
  <c r="DD2" i="2"/>
  <c r="DD2" i="42"/>
  <c r="DD88" i="42" s="1"/>
  <c r="DD31" i="55"/>
  <c r="DD27" i="55"/>
  <c r="DD23" i="55"/>
  <c r="DD34" i="55"/>
  <c r="DD32" i="54"/>
  <c r="DD28" i="55"/>
  <c r="DD30" i="55"/>
  <c r="DD24" i="55"/>
  <c r="DE5" i="55"/>
  <c r="DE6" i="55" s="1"/>
  <c r="DC70" i="42"/>
  <c r="DC52" i="42"/>
  <c r="DC34" i="42"/>
  <c r="DC15" i="2" l="1"/>
  <c r="DC27" i="2"/>
  <c r="DC21" i="2"/>
  <c r="DC7" i="2"/>
  <c r="DC25" i="2"/>
  <c r="DC9" i="2"/>
  <c r="DC8" i="2"/>
  <c r="DC24" i="2"/>
  <c r="DC26" i="2"/>
  <c r="DC14" i="2"/>
  <c r="DC16" i="2"/>
  <c r="DC13" i="2"/>
  <c r="DC23" i="2"/>
  <c r="DC12" i="2"/>
  <c r="DC78" i="42"/>
  <c r="DC60" i="42"/>
  <c r="DE1" i="2"/>
  <c r="DE9" i="55"/>
  <c r="DE1" i="42"/>
  <c r="DE31" i="54"/>
  <c r="DD32" i="55"/>
  <c r="DD12" i="42"/>
  <c r="DE10" i="55" l="1"/>
  <c r="DD10" i="55"/>
  <c r="DD15" i="55" s="1"/>
  <c r="DD5" i="2" s="1"/>
  <c r="DD23" i="42"/>
  <c r="DD60" i="42" s="1"/>
  <c r="DE28" i="55"/>
  <c r="DE2" i="2"/>
  <c r="DF5" i="55"/>
  <c r="DF6" i="55" s="1"/>
  <c r="DE32" i="54"/>
  <c r="DE27" i="55"/>
  <c r="DE23" i="55"/>
  <c r="DE30" i="55"/>
  <c r="DE24" i="55"/>
  <c r="DE2" i="42"/>
  <c r="DE88" i="42" s="1"/>
  <c r="DE31" i="55"/>
  <c r="DE34" i="55"/>
  <c r="DD70" i="42"/>
  <c r="DD34" i="42"/>
  <c r="DD52" i="42"/>
  <c r="DD16" i="2" l="1"/>
  <c r="DD15" i="2"/>
  <c r="DD8" i="2"/>
  <c r="DD25" i="2"/>
  <c r="DD24" i="2"/>
  <c r="DD14" i="2"/>
  <c r="DD7" i="2"/>
  <c r="DD13" i="2"/>
  <c r="DD9" i="2"/>
  <c r="DD27" i="2"/>
  <c r="DD21" i="2"/>
  <c r="DD26" i="2"/>
  <c r="DD23" i="2"/>
  <c r="DD12" i="2"/>
  <c r="DD78" i="42"/>
  <c r="DD42" i="42"/>
  <c r="DE12" i="42"/>
  <c r="DE32" i="55"/>
  <c r="DF1" i="2"/>
  <c r="DF1" i="42"/>
  <c r="DF9" i="55"/>
  <c r="DF31" i="54"/>
  <c r="DE15" i="55" l="1"/>
  <c r="DE5" i="2" s="1"/>
  <c r="DE23" i="42"/>
  <c r="DE60" i="42" s="1"/>
  <c r="DE34" i="42"/>
  <c r="DE70" i="42"/>
  <c r="DE52" i="42"/>
  <c r="DF23" i="55"/>
  <c r="DF32" i="54"/>
  <c r="DF24" i="55"/>
  <c r="DF2" i="42"/>
  <c r="DF88" i="42" s="1"/>
  <c r="DF30" i="55"/>
  <c r="DF27" i="55"/>
  <c r="DF31" i="55"/>
  <c r="DF34" i="55"/>
  <c r="DF2" i="2"/>
  <c r="DG5" i="55"/>
  <c r="DG6" i="55" s="1"/>
  <c r="DF28" i="55"/>
  <c r="DE15" i="2" l="1"/>
  <c r="DE16" i="2"/>
  <c r="DE7" i="2"/>
  <c r="DE23" i="2"/>
  <c r="DE14" i="2"/>
  <c r="DE25" i="2"/>
  <c r="DE13" i="2"/>
  <c r="DE27" i="2"/>
  <c r="DE24" i="2"/>
  <c r="DE26" i="2"/>
  <c r="DE21" i="2"/>
  <c r="DE8" i="2"/>
  <c r="DE9" i="2"/>
  <c r="DE12" i="2"/>
  <c r="DE78" i="42"/>
  <c r="DE42" i="42"/>
  <c r="DG1" i="42"/>
  <c r="DG9" i="55"/>
  <c r="DG1" i="2"/>
  <c r="DG31" i="54"/>
  <c r="DF12" i="42"/>
  <c r="DF32" i="55"/>
  <c r="DF10" i="55" l="1"/>
  <c r="DF15" i="55" s="1"/>
  <c r="DF5" i="2" s="1"/>
  <c r="DG10" i="55"/>
  <c r="DF23" i="42"/>
  <c r="DF60" i="42" s="1"/>
  <c r="DG23" i="55"/>
  <c r="DG32" i="54"/>
  <c r="DG2" i="42"/>
  <c r="DG88" i="42" s="1"/>
  <c r="DG34" i="55"/>
  <c r="DG2" i="2"/>
  <c r="DG27" i="55"/>
  <c r="DG31" i="55"/>
  <c r="DG28" i="55"/>
  <c r="DH5" i="55"/>
  <c r="DH6" i="55" s="1"/>
  <c r="DG24" i="55"/>
  <c r="DG30" i="55"/>
  <c r="DF52" i="42"/>
  <c r="DF70" i="42"/>
  <c r="DF34" i="42"/>
  <c r="DF21" i="2" l="1"/>
  <c r="DF8" i="2"/>
  <c r="DF23" i="2"/>
  <c r="DF14" i="2"/>
  <c r="DF24" i="2"/>
  <c r="DF25" i="2"/>
  <c r="DF27" i="2"/>
  <c r="DF7" i="2"/>
  <c r="DF16" i="2"/>
  <c r="DF13" i="2"/>
  <c r="DF9" i="2"/>
  <c r="DF15" i="2"/>
  <c r="DF26" i="2"/>
  <c r="DF12" i="2"/>
  <c r="DF42" i="42"/>
  <c r="DF78" i="42"/>
  <c r="DH9" i="55"/>
  <c r="DH1" i="2"/>
  <c r="DH31" i="54"/>
  <c r="DH1" i="42"/>
  <c r="DG32" i="55"/>
  <c r="DG12" i="42"/>
  <c r="DG15" i="55" l="1"/>
  <c r="DG5" i="2" s="1"/>
  <c r="DG23" i="42"/>
  <c r="DG60" i="42" s="1"/>
  <c r="DG34" i="42"/>
  <c r="DG70" i="42"/>
  <c r="DG52" i="42"/>
  <c r="DH27" i="55"/>
  <c r="DH24" i="55"/>
  <c r="DH31" i="55"/>
  <c r="DH2" i="42"/>
  <c r="DH88" i="42" s="1"/>
  <c r="DI5" i="55"/>
  <c r="DI6" i="55" s="1"/>
  <c r="DH30" i="55"/>
  <c r="DH2" i="2"/>
  <c r="DH28" i="55"/>
  <c r="DH23" i="55"/>
  <c r="DH32" i="54"/>
  <c r="DH34" i="55"/>
  <c r="DG13" i="2" l="1"/>
  <c r="DG14" i="2"/>
  <c r="DG8" i="2"/>
  <c r="DG24" i="2"/>
  <c r="DG26" i="2"/>
  <c r="DG16" i="2"/>
  <c r="DG27" i="2"/>
  <c r="DG25" i="2"/>
  <c r="DG23" i="2"/>
  <c r="DG9" i="2"/>
  <c r="DG21" i="2"/>
  <c r="DG7" i="2"/>
  <c r="DG15" i="2"/>
  <c r="DG12" i="2"/>
  <c r="DG78" i="42"/>
  <c r="DG42" i="42"/>
  <c r="DI31" i="54"/>
  <c r="DI1" i="42"/>
  <c r="DI1" i="2"/>
  <c r="DI9" i="55"/>
  <c r="DH32" i="55"/>
  <c r="DH12" i="42"/>
  <c r="DI10" i="55" l="1"/>
  <c r="DH10" i="55"/>
  <c r="DH15" i="55" s="1"/>
  <c r="DH5" i="2" s="1"/>
  <c r="DH23" i="42"/>
  <c r="DH60" i="42" s="1"/>
  <c r="DH34" i="42"/>
  <c r="DH70" i="42"/>
  <c r="DH52" i="42"/>
  <c r="DI34" i="55"/>
  <c r="DI28" i="55"/>
  <c r="DI2" i="42"/>
  <c r="DI88" i="42" s="1"/>
  <c r="DI24" i="55"/>
  <c r="DI2" i="2"/>
  <c r="DI30" i="55"/>
  <c r="DI31" i="55"/>
  <c r="DI32" i="54"/>
  <c r="DI23" i="55"/>
  <c r="DI27" i="55"/>
  <c r="DJ5" i="55"/>
  <c r="DJ6" i="55" s="1"/>
  <c r="DH25" i="2" l="1"/>
  <c r="DH24" i="2"/>
  <c r="DH26" i="2"/>
  <c r="DH27" i="2"/>
  <c r="DH14" i="2"/>
  <c r="DH15" i="2"/>
  <c r="DH8" i="2"/>
  <c r="DH21" i="2"/>
  <c r="DH16" i="2"/>
  <c r="DH9" i="2"/>
  <c r="DH7" i="2"/>
  <c r="DH13" i="2"/>
  <c r="DH23" i="2"/>
  <c r="DH12" i="2"/>
  <c r="DH78" i="42"/>
  <c r="DH42" i="42"/>
  <c r="DI12" i="42"/>
  <c r="DI32" i="55"/>
  <c r="DJ1" i="42"/>
  <c r="DJ1" i="2"/>
  <c r="DJ9" i="55"/>
  <c r="DJ31" i="54"/>
  <c r="DI15" i="55" l="1"/>
  <c r="DI5" i="2" s="1"/>
  <c r="DI23" i="42"/>
  <c r="DI78" i="42" s="1"/>
  <c r="DJ27" i="55"/>
  <c r="DJ2" i="42"/>
  <c r="DJ88" i="42" s="1"/>
  <c r="DJ2" i="2"/>
  <c r="DJ30" i="55"/>
  <c r="DJ31" i="55"/>
  <c r="DJ34" i="55"/>
  <c r="DJ28" i="55"/>
  <c r="DJ23" i="55"/>
  <c r="DJ24" i="55"/>
  <c r="DJ32" i="54"/>
  <c r="DK5" i="55"/>
  <c r="DK6" i="55" s="1"/>
  <c r="DI34" i="42"/>
  <c r="DI70" i="42"/>
  <c r="DI52" i="42"/>
  <c r="DI9" i="2" l="1"/>
  <c r="DI24" i="2"/>
  <c r="DI7" i="2"/>
  <c r="DI16" i="2"/>
  <c r="DI21" i="2"/>
  <c r="DI8" i="2"/>
  <c r="DI25" i="2"/>
  <c r="DI23" i="2"/>
  <c r="DI27" i="2"/>
  <c r="DI13" i="2"/>
  <c r="DI15" i="2"/>
  <c r="DI26" i="2"/>
  <c r="DI14" i="2"/>
  <c r="DI12" i="2"/>
  <c r="DI42" i="42"/>
  <c r="DI60" i="42"/>
  <c r="DJ32" i="55"/>
  <c r="DJ12" i="42"/>
  <c r="DK9" i="55"/>
  <c r="DK1" i="42"/>
  <c r="DK1" i="2"/>
  <c r="DK31" i="54"/>
  <c r="DK10" i="55" l="1"/>
  <c r="DJ10" i="55"/>
  <c r="DJ15" i="55" s="1"/>
  <c r="DJ5" i="2" s="1"/>
  <c r="DJ23" i="42"/>
  <c r="DJ60" i="42" s="1"/>
  <c r="DJ34" i="42"/>
  <c r="DJ70" i="42"/>
  <c r="DJ52" i="42"/>
  <c r="DK2" i="2"/>
  <c r="DK23" i="55"/>
  <c r="DL5" i="55"/>
  <c r="DL6" i="55" s="1"/>
  <c r="DK2" i="42"/>
  <c r="DK88" i="42" s="1"/>
  <c r="DK32" i="54"/>
  <c r="DK30" i="55"/>
  <c r="DK31" i="55"/>
  <c r="DK27" i="55"/>
  <c r="DK24" i="55"/>
  <c r="DK28" i="55"/>
  <c r="DK34" i="55"/>
  <c r="DJ15" i="2" l="1"/>
  <c r="DJ16" i="2"/>
  <c r="DJ13" i="2"/>
  <c r="DJ21" i="2"/>
  <c r="DJ23" i="2"/>
  <c r="DJ9" i="2"/>
  <c r="DJ8" i="2"/>
  <c r="DJ24" i="2"/>
  <c r="DJ7" i="2"/>
  <c r="DJ14" i="2"/>
  <c r="DJ26" i="2"/>
  <c r="DJ25" i="2"/>
  <c r="DJ27" i="2"/>
  <c r="DJ12" i="2"/>
  <c r="DJ42" i="42"/>
  <c r="DJ78" i="42"/>
  <c r="DL1" i="2"/>
  <c r="DL31" i="54"/>
  <c r="DL9" i="55"/>
  <c r="DL1" i="42"/>
  <c r="DK32" i="55"/>
  <c r="DK12" i="42"/>
  <c r="DK15" i="55" l="1"/>
  <c r="DK5" i="2" s="1"/>
  <c r="DK23" i="42"/>
  <c r="DK42" i="42" s="1"/>
  <c r="DL28" i="55"/>
  <c r="DL30" i="55"/>
  <c r="DL24" i="55"/>
  <c r="DL34" i="55"/>
  <c r="DL31" i="55"/>
  <c r="DL27" i="55"/>
  <c r="DL2" i="2"/>
  <c r="DL2" i="42"/>
  <c r="DL88" i="42" s="1"/>
  <c r="DM5" i="55"/>
  <c r="DM6" i="55" s="1"/>
  <c r="DL23" i="55"/>
  <c r="DL32" i="54"/>
  <c r="DK34" i="42"/>
  <c r="DK70" i="42"/>
  <c r="DK52" i="42"/>
  <c r="DK24" i="2" l="1"/>
  <c r="DK21" i="2"/>
  <c r="DK8" i="2"/>
  <c r="DK13" i="2"/>
  <c r="DK27" i="2"/>
  <c r="DK16" i="2"/>
  <c r="DK7" i="2"/>
  <c r="DK9" i="2"/>
  <c r="DK14" i="2"/>
  <c r="DK26" i="2"/>
  <c r="DK15" i="2"/>
  <c r="DK23" i="2"/>
  <c r="DK25" i="2"/>
  <c r="DK12" i="2"/>
  <c r="DK60" i="42"/>
  <c r="DK78" i="42"/>
  <c r="DM31" i="54"/>
  <c r="DM1" i="2"/>
  <c r="DM9" i="55"/>
  <c r="DM1" i="42"/>
  <c r="DL32" i="55"/>
  <c r="DL12" i="42"/>
  <c r="DM10" i="55" l="1"/>
  <c r="DL10" i="55"/>
  <c r="DL15" i="55" s="1"/>
  <c r="DL5" i="2" s="1"/>
  <c r="DL23" i="42"/>
  <c r="DL60" i="42" s="1"/>
  <c r="DL34" i="42"/>
  <c r="DL70" i="42"/>
  <c r="DL52" i="42"/>
  <c r="DM2" i="42"/>
  <c r="DM88" i="42" s="1"/>
  <c r="DM28" i="55"/>
  <c r="DM24" i="55"/>
  <c r="DN5" i="55"/>
  <c r="DN6" i="55" s="1"/>
  <c r="DM32" i="54"/>
  <c r="DM27" i="55"/>
  <c r="DM34" i="55"/>
  <c r="DM2" i="2"/>
  <c r="DM30" i="55"/>
  <c r="DM23" i="55"/>
  <c r="DM31" i="55"/>
  <c r="DL26" i="2" l="1"/>
  <c r="DL7" i="2"/>
  <c r="DL15" i="2"/>
  <c r="DL8" i="2"/>
  <c r="DL14" i="2"/>
  <c r="DL27" i="2"/>
  <c r="DL23" i="2"/>
  <c r="DL13" i="2"/>
  <c r="DL16" i="2"/>
  <c r="DL21" i="2"/>
  <c r="DL25" i="2"/>
  <c r="DL9" i="2"/>
  <c r="DL24" i="2"/>
  <c r="DL12" i="2"/>
  <c r="DL78" i="42"/>
  <c r="DL42" i="42"/>
  <c r="DM12" i="42"/>
  <c r="DM32" i="55"/>
  <c r="DN1" i="42"/>
  <c r="DN1" i="2"/>
  <c r="DN9" i="55"/>
  <c r="DN31" i="54"/>
  <c r="DM15" i="55" l="1"/>
  <c r="DM5" i="2" s="1"/>
  <c r="DM23" i="42"/>
  <c r="DM42" i="42" s="1"/>
  <c r="DM34" i="42"/>
  <c r="DM70" i="42"/>
  <c r="DM52" i="42"/>
  <c r="DN30" i="55"/>
  <c r="DN27" i="55"/>
  <c r="DN34" i="55"/>
  <c r="DN24" i="55"/>
  <c r="DN2" i="42"/>
  <c r="DN88" i="42" s="1"/>
  <c r="DN31" i="55"/>
  <c r="DN23" i="55"/>
  <c r="DN32" i="54"/>
  <c r="DO5" i="55"/>
  <c r="DO6" i="55" s="1"/>
  <c r="DN28" i="55"/>
  <c r="DN2" i="2"/>
  <c r="DM23" i="2" l="1"/>
  <c r="DM27" i="2"/>
  <c r="DM26" i="2"/>
  <c r="DM16" i="2"/>
  <c r="DM24" i="2"/>
  <c r="DM8" i="2"/>
  <c r="DM15" i="2"/>
  <c r="DM14" i="2"/>
  <c r="DM7" i="2"/>
  <c r="DM9" i="2"/>
  <c r="DM25" i="2"/>
  <c r="DM13" i="2"/>
  <c r="DM21" i="2"/>
  <c r="DM12" i="2"/>
  <c r="DM60" i="42"/>
  <c r="DM78" i="42"/>
  <c r="DO31" i="54"/>
  <c r="DO1" i="2"/>
  <c r="DO1" i="42"/>
  <c r="DO9" i="55"/>
  <c r="DN32" i="55"/>
  <c r="DN12" i="42"/>
  <c r="DN10" i="55" l="1"/>
  <c r="DN15" i="55" s="1"/>
  <c r="DN5" i="2" s="1"/>
  <c r="DO10" i="55"/>
  <c r="DN23" i="42"/>
  <c r="DN78" i="42" s="1"/>
  <c r="DO2" i="2"/>
  <c r="DO28" i="55"/>
  <c r="DO30" i="55"/>
  <c r="DO32" i="54"/>
  <c r="DO27" i="55"/>
  <c r="DO31" i="55"/>
  <c r="DP5" i="55"/>
  <c r="DP6" i="55" s="1"/>
  <c r="DO34" i="55"/>
  <c r="DO23" i="55"/>
  <c r="DO2" i="42"/>
  <c r="DO88" i="42" s="1"/>
  <c r="DO24" i="55"/>
  <c r="DN34" i="42"/>
  <c r="DN70" i="42"/>
  <c r="DN52" i="42"/>
  <c r="DN7" i="2" l="1"/>
  <c r="DN27" i="2"/>
  <c r="DN23" i="2"/>
  <c r="DN13" i="2"/>
  <c r="DN9" i="2"/>
  <c r="DN16" i="2"/>
  <c r="DN26" i="2"/>
  <c r="DN25" i="2"/>
  <c r="DN21" i="2"/>
  <c r="DN24" i="2"/>
  <c r="DN14" i="2"/>
  <c r="DN8" i="2"/>
  <c r="DN15" i="2"/>
  <c r="DN12" i="2"/>
  <c r="DN42" i="42"/>
  <c r="DN60" i="42"/>
  <c r="DO32" i="55"/>
  <c r="DO12" i="42"/>
  <c r="DP9" i="55"/>
  <c r="DP1" i="2"/>
  <c r="DP31" i="54"/>
  <c r="DP1" i="42"/>
  <c r="DO15" i="55" l="1"/>
  <c r="DO5" i="2" s="1"/>
  <c r="DO23" i="42"/>
  <c r="DO78" i="42" s="1"/>
  <c r="DO70" i="42"/>
  <c r="DO52" i="42"/>
  <c r="DO34" i="42"/>
  <c r="DP27" i="55"/>
  <c r="DQ5" i="55"/>
  <c r="DQ6" i="55" s="1"/>
  <c r="DP23" i="55"/>
  <c r="DP2" i="2"/>
  <c r="DP28" i="55"/>
  <c r="DP32" i="54"/>
  <c r="DP30" i="55"/>
  <c r="DP31" i="55"/>
  <c r="DP24" i="55"/>
  <c r="DP34" i="55"/>
  <c r="DP2" i="42"/>
  <c r="DP88" i="42" s="1"/>
  <c r="DO25" i="2" l="1"/>
  <c r="DO15" i="2"/>
  <c r="DO21" i="2"/>
  <c r="DO7" i="2"/>
  <c r="DO9" i="2"/>
  <c r="DO26" i="2"/>
  <c r="DO16" i="2"/>
  <c r="DO24" i="2"/>
  <c r="DO13" i="2"/>
  <c r="DO8" i="2"/>
  <c r="DO14" i="2"/>
  <c r="DO23" i="2"/>
  <c r="DO27" i="2"/>
  <c r="DO12" i="2"/>
  <c r="DO42" i="42"/>
  <c r="DO60" i="42"/>
  <c r="DP12" i="42"/>
  <c r="DP32" i="55"/>
  <c r="DQ31" i="54"/>
  <c r="DQ9" i="55"/>
  <c r="DQ1" i="42"/>
  <c r="DQ1" i="2"/>
  <c r="DQ10" i="55" l="1"/>
  <c r="DP10" i="55"/>
  <c r="DP15" i="55" s="1"/>
  <c r="DP5" i="2" s="1"/>
  <c r="DP23" i="42"/>
  <c r="DP42" i="42" s="1"/>
  <c r="DQ30" i="55"/>
  <c r="DQ32" i="54"/>
  <c r="DQ31" i="55"/>
  <c r="DQ23" i="55"/>
  <c r="DQ24" i="55"/>
  <c r="DQ34" i="55"/>
  <c r="DQ27" i="55"/>
  <c r="DQ28" i="55"/>
  <c r="DR5" i="55"/>
  <c r="DR6" i="55" s="1"/>
  <c r="DQ2" i="42"/>
  <c r="DQ88" i="42" s="1"/>
  <c r="DQ2" i="2"/>
  <c r="DP52" i="42"/>
  <c r="DP34" i="42"/>
  <c r="DP70" i="42"/>
  <c r="DP15" i="2" l="1"/>
  <c r="DP8" i="2"/>
  <c r="DP21" i="2"/>
  <c r="DP27" i="2"/>
  <c r="DP9" i="2"/>
  <c r="DP14" i="2"/>
  <c r="DP25" i="2"/>
  <c r="DP16" i="2"/>
  <c r="DP7" i="2"/>
  <c r="DP26" i="2"/>
  <c r="DP24" i="2"/>
  <c r="DP23" i="2"/>
  <c r="DP13" i="2"/>
  <c r="DP12" i="2"/>
  <c r="DP78" i="42"/>
  <c r="DP60" i="42"/>
  <c r="DQ32" i="55"/>
  <c r="DQ12" i="42"/>
  <c r="DR1" i="42"/>
  <c r="DR1" i="2"/>
  <c r="DR31" i="54"/>
  <c r="DR9" i="55"/>
  <c r="DQ15" i="55" l="1"/>
  <c r="DQ5" i="2" s="1"/>
  <c r="DQ23" i="42"/>
  <c r="DQ60" i="42" s="1"/>
  <c r="DR27" i="55"/>
  <c r="DR24" i="55"/>
  <c r="DR2" i="2"/>
  <c r="DR23" i="55"/>
  <c r="DR30" i="55"/>
  <c r="DR2" i="42"/>
  <c r="DR88" i="42" s="1"/>
  <c r="DR32" i="54"/>
  <c r="DR34" i="55"/>
  <c r="DR28" i="55"/>
  <c r="DR31" i="55"/>
  <c r="DS5" i="55"/>
  <c r="DS6" i="55" s="1"/>
  <c r="DQ34" i="42"/>
  <c r="DQ52" i="42"/>
  <c r="DQ70" i="42"/>
  <c r="DQ24" i="2" l="1"/>
  <c r="DQ26" i="2"/>
  <c r="DQ21" i="2"/>
  <c r="DQ16" i="2"/>
  <c r="DQ13" i="2"/>
  <c r="DQ14" i="2"/>
  <c r="DQ9" i="2"/>
  <c r="DQ23" i="2"/>
  <c r="DQ15" i="2"/>
  <c r="DQ25" i="2"/>
  <c r="DQ7" i="2"/>
  <c r="DQ8" i="2"/>
  <c r="DQ27" i="2"/>
  <c r="DQ12" i="2"/>
  <c r="DQ42" i="42"/>
  <c r="DQ78" i="42"/>
  <c r="DR32" i="55"/>
  <c r="DR12" i="42"/>
  <c r="DS1" i="2"/>
  <c r="DS31" i="54"/>
  <c r="DS1" i="42"/>
  <c r="DS9" i="55"/>
  <c r="DS10" i="55" l="1"/>
  <c r="DR10" i="55"/>
  <c r="DR15" i="55" s="1"/>
  <c r="DR5" i="2" s="1"/>
  <c r="DR23" i="42"/>
  <c r="DR60" i="42" s="1"/>
  <c r="DS34" i="55"/>
  <c r="DS23" i="55"/>
  <c r="DT5" i="55"/>
  <c r="DT6" i="55" s="1"/>
  <c r="DS30" i="55"/>
  <c r="DS2" i="2"/>
  <c r="DS27" i="55"/>
  <c r="DS2" i="42"/>
  <c r="DS88" i="42" s="1"/>
  <c r="DS32" i="54"/>
  <c r="DS31" i="55"/>
  <c r="DS28" i="55"/>
  <c r="DS24" i="55"/>
  <c r="DR52" i="42"/>
  <c r="DR34" i="42"/>
  <c r="DR70" i="42"/>
  <c r="DR14" i="2" l="1"/>
  <c r="DR15" i="2"/>
  <c r="DR24" i="2"/>
  <c r="DR7" i="2"/>
  <c r="DR26" i="2"/>
  <c r="DR8" i="2"/>
  <c r="DR9" i="2"/>
  <c r="DR27" i="2"/>
  <c r="DR13" i="2"/>
  <c r="DR25" i="2"/>
  <c r="DR16" i="2"/>
  <c r="DR21" i="2"/>
  <c r="DR23" i="2"/>
  <c r="DR12" i="2"/>
  <c r="DR78" i="42"/>
  <c r="DR42" i="42"/>
  <c r="DT1" i="2"/>
  <c r="DT1" i="42"/>
  <c r="DT31" i="54"/>
  <c r="DT9" i="55"/>
  <c r="DS12" i="42"/>
  <c r="DS32" i="55"/>
  <c r="DS15" i="55" l="1"/>
  <c r="DS5" i="2" s="1"/>
  <c r="DS23" i="42"/>
  <c r="DS60" i="42" s="1"/>
  <c r="DS34" i="42"/>
  <c r="DS70" i="42"/>
  <c r="DS52" i="42"/>
  <c r="DT23" i="55"/>
  <c r="DT27" i="55"/>
  <c r="DT24" i="55"/>
  <c r="DT32" i="54"/>
  <c r="DU5" i="55"/>
  <c r="DU6" i="55" s="1"/>
  <c r="DT30" i="55"/>
  <c r="DT31" i="55"/>
  <c r="DT34" i="55"/>
  <c r="DT2" i="42"/>
  <c r="DT88" i="42" s="1"/>
  <c r="DT28" i="55"/>
  <c r="DT2" i="2"/>
  <c r="DS26" i="2" l="1"/>
  <c r="DS23" i="2"/>
  <c r="DS25" i="2"/>
  <c r="DS27" i="2"/>
  <c r="DS15" i="2"/>
  <c r="DS8" i="2"/>
  <c r="DS7" i="2"/>
  <c r="DS21" i="2"/>
  <c r="DS14" i="2"/>
  <c r="DS16" i="2"/>
  <c r="DS13" i="2"/>
  <c r="DS24" i="2"/>
  <c r="DS9" i="2"/>
  <c r="DS12" i="2"/>
  <c r="DS42" i="42"/>
  <c r="DS78" i="42"/>
  <c r="DT32" i="55"/>
  <c r="DT12" i="42"/>
  <c r="DU1" i="2"/>
  <c r="DU31" i="54"/>
  <c r="DU9" i="55"/>
  <c r="DU1" i="42"/>
  <c r="DU10" i="55" l="1"/>
  <c r="DT10" i="55"/>
  <c r="DT15" i="55" s="1"/>
  <c r="DT5" i="2" s="1"/>
  <c r="DT23" i="42"/>
  <c r="DT60" i="42" s="1"/>
  <c r="DT52" i="42"/>
  <c r="DT34" i="42"/>
  <c r="DT70" i="42"/>
  <c r="DU34" i="55"/>
  <c r="DU2" i="2"/>
  <c r="DU27" i="55"/>
  <c r="DU30" i="55"/>
  <c r="DU2" i="42"/>
  <c r="DU88" i="42" s="1"/>
  <c r="DU31" i="55"/>
  <c r="DU24" i="55"/>
  <c r="DU23" i="55"/>
  <c r="DU28" i="55"/>
  <c r="DV5" i="55"/>
  <c r="DV6" i="55" s="1"/>
  <c r="DU32" i="54"/>
  <c r="DT9" i="2" l="1"/>
  <c r="DT25" i="2"/>
  <c r="DT16" i="2"/>
  <c r="DT21" i="2"/>
  <c r="DT23" i="2"/>
  <c r="DT26" i="2"/>
  <c r="DT27" i="2"/>
  <c r="DT13" i="2"/>
  <c r="DT15" i="2"/>
  <c r="DT14" i="2"/>
  <c r="DT8" i="2"/>
  <c r="DT24" i="2"/>
  <c r="DT7" i="2"/>
  <c r="DT12" i="2"/>
  <c r="DT78" i="42"/>
  <c r="DT42" i="42"/>
  <c r="DU32" i="55"/>
  <c r="DU12" i="42"/>
  <c r="DV31" i="54"/>
  <c r="DV9" i="55"/>
  <c r="DV1" i="42"/>
  <c r="DV1" i="2"/>
  <c r="DU15" i="55" l="1"/>
  <c r="DU5" i="2" s="1"/>
  <c r="DU23" i="42"/>
  <c r="DU78" i="42" s="1"/>
  <c r="DV23" i="55"/>
  <c r="DV28" i="55"/>
  <c r="DV2" i="2"/>
  <c r="DV34" i="55"/>
  <c r="DV32" i="54"/>
  <c r="DV31" i="55"/>
  <c r="DV30" i="55"/>
  <c r="DV27" i="55"/>
  <c r="DW5" i="55"/>
  <c r="DW6" i="55" s="1"/>
  <c r="DV24" i="55"/>
  <c r="DV2" i="42"/>
  <c r="DV88" i="42" s="1"/>
  <c r="DU70" i="42"/>
  <c r="DU34" i="42"/>
  <c r="DU52" i="42"/>
  <c r="DU25" i="2" l="1"/>
  <c r="DU9" i="2"/>
  <c r="DU23" i="2"/>
  <c r="DU15" i="2"/>
  <c r="DU26" i="2"/>
  <c r="DU16" i="2"/>
  <c r="DU8" i="2"/>
  <c r="DU24" i="2"/>
  <c r="DU13" i="2"/>
  <c r="DU7" i="2"/>
  <c r="DU21" i="2"/>
  <c r="DU14" i="2"/>
  <c r="DU27" i="2"/>
  <c r="DU12" i="2"/>
  <c r="DU42" i="42"/>
  <c r="DU60" i="42"/>
  <c r="DW9" i="55"/>
  <c r="DW1" i="2"/>
  <c r="DW31" i="54"/>
  <c r="DW1" i="42"/>
  <c r="DV12" i="42"/>
  <c r="DV32" i="55"/>
  <c r="DV10" i="55" l="1"/>
  <c r="DV15" i="55" s="1"/>
  <c r="DV5" i="2" s="1"/>
  <c r="DW10" i="55"/>
  <c r="DW15" i="55" s="1"/>
  <c r="DW5" i="2" s="1"/>
  <c r="DV23" i="42"/>
  <c r="DV78" i="42" s="1"/>
  <c r="DW2" i="42"/>
  <c r="DW88" i="42" s="1"/>
  <c r="DW34" i="55"/>
  <c r="DW27" i="55"/>
  <c r="DW24" i="55"/>
  <c r="DW31" i="55"/>
  <c r="DW28" i="55"/>
  <c r="DW30" i="55"/>
  <c r="DW32" i="54"/>
  <c r="DW2" i="2"/>
  <c r="DW23" i="55"/>
  <c r="DV70" i="42"/>
  <c r="DV52" i="42"/>
  <c r="DV34" i="42"/>
  <c r="DW25" i="2" l="1"/>
  <c r="DW7" i="2"/>
  <c r="DW27" i="2"/>
  <c r="DW15" i="2"/>
  <c r="DW13" i="2"/>
  <c r="DW8" i="2"/>
  <c r="DW23" i="2"/>
  <c r="DW9" i="2"/>
  <c r="DW14" i="2"/>
  <c r="DW26" i="2"/>
  <c r="DW16" i="2"/>
  <c r="DW21" i="2"/>
  <c r="DW24" i="2"/>
  <c r="DW12" i="2"/>
  <c r="DV16" i="2"/>
  <c r="DV23" i="2"/>
  <c r="DV27" i="2"/>
  <c r="DV7" i="2"/>
  <c r="DV9" i="2"/>
  <c r="DV24" i="2"/>
  <c r="DV15" i="2"/>
  <c r="DV21" i="2"/>
  <c r="DV26" i="2"/>
  <c r="DV8" i="2"/>
  <c r="DV13" i="2"/>
  <c r="DV25" i="2"/>
  <c r="DV14" i="2"/>
  <c r="DV12" i="2"/>
  <c r="K6" i="6"/>
  <c r="K6" i="42"/>
  <c r="K7" i="5"/>
  <c r="I6" i="42"/>
  <c r="I7" i="5"/>
  <c r="I6" i="6"/>
  <c r="H7" i="5"/>
  <c r="H32" i="5" s="1"/>
  <c r="H6" i="42"/>
  <c r="H6" i="6"/>
  <c r="D10" i="55"/>
  <c r="J6" i="42"/>
  <c r="J6" i="6"/>
  <c r="J7" i="5"/>
  <c r="DV60" i="42"/>
  <c r="DV42" i="42"/>
  <c r="DW12" i="42"/>
  <c r="DW32" i="55"/>
  <c r="K32" i="5" l="1"/>
  <c r="K36" i="5"/>
  <c r="K41" i="5" s="1"/>
  <c r="H36" i="5"/>
  <c r="H41" i="5" s="1"/>
  <c r="J32" i="5"/>
  <c r="J36" i="5"/>
  <c r="J41" i="5" s="1"/>
  <c r="I32" i="5"/>
  <c r="I36" i="5"/>
  <c r="I41" i="5" s="1"/>
  <c r="I104" i="42"/>
  <c r="I105" i="42"/>
  <c r="I95" i="42"/>
  <c r="I97" i="42"/>
  <c r="I96" i="42"/>
  <c r="J97" i="42"/>
  <c r="J105" i="42"/>
  <c r="J104" i="42"/>
  <c r="J96" i="42"/>
  <c r="J95" i="42"/>
  <c r="H105" i="42"/>
  <c r="H96" i="42"/>
  <c r="H95" i="42"/>
  <c r="H97" i="42"/>
  <c r="H104" i="42"/>
  <c r="K96" i="42"/>
  <c r="K95" i="42"/>
  <c r="K104" i="42"/>
  <c r="K105" i="42"/>
  <c r="K97" i="42"/>
  <c r="I8" i="2"/>
  <c r="I7" i="2"/>
  <c r="I16" i="2"/>
  <c r="I24" i="2"/>
  <c r="I21" i="2"/>
  <c r="I27" i="2"/>
  <c r="I14" i="2"/>
  <c r="I9" i="2"/>
  <c r="I25" i="2"/>
  <c r="I13" i="2"/>
  <c r="I23" i="2"/>
  <c r="I26" i="2"/>
  <c r="I15" i="2"/>
  <c r="I12" i="2"/>
  <c r="J23" i="2"/>
  <c r="J15" i="2"/>
  <c r="J13" i="2"/>
  <c r="J26" i="2"/>
  <c r="J9" i="2"/>
  <c r="J7" i="2"/>
  <c r="J27" i="2"/>
  <c r="J25" i="2"/>
  <c r="J24" i="2"/>
  <c r="J8" i="2"/>
  <c r="J14" i="2"/>
  <c r="J16" i="2"/>
  <c r="J21" i="2"/>
  <c r="J12" i="2"/>
  <c r="I67" i="5"/>
  <c r="I70" i="5"/>
  <c r="I69" i="5"/>
  <c r="I66" i="5"/>
  <c r="I62" i="5"/>
  <c r="I57" i="5"/>
  <c r="I64" i="5"/>
  <c r="I60" i="5"/>
  <c r="I59" i="5"/>
  <c r="I65" i="5"/>
  <c r="I42" i="5"/>
  <c r="I58" i="5"/>
  <c r="K9" i="2"/>
  <c r="K14" i="2"/>
  <c r="K15" i="2"/>
  <c r="K21" i="2"/>
  <c r="K23" i="2"/>
  <c r="K8" i="2"/>
  <c r="K26" i="2"/>
  <c r="K7" i="2"/>
  <c r="K16" i="2"/>
  <c r="K13" i="2"/>
  <c r="K24" i="2"/>
  <c r="K25" i="2"/>
  <c r="K27" i="2"/>
  <c r="K12" i="2"/>
  <c r="K70" i="5"/>
  <c r="K42" i="5"/>
  <c r="K62" i="5"/>
  <c r="K65" i="5"/>
  <c r="K59" i="5"/>
  <c r="K67" i="5"/>
  <c r="K60" i="5"/>
  <c r="K57" i="5"/>
  <c r="K64" i="5"/>
  <c r="K69" i="5"/>
  <c r="K66" i="5"/>
  <c r="K58" i="5"/>
  <c r="H23" i="2"/>
  <c r="H13" i="2"/>
  <c r="H26" i="2"/>
  <c r="H7" i="2"/>
  <c r="H21" i="2"/>
  <c r="H8" i="2"/>
  <c r="H27" i="2"/>
  <c r="H16" i="2"/>
  <c r="H24" i="2"/>
  <c r="H25" i="2"/>
  <c r="H9" i="2"/>
  <c r="H15" i="2"/>
  <c r="H14" i="2"/>
  <c r="H12" i="2"/>
  <c r="E60" i="29"/>
  <c r="D60" i="29" s="1"/>
  <c r="C60" i="29" s="1"/>
  <c r="J57" i="5"/>
  <c r="J58" i="5"/>
  <c r="J65" i="5"/>
  <c r="J70" i="5"/>
  <c r="J69" i="5"/>
  <c r="J66" i="5"/>
  <c r="J60" i="5"/>
  <c r="J64" i="5"/>
  <c r="J42" i="5"/>
  <c r="J62" i="5"/>
  <c r="J67" i="5"/>
  <c r="J59" i="5"/>
  <c r="H70" i="5"/>
  <c r="H62" i="5"/>
  <c r="H69" i="5"/>
  <c r="H59" i="5"/>
  <c r="H65" i="5"/>
  <c r="H66" i="5"/>
  <c r="H64" i="5"/>
  <c r="H57" i="5"/>
  <c r="H58" i="5"/>
  <c r="H60" i="5"/>
  <c r="H42" i="5"/>
  <c r="H67" i="5"/>
  <c r="DW23" i="42"/>
  <c r="DW60" i="42" s="1"/>
  <c r="DW34" i="42"/>
  <c r="DW52" i="42"/>
  <c r="DW70" i="42"/>
  <c r="D12" i="2" l="1"/>
  <c r="D15" i="2"/>
  <c r="D13" i="2"/>
  <c r="D8" i="2"/>
  <c r="D7" i="2"/>
  <c r="D26" i="2"/>
  <c r="D14" i="2"/>
  <c r="D21" i="2"/>
  <c r="D24" i="2"/>
  <c r="D23" i="2"/>
  <c r="D9" i="2"/>
  <c r="D25" i="2"/>
  <c r="D16" i="2"/>
  <c r="D27" i="2"/>
  <c r="DW42" i="42"/>
  <c r="DW78" i="42"/>
  <c r="B34" i="42" l="1"/>
  <c r="B70" i="42" l="1"/>
  <c r="DN43" i="54" l="1"/>
  <c r="CM43" i="54"/>
  <c r="DM43" i="54"/>
  <c r="CN43" i="54"/>
  <c r="DS43" i="54"/>
  <c r="DF43" i="54"/>
  <c r="DG43" i="54"/>
  <c r="DE43" i="54"/>
  <c r="CX43" i="54"/>
  <c r="CZ43" i="54"/>
  <c r="BR43" i="54"/>
  <c r="DA43" i="54"/>
  <c r="CB43" i="54"/>
  <c r="DC43" i="54"/>
  <c r="BU43" i="54"/>
  <c r="CP43" i="54"/>
  <c r="CJ43" i="54"/>
  <c r="CE43" i="54"/>
  <c r="DJ43" i="54"/>
  <c r="DL43" i="54"/>
  <c r="DP43" i="54"/>
  <c r="CR43" i="54"/>
  <c r="DO43" i="54"/>
  <c r="DD43" i="54"/>
  <c r="CV43" i="54"/>
  <c r="CD43" i="54"/>
  <c r="DB43" i="54"/>
  <c r="DW43" i="54"/>
  <c r="BX43" i="54"/>
  <c r="CU43" i="54"/>
  <c r="CG43" i="54"/>
  <c r="DU43" i="54"/>
  <c r="CF43" i="54"/>
  <c r="G43" i="54"/>
  <c r="BY43" i="54"/>
  <c r="CQ43" i="54"/>
  <c r="CA43" i="54"/>
  <c r="DK43" i="54"/>
  <c r="CL43" i="54"/>
  <c r="CW43" i="54"/>
  <c r="BP43" i="54"/>
  <c r="BQ43" i="54"/>
  <c r="CO43" i="54"/>
  <c r="DV43" i="54"/>
  <c r="DT43" i="54"/>
  <c r="DQ43" i="54"/>
  <c r="BT43" i="54"/>
  <c r="BW43" i="54"/>
  <c r="CC43" i="54"/>
  <c r="BZ43" i="54"/>
  <c r="DR43" i="54"/>
  <c r="BV43" i="54"/>
  <c r="CK43" i="54"/>
  <c r="CY43" i="54"/>
  <c r="DH43" i="54"/>
  <c r="CT43" i="54"/>
  <c r="CH43" i="54"/>
  <c r="BS43" i="54"/>
  <c r="DI43" i="54"/>
  <c r="CI43" i="54"/>
  <c r="CS43" i="54"/>
  <c r="B20" i="42" l="1"/>
  <c r="G20" i="42" s="1"/>
  <c r="D317" i="32"/>
  <c r="B38" i="42" s="1"/>
  <c r="D315" i="32"/>
  <c r="D318" i="32"/>
  <c r="B56" i="42" s="1"/>
  <c r="C45" i="43"/>
  <c r="G57" i="42" l="1"/>
  <c r="G56" i="42"/>
  <c r="G39" i="42"/>
  <c r="G38" i="42"/>
  <c r="B74" i="42"/>
  <c r="G75" i="42" s="1"/>
  <c r="D316" i="32"/>
  <c r="G74" i="42" l="1"/>
  <c r="S71" i="43" l="1"/>
  <c r="AA71" i="43"/>
  <c r="V71" i="43"/>
  <c r="W71" i="43"/>
  <c r="Z71" i="43"/>
  <c r="Y71" i="43"/>
  <c r="J71" i="43"/>
  <c r="AE71" i="43"/>
  <c r="AG71" i="43"/>
  <c r="K71" i="43"/>
  <c r="AB71" i="43"/>
  <c r="I71" i="43"/>
  <c r="AI71" i="43"/>
  <c r="T71" i="43"/>
  <c r="Q71" i="43"/>
  <c r="P71" i="43"/>
  <c r="AC71" i="43"/>
  <c r="AD71" i="43"/>
  <c r="N71" i="43"/>
  <c r="R71" i="43"/>
  <c r="M71" i="43"/>
  <c r="AF71" i="43"/>
  <c r="U71" i="43"/>
  <c r="AJ71" i="43"/>
  <c r="AH71" i="43"/>
  <c r="X71" i="43"/>
  <c r="L71" i="43"/>
  <c r="H71" i="43"/>
  <c r="O71" i="43"/>
  <c r="C158" i="51"/>
  <c r="G71" i="43"/>
  <c r="D71" i="43" l="1"/>
  <c r="C157" i="51" s="1"/>
  <c r="F385" i="32" l="1"/>
  <c r="G385" i="32" s="1"/>
  <c r="C17" i="2" s="1"/>
  <c r="X90" i="51"/>
  <c r="O33" i="32" s="1"/>
  <c r="Q19" i="43" s="1"/>
  <c r="AA90" i="51"/>
  <c r="R33" i="32" s="1"/>
  <c r="T19" i="43" s="1"/>
  <c r="AP90" i="51"/>
  <c r="AG33" i="32" s="1"/>
  <c r="AI19" i="43" s="1"/>
  <c r="AL90" i="51"/>
  <c r="AC33" i="32" s="1"/>
  <c r="AE19" i="43" s="1"/>
  <c r="AB90" i="51"/>
  <c r="S33" i="32" s="1"/>
  <c r="U19" i="43" s="1"/>
  <c r="O90" i="51"/>
  <c r="F33" i="32" s="1"/>
  <c r="H19" i="43" s="1"/>
  <c r="AN90" i="51"/>
  <c r="AE33" i="32" s="1"/>
  <c r="AG19" i="43" s="1"/>
  <c r="Z90" i="51"/>
  <c r="Q33" i="32" s="1"/>
  <c r="S19" i="43" s="1"/>
  <c r="T90" i="51"/>
  <c r="K33" i="32" s="1"/>
  <c r="M19" i="43" s="1"/>
  <c r="S90" i="51"/>
  <c r="J33" i="32" s="1"/>
  <c r="L19" i="43" s="1"/>
  <c r="R90" i="51"/>
  <c r="I33" i="32" s="1"/>
  <c r="K19" i="43" s="1"/>
  <c r="D90" i="51"/>
  <c r="C33" i="32"/>
  <c r="AJ90" i="51"/>
  <c r="AA33" i="32" s="1"/>
  <c r="AC19" i="43" s="1"/>
  <c r="AF90" i="51"/>
  <c r="W33" i="32" s="1"/>
  <c r="Y19" i="43" s="1"/>
  <c r="H385" i="32" l="1"/>
  <c r="F110" i="51"/>
  <c r="J110" i="51"/>
  <c r="H110" i="51"/>
  <c r="D110" i="51"/>
  <c r="P90" i="51"/>
  <c r="G33" i="32" s="1"/>
  <c r="I19" i="43" s="1"/>
  <c r="V90" i="51"/>
  <c r="M33" i="32" s="1"/>
  <c r="O19" i="43" s="1"/>
  <c r="AM90" i="51"/>
  <c r="AD33" i="32" s="1"/>
  <c r="AF19" i="43" s="1"/>
  <c r="AI90" i="51"/>
  <c r="Z33" i="32" s="1"/>
  <c r="AB19" i="43" s="1"/>
  <c r="U90" i="51"/>
  <c r="L33" i="32" s="1"/>
  <c r="N19" i="43" s="1"/>
  <c r="AC90" i="51"/>
  <c r="T33" i="32" s="1"/>
  <c r="V19" i="43" s="1"/>
  <c r="E33" i="32"/>
  <c r="G19" i="43" s="1"/>
  <c r="W90" i="51"/>
  <c r="N33" i="32" s="1"/>
  <c r="P19" i="43" s="1"/>
  <c r="Y90" i="51"/>
  <c r="P33" i="32" s="1"/>
  <c r="R19" i="43" s="1"/>
  <c r="AK90" i="51"/>
  <c r="AB33" i="32" s="1"/>
  <c r="AD19" i="43" s="1"/>
  <c r="AQ90" i="51"/>
  <c r="AH33" i="32" s="1"/>
  <c r="AJ19" i="43" s="1"/>
  <c r="AD90" i="51"/>
  <c r="U33" i="32" s="1"/>
  <c r="W19" i="43" s="1"/>
  <c r="AH90" i="51"/>
  <c r="Y33" i="32" s="1"/>
  <c r="AA19" i="43" s="1"/>
  <c r="Q90" i="51"/>
  <c r="H33" i="32" s="1"/>
  <c r="J19" i="43" s="1"/>
  <c r="AG90" i="51"/>
  <c r="X33" i="32" s="1"/>
  <c r="Z19" i="43" s="1"/>
  <c r="AO90" i="51"/>
  <c r="AF33" i="32" s="1"/>
  <c r="AH19" i="43" s="1"/>
  <c r="AE90" i="51"/>
  <c r="V33" i="32" s="1"/>
  <c r="X19" i="43" s="1"/>
  <c r="J108" i="51"/>
  <c r="F108" i="51"/>
  <c r="H108" i="51"/>
  <c r="DJ17" i="2"/>
  <c r="BL17" i="2"/>
  <c r="AL17" i="2"/>
  <c r="BK17" i="2"/>
  <c r="AD17" i="2"/>
  <c r="DA17" i="2"/>
  <c r="AR17" i="2"/>
  <c r="M17" i="2"/>
  <c r="CX17" i="2"/>
  <c r="BW17" i="2"/>
  <c r="AC17" i="2"/>
  <c r="AF17" i="2"/>
  <c r="BP17" i="2"/>
  <c r="DF17" i="2"/>
  <c r="L17" i="2"/>
  <c r="CJ17" i="2"/>
  <c r="Z17" i="2"/>
  <c r="BM17" i="2"/>
  <c r="AP17" i="2"/>
  <c r="Y17" i="2"/>
  <c r="BJ17" i="2"/>
  <c r="CR17" i="2"/>
  <c r="AJ17" i="2"/>
  <c r="DS17" i="2"/>
  <c r="DK17" i="2"/>
  <c r="CF17" i="2"/>
  <c r="K17" i="2"/>
  <c r="DQ17" i="2"/>
  <c r="BN17" i="2"/>
  <c r="CI17" i="2"/>
  <c r="R17" i="2"/>
  <c r="CG17" i="2"/>
  <c r="BD17" i="2"/>
  <c r="DD17" i="2"/>
  <c r="BV17" i="2"/>
  <c r="BY17" i="2"/>
  <c r="U17" i="2"/>
  <c r="CW17" i="2"/>
  <c r="AM17" i="2"/>
  <c r="DO17" i="2"/>
  <c r="BR17" i="2"/>
  <c r="CH17" i="2"/>
  <c r="AQ17" i="2"/>
  <c r="AW17" i="2"/>
  <c r="AN17" i="2"/>
  <c r="DV17" i="2"/>
  <c r="DU17" i="2"/>
  <c r="CK17" i="2"/>
  <c r="AZ17" i="2"/>
  <c r="DN17" i="2"/>
  <c r="N17" i="2"/>
  <c r="AT17" i="2"/>
  <c r="DE17" i="2"/>
  <c r="CE17" i="2"/>
  <c r="AA17" i="2"/>
  <c r="BG17" i="2"/>
  <c r="CL17" i="2"/>
  <c r="DI17" i="2"/>
  <c r="P17" i="2"/>
  <c r="AK17" i="2"/>
  <c r="H17" i="2"/>
  <c r="T17" i="2"/>
  <c r="AY17" i="2"/>
  <c r="BC17" i="2"/>
  <c r="AV17" i="2"/>
  <c r="CP17" i="2"/>
  <c r="AS17" i="2"/>
  <c r="AI17" i="2"/>
  <c r="DL17" i="2"/>
  <c r="CS17" i="2"/>
  <c r="BU17" i="2"/>
  <c r="DM17" i="2"/>
  <c r="CZ17" i="2"/>
  <c r="AX17" i="2"/>
  <c r="X17" i="2"/>
  <c r="CM17" i="2"/>
  <c r="CB17" i="2"/>
  <c r="DR17" i="2"/>
  <c r="DT17" i="2"/>
  <c r="BE17" i="2"/>
  <c r="BI17" i="2"/>
  <c r="CT17" i="2"/>
  <c r="AO17" i="2"/>
  <c r="BS17" i="2"/>
  <c r="CU17" i="2"/>
  <c r="CD17" i="2"/>
  <c r="W17" i="2"/>
  <c r="J17" i="2"/>
  <c r="AB17" i="2"/>
  <c r="AU17" i="2"/>
  <c r="S17" i="2"/>
  <c r="BT17" i="2"/>
  <c r="BQ17" i="2"/>
  <c r="CO17" i="2"/>
  <c r="DG17" i="2"/>
  <c r="CQ17" i="2"/>
  <c r="CN17" i="2"/>
  <c r="BF17" i="2"/>
  <c r="AG17" i="2"/>
  <c r="BA17" i="2"/>
  <c r="AH17" i="2"/>
  <c r="CC17" i="2"/>
  <c r="CV17" i="2"/>
  <c r="V17" i="2"/>
  <c r="DC17" i="2"/>
  <c r="BZ17" i="2"/>
  <c r="Q17" i="2"/>
  <c r="DP17" i="2"/>
  <c r="DH17" i="2"/>
  <c r="CA17" i="2"/>
  <c r="BH17" i="2"/>
  <c r="AE17" i="2"/>
  <c r="I17" i="2"/>
  <c r="DW17" i="2"/>
  <c r="BO17" i="2"/>
  <c r="CY17" i="2"/>
  <c r="BB17" i="2"/>
  <c r="O17" i="2"/>
  <c r="DB17" i="2"/>
  <c r="BX17" i="2"/>
  <c r="G17" i="2"/>
  <c r="C19" i="43"/>
  <c r="M90" i="51" l="1"/>
  <c r="D19" i="43"/>
  <c r="D33" i="32"/>
  <c r="D17" i="2"/>
  <c r="L86" i="47" l="1"/>
  <c r="D238" i="32"/>
  <c r="G27" i="54" l="1"/>
  <c r="E27" i="54" s="1"/>
  <c r="J59" i="29" s="1"/>
  <c r="B86" i="47"/>
  <c r="M86" i="47" l="1"/>
  <c r="N86" i="47" l="1"/>
  <c r="O86" i="47" l="1"/>
  <c r="P86" i="47" l="1"/>
  <c r="Q86" i="47" l="1"/>
  <c r="R86" i="47" l="1"/>
  <c r="S86" i="47" l="1"/>
  <c r="T86" i="47" l="1"/>
  <c r="U86" i="47" l="1"/>
  <c r="V86" i="47" l="1"/>
  <c r="W86" i="47" l="1"/>
  <c r="X86" i="47" l="1"/>
  <c r="Y86" i="47" l="1"/>
  <c r="D86" i="47" l="1"/>
  <c r="BE100" i="5" l="1"/>
  <c r="BF100" i="5" l="1"/>
  <c r="BG100" i="5" l="1"/>
  <c r="BH100" i="5" l="1"/>
  <c r="BI100" i="5" l="1"/>
  <c r="BJ100" i="5" l="1"/>
  <c r="BK100" i="5" l="1"/>
  <c r="BL100" i="5" l="1"/>
  <c r="BM100" i="5" l="1"/>
  <c r="BN100" i="5" l="1"/>
  <c r="BO100" i="5" l="1"/>
  <c r="BO159" i="5" l="1"/>
  <c r="BN159" i="5"/>
  <c r="BM159" i="5"/>
  <c r="BL159" i="5"/>
  <c r="BK159" i="5"/>
  <c r="BJ159" i="5"/>
  <c r="BI159" i="5"/>
  <c r="BH159" i="5"/>
  <c r="BG159" i="5"/>
  <c r="BO160" i="5"/>
  <c r="BN160" i="5"/>
  <c r="BM160" i="5"/>
  <c r="BL160" i="5"/>
  <c r="BK160" i="5"/>
  <c r="BJ160" i="5"/>
  <c r="BI160" i="5"/>
  <c r="BH160" i="5"/>
  <c r="BG160" i="5"/>
  <c r="BF160" i="5"/>
  <c r="BE160" i="5"/>
  <c r="BD100" i="5"/>
  <c r="BD160" i="5"/>
  <c r="BC100" i="5"/>
  <c r="BC160" i="5"/>
  <c r="BB100" i="5"/>
  <c r="BB160" i="5"/>
  <c r="BA100" i="5"/>
  <c r="BA160" i="5"/>
  <c r="AZ100" i="5"/>
  <c r="AZ160" i="5"/>
  <c r="BF159" i="5"/>
  <c r="J66" i="43" l="1"/>
  <c r="D90" i="29" l="1"/>
  <c r="V100" i="5" l="1"/>
  <c r="W100" i="5" l="1"/>
  <c r="X100" i="5" l="1"/>
  <c r="Y100" i="5" l="1"/>
  <c r="Z100" i="5" l="1"/>
  <c r="AA100" i="5" l="1"/>
  <c r="AB100" i="5" l="1"/>
  <c r="AC100" i="5" l="1"/>
  <c r="AD100" i="5" l="1"/>
  <c r="AE100" i="5" l="1"/>
  <c r="AF100" i="5" l="1"/>
  <c r="AG100" i="5" l="1"/>
  <c r="AH100" i="5" l="1"/>
  <c r="AI100" i="5" l="1"/>
  <c r="AJ100" i="5" l="1"/>
  <c r="AK100" i="5" l="1"/>
  <c r="AL100" i="5" l="1"/>
  <c r="AM100" i="5" l="1"/>
  <c r="AN100" i="5" l="1"/>
  <c r="AO100" i="5" l="1"/>
  <c r="AP100" i="5" l="1"/>
  <c r="AQ100" i="5" l="1"/>
  <c r="AR100" i="5" l="1"/>
  <c r="AS100" i="5" l="1"/>
  <c r="AT100" i="5" l="1"/>
  <c r="AU100" i="5" l="1"/>
  <c r="AV100" i="5" l="1"/>
  <c r="AW100" i="5" l="1"/>
  <c r="AX100" i="5" l="1"/>
  <c r="AY100" i="5" l="1"/>
  <c r="D95" i="29" l="1"/>
  <c r="E87" i="29" l="1"/>
  <c r="F87" i="29" l="1"/>
  <c r="G87" i="29" l="1"/>
  <c r="I87" i="29" l="1"/>
  <c r="J87" i="29" l="1"/>
  <c r="K87" i="29" l="1"/>
  <c r="L87" i="29" l="1"/>
  <c r="M87" i="29" l="1"/>
  <c r="N87" i="29" l="1"/>
  <c r="O87" i="29" l="1"/>
  <c r="P87" i="29" l="1"/>
  <c r="Q87" i="29" l="1"/>
  <c r="R87" i="29" l="1"/>
  <c r="S87" i="29" l="1"/>
  <c r="E159" i="5" l="1"/>
  <c r="E68" i="29" s="1"/>
  <c r="T87" i="29" l="1"/>
  <c r="U87" i="29" l="1"/>
  <c r="V87" i="29" l="1"/>
  <c r="W87" i="29" l="1"/>
  <c r="X87" i="29" l="1"/>
  <c r="AU160" i="5" l="1"/>
  <c r="D77" i="29" l="1"/>
  <c r="BE159" i="5" l="1"/>
  <c r="AC87" i="29"/>
  <c r="BD159" i="5"/>
  <c r="BC159" i="5"/>
  <c r="AB87" i="29"/>
  <c r="BB159" i="5"/>
  <c r="BA159" i="5"/>
  <c r="AA87" i="29"/>
  <c r="AZ159" i="5"/>
  <c r="AY159" i="5"/>
  <c r="Z87" i="29"/>
  <c r="AX159" i="5"/>
  <c r="AW159" i="5"/>
  <c r="Y87" i="29"/>
  <c r="AV159" i="5"/>
  <c r="AU159" i="5"/>
  <c r="AT159" i="5"/>
  <c r="AT160" i="5"/>
  <c r="AS160" i="5"/>
  <c r="AR159" i="5"/>
  <c r="AR160" i="5"/>
  <c r="AQ159" i="5"/>
  <c r="AQ160" i="5"/>
  <c r="AP159" i="5"/>
  <c r="AP160" i="5"/>
  <c r="AO159" i="5"/>
  <c r="AO160" i="5"/>
  <c r="AN159" i="5"/>
  <c r="AN160" i="5"/>
  <c r="AM159" i="5"/>
  <c r="AM160" i="5"/>
  <c r="AL159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E160" i="5"/>
  <c r="F68" i="29" s="1"/>
  <c r="Z160" i="5"/>
  <c r="Y160" i="5"/>
  <c r="X160" i="5"/>
  <c r="W160" i="5"/>
  <c r="V160" i="5"/>
  <c r="D80" i="29"/>
  <c r="D94" i="29"/>
  <c r="AY160" i="5"/>
  <c r="AX160" i="5"/>
  <c r="AW160" i="5"/>
  <c r="AV160" i="5"/>
  <c r="H17" i="29"/>
  <c r="D91" i="29"/>
  <c r="AS159" i="5"/>
  <c r="L66" i="43"/>
  <c r="K66" i="43"/>
  <c r="G30" i="43" l="1"/>
  <c r="K30" i="43"/>
  <c r="V30" i="43"/>
  <c r="Y30" i="43"/>
  <c r="AB30" i="43"/>
  <c r="W30" i="43"/>
  <c r="L30" i="43"/>
  <c r="AE30" i="43"/>
  <c r="AG30" i="43"/>
  <c r="X30" i="43"/>
  <c r="AF30" i="43"/>
  <c r="AA30" i="43"/>
  <c r="Z30" i="43"/>
  <c r="T30" i="43"/>
  <c r="P30" i="43"/>
  <c r="H30" i="43"/>
  <c r="AJ30" i="43"/>
  <c r="M30" i="43"/>
  <c r="R30" i="43"/>
  <c r="S30" i="43"/>
  <c r="I30" i="43"/>
  <c r="AI30" i="43"/>
  <c r="AD30" i="43"/>
  <c r="J30" i="43"/>
  <c r="O30" i="43"/>
  <c r="AC30" i="43"/>
  <c r="AH30" i="43"/>
  <c r="U30" i="43"/>
  <c r="Q30" i="43"/>
  <c r="N30" i="43"/>
  <c r="D30" i="43" l="1"/>
  <c r="D44" i="32"/>
  <c r="B20" i="5" l="1"/>
  <c r="G20" i="5" l="1"/>
  <c r="G21" i="5" s="1"/>
  <c r="G126" i="42" s="1"/>
  <c r="M20" i="5"/>
  <c r="M21" i="5" s="1"/>
  <c r="M126" i="42" s="1"/>
  <c r="L20" i="5"/>
  <c r="L21" i="5" s="1"/>
  <c r="L126" i="42" s="1"/>
  <c r="K20" i="5"/>
  <c r="K21" i="5" s="1"/>
  <c r="K126" i="42" s="1"/>
  <c r="N20" i="5"/>
  <c r="N21" i="5" s="1"/>
  <c r="N126" i="42" s="1"/>
  <c r="J20" i="5"/>
  <c r="J21" i="5" s="1"/>
  <c r="J126" i="42" s="1"/>
  <c r="P20" i="5"/>
  <c r="P21" i="5" s="1"/>
  <c r="P126" i="42" s="1"/>
  <c r="O20" i="5"/>
  <c r="O21" i="5" s="1"/>
  <c r="O126" i="42" s="1"/>
  <c r="T20" i="5"/>
  <c r="T21" i="5" s="1"/>
  <c r="T126" i="42" s="1"/>
  <c r="S20" i="5"/>
  <c r="S21" i="5" s="1"/>
  <c r="S126" i="42" s="1"/>
  <c r="U20" i="5"/>
  <c r="U21" i="5" s="1"/>
  <c r="U126" i="42" s="1"/>
  <c r="R20" i="5"/>
  <c r="R21" i="5" s="1"/>
  <c r="R126" i="42" s="1"/>
  <c r="AF20" i="5"/>
  <c r="AF21" i="5" s="1"/>
  <c r="AF126" i="42" s="1"/>
  <c r="V20" i="5"/>
  <c r="V21" i="5" s="1"/>
  <c r="V126" i="42" s="1"/>
  <c r="I20" i="5"/>
  <c r="I21" i="5" s="1"/>
  <c r="I126" i="42" s="1"/>
  <c r="Y20" i="5"/>
  <c r="Y21" i="5" s="1"/>
  <c r="Y126" i="42" s="1"/>
  <c r="AE20" i="5"/>
  <c r="AE21" i="5" s="1"/>
  <c r="AE126" i="42" s="1"/>
  <c r="AA20" i="5"/>
  <c r="AA21" i="5" s="1"/>
  <c r="AA126" i="42" s="1"/>
  <c r="X20" i="5"/>
  <c r="X21" i="5" s="1"/>
  <c r="X126" i="42" s="1"/>
  <c r="AC20" i="5"/>
  <c r="AC21" i="5" s="1"/>
  <c r="AC126" i="42" s="1"/>
  <c r="Q20" i="5"/>
  <c r="Q21" i="5" s="1"/>
  <c r="Q126" i="42" s="1"/>
  <c r="Z20" i="5"/>
  <c r="Z21" i="5" s="1"/>
  <c r="Z126" i="42" s="1"/>
  <c r="AG20" i="5"/>
  <c r="AG21" i="5" s="1"/>
  <c r="AG126" i="42" s="1"/>
  <c r="AO20" i="5"/>
  <c r="AO21" i="5" s="1"/>
  <c r="AO126" i="42" s="1"/>
  <c r="AI20" i="5"/>
  <c r="AI21" i="5" s="1"/>
  <c r="AI126" i="42" s="1"/>
  <c r="AJ20" i="5"/>
  <c r="AJ21" i="5" s="1"/>
  <c r="AJ126" i="42" s="1"/>
  <c r="AU20" i="5"/>
  <c r="AU21" i="5" s="1"/>
  <c r="AU126" i="42" s="1"/>
  <c r="AM20" i="5"/>
  <c r="AM21" i="5" s="1"/>
  <c r="AM126" i="42" s="1"/>
  <c r="AS20" i="5"/>
  <c r="AS21" i="5" s="1"/>
  <c r="AS126" i="42" s="1"/>
  <c r="W20" i="5"/>
  <c r="W21" i="5" s="1"/>
  <c r="W126" i="42" s="1"/>
  <c r="AD20" i="5"/>
  <c r="AD21" i="5" s="1"/>
  <c r="AD126" i="42" s="1"/>
  <c r="AL20" i="5"/>
  <c r="AL21" i="5" s="1"/>
  <c r="AL126" i="42" s="1"/>
  <c r="AN20" i="5"/>
  <c r="AN21" i="5" s="1"/>
  <c r="AN126" i="42" s="1"/>
  <c r="AB20" i="5"/>
  <c r="AB21" i="5" s="1"/>
  <c r="AB126" i="42" s="1"/>
  <c r="AK20" i="5"/>
  <c r="AK21" i="5" s="1"/>
  <c r="AK126" i="42" s="1"/>
  <c r="AH20" i="5"/>
  <c r="AH21" i="5" s="1"/>
  <c r="AH126" i="42" s="1"/>
  <c r="AX20" i="5"/>
  <c r="AX21" i="5" s="1"/>
  <c r="AX126" i="42" s="1"/>
  <c r="AT20" i="5"/>
  <c r="AT21" i="5" s="1"/>
  <c r="AT126" i="42" s="1"/>
  <c r="AW20" i="5"/>
  <c r="AW21" i="5" s="1"/>
  <c r="AW126" i="42" s="1"/>
  <c r="AQ20" i="5"/>
  <c r="AQ21" i="5" s="1"/>
  <c r="AQ126" i="42" s="1"/>
  <c r="AV20" i="5"/>
  <c r="AV21" i="5" s="1"/>
  <c r="AV126" i="42" s="1"/>
  <c r="AP20" i="5"/>
  <c r="AP21" i="5" s="1"/>
  <c r="AP126" i="42" s="1"/>
  <c r="BD20" i="5"/>
  <c r="BD21" i="5" s="1"/>
  <c r="BD126" i="42" s="1"/>
  <c r="BB20" i="5"/>
  <c r="BB21" i="5" s="1"/>
  <c r="BB126" i="42" s="1"/>
  <c r="BC20" i="5"/>
  <c r="BC21" i="5" s="1"/>
  <c r="BC126" i="42" s="1"/>
  <c r="BA20" i="5"/>
  <c r="BA21" i="5" s="1"/>
  <c r="BA126" i="42" s="1"/>
  <c r="BJ20" i="5"/>
  <c r="BJ21" i="5" s="1"/>
  <c r="BJ126" i="42" s="1"/>
  <c r="BI20" i="5"/>
  <c r="BI21" i="5" s="1"/>
  <c r="BI126" i="42" s="1"/>
  <c r="AR20" i="5"/>
  <c r="AR21" i="5" s="1"/>
  <c r="AR126" i="42" s="1"/>
  <c r="BO20" i="5"/>
  <c r="BO21" i="5" s="1"/>
  <c r="BO126" i="42" s="1"/>
  <c r="BE20" i="5"/>
  <c r="BE21" i="5" s="1"/>
  <c r="BE126" i="42" s="1"/>
  <c r="BF20" i="5"/>
  <c r="BF21" i="5" s="1"/>
  <c r="BF126" i="42" s="1"/>
  <c r="BK20" i="5"/>
  <c r="BK21" i="5" s="1"/>
  <c r="BK126" i="42" s="1"/>
  <c r="AY20" i="5"/>
  <c r="AY21" i="5" s="1"/>
  <c r="AY126" i="42" s="1"/>
  <c r="BG20" i="5"/>
  <c r="BG21" i="5" s="1"/>
  <c r="BG126" i="42" s="1"/>
  <c r="AZ20" i="5"/>
  <c r="AZ21" i="5" s="1"/>
  <c r="AZ126" i="42" s="1"/>
  <c r="BH20" i="5"/>
  <c r="BH21" i="5" s="1"/>
  <c r="BH126" i="42" s="1"/>
  <c r="BL20" i="5"/>
  <c r="BL21" i="5" s="1"/>
  <c r="BL126" i="42" s="1"/>
  <c r="BM20" i="5"/>
  <c r="BM21" i="5" s="1"/>
  <c r="BM126" i="42" s="1"/>
  <c r="BN20" i="5"/>
  <c r="BN21" i="5" s="1"/>
  <c r="BN126" i="42" s="1"/>
  <c r="H20" i="5"/>
  <c r="H21" i="5" s="1"/>
  <c r="H126" i="42" s="1"/>
  <c r="AY25" i="5" l="1"/>
  <c r="AY24" i="5" s="1"/>
  <c r="AY46" i="5"/>
  <c r="BA25" i="5"/>
  <c r="BA24" i="5" s="1"/>
  <c r="BA46" i="5"/>
  <c r="AT25" i="5"/>
  <c r="AT24" i="5" s="1"/>
  <c r="AT46" i="5"/>
  <c r="W25" i="5"/>
  <c r="W24" i="5" s="1"/>
  <c r="W46" i="5"/>
  <c r="Z25" i="5"/>
  <c r="Z24" i="5" s="1"/>
  <c r="Z46" i="5"/>
  <c r="V25" i="5"/>
  <c r="V24" i="5" s="1"/>
  <c r="V46" i="5"/>
  <c r="J25" i="5"/>
  <c r="J24" i="5" s="1"/>
  <c r="J46" i="5"/>
  <c r="H25" i="5"/>
  <c r="H46" i="5"/>
  <c r="BK25" i="5"/>
  <c r="BK24" i="5" s="1"/>
  <c r="BK46" i="5"/>
  <c r="BC25" i="5"/>
  <c r="BC24" i="5" s="1"/>
  <c r="BC46" i="5"/>
  <c r="AX25" i="5"/>
  <c r="AX24" i="5" s="1"/>
  <c r="AX46" i="5"/>
  <c r="AS25" i="5"/>
  <c r="AS24" i="5" s="1"/>
  <c r="AS46" i="5"/>
  <c r="Q25" i="5"/>
  <c r="Q24" i="5" s="1"/>
  <c r="Q46" i="5"/>
  <c r="AF25" i="5"/>
  <c r="AF24" i="5" s="1"/>
  <c r="AF46" i="5"/>
  <c r="G46" i="5"/>
  <c r="BN25" i="5"/>
  <c r="BN24" i="5" s="1"/>
  <c r="BN46" i="5"/>
  <c r="AZ25" i="5"/>
  <c r="AZ24" i="5" s="1"/>
  <c r="AZ46" i="5"/>
  <c r="BF25" i="5"/>
  <c r="BF24" i="5" s="1"/>
  <c r="BF46" i="5"/>
  <c r="BI25" i="5"/>
  <c r="BI24" i="5" s="1"/>
  <c r="BI46" i="5"/>
  <c r="BB25" i="5"/>
  <c r="BB24" i="5" s="1"/>
  <c r="BB46" i="5"/>
  <c r="AQ25" i="5"/>
  <c r="AQ24" i="5" s="1"/>
  <c r="AQ46" i="5"/>
  <c r="AH25" i="5"/>
  <c r="AH24" i="5" s="1"/>
  <c r="AH46" i="5"/>
  <c r="AL25" i="5"/>
  <c r="AL24" i="5" s="1"/>
  <c r="AL46" i="5"/>
  <c r="AM25" i="5"/>
  <c r="AM24" i="5" s="1"/>
  <c r="AM46" i="5"/>
  <c r="AO25" i="5"/>
  <c r="AO24" i="5" s="1"/>
  <c r="AO46" i="5"/>
  <c r="AC25" i="5"/>
  <c r="AC24" i="5" s="1"/>
  <c r="AC46" i="5"/>
  <c r="Y25" i="5"/>
  <c r="Y24" i="5" s="1"/>
  <c r="Y46" i="5"/>
  <c r="R25" i="5"/>
  <c r="R24" i="5" s="1"/>
  <c r="R46" i="5"/>
  <c r="O25" i="5"/>
  <c r="O24" i="5" s="1"/>
  <c r="O46" i="5"/>
  <c r="K25" i="5"/>
  <c r="K24" i="5" s="1"/>
  <c r="K46" i="5"/>
  <c r="BL25" i="5"/>
  <c r="BL24" i="5" s="1"/>
  <c r="BL46" i="5"/>
  <c r="BO25" i="5"/>
  <c r="BO24" i="5" s="1"/>
  <c r="BO46" i="5"/>
  <c r="AP25" i="5"/>
  <c r="AP24" i="5" s="1"/>
  <c r="AP46" i="5"/>
  <c r="AB25" i="5"/>
  <c r="AB24" i="5" s="1"/>
  <c r="AB46" i="5"/>
  <c r="AJ25" i="5"/>
  <c r="AJ24" i="5" s="1"/>
  <c r="AJ46" i="5"/>
  <c r="AA25" i="5"/>
  <c r="AA24" i="5" s="1"/>
  <c r="AA46" i="5"/>
  <c r="S25" i="5"/>
  <c r="S24" i="5" s="1"/>
  <c r="S46" i="5"/>
  <c r="M25" i="5"/>
  <c r="M24" i="5" s="1"/>
  <c r="M46" i="5"/>
  <c r="BH25" i="5"/>
  <c r="BH24" i="5" s="1"/>
  <c r="BH46" i="5"/>
  <c r="AR25" i="5"/>
  <c r="AR24" i="5" s="1"/>
  <c r="AR46" i="5"/>
  <c r="AV25" i="5"/>
  <c r="AV24" i="5" s="1"/>
  <c r="AV46" i="5"/>
  <c r="AN25" i="5"/>
  <c r="AN24" i="5" s="1"/>
  <c r="AN46" i="5"/>
  <c r="AI25" i="5"/>
  <c r="AI24" i="5" s="1"/>
  <c r="AI46" i="5"/>
  <c r="AE25" i="5"/>
  <c r="AE24" i="5" s="1"/>
  <c r="AE46" i="5"/>
  <c r="T25" i="5"/>
  <c r="T24" i="5" s="1"/>
  <c r="T46" i="5"/>
  <c r="N25" i="5"/>
  <c r="N24" i="5" s="1"/>
  <c r="N46" i="5"/>
  <c r="BM25" i="5"/>
  <c r="BM24" i="5" s="1"/>
  <c r="BM46" i="5"/>
  <c r="BG25" i="5"/>
  <c r="BG24" i="5" s="1"/>
  <c r="BG46" i="5"/>
  <c r="BE25" i="5"/>
  <c r="BE24" i="5" s="1"/>
  <c r="BE46" i="5"/>
  <c r="BJ25" i="5"/>
  <c r="BJ24" i="5" s="1"/>
  <c r="BJ46" i="5"/>
  <c r="BD25" i="5"/>
  <c r="BD24" i="5" s="1"/>
  <c r="BD46" i="5"/>
  <c r="AW25" i="5"/>
  <c r="AW24" i="5" s="1"/>
  <c r="AW46" i="5"/>
  <c r="AK25" i="5"/>
  <c r="AK24" i="5" s="1"/>
  <c r="AK46" i="5"/>
  <c r="AD25" i="5"/>
  <c r="AD24" i="5" s="1"/>
  <c r="AD46" i="5"/>
  <c r="AU25" i="5"/>
  <c r="AU24" i="5" s="1"/>
  <c r="AU46" i="5"/>
  <c r="AG25" i="5"/>
  <c r="AG24" i="5" s="1"/>
  <c r="AG46" i="5"/>
  <c r="X25" i="5"/>
  <c r="X24" i="5" s="1"/>
  <c r="X46" i="5"/>
  <c r="I25" i="5"/>
  <c r="I24" i="5" s="1"/>
  <c r="I46" i="5"/>
  <c r="U25" i="5"/>
  <c r="U24" i="5" s="1"/>
  <c r="U46" i="5"/>
  <c r="P25" i="5"/>
  <c r="P24" i="5" s="1"/>
  <c r="P46" i="5"/>
  <c r="L25" i="5"/>
  <c r="L24" i="5" s="1"/>
  <c r="L46" i="5"/>
  <c r="G25" i="5"/>
  <c r="G24" i="5" s="1"/>
  <c r="G54" i="5"/>
  <c r="AA48" i="50"/>
  <c r="F48" i="50"/>
  <c r="AE48" i="50"/>
  <c r="AD48" i="50"/>
  <c r="AB48" i="50"/>
  <c r="R48" i="50"/>
  <c r="T48" i="50"/>
  <c r="O48" i="50"/>
  <c r="X48" i="50"/>
  <c r="K48" i="50"/>
  <c r="N48" i="50"/>
  <c r="Q48" i="50"/>
  <c r="AI48" i="50"/>
  <c r="J48" i="50"/>
  <c r="W48" i="50"/>
  <c r="AF48" i="50"/>
  <c r="Y48" i="50"/>
  <c r="M48" i="50"/>
  <c r="L48" i="50"/>
  <c r="P48" i="50"/>
  <c r="Z48" i="50"/>
  <c r="U48" i="50"/>
  <c r="S48" i="50"/>
  <c r="I48" i="50"/>
  <c r="AG48" i="50"/>
  <c r="C48" i="50"/>
  <c r="V48" i="50"/>
  <c r="AH48" i="50"/>
  <c r="G48" i="50"/>
  <c r="H48" i="50"/>
  <c r="AC48" i="50"/>
  <c r="H24" i="5" l="1"/>
  <c r="D458" i="32" s="1"/>
  <c r="K29" i="5"/>
  <c r="G29" i="5"/>
  <c r="AD29" i="5"/>
  <c r="BD29" i="5"/>
  <c r="AE29" i="5"/>
  <c r="BL29" i="5"/>
  <c r="O29" i="5"/>
  <c r="AO29" i="5"/>
  <c r="S29" i="5"/>
  <c r="L29" i="5"/>
  <c r="H29" i="5"/>
  <c r="Y29" i="5"/>
  <c r="Q29" i="5"/>
  <c r="BA29" i="5"/>
  <c r="AI29" i="5"/>
  <c r="AU29" i="5"/>
  <c r="BH29" i="5"/>
  <c r="BB29" i="5"/>
  <c r="AF29" i="5"/>
  <c r="V29" i="5"/>
  <c r="AP29" i="5"/>
  <c r="AR29" i="5"/>
  <c r="AQ29" i="5"/>
  <c r="W29" i="5"/>
  <c r="AA29" i="5"/>
  <c r="BK29" i="5"/>
  <c r="BC29" i="5"/>
  <c r="AZ29" i="5"/>
  <c r="AK29" i="5"/>
  <c r="O153" i="32"/>
  <c r="N153" i="32"/>
  <c r="BJ29" i="5"/>
  <c r="N29" i="5"/>
  <c r="AC29" i="5"/>
  <c r="AY29" i="5"/>
  <c r="AB153" i="32"/>
  <c r="K153" i="32"/>
  <c r="S153" i="32"/>
  <c r="G153" i="32"/>
  <c r="L153" i="32"/>
  <c r="Q153" i="32"/>
  <c r="AA153" i="32"/>
  <c r="AW29" i="5"/>
  <c r="BO29" i="5"/>
  <c r="AG153" i="32"/>
  <c r="AE153" i="32"/>
  <c r="AC153" i="32"/>
  <c r="X153" i="32"/>
  <c r="V153" i="32"/>
  <c r="AD153" i="32"/>
  <c r="BM29" i="5"/>
  <c r="X29" i="5"/>
  <c r="BF29" i="5"/>
  <c r="P29" i="5"/>
  <c r="AN29" i="5"/>
  <c r="AJ29" i="5"/>
  <c r="U153" i="32"/>
  <c r="BE29" i="5"/>
  <c r="I153" i="32"/>
  <c r="E153" i="32"/>
  <c r="AS29" i="5"/>
  <c r="BN29" i="5"/>
  <c r="Z29" i="5"/>
  <c r="AH29" i="5"/>
  <c r="BG29" i="5"/>
  <c r="AF153" i="32"/>
  <c r="AH153" i="32"/>
  <c r="Z153" i="32"/>
  <c r="U29" i="5"/>
  <c r="F153" i="32"/>
  <c r="P153" i="32"/>
  <c r="M153" i="32"/>
  <c r="BI29" i="5"/>
  <c r="M29" i="5"/>
  <c r="AT29" i="5"/>
  <c r="T153" i="32"/>
  <c r="AV29" i="5"/>
  <c r="AL29" i="5"/>
  <c r="T29" i="5"/>
  <c r="AB29" i="5"/>
  <c r="H153" i="32"/>
  <c r="R153" i="32"/>
  <c r="I29" i="5"/>
  <c r="AM29" i="5"/>
  <c r="J153" i="32"/>
  <c r="Y153" i="32"/>
  <c r="W153" i="32"/>
  <c r="AG29" i="5"/>
  <c r="J29" i="5"/>
  <c r="R29" i="5"/>
  <c r="AX29" i="5"/>
  <c r="H156" i="59" l="1"/>
  <c r="D132" i="42"/>
  <c r="AM28" i="5"/>
  <c r="AM40" i="5" s="1"/>
  <c r="AY28" i="5"/>
  <c r="AY40" i="5" s="1"/>
  <c r="V28" i="5"/>
  <c r="V40" i="5" s="1"/>
  <c r="Y28" i="5"/>
  <c r="Y40" i="5" s="1"/>
  <c r="AE28" i="5"/>
  <c r="AE40" i="5" s="1"/>
  <c r="BO28" i="5"/>
  <c r="BO40" i="5" s="1"/>
  <c r="AP28" i="5"/>
  <c r="AP40" i="5" s="1"/>
  <c r="BL28" i="5"/>
  <c r="BL40" i="5" s="1"/>
  <c r="AW28" i="5"/>
  <c r="AW40" i="5" s="1"/>
  <c r="M28" i="5"/>
  <c r="M40" i="5" s="1"/>
  <c r="BE28" i="5"/>
  <c r="BE40" i="5" s="1"/>
  <c r="AC28" i="5"/>
  <c r="AC40" i="5" s="1"/>
  <c r="BC28" i="5"/>
  <c r="BC40" i="5" s="1"/>
  <c r="AF28" i="5"/>
  <c r="AF40" i="5" s="1"/>
  <c r="AT28" i="5"/>
  <c r="AT40" i="5" s="1"/>
  <c r="BI28" i="5"/>
  <c r="BI40" i="5" s="1"/>
  <c r="BG28" i="5"/>
  <c r="BG40" i="5" s="1"/>
  <c r="N28" i="5"/>
  <c r="N40" i="5" s="1"/>
  <c r="BK28" i="5"/>
  <c r="BK40" i="5" s="1"/>
  <c r="BB28" i="5"/>
  <c r="BB40" i="5" s="1"/>
  <c r="L28" i="5"/>
  <c r="L40" i="5" s="1"/>
  <c r="BD28" i="5"/>
  <c r="BD40" i="5" s="1"/>
  <c r="X28" i="5"/>
  <c r="X40" i="5" s="1"/>
  <c r="Q28" i="5"/>
  <c r="Q40" i="5" s="1"/>
  <c r="J28" i="5"/>
  <c r="J40" i="5" s="1"/>
  <c r="BJ28" i="5"/>
  <c r="BJ40" i="5" s="1"/>
  <c r="AA28" i="5"/>
  <c r="AA40" i="5" s="1"/>
  <c r="BH28" i="5"/>
  <c r="BH40" i="5" s="1"/>
  <c r="S28" i="5"/>
  <c r="S40" i="5" s="1"/>
  <c r="AD28" i="5"/>
  <c r="AD40" i="5" s="1"/>
  <c r="T28" i="5"/>
  <c r="T40" i="5" s="1"/>
  <c r="W28" i="5"/>
  <c r="W40" i="5" s="1"/>
  <c r="AU28" i="5"/>
  <c r="AU40" i="5" s="1"/>
  <c r="G28" i="5"/>
  <c r="AX28" i="5"/>
  <c r="AX40" i="5" s="1"/>
  <c r="AJ28" i="5"/>
  <c r="AJ40" i="5" s="1"/>
  <c r="AN28" i="5"/>
  <c r="AN40" i="5" s="1"/>
  <c r="AL28" i="5"/>
  <c r="AL40" i="5" s="1"/>
  <c r="BN28" i="5"/>
  <c r="BN40" i="5" s="1"/>
  <c r="P28" i="5"/>
  <c r="P40" i="5" s="1"/>
  <c r="AQ28" i="5"/>
  <c r="AQ40" i="5" s="1"/>
  <c r="AI28" i="5"/>
  <c r="AI40" i="5" s="1"/>
  <c r="AO28" i="5"/>
  <c r="AO40" i="5" s="1"/>
  <c r="AZ28" i="5"/>
  <c r="AZ40" i="5" s="1"/>
  <c r="I28" i="5"/>
  <c r="I40" i="5" s="1"/>
  <c r="BM28" i="5"/>
  <c r="BM40" i="5" s="1"/>
  <c r="R28" i="5"/>
  <c r="R40" i="5" s="1"/>
  <c r="AG28" i="5"/>
  <c r="AG40" i="5" s="1"/>
  <c r="AB28" i="5"/>
  <c r="AB40" i="5" s="1"/>
  <c r="AH28" i="5"/>
  <c r="AH40" i="5" s="1"/>
  <c r="Z28" i="5"/>
  <c r="Z40" i="5" s="1"/>
  <c r="AV28" i="5"/>
  <c r="AV40" i="5" s="1"/>
  <c r="U28" i="5"/>
  <c r="U40" i="5" s="1"/>
  <c r="AS28" i="5"/>
  <c r="AS40" i="5" s="1"/>
  <c r="BF28" i="5"/>
  <c r="BF40" i="5" s="1"/>
  <c r="AK28" i="5"/>
  <c r="AK40" i="5" s="1"/>
  <c r="AR28" i="5"/>
  <c r="AR40" i="5" s="1"/>
  <c r="BA28" i="5"/>
  <c r="BA40" i="5" s="1"/>
  <c r="O28" i="5"/>
  <c r="O40" i="5" s="1"/>
  <c r="K28" i="5"/>
  <c r="K40" i="5" s="1"/>
  <c r="H28" i="5"/>
  <c r="H40" i="5" s="1"/>
  <c r="J153" i="59"/>
  <c r="I153" i="59"/>
  <c r="K153" i="59"/>
  <c r="E156" i="59" a="1"/>
  <c r="E156" i="59" s="1"/>
  <c r="AS63" i="5"/>
  <c r="AR63" i="5"/>
  <c r="AF63" i="5"/>
  <c r="AG63" i="5"/>
  <c r="AP63" i="5"/>
  <c r="AQ63" i="5"/>
  <c r="W63" i="5"/>
  <c r="V63" i="5"/>
  <c r="T63" i="5"/>
  <c r="U63" i="5"/>
  <c r="AB63" i="5"/>
  <c r="AC63" i="5"/>
  <c r="Y63" i="5"/>
  <c r="X63" i="5"/>
  <c r="BK63" i="5"/>
  <c r="BJ63" i="5"/>
  <c r="AY63" i="5"/>
  <c r="AX63" i="5"/>
  <c r="I63" i="5"/>
  <c r="H63" i="5"/>
  <c r="BL63" i="5"/>
  <c r="BM63" i="5"/>
  <c r="K63" i="5"/>
  <c r="J63" i="5"/>
  <c r="AT63" i="5"/>
  <c r="AU63" i="5"/>
  <c r="BC63" i="5"/>
  <c r="BB63" i="5"/>
  <c r="AV63" i="5"/>
  <c r="AW63" i="5"/>
  <c r="AH63" i="5"/>
  <c r="AI63" i="5"/>
  <c r="AL63" i="5"/>
  <c r="AM63" i="5"/>
  <c r="AE63" i="5"/>
  <c r="AD63" i="5"/>
  <c r="AN63" i="5"/>
  <c r="AO63" i="5"/>
  <c r="BG63" i="5"/>
  <c r="BF63" i="5"/>
  <c r="BA63" i="5"/>
  <c r="AZ63" i="5"/>
  <c r="L63" i="5"/>
  <c r="M63" i="5"/>
  <c r="P63" i="5"/>
  <c r="Q63" i="5"/>
  <c r="BE63" i="5"/>
  <c r="BD63" i="5"/>
  <c r="AJ63" i="5"/>
  <c r="AK63" i="5"/>
  <c r="S63" i="5"/>
  <c r="R63" i="5"/>
  <c r="O63" i="5"/>
  <c r="N63" i="5"/>
  <c r="BN63" i="5"/>
  <c r="BO63" i="5"/>
  <c r="BI63" i="5"/>
  <c r="BH63" i="5"/>
  <c r="Z63" i="5"/>
  <c r="AA63" i="5"/>
  <c r="AK15" i="47" l="1"/>
  <c r="AK16" i="47"/>
  <c r="AG23" i="5"/>
  <c r="AG8" i="6" s="1"/>
  <c r="AG15" i="47"/>
  <c r="AG16" i="47"/>
  <c r="P15" i="47"/>
  <c r="P16" i="47"/>
  <c r="W15" i="47"/>
  <c r="W16" i="47"/>
  <c r="Q15" i="47"/>
  <c r="Q16" i="47"/>
  <c r="BI15" i="47"/>
  <c r="BI16" i="47"/>
  <c r="BL15" i="47"/>
  <c r="BL16" i="47"/>
  <c r="BF23" i="5"/>
  <c r="BF8" i="6" s="1"/>
  <c r="BF15" i="47"/>
  <c r="BF16" i="47"/>
  <c r="R23" i="5"/>
  <c r="R15" i="47"/>
  <c r="R16" i="47"/>
  <c r="BN15" i="47"/>
  <c r="BN16" i="47"/>
  <c r="T15" i="47"/>
  <c r="T16" i="47"/>
  <c r="X15" i="47"/>
  <c r="X16" i="47"/>
  <c r="AT15" i="47"/>
  <c r="AT16" i="47"/>
  <c r="AP15" i="47"/>
  <c r="AP16" i="47"/>
  <c r="AS23" i="5"/>
  <c r="AS8" i="6" s="1"/>
  <c r="AS15" i="47"/>
  <c r="AS16" i="47"/>
  <c r="BM15" i="47"/>
  <c r="BM16" i="47"/>
  <c r="AL15" i="47"/>
  <c r="AL16" i="47"/>
  <c r="AD15" i="47"/>
  <c r="AD16" i="47"/>
  <c r="BD15" i="47"/>
  <c r="BD16" i="47"/>
  <c r="AF15" i="47"/>
  <c r="AF16" i="47"/>
  <c r="BO15" i="47"/>
  <c r="BO16" i="47"/>
  <c r="H15" i="47"/>
  <c r="H16" i="47"/>
  <c r="U15" i="47"/>
  <c r="U16" i="47"/>
  <c r="I23" i="5"/>
  <c r="I15" i="47"/>
  <c r="I16" i="47"/>
  <c r="AN15" i="47"/>
  <c r="AN16" i="47"/>
  <c r="S15" i="47"/>
  <c r="S16" i="47"/>
  <c r="L15" i="47"/>
  <c r="L16" i="47"/>
  <c r="BC15" i="47"/>
  <c r="BC16" i="47"/>
  <c r="AE15" i="47"/>
  <c r="AE16" i="47"/>
  <c r="K15" i="47"/>
  <c r="K16" i="47"/>
  <c r="AV23" i="5"/>
  <c r="AV8" i="6" s="1"/>
  <c r="AV15" i="47"/>
  <c r="AV16" i="47"/>
  <c r="AZ15" i="47"/>
  <c r="AZ16" i="47"/>
  <c r="AJ15" i="47"/>
  <c r="AJ16" i="47"/>
  <c r="BH15" i="47"/>
  <c r="BH16" i="47"/>
  <c r="BB15" i="47"/>
  <c r="BB16" i="47"/>
  <c r="AC15" i="47"/>
  <c r="AC16" i="47"/>
  <c r="Y15" i="47"/>
  <c r="Y16" i="47"/>
  <c r="O15" i="47"/>
  <c r="O16" i="47"/>
  <c r="Z15" i="47"/>
  <c r="Z16" i="47"/>
  <c r="AO15" i="47"/>
  <c r="AO16" i="47"/>
  <c r="AX15" i="47"/>
  <c r="AX16" i="47"/>
  <c r="AA15" i="47"/>
  <c r="AA16" i="47"/>
  <c r="BK15" i="47"/>
  <c r="BK16" i="47"/>
  <c r="BE15" i="47"/>
  <c r="BE16" i="47"/>
  <c r="V15" i="47"/>
  <c r="V16" i="47"/>
  <c r="BA23" i="5"/>
  <c r="BA8" i="6" s="1"/>
  <c r="BA15" i="47"/>
  <c r="BA16" i="47"/>
  <c r="AH23" i="5"/>
  <c r="AH8" i="6" s="1"/>
  <c r="AH15" i="47"/>
  <c r="AH16" i="47"/>
  <c r="AI15" i="47"/>
  <c r="AI16" i="47"/>
  <c r="BJ15" i="47"/>
  <c r="BJ16" i="47"/>
  <c r="N15" i="47"/>
  <c r="N16" i="47"/>
  <c r="M15" i="47"/>
  <c r="M16" i="47"/>
  <c r="AY15" i="47"/>
  <c r="AY16" i="47"/>
  <c r="AR15" i="47"/>
  <c r="AR16" i="47"/>
  <c r="AB15" i="47"/>
  <c r="AB16" i="47"/>
  <c r="AQ15" i="47"/>
  <c r="AQ16" i="47"/>
  <c r="AU15" i="47"/>
  <c r="AU16" i="47"/>
  <c r="J15" i="47"/>
  <c r="J16" i="47"/>
  <c r="BG23" i="5"/>
  <c r="BG8" i="6" s="1"/>
  <c r="BG15" i="47"/>
  <c r="BG16" i="47"/>
  <c r="AW15" i="47"/>
  <c r="AW16" i="47"/>
  <c r="AM15" i="47"/>
  <c r="AM16" i="47"/>
  <c r="G23" i="5"/>
  <c r="G51" i="5" s="1"/>
  <c r="D460" i="32"/>
  <c r="AK23" i="5"/>
  <c r="AK8" i="6" s="1"/>
  <c r="P23" i="5"/>
  <c r="P8" i="6" s="1"/>
  <c r="W23" i="5"/>
  <c r="W8" i="6" s="1"/>
  <c r="Q23" i="5"/>
  <c r="Q8" i="6" s="1"/>
  <c r="BI23" i="5"/>
  <c r="BI8" i="6" s="1"/>
  <c r="BL23" i="5"/>
  <c r="BL8" i="6" s="1"/>
  <c r="BN23" i="5"/>
  <c r="BN8" i="6" s="1"/>
  <c r="T23" i="5"/>
  <c r="T8" i="6" s="1"/>
  <c r="X23" i="5"/>
  <c r="X8" i="6" s="1"/>
  <c r="AT23" i="5"/>
  <c r="AT8" i="6" s="1"/>
  <c r="AP23" i="5"/>
  <c r="AP8" i="6" s="1"/>
  <c r="BM23" i="5"/>
  <c r="BM8" i="6" s="1"/>
  <c r="AL23" i="5"/>
  <c r="AL8" i="6" s="1"/>
  <c r="AD23" i="5"/>
  <c r="AD8" i="6" s="1"/>
  <c r="BD23" i="5"/>
  <c r="BD8" i="6" s="1"/>
  <c r="AF23" i="5"/>
  <c r="AF8" i="6" s="1"/>
  <c r="BO23" i="5"/>
  <c r="BO8" i="6" s="1"/>
  <c r="H23" i="5"/>
  <c r="H8" i="6" s="1"/>
  <c r="AN23" i="5"/>
  <c r="AN8" i="6" s="1"/>
  <c r="S23" i="5"/>
  <c r="S8" i="6" s="1"/>
  <c r="L23" i="5"/>
  <c r="L8" i="6" s="1"/>
  <c r="BC23" i="5"/>
  <c r="BC8" i="6" s="1"/>
  <c r="AE23" i="5"/>
  <c r="AE8" i="6" s="1"/>
  <c r="K23" i="5"/>
  <c r="K8" i="6" s="1"/>
  <c r="AZ23" i="5"/>
  <c r="AZ8" i="6" s="1"/>
  <c r="AJ23" i="5"/>
  <c r="AJ8" i="6" s="1"/>
  <c r="BH23" i="5"/>
  <c r="BH8" i="6" s="1"/>
  <c r="BB23" i="5"/>
  <c r="BB8" i="6" s="1"/>
  <c r="AC23" i="5"/>
  <c r="AC8" i="6" s="1"/>
  <c r="Y23" i="5"/>
  <c r="Y8" i="6" s="1"/>
  <c r="O23" i="5"/>
  <c r="O8" i="6" s="1"/>
  <c r="Z23" i="5"/>
  <c r="Z8" i="6" s="1"/>
  <c r="AO23" i="5"/>
  <c r="AO8" i="6" s="1"/>
  <c r="AX23" i="5"/>
  <c r="AX8" i="6" s="1"/>
  <c r="AA23" i="5"/>
  <c r="AA8" i="6" s="1"/>
  <c r="BK23" i="5"/>
  <c r="BK8" i="6" s="1"/>
  <c r="BE23" i="5"/>
  <c r="BE8" i="6" s="1"/>
  <c r="V23" i="5"/>
  <c r="V8" i="6" s="1"/>
  <c r="AI23" i="5"/>
  <c r="AI8" i="6" s="1"/>
  <c r="BJ23" i="5"/>
  <c r="BJ8" i="6" s="1"/>
  <c r="N23" i="5"/>
  <c r="N8" i="6" s="1"/>
  <c r="M23" i="5"/>
  <c r="M8" i="6" s="1"/>
  <c r="AY23" i="5"/>
  <c r="AY8" i="6" s="1"/>
  <c r="AR23" i="5"/>
  <c r="AR8" i="6" s="1"/>
  <c r="AB23" i="5"/>
  <c r="AB8" i="6" s="1"/>
  <c r="AQ23" i="5"/>
  <c r="AQ8" i="6" s="1"/>
  <c r="AU23" i="5"/>
  <c r="AU8" i="6" s="1"/>
  <c r="J23" i="5"/>
  <c r="J8" i="6" s="1"/>
  <c r="AW23" i="5"/>
  <c r="AW8" i="6" s="1"/>
  <c r="AM23" i="5"/>
  <c r="AM8" i="6" s="1"/>
  <c r="U23" i="5"/>
  <c r="E237" i="59" a="1"/>
  <c r="E237" i="59" s="1"/>
  <c r="C4" i="50" s="1"/>
  <c r="H236" i="59"/>
  <c r="F156" i="59"/>
  <c r="C114" i="51"/>
  <c r="J114" i="51" s="1"/>
  <c r="AQ17" i="47" l="1"/>
  <c r="AQ22" i="47" s="1"/>
  <c r="M17" i="47"/>
  <c r="M22" i="47" s="1"/>
  <c r="AI17" i="47"/>
  <c r="AI22" i="47" s="1"/>
  <c r="V17" i="47"/>
  <c r="V22" i="47" s="1"/>
  <c r="AX17" i="47"/>
  <c r="AX22" i="47" s="1"/>
  <c r="Y17" i="47"/>
  <c r="Y22" i="47" s="1"/>
  <c r="AJ17" i="47"/>
  <c r="AJ22" i="47" s="1"/>
  <c r="T17" i="47"/>
  <c r="T22" i="47" s="1"/>
  <c r="W17" i="47"/>
  <c r="W22" i="47" s="1"/>
  <c r="AB17" i="47"/>
  <c r="AB22" i="47" s="1"/>
  <c r="N17" i="47"/>
  <c r="N22" i="47" s="1"/>
  <c r="AH17" i="47"/>
  <c r="AH22" i="47" s="1"/>
  <c r="BE17" i="47"/>
  <c r="BE22" i="47" s="1"/>
  <c r="AO17" i="47"/>
  <c r="AO22" i="47" s="1"/>
  <c r="AC17" i="47"/>
  <c r="AC22" i="47" s="1"/>
  <c r="AZ17" i="47"/>
  <c r="AZ22" i="47" s="1"/>
  <c r="AP17" i="47"/>
  <c r="AP22" i="47" s="1"/>
  <c r="BN17" i="47"/>
  <c r="BN22" i="47" s="1"/>
  <c r="BL17" i="47"/>
  <c r="BL22" i="47" s="1"/>
  <c r="P17" i="47"/>
  <c r="P22" i="47" s="1"/>
  <c r="J17" i="47"/>
  <c r="J22" i="47" s="1"/>
  <c r="AR17" i="47"/>
  <c r="AR22" i="47" s="1"/>
  <c r="BK17" i="47"/>
  <c r="BK22" i="47" s="1"/>
  <c r="Z17" i="47"/>
  <c r="Z22" i="47" s="1"/>
  <c r="BB17" i="47"/>
  <c r="BB22" i="47" s="1"/>
  <c r="AV17" i="47"/>
  <c r="AV22" i="47" s="1"/>
  <c r="AM17" i="47"/>
  <c r="AM22" i="47" s="1"/>
  <c r="BA17" i="47"/>
  <c r="BA22" i="47" s="1"/>
  <c r="AF17" i="47"/>
  <c r="AF22" i="47" s="1"/>
  <c r="K17" i="47"/>
  <c r="K22" i="47" s="1"/>
  <c r="S17" i="47"/>
  <c r="S22" i="47" s="1"/>
  <c r="BD17" i="47"/>
  <c r="BD22" i="47" s="1"/>
  <c r="AS17" i="47"/>
  <c r="AS22" i="47" s="1"/>
  <c r="BG17" i="47"/>
  <c r="BG22" i="47" s="1"/>
  <c r="AE17" i="47"/>
  <c r="AE22" i="47" s="1"/>
  <c r="AN17" i="47"/>
  <c r="AN22" i="47" s="1"/>
  <c r="H17" i="47"/>
  <c r="H22" i="47" s="1"/>
  <c r="AD17" i="47"/>
  <c r="AD22" i="47" s="1"/>
  <c r="BC17" i="47"/>
  <c r="BC22" i="47" s="1"/>
  <c r="I17" i="47"/>
  <c r="I22" i="47" s="1"/>
  <c r="BO17" i="47"/>
  <c r="BO22" i="47" s="1"/>
  <c r="AL17" i="47"/>
  <c r="AL22" i="47" s="1"/>
  <c r="BJ17" i="47"/>
  <c r="BJ22" i="47" s="1"/>
  <c r="AT17" i="47"/>
  <c r="AT22" i="47" s="1"/>
  <c r="R17" i="47"/>
  <c r="R22" i="47" s="1"/>
  <c r="BI17" i="47"/>
  <c r="BI22" i="47" s="1"/>
  <c r="AG17" i="47"/>
  <c r="AG22" i="47" s="1"/>
  <c r="L17" i="47"/>
  <c r="L22" i="47" s="1"/>
  <c r="BM17" i="47"/>
  <c r="BM22" i="47" s="1"/>
  <c r="AU17" i="47"/>
  <c r="AU22" i="47" s="1"/>
  <c r="AY17" i="47"/>
  <c r="AY22" i="47" s="1"/>
  <c r="AA17" i="47"/>
  <c r="AA22" i="47" s="1"/>
  <c r="O17" i="47"/>
  <c r="O22" i="47" s="1"/>
  <c r="BH17" i="47"/>
  <c r="BH22" i="47" s="1"/>
  <c r="U17" i="47"/>
  <c r="U22" i="47" s="1"/>
  <c r="X17" i="47"/>
  <c r="X22" i="47" s="1"/>
  <c r="Q17" i="47"/>
  <c r="Q22" i="47" s="1"/>
  <c r="AW17" i="47"/>
  <c r="AW22" i="47" s="1"/>
  <c r="BF17" i="47"/>
  <c r="BF22" i="47" s="1"/>
  <c r="AK17" i="47"/>
  <c r="AK22" i="47" s="1"/>
  <c r="E460" i="32"/>
  <c r="E459" i="32"/>
  <c r="E458" i="32"/>
  <c r="U8" i="6"/>
  <c r="I8" i="6"/>
  <c r="R8" i="6"/>
  <c r="D10" i="29"/>
  <c r="G79" i="5"/>
  <c r="G29" i="47"/>
  <c r="G52" i="5"/>
  <c r="G8" i="6"/>
  <c r="D76" i="29"/>
  <c r="E236" i="59" a="1"/>
  <c r="E236" i="59" s="1"/>
  <c r="F236" i="59" s="1"/>
  <c r="H315" i="59"/>
  <c r="F114" i="51"/>
  <c r="D114" i="51"/>
  <c r="H114" i="51"/>
  <c r="F237" i="59"/>
  <c r="B100" i="42"/>
  <c r="H41" i="29"/>
  <c r="D462" i="32" l="1"/>
  <c r="G142" i="5"/>
  <c r="G49" i="54"/>
  <c r="G141" i="5"/>
  <c r="D86" i="29" s="1"/>
  <c r="G81" i="5"/>
  <c r="G82" i="5" s="1"/>
  <c r="G90" i="5" s="1"/>
  <c r="B103" i="42"/>
  <c r="J3" i="50"/>
  <c r="I146" i="32" s="1"/>
  <c r="P56" i="5" s="1"/>
  <c r="R3" i="50"/>
  <c r="Q146" i="32" s="1"/>
  <c r="AG56" i="5" s="1"/>
  <c r="AD3" i="50"/>
  <c r="AC146" i="32" s="1"/>
  <c r="BE56" i="5" s="1"/>
  <c r="AF3" i="50"/>
  <c r="AE146" i="32" s="1"/>
  <c r="BI56" i="5" s="1"/>
  <c r="K3" i="50"/>
  <c r="J146" i="32" s="1"/>
  <c r="S56" i="5" s="1"/>
  <c r="X3" i="50"/>
  <c r="W146" i="32" s="1"/>
  <c r="AR56" i="5" s="1"/>
  <c r="AI3" i="50"/>
  <c r="AH146" i="32" s="1"/>
  <c r="BO56" i="5" s="1"/>
  <c r="I3" i="50"/>
  <c r="H146" i="32" s="1"/>
  <c r="N56" i="5" s="1"/>
  <c r="T3" i="50"/>
  <c r="S146" i="32" s="1"/>
  <c r="AJ56" i="5" s="1"/>
  <c r="H3" i="50"/>
  <c r="G146" i="32" s="1"/>
  <c r="M56" i="5" s="1"/>
  <c r="L3" i="50"/>
  <c r="K146" i="32" s="1"/>
  <c r="U56" i="5" s="1"/>
  <c r="C3" i="50"/>
  <c r="P3" i="50"/>
  <c r="O146" i="32" s="1"/>
  <c r="AB56" i="5" s="1"/>
  <c r="U3" i="50"/>
  <c r="T146" i="32" s="1"/>
  <c r="AM56" i="5" s="1"/>
  <c r="AC3" i="50"/>
  <c r="AB146" i="32" s="1"/>
  <c r="BC56" i="5" s="1"/>
  <c r="F3" i="50"/>
  <c r="E146" i="32" s="1"/>
  <c r="H56" i="5" s="1"/>
  <c r="O3" i="50"/>
  <c r="N146" i="32" s="1"/>
  <c r="AA56" i="5" s="1"/>
  <c r="M3" i="50"/>
  <c r="L146" i="32" s="1"/>
  <c r="V56" i="5" s="1"/>
  <c r="AB3" i="50"/>
  <c r="AA146" i="32" s="1"/>
  <c r="BA56" i="5" s="1"/>
  <c r="AA3" i="50"/>
  <c r="Z146" i="32" s="1"/>
  <c r="AX56" i="5" s="1"/>
  <c r="Y3" i="50"/>
  <c r="X146" i="32" s="1"/>
  <c r="AT56" i="5" s="1"/>
  <c r="V3" i="50"/>
  <c r="U146" i="32" s="1"/>
  <c r="AN56" i="5" s="1"/>
  <c r="H44" i="29"/>
  <c r="Q3" i="50"/>
  <c r="P146" i="32" s="1"/>
  <c r="AD56" i="5" s="1"/>
  <c r="W3" i="50"/>
  <c r="V146" i="32" s="1"/>
  <c r="AQ56" i="5" s="1"/>
  <c r="AG3" i="50"/>
  <c r="AF146" i="32" s="1"/>
  <c r="BJ56" i="5" s="1"/>
  <c r="S3" i="50"/>
  <c r="R146" i="32" s="1"/>
  <c r="AH56" i="5" s="1"/>
  <c r="G3" i="50"/>
  <c r="F146" i="32" s="1"/>
  <c r="K56" i="5" s="1"/>
  <c r="Z3" i="50"/>
  <c r="Y146" i="32" s="1"/>
  <c r="AW56" i="5" s="1"/>
  <c r="N3" i="50"/>
  <c r="M146" i="32" s="1"/>
  <c r="Y56" i="5" s="1"/>
  <c r="AE3" i="50"/>
  <c r="AD146" i="32" s="1"/>
  <c r="BG56" i="5" s="1"/>
  <c r="AH3" i="50"/>
  <c r="AG146" i="32" s="1"/>
  <c r="BM56" i="5" s="1"/>
  <c r="G100" i="42"/>
  <c r="B92" i="42"/>
  <c r="G92" i="42" s="1"/>
  <c r="BF165" i="5" l="1"/>
  <c r="AT165" i="5"/>
  <c r="AH165" i="5"/>
  <c r="V165" i="5"/>
  <c r="J165" i="5"/>
  <c r="I165" i="5"/>
  <c r="AR165" i="5"/>
  <c r="AF165" i="5"/>
  <c r="H165" i="5"/>
  <c r="BC165" i="5"/>
  <c r="AQ165" i="5"/>
  <c r="G165" i="5"/>
  <c r="BE165" i="5"/>
  <c r="AS165" i="5"/>
  <c r="AG165" i="5"/>
  <c r="U165" i="5"/>
  <c r="BD165" i="5"/>
  <c r="T165" i="5"/>
  <c r="BO165" i="5"/>
  <c r="BN165" i="5"/>
  <c r="BB165" i="5"/>
  <c r="AP165" i="5"/>
  <c r="AD165" i="5"/>
  <c r="R165" i="5"/>
  <c r="BA165" i="5"/>
  <c r="AO165" i="5"/>
  <c r="Q165" i="5"/>
  <c r="BL165" i="5"/>
  <c r="AN165" i="5"/>
  <c r="P165" i="5"/>
  <c r="O165" i="5"/>
  <c r="BM165" i="5"/>
  <c r="AC165" i="5"/>
  <c r="AZ165" i="5"/>
  <c r="AB165" i="5"/>
  <c r="BK165" i="5"/>
  <c r="AY165" i="5"/>
  <c r="AM165" i="5"/>
  <c r="BJ165" i="5"/>
  <c r="AX165" i="5"/>
  <c r="AL165" i="5"/>
  <c r="Z165" i="5"/>
  <c r="N165" i="5"/>
  <c r="AE165" i="5"/>
  <c r="BI165" i="5"/>
  <c r="AW165" i="5"/>
  <c r="AK165" i="5"/>
  <c r="Y165" i="5"/>
  <c r="M165" i="5"/>
  <c r="AV165" i="5"/>
  <c r="AJ165" i="5"/>
  <c r="X165" i="5"/>
  <c r="L165" i="5"/>
  <c r="AU165" i="5"/>
  <c r="AI165" i="5"/>
  <c r="K165" i="5"/>
  <c r="AA165" i="5"/>
  <c r="BH165" i="5"/>
  <c r="BG165" i="5"/>
  <c r="W165" i="5"/>
  <c r="S165" i="5"/>
  <c r="E362" i="59"/>
  <c r="D126" i="42"/>
  <c r="E462" i="32"/>
  <c r="E360" i="59" s="1"/>
  <c r="Z56" i="5"/>
  <c r="AF56" i="5"/>
  <c r="AP56" i="5"/>
  <c r="AE56" i="5"/>
  <c r="I56" i="5"/>
  <c r="Q56" i="5"/>
  <c r="R56" i="5"/>
  <c r="AK56" i="5"/>
  <c r="O56" i="5"/>
  <c r="L56" i="5"/>
  <c r="AU56" i="5"/>
  <c r="AV56" i="5"/>
  <c r="AC56" i="5"/>
  <c r="BL56" i="5"/>
  <c r="AY56" i="5"/>
  <c r="BH56" i="5"/>
  <c r="J56" i="5"/>
  <c r="BF56" i="5"/>
  <c r="BD56" i="5"/>
  <c r="AZ56" i="5"/>
  <c r="W56" i="5"/>
  <c r="T56" i="5"/>
  <c r="BK56" i="5"/>
  <c r="AO56" i="5"/>
  <c r="AI56" i="5"/>
  <c r="AS56" i="5"/>
  <c r="AL56" i="5"/>
  <c r="BN56" i="5"/>
  <c r="BB56" i="5"/>
  <c r="X56" i="5"/>
  <c r="G103" i="42"/>
  <c r="BP103" i="42"/>
  <c r="BP106" i="42" s="1"/>
  <c r="BQ103" i="42"/>
  <c r="BQ106" i="42" s="1"/>
  <c r="BR103" i="42"/>
  <c r="BR106" i="42" s="1"/>
  <c r="BS103" i="42"/>
  <c r="BS106" i="42" s="1"/>
  <c r="BT103" i="42"/>
  <c r="BT106" i="42" s="1"/>
  <c r="BU103" i="42"/>
  <c r="BU106" i="42" s="1"/>
  <c r="BV103" i="42"/>
  <c r="BV106" i="42" s="1"/>
  <c r="BW103" i="42"/>
  <c r="BW106" i="42" s="1"/>
  <c r="BX103" i="42"/>
  <c r="BX106" i="42" s="1"/>
  <c r="BY103" i="42"/>
  <c r="BY106" i="42" s="1"/>
  <c r="BZ103" i="42"/>
  <c r="BZ106" i="42" s="1"/>
  <c r="CA103" i="42"/>
  <c r="CA106" i="42" s="1"/>
  <c r="CB103" i="42"/>
  <c r="CB106" i="42" s="1"/>
  <c r="CC103" i="42"/>
  <c r="CC106" i="42" s="1"/>
  <c r="CD103" i="42"/>
  <c r="CD106" i="42" s="1"/>
  <c r="CE103" i="42"/>
  <c r="CE106" i="42" s="1"/>
  <c r="CF103" i="42"/>
  <c r="CF106" i="42" s="1"/>
  <c r="CG103" i="42"/>
  <c r="CG106" i="42" s="1"/>
  <c r="CH103" i="42"/>
  <c r="CH106" i="42" s="1"/>
  <c r="CI103" i="42"/>
  <c r="CI106" i="42" s="1"/>
  <c r="CJ103" i="42"/>
  <c r="CJ106" i="42" s="1"/>
  <c r="CK103" i="42"/>
  <c r="CK106" i="42" s="1"/>
  <c r="CL103" i="42"/>
  <c r="CL106" i="42" s="1"/>
  <c r="CM103" i="42"/>
  <c r="CM106" i="42" s="1"/>
  <c r="CN103" i="42"/>
  <c r="CN106" i="42" s="1"/>
  <c r="CO103" i="42"/>
  <c r="CO106" i="42" s="1"/>
  <c r="CP103" i="42"/>
  <c r="CP106" i="42" s="1"/>
  <c r="CQ103" i="42"/>
  <c r="CQ106" i="42" s="1"/>
  <c r="CR103" i="42"/>
  <c r="CR106" i="42" s="1"/>
  <c r="CS103" i="42"/>
  <c r="CS106" i="42" s="1"/>
  <c r="CT103" i="42"/>
  <c r="CT106" i="42" s="1"/>
  <c r="CU103" i="42"/>
  <c r="CU106" i="42" s="1"/>
  <c r="CV103" i="42"/>
  <c r="CV106" i="42" s="1"/>
  <c r="CW103" i="42"/>
  <c r="CW106" i="42" s="1"/>
  <c r="CX103" i="42"/>
  <c r="CX106" i="42" s="1"/>
  <c r="CY103" i="42"/>
  <c r="CY106" i="42" s="1"/>
  <c r="CZ103" i="42"/>
  <c r="CZ106" i="42" s="1"/>
  <c r="DA103" i="42"/>
  <c r="DA106" i="42" s="1"/>
  <c r="DB103" i="42"/>
  <c r="DB106" i="42" s="1"/>
  <c r="DC103" i="42"/>
  <c r="DC106" i="42" s="1"/>
  <c r="DD103" i="42"/>
  <c r="DD106" i="42" s="1"/>
  <c r="DE103" i="42"/>
  <c r="DE106" i="42" s="1"/>
  <c r="DF103" i="42"/>
  <c r="DF106" i="42" s="1"/>
  <c r="DG103" i="42"/>
  <c r="DG106" i="42" s="1"/>
  <c r="DH103" i="42"/>
  <c r="DH106" i="42" s="1"/>
  <c r="DI103" i="42"/>
  <c r="DI106" i="42" s="1"/>
  <c r="DJ103" i="42"/>
  <c r="DJ106" i="42" s="1"/>
  <c r="DK103" i="42"/>
  <c r="DK106" i="42" s="1"/>
  <c r="DL103" i="42"/>
  <c r="DL106" i="42" s="1"/>
  <c r="DM103" i="42"/>
  <c r="DM106" i="42" s="1"/>
  <c r="DN103" i="42"/>
  <c r="DN106" i="42" s="1"/>
  <c r="DO103" i="42"/>
  <c r="DO106" i="42" s="1"/>
  <c r="DP103" i="42"/>
  <c r="DP106" i="42" s="1"/>
  <c r="DQ103" i="42"/>
  <c r="DQ106" i="42" s="1"/>
  <c r="DR103" i="42"/>
  <c r="DR106" i="42" s="1"/>
  <c r="DS103" i="42"/>
  <c r="DS106" i="42" s="1"/>
  <c r="DT103" i="42"/>
  <c r="DT106" i="42" s="1"/>
  <c r="DU103" i="42"/>
  <c r="DU106" i="42" s="1"/>
  <c r="AC103" i="42"/>
  <c r="AC106" i="42" s="1"/>
  <c r="AH103" i="42"/>
  <c r="AH106" i="42" s="1"/>
  <c r="O103" i="42"/>
  <c r="O106" i="42" s="1"/>
  <c r="AK103" i="42"/>
  <c r="AK106" i="42" s="1"/>
  <c r="T103" i="42"/>
  <c r="T106" i="42" s="1"/>
  <c r="Z103" i="42"/>
  <c r="Z106" i="42" s="1"/>
  <c r="AO103" i="42"/>
  <c r="AO106" i="42" s="1"/>
  <c r="BL103" i="42"/>
  <c r="BL106" i="42" s="1"/>
  <c r="AQ103" i="42"/>
  <c r="AQ106" i="42" s="1"/>
  <c r="S103" i="42"/>
  <c r="S106" i="42" s="1"/>
  <c r="AU103" i="42"/>
  <c r="AU106" i="42" s="1"/>
  <c r="BF103" i="42"/>
  <c r="BF106" i="42" s="1"/>
  <c r="DV103" i="42"/>
  <c r="DV106" i="42" s="1"/>
  <c r="AI103" i="42"/>
  <c r="AI106" i="42" s="1"/>
  <c r="M103" i="42"/>
  <c r="M106" i="42" s="1"/>
  <c r="AJ103" i="42"/>
  <c r="AJ106" i="42" s="1"/>
  <c r="W103" i="42"/>
  <c r="W106" i="42" s="1"/>
  <c r="L103" i="42"/>
  <c r="L106" i="42" s="1"/>
  <c r="R103" i="42"/>
  <c r="R106" i="42" s="1"/>
  <c r="AP103" i="42"/>
  <c r="AP106" i="42" s="1"/>
  <c r="P103" i="42"/>
  <c r="P106" i="42" s="1"/>
  <c r="V103" i="42"/>
  <c r="V106" i="42" s="1"/>
  <c r="U103" i="42"/>
  <c r="U106" i="42" s="1"/>
  <c r="AG103" i="42"/>
  <c r="AG106" i="42" s="1"/>
  <c r="BJ103" i="42"/>
  <c r="BJ106" i="42" s="1"/>
  <c r="Y103" i="42"/>
  <c r="Y106" i="42" s="1"/>
  <c r="N103" i="42"/>
  <c r="N106" i="42" s="1"/>
  <c r="AF103" i="42"/>
  <c r="AF106" i="42" s="1"/>
  <c r="AY103" i="42"/>
  <c r="AY106" i="42" s="1"/>
  <c r="AD103" i="42"/>
  <c r="AD106" i="42" s="1"/>
  <c r="X103" i="42"/>
  <c r="X106" i="42" s="1"/>
  <c r="AT103" i="42"/>
  <c r="AT106" i="42" s="1"/>
  <c r="AS103" i="42"/>
  <c r="AS106" i="42" s="1"/>
  <c r="BD103" i="42"/>
  <c r="BD106" i="42" s="1"/>
  <c r="BI103" i="42"/>
  <c r="BI106" i="42" s="1"/>
  <c r="AN103" i="42"/>
  <c r="AN106" i="42" s="1"/>
  <c r="AB103" i="42"/>
  <c r="AB106" i="42" s="1"/>
  <c r="AR103" i="42"/>
  <c r="AR106" i="42" s="1"/>
  <c r="AM103" i="42"/>
  <c r="AM106" i="42" s="1"/>
  <c r="AW103" i="42"/>
  <c r="AW106" i="42" s="1"/>
  <c r="AA103" i="42"/>
  <c r="AA106" i="42" s="1"/>
  <c r="BE103" i="42"/>
  <c r="BE106" i="42" s="1"/>
  <c r="AE103" i="42"/>
  <c r="AE106" i="42" s="1"/>
  <c r="AX103" i="42"/>
  <c r="AX106" i="42" s="1"/>
  <c r="BB103" i="42"/>
  <c r="BB106" i="42" s="1"/>
  <c r="BM103" i="42"/>
  <c r="BM106" i="42" s="1"/>
  <c r="AL103" i="42"/>
  <c r="AL106" i="42" s="1"/>
  <c r="DW103" i="42"/>
  <c r="DW106" i="42" s="1"/>
  <c r="AV103" i="42"/>
  <c r="AV106" i="42" s="1"/>
  <c r="Q103" i="42"/>
  <c r="Q106" i="42" s="1"/>
  <c r="AZ103" i="42"/>
  <c r="AZ106" i="42" s="1"/>
  <c r="BA103" i="42"/>
  <c r="BA106" i="42" s="1"/>
  <c r="BO103" i="42"/>
  <c r="BO106" i="42" s="1"/>
  <c r="BK103" i="42"/>
  <c r="BK106" i="42" s="1"/>
  <c r="BC103" i="42"/>
  <c r="BC106" i="42" s="1"/>
  <c r="BG103" i="42"/>
  <c r="BG106" i="42" s="1"/>
  <c r="BH103" i="42"/>
  <c r="BH106" i="42" s="1"/>
  <c r="BN103" i="42"/>
  <c r="BN106" i="42" s="1"/>
  <c r="H103" i="42"/>
  <c r="J103" i="42"/>
  <c r="J106" i="42" s="1"/>
  <c r="K103" i="42"/>
  <c r="K106" i="42" s="1"/>
  <c r="I103" i="42"/>
  <c r="I106" i="42" s="1"/>
  <c r="G39" i="50"/>
  <c r="G95" i="50" s="1"/>
  <c r="M39" i="50"/>
  <c r="M95" i="50" s="1"/>
  <c r="K39" i="50"/>
  <c r="K95" i="50" s="1"/>
  <c r="C39" i="50"/>
  <c r="AB39" i="50"/>
  <c r="AB95" i="50" s="1"/>
  <c r="R39" i="50"/>
  <c r="R95" i="50" s="1"/>
  <c r="L39" i="50"/>
  <c r="L95" i="50" s="1"/>
  <c r="N39" i="50"/>
  <c r="N95" i="50" s="1"/>
  <c r="T39" i="50"/>
  <c r="T95" i="50" s="1"/>
  <c r="Z39" i="50"/>
  <c r="Z95" i="50" s="1"/>
  <c r="Q39" i="50"/>
  <c r="Q95" i="50" s="1"/>
  <c r="V39" i="50"/>
  <c r="V95" i="50" s="1"/>
  <c r="AF39" i="50"/>
  <c r="AF95" i="50" s="1"/>
  <c r="AI39" i="50"/>
  <c r="AI95" i="50" s="1"/>
  <c r="X39" i="50"/>
  <c r="X95" i="50" s="1"/>
  <c r="AE39" i="50"/>
  <c r="AE95" i="50" s="1"/>
  <c r="Y39" i="50"/>
  <c r="Y95" i="50" s="1"/>
  <c r="J39" i="50"/>
  <c r="J95" i="50" s="1"/>
  <c r="I39" i="50"/>
  <c r="I95" i="50" s="1"/>
  <c r="F39" i="50"/>
  <c r="F95" i="50" s="1"/>
  <c r="AC39" i="50"/>
  <c r="AC95" i="50" s="1"/>
  <c r="S39" i="50"/>
  <c r="S95" i="50" s="1"/>
  <c r="U39" i="50"/>
  <c r="U95" i="50" s="1"/>
  <c r="O39" i="50"/>
  <c r="O95" i="50" s="1"/>
  <c r="P39" i="50"/>
  <c r="P95" i="50" s="1"/>
  <c r="AA39" i="50"/>
  <c r="AA95" i="50" s="1"/>
  <c r="H39" i="50"/>
  <c r="H95" i="50" s="1"/>
  <c r="W39" i="50"/>
  <c r="W95" i="50" s="1"/>
  <c r="AH39" i="50"/>
  <c r="AH95" i="50" s="1"/>
  <c r="AG39" i="50"/>
  <c r="AG95" i="50" s="1"/>
  <c r="AD39" i="50"/>
  <c r="AD95" i="50" s="1"/>
  <c r="C76" i="50" l="1"/>
  <c r="C96" i="50" s="1"/>
  <c r="C95" i="50"/>
  <c r="AG151" i="32"/>
  <c r="AH76" i="50"/>
  <c r="O151" i="32"/>
  <c r="P76" i="50"/>
  <c r="AB151" i="32"/>
  <c r="AC76" i="50"/>
  <c r="X151" i="32"/>
  <c r="Y76" i="50"/>
  <c r="AE151" i="32"/>
  <c r="AF76" i="50"/>
  <c r="S151" i="32"/>
  <c r="T76" i="50"/>
  <c r="AA151" i="32"/>
  <c r="AB76" i="50"/>
  <c r="F151" i="32"/>
  <c r="G76" i="50"/>
  <c r="V151" i="32"/>
  <c r="W76" i="50"/>
  <c r="N151" i="32"/>
  <c r="O76" i="50"/>
  <c r="E151" i="32"/>
  <c r="F76" i="50"/>
  <c r="F96" i="50" s="1"/>
  <c r="AD151" i="32"/>
  <c r="AE76" i="50"/>
  <c r="U151" i="32"/>
  <c r="V76" i="50"/>
  <c r="M151" i="32"/>
  <c r="N76" i="50"/>
  <c r="F55" i="29"/>
  <c r="AC151" i="32"/>
  <c r="AD76" i="50"/>
  <c r="G151" i="32"/>
  <c r="H76" i="50"/>
  <c r="T151" i="32"/>
  <c r="U76" i="50"/>
  <c r="H151" i="32"/>
  <c r="I76" i="50"/>
  <c r="W151" i="32"/>
  <c r="X76" i="50"/>
  <c r="P151" i="32"/>
  <c r="Q76" i="50"/>
  <c r="K151" i="32"/>
  <c r="L76" i="50"/>
  <c r="J151" i="32"/>
  <c r="K76" i="50"/>
  <c r="AF151" i="32"/>
  <c r="AG76" i="50"/>
  <c r="Z151" i="32"/>
  <c r="AA76" i="50"/>
  <c r="R151" i="32"/>
  <c r="S76" i="50"/>
  <c r="I151" i="32"/>
  <c r="J76" i="50"/>
  <c r="AH151" i="32"/>
  <c r="AI76" i="50"/>
  <c r="Y151" i="32"/>
  <c r="Z76" i="50"/>
  <c r="Q151" i="32"/>
  <c r="R76" i="50"/>
  <c r="L151" i="32"/>
  <c r="M76" i="50"/>
  <c r="AC158" i="32" l="1"/>
  <c r="BE68" i="5" s="1"/>
  <c r="AD96" i="50"/>
  <c r="AD158" i="32"/>
  <c r="AE96" i="50"/>
  <c r="Q158" i="32"/>
  <c r="AG68" i="5" s="1"/>
  <c r="R96" i="50"/>
  <c r="T158" i="32"/>
  <c r="AM68" i="5" s="1"/>
  <c r="U96" i="50"/>
  <c r="AE158" i="32"/>
  <c r="AE161" i="32" s="1"/>
  <c r="AF96" i="50"/>
  <c r="G158" i="32"/>
  <c r="M68" i="5" s="1"/>
  <c r="H96" i="50"/>
  <c r="X158" i="32"/>
  <c r="AU68" i="5" s="1"/>
  <c r="Y96" i="50"/>
  <c r="K158" i="32"/>
  <c r="L96" i="50"/>
  <c r="V158" i="32"/>
  <c r="AQ68" i="5" s="1"/>
  <c r="W96" i="50"/>
  <c r="I158" i="32"/>
  <c r="Q68" i="5" s="1"/>
  <c r="J96" i="50"/>
  <c r="F158" i="32"/>
  <c r="J68" i="5" s="1"/>
  <c r="G96" i="50"/>
  <c r="R158" i="32"/>
  <c r="AH68" i="5" s="1"/>
  <c r="S96" i="50"/>
  <c r="U158" i="32"/>
  <c r="U161" i="32" s="1"/>
  <c r="V96" i="50"/>
  <c r="AG158" i="32"/>
  <c r="AG161" i="32" s="1"/>
  <c r="AH96" i="50"/>
  <c r="S158" i="32"/>
  <c r="S161" i="32" s="1"/>
  <c r="T96" i="50"/>
  <c r="AF158" i="32"/>
  <c r="AF161" i="32" s="1"/>
  <c r="AG96" i="50"/>
  <c r="E158" i="32"/>
  <c r="E161" i="32" s="1"/>
  <c r="F98" i="50"/>
  <c r="Y158" i="32"/>
  <c r="AV68" i="5" s="1"/>
  <c r="Z96" i="50"/>
  <c r="J158" i="32"/>
  <c r="R68" i="5" s="1"/>
  <c r="K96" i="50"/>
  <c r="N158" i="32"/>
  <c r="Z68" i="5" s="1"/>
  <c r="O96" i="50"/>
  <c r="AH158" i="32"/>
  <c r="AH161" i="32" s="1"/>
  <c r="AI96" i="50"/>
  <c r="AB158" i="32"/>
  <c r="BB68" i="5" s="1"/>
  <c r="AC96" i="50"/>
  <c r="P158" i="32"/>
  <c r="AD68" i="5" s="1"/>
  <c r="Q96" i="50"/>
  <c r="M158" i="32"/>
  <c r="X68" i="5" s="1"/>
  <c r="N96" i="50"/>
  <c r="O158" i="32"/>
  <c r="AC68" i="5" s="1"/>
  <c r="P96" i="50"/>
  <c r="W158" i="32"/>
  <c r="AR68" i="5" s="1"/>
  <c r="X96" i="50"/>
  <c r="AA158" i="32"/>
  <c r="AZ68" i="5" s="1"/>
  <c r="AB96" i="50"/>
  <c r="L158" i="32"/>
  <c r="W68" i="5" s="1"/>
  <c r="M96" i="50"/>
  <c r="Z158" i="32"/>
  <c r="AX68" i="5" s="1"/>
  <c r="AA96" i="50"/>
  <c r="H158" i="32"/>
  <c r="H161" i="32" s="1"/>
  <c r="I96" i="50"/>
  <c r="BD68" i="5"/>
  <c r="Y61" i="5"/>
  <c r="X61" i="5"/>
  <c r="AN61" i="5"/>
  <c r="AO61" i="5"/>
  <c r="BF61" i="5"/>
  <c r="BG61" i="5"/>
  <c r="AD161" i="32"/>
  <c r="H61" i="5"/>
  <c r="I61" i="5"/>
  <c r="AA61" i="5"/>
  <c r="Z61" i="5"/>
  <c r="AP61" i="5"/>
  <c r="AQ61" i="5"/>
  <c r="T68" i="5"/>
  <c r="U68" i="5"/>
  <c r="AT68" i="5"/>
  <c r="BM68" i="5"/>
  <c r="BL68" i="5"/>
  <c r="W61" i="5"/>
  <c r="V61" i="5"/>
  <c r="AF61" i="5"/>
  <c r="AG61" i="5"/>
  <c r="AV61" i="5"/>
  <c r="AW61" i="5"/>
  <c r="BN61" i="5"/>
  <c r="BO61" i="5"/>
  <c r="Q61" i="5"/>
  <c r="P61" i="5"/>
  <c r="AH61" i="5"/>
  <c r="AI61" i="5"/>
  <c r="AY61" i="5"/>
  <c r="AX61" i="5"/>
  <c r="BK61" i="5"/>
  <c r="BJ61" i="5"/>
  <c r="R61" i="5"/>
  <c r="S61" i="5"/>
  <c r="U61" i="5"/>
  <c r="T61" i="5"/>
  <c r="K161" i="32"/>
  <c r="AE61" i="5"/>
  <c r="AD61" i="5"/>
  <c r="AS61" i="5"/>
  <c r="AR61" i="5"/>
  <c r="O61" i="5"/>
  <c r="N61" i="5"/>
  <c r="AM61" i="5"/>
  <c r="AL61" i="5"/>
  <c r="M61" i="5"/>
  <c r="L61" i="5"/>
  <c r="BD61" i="5"/>
  <c r="BE61" i="5"/>
  <c r="AC161" i="32"/>
  <c r="AO68" i="5"/>
  <c r="AN68" i="5"/>
  <c r="AA68" i="5"/>
  <c r="AB68" i="5"/>
  <c r="BG68" i="5"/>
  <c r="BF68" i="5"/>
  <c r="J61" i="5"/>
  <c r="K61" i="5"/>
  <c r="AZ61" i="5"/>
  <c r="BA61" i="5"/>
  <c r="AJ61" i="5"/>
  <c r="AK61" i="5"/>
  <c r="BH61" i="5"/>
  <c r="BI61" i="5"/>
  <c r="AT61" i="5"/>
  <c r="AU61" i="5"/>
  <c r="X161" i="32"/>
  <c r="BB61" i="5"/>
  <c r="BC61" i="5"/>
  <c r="AC61" i="5"/>
  <c r="AB61" i="5"/>
  <c r="BL61" i="5"/>
  <c r="BM61" i="5"/>
  <c r="O161" i="32" l="1"/>
  <c r="AC71" i="5" s="1"/>
  <c r="AC49" i="5" s="1"/>
  <c r="AC125" i="42" s="1"/>
  <c r="AP68" i="5"/>
  <c r="Q161" i="32"/>
  <c r="J161" i="32"/>
  <c r="R71" i="5" s="1"/>
  <c r="R49" i="5" s="1"/>
  <c r="S68" i="5"/>
  <c r="S74" i="5" s="1"/>
  <c r="S43" i="54" s="1"/>
  <c r="N161" i="32"/>
  <c r="W161" i="32"/>
  <c r="AR71" i="5" s="1"/>
  <c r="AR49" i="5" s="1"/>
  <c r="AR125" i="42" s="1"/>
  <c r="D131" i="42"/>
  <c r="V161" i="32"/>
  <c r="AP71" i="5" s="1"/>
  <c r="AP49" i="5" s="1"/>
  <c r="AP125" i="42" s="1"/>
  <c r="L161" i="32"/>
  <c r="W71" i="5" s="1"/>
  <c r="W49" i="5" s="1"/>
  <c r="AS68" i="5"/>
  <c r="AS74" i="5" s="1"/>
  <c r="AS43" i="54" s="1"/>
  <c r="P161" i="32"/>
  <c r="AE71" i="5" s="1"/>
  <c r="T161" i="32"/>
  <c r="AL71" i="5" s="1"/>
  <c r="I161" i="32"/>
  <c r="P71" i="5" s="1"/>
  <c r="AA161" i="32"/>
  <c r="BA71" i="5" s="1"/>
  <c r="AJ68" i="5"/>
  <c r="AJ74" i="5" s="1"/>
  <c r="AJ43" i="54" s="1"/>
  <c r="AK68" i="5"/>
  <c r="AK74" i="5" s="1"/>
  <c r="AK43" i="54" s="1"/>
  <c r="AB161" i="32"/>
  <c r="BC71" i="5" s="1"/>
  <c r="Z161" i="32"/>
  <c r="AY71" i="5" s="1"/>
  <c r="BA68" i="5"/>
  <c r="BA74" i="5" s="1"/>
  <c r="BA43" i="54" s="1"/>
  <c r="AW68" i="5"/>
  <c r="AW74" i="5" s="1"/>
  <c r="AW43" i="54" s="1"/>
  <c r="G161" i="32"/>
  <c r="L71" i="5" s="1"/>
  <c r="BH68" i="5"/>
  <c r="BH74" i="5" s="1"/>
  <c r="BH43" i="54" s="1"/>
  <c r="BI68" i="5"/>
  <c r="BI74" i="5" s="1"/>
  <c r="BI43" i="54" s="1"/>
  <c r="AE68" i="5"/>
  <c r="AE74" i="5" s="1"/>
  <c r="AE43" i="54" s="1"/>
  <c r="N68" i="5"/>
  <c r="N74" i="5" s="1"/>
  <c r="N43" i="54" s="1"/>
  <c r="O68" i="5"/>
  <c r="O74" i="5" s="1"/>
  <c r="O43" i="54" s="1"/>
  <c r="F161" i="32"/>
  <c r="K71" i="5" s="1"/>
  <c r="BC68" i="5"/>
  <c r="BC74" i="5" s="1"/>
  <c r="BC43" i="54" s="1"/>
  <c r="Y161" i="32"/>
  <c r="AV71" i="5" s="1"/>
  <c r="AV49" i="5" s="1"/>
  <c r="AV125" i="42" s="1"/>
  <c r="BJ68" i="5"/>
  <c r="BJ74" i="5" s="1"/>
  <c r="BJ43" i="54" s="1"/>
  <c r="BN68" i="5"/>
  <c r="BN74" i="5" s="1"/>
  <c r="BN43" i="54" s="1"/>
  <c r="R161" i="32"/>
  <c r="AH71" i="5" s="1"/>
  <c r="AH49" i="5" s="1"/>
  <c r="AH125" i="42" s="1"/>
  <c r="M161" i="32"/>
  <c r="Y71" i="5" s="1"/>
  <c r="AI68" i="5"/>
  <c r="AI74" i="5" s="1"/>
  <c r="AI43" i="54" s="1"/>
  <c r="I68" i="5"/>
  <c r="I74" i="5" s="1"/>
  <c r="I43" i="54" s="1"/>
  <c r="BK68" i="5"/>
  <c r="BK74" i="5" s="1"/>
  <c r="BK43" i="54" s="1"/>
  <c r="BO68" i="5"/>
  <c r="BO74" i="5" s="1"/>
  <c r="BO43" i="54" s="1"/>
  <c r="H68" i="5"/>
  <c r="K68" i="5"/>
  <c r="K74" i="5" s="1"/>
  <c r="K43" i="54" s="1"/>
  <c r="AY68" i="5"/>
  <c r="AY74" i="5" s="1"/>
  <c r="AY43" i="54" s="1"/>
  <c r="AF68" i="5"/>
  <c r="AF74" i="5" s="1"/>
  <c r="AF43" i="54" s="1"/>
  <c r="Y68" i="5"/>
  <c r="Y74" i="5" s="1"/>
  <c r="Y43" i="54" s="1"/>
  <c r="L68" i="5"/>
  <c r="L74" i="5" s="1"/>
  <c r="L43" i="54" s="1"/>
  <c r="P68" i="5"/>
  <c r="P74" i="5" s="1"/>
  <c r="P43" i="54" s="1"/>
  <c r="AL68" i="5"/>
  <c r="AL74" i="5" s="1"/>
  <c r="AL43" i="54" s="1"/>
  <c r="V68" i="5"/>
  <c r="V74" i="5" s="1"/>
  <c r="V43" i="54" s="1"/>
  <c r="AU74" i="5"/>
  <c r="AU43" i="54" s="1"/>
  <c r="BB74" i="5"/>
  <c r="BB43" i="54" s="1"/>
  <c r="AG74" i="5"/>
  <c r="AG43" i="54" s="1"/>
  <c r="AV74" i="5"/>
  <c r="AV43" i="54" s="1"/>
  <c r="W74" i="5"/>
  <c r="W43" i="54" s="1"/>
  <c r="AM74" i="5"/>
  <c r="AM43" i="54" s="1"/>
  <c r="AZ74" i="5"/>
  <c r="AZ43" i="54" s="1"/>
  <c r="BM74" i="5"/>
  <c r="BM43" i="54" s="1"/>
  <c r="AD74" i="5"/>
  <c r="AD43" i="54" s="1"/>
  <c r="U74" i="5"/>
  <c r="U43" i="54" s="1"/>
  <c r="J74" i="5"/>
  <c r="J43" i="54" s="1"/>
  <c r="BD74" i="5"/>
  <c r="BD43" i="54" s="1"/>
  <c r="R74" i="5"/>
  <c r="R43" i="54" s="1"/>
  <c r="AB74" i="5"/>
  <c r="AB43" i="54" s="1"/>
  <c r="AC74" i="5"/>
  <c r="AC43" i="54" s="1"/>
  <c r="AX74" i="5"/>
  <c r="AX43" i="54" s="1"/>
  <c r="AH74" i="5"/>
  <c r="AH43" i="54" s="1"/>
  <c r="BE74" i="5"/>
  <c r="BE43" i="54" s="1"/>
  <c r="AT74" i="5"/>
  <c r="AT43" i="54" s="1"/>
  <c r="T74" i="5"/>
  <c r="T43" i="54" s="1"/>
  <c r="Q74" i="5"/>
  <c r="Q43" i="54" s="1"/>
  <c r="BL74" i="5"/>
  <c r="BL43" i="54" s="1"/>
  <c r="M74" i="5"/>
  <c r="M43" i="54" s="1"/>
  <c r="AU71" i="5"/>
  <c r="AU49" i="5" s="1"/>
  <c r="AU125" i="42" s="1"/>
  <c r="AT71" i="5"/>
  <c r="AT49" i="5" s="1"/>
  <c r="AT125" i="42" s="1"/>
  <c r="T71" i="5"/>
  <c r="T49" i="5" s="1"/>
  <c r="U71" i="5"/>
  <c r="U49" i="5" s="1"/>
  <c r="AG71" i="5"/>
  <c r="AG49" i="5" s="1"/>
  <c r="AG125" i="42" s="1"/>
  <c r="AF71" i="5"/>
  <c r="AP74" i="5"/>
  <c r="AP43" i="54" s="1"/>
  <c r="H71" i="5"/>
  <c r="I71" i="5"/>
  <c r="BG74" i="5"/>
  <c r="BG43" i="54" s="1"/>
  <c r="AN74" i="5"/>
  <c r="AN43" i="54" s="1"/>
  <c r="AA71" i="5"/>
  <c r="AA49" i="5" s="1"/>
  <c r="Z71" i="5"/>
  <c r="Z49" i="5" s="1"/>
  <c r="BF74" i="5"/>
  <c r="BF43" i="54" s="1"/>
  <c r="AK71" i="5"/>
  <c r="AJ71" i="5"/>
  <c r="BD71" i="5"/>
  <c r="BD49" i="5" s="1"/>
  <c r="BD125" i="42" s="1"/>
  <c r="BE71" i="5"/>
  <c r="BE49" i="5" s="1"/>
  <c r="BE125" i="42" s="1"/>
  <c r="BJ71" i="5"/>
  <c r="BK71" i="5"/>
  <c r="BN71" i="5"/>
  <c r="BO71" i="5"/>
  <c r="Z74" i="5"/>
  <c r="Z43" i="54" s="1"/>
  <c r="AO71" i="5"/>
  <c r="AO49" i="5" s="1"/>
  <c r="AO125" i="42" s="1"/>
  <c r="AN71" i="5"/>
  <c r="AN49" i="5" s="1"/>
  <c r="AN125" i="42" s="1"/>
  <c r="X74" i="5"/>
  <c r="X43" i="54" s="1"/>
  <c r="BM71" i="5"/>
  <c r="BM49" i="5" s="1"/>
  <c r="BM125" i="42" s="1"/>
  <c r="BL71" i="5"/>
  <c r="BL49" i="5" s="1"/>
  <c r="BL125" i="42" s="1"/>
  <c r="BI71" i="5"/>
  <c r="BH71" i="5"/>
  <c r="N71" i="5"/>
  <c r="O71" i="5"/>
  <c r="AR74" i="5"/>
  <c r="AR43" i="54" s="1"/>
  <c r="AQ74" i="5"/>
  <c r="AQ43" i="54" s="1"/>
  <c r="AA74" i="5"/>
  <c r="AA43" i="54" s="1"/>
  <c r="BG71" i="5"/>
  <c r="BG49" i="5" s="1"/>
  <c r="BG125" i="42" s="1"/>
  <c r="BF71" i="5"/>
  <c r="BF49" i="5" s="1"/>
  <c r="BF125" i="42" s="1"/>
  <c r="AO74" i="5"/>
  <c r="AO43" i="54" s="1"/>
  <c r="S71" i="5" l="1"/>
  <c r="S49" i="5" s="1"/>
  <c r="S51" i="5" s="1"/>
  <c r="AS71" i="5"/>
  <c r="AS49" i="5" s="1"/>
  <c r="AS125" i="42" s="1"/>
  <c r="AB71" i="5"/>
  <c r="AB49" i="5" s="1"/>
  <c r="AB125" i="42" s="1"/>
  <c r="AD71" i="5"/>
  <c r="AD49" i="5" s="1"/>
  <c r="AD125" i="42" s="1"/>
  <c r="V71" i="5"/>
  <c r="V49" i="5" s="1"/>
  <c r="V51" i="5" s="1"/>
  <c r="AQ71" i="5"/>
  <c r="AQ49" i="5" s="1"/>
  <c r="AQ125" i="42" s="1"/>
  <c r="AM71" i="5"/>
  <c r="AM49" i="5" s="1"/>
  <c r="AM125" i="42" s="1"/>
  <c r="AZ71" i="5"/>
  <c r="AZ49" i="5" s="1"/>
  <c r="AZ125" i="42" s="1"/>
  <c r="AK49" i="5"/>
  <c r="AK125" i="42" s="1"/>
  <c r="BB71" i="5"/>
  <c r="BB49" i="5" s="1"/>
  <c r="BB125" i="42" s="1"/>
  <c r="AJ49" i="5"/>
  <c r="AJ125" i="42" s="1"/>
  <c r="J71" i="5"/>
  <c r="J49" i="5" s="1"/>
  <c r="J54" i="5" s="1"/>
  <c r="O49" i="5"/>
  <c r="O51" i="5" s="1"/>
  <c r="Q71" i="5"/>
  <c r="Q49" i="5" s="1"/>
  <c r="Q53" i="5" s="1"/>
  <c r="M71" i="5"/>
  <c r="M49" i="5" s="1"/>
  <c r="M54" i="5" s="1"/>
  <c r="AX71" i="5"/>
  <c r="AX49" i="5" s="1"/>
  <c r="AX125" i="42" s="1"/>
  <c r="AI71" i="5"/>
  <c r="AI49" i="5" s="1"/>
  <c r="BA49" i="5"/>
  <c r="BA125" i="42" s="1"/>
  <c r="X71" i="5"/>
  <c r="X49" i="5" s="1"/>
  <c r="X53" i="5" s="1"/>
  <c r="AE49" i="5"/>
  <c r="AE125" i="42" s="1"/>
  <c r="BO49" i="5"/>
  <c r="BO125" i="42" s="1"/>
  <c r="N49" i="5"/>
  <c r="N53" i="5" s="1"/>
  <c r="BH49" i="5"/>
  <c r="BH125" i="42" s="1"/>
  <c r="AL49" i="5"/>
  <c r="AL125" i="42" s="1"/>
  <c r="BK49" i="5"/>
  <c r="BK125" i="42" s="1"/>
  <c r="BI49" i="5"/>
  <c r="BI125" i="42" s="1"/>
  <c r="P49" i="5"/>
  <c r="P125" i="42" s="1"/>
  <c r="I49" i="5"/>
  <c r="I54" i="5" s="1"/>
  <c r="Y49" i="5"/>
  <c r="Y125" i="42" s="1"/>
  <c r="H49" i="5"/>
  <c r="BJ49" i="5"/>
  <c r="BJ125" i="42" s="1"/>
  <c r="BC49" i="5"/>
  <c r="BC125" i="42" s="1"/>
  <c r="AW71" i="5"/>
  <c r="AW49" i="5" s="1"/>
  <c r="AW125" i="42" s="1"/>
  <c r="BN49" i="5"/>
  <c r="BN125" i="42" s="1"/>
  <c r="H74" i="5"/>
  <c r="H43" i="54" s="1"/>
  <c r="E42" i="54" s="1"/>
  <c r="L59" i="29" s="1"/>
  <c r="AY49" i="5"/>
  <c r="AY125" i="42" s="1"/>
  <c r="K49" i="5"/>
  <c r="K51" i="5" s="1"/>
  <c r="L49" i="5"/>
  <c r="L51" i="5" s="1"/>
  <c r="AF49" i="5"/>
  <c r="AF125" i="42" s="1"/>
  <c r="R51" i="5"/>
  <c r="R125" i="42"/>
  <c r="Z51" i="5"/>
  <c r="Z125" i="42"/>
  <c r="T51" i="5"/>
  <c r="T125" i="42"/>
  <c r="AA51" i="5"/>
  <c r="AA125" i="42"/>
  <c r="U51" i="5"/>
  <c r="U125" i="42"/>
  <c r="W51" i="5"/>
  <c r="W125" i="42"/>
  <c r="AH54" i="5"/>
  <c r="AH29" i="47"/>
  <c r="AH52" i="5"/>
  <c r="AH53" i="5"/>
  <c r="AN54" i="5"/>
  <c r="AN52" i="5"/>
  <c r="AN29" i="47"/>
  <c r="AN53" i="5"/>
  <c r="U52" i="5"/>
  <c r="U29" i="47"/>
  <c r="U54" i="5"/>
  <c r="U53" i="5"/>
  <c r="BL54" i="5"/>
  <c r="BL29" i="47"/>
  <c r="BL53" i="5"/>
  <c r="BL52" i="5"/>
  <c r="AO54" i="5"/>
  <c r="AO29" i="47"/>
  <c r="AO53" i="5"/>
  <c r="AO52" i="5"/>
  <c r="AP29" i="47"/>
  <c r="AP54" i="5"/>
  <c r="AP53" i="5"/>
  <c r="AP52" i="5"/>
  <c r="BE54" i="5"/>
  <c r="BE53" i="5"/>
  <c r="BE52" i="5"/>
  <c r="BE29" i="47"/>
  <c r="Z29" i="47"/>
  <c r="Z53" i="5"/>
  <c r="Z52" i="5"/>
  <c r="Z54" i="5"/>
  <c r="AV52" i="5"/>
  <c r="AV53" i="5"/>
  <c r="AV54" i="5"/>
  <c r="AV29" i="47"/>
  <c r="AG53" i="5"/>
  <c r="AG52" i="5"/>
  <c r="AG29" i="47"/>
  <c r="AG54" i="5"/>
  <c r="T54" i="5"/>
  <c r="T29" i="47"/>
  <c r="T53" i="5"/>
  <c r="T52" i="5"/>
  <c r="AT29" i="47"/>
  <c r="AT54" i="5"/>
  <c r="AT53" i="5"/>
  <c r="AT52" i="5"/>
  <c r="AR54" i="5"/>
  <c r="AR29" i="47"/>
  <c r="AR52" i="5"/>
  <c r="AR53" i="5"/>
  <c r="AC53" i="5"/>
  <c r="AC52" i="5"/>
  <c r="AC54" i="5"/>
  <c r="AC29" i="47"/>
  <c r="BF54" i="5"/>
  <c r="BF52" i="5"/>
  <c r="BF53" i="5"/>
  <c r="BF29" i="47"/>
  <c r="BG54" i="5"/>
  <c r="BG29" i="47"/>
  <c r="BG53" i="5"/>
  <c r="BG52" i="5"/>
  <c r="W54" i="5"/>
  <c r="W29" i="47"/>
  <c r="W53" i="5"/>
  <c r="W52" i="5"/>
  <c r="R53" i="5"/>
  <c r="R52" i="5"/>
  <c r="R54" i="5"/>
  <c r="R29" i="47"/>
  <c r="BM29" i="47"/>
  <c r="BM54" i="5"/>
  <c r="BM53" i="5"/>
  <c r="BM52" i="5"/>
  <c r="BD29" i="47"/>
  <c r="BD54" i="5"/>
  <c r="BD52" i="5"/>
  <c r="BD53" i="5"/>
  <c r="AA54" i="5"/>
  <c r="AA52" i="5"/>
  <c r="AA53" i="5"/>
  <c r="AA29" i="47"/>
  <c r="AU53" i="5"/>
  <c r="AU52" i="5"/>
  <c r="AU54" i="5"/>
  <c r="AU29" i="47"/>
  <c r="S125" i="42" l="1"/>
  <c r="AB54" i="5"/>
  <c r="AB53" i="5"/>
  <c r="AB29" i="47"/>
  <c r="AB52" i="5"/>
  <c r="AQ53" i="5"/>
  <c r="AD54" i="5"/>
  <c r="AD53" i="5"/>
  <c r="AQ54" i="5"/>
  <c r="AD52" i="5"/>
  <c r="AQ29" i="47"/>
  <c r="S29" i="47"/>
  <c r="S54" i="5"/>
  <c r="S52" i="5"/>
  <c r="S53" i="5"/>
  <c r="AS29" i="47"/>
  <c r="AQ52" i="5"/>
  <c r="AM29" i="47"/>
  <c r="AM54" i="5"/>
  <c r="AM52" i="5"/>
  <c r="AS54" i="5"/>
  <c r="AS53" i="5"/>
  <c r="AS52" i="5"/>
  <c r="BB52" i="5"/>
  <c r="AD29" i="47"/>
  <c r="BB54" i="5"/>
  <c r="AK29" i="47"/>
  <c r="BB29" i="47"/>
  <c r="AM53" i="5"/>
  <c r="AK52" i="5"/>
  <c r="AK54" i="5"/>
  <c r="J51" i="5"/>
  <c r="AK53" i="5"/>
  <c r="Q29" i="47"/>
  <c r="Q54" i="5"/>
  <c r="O52" i="5"/>
  <c r="P51" i="5"/>
  <c r="BB53" i="5"/>
  <c r="J125" i="42"/>
  <c r="O54" i="5"/>
  <c r="AZ54" i="5"/>
  <c r="AZ53" i="5"/>
  <c r="AZ29" i="47"/>
  <c r="AZ52" i="5"/>
  <c r="J29" i="47"/>
  <c r="J53" i="5"/>
  <c r="J52" i="5"/>
  <c r="AJ52" i="5"/>
  <c r="H53" i="5"/>
  <c r="D136" i="42"/>
  <c r="AJ54" i="5"/>
  <c r="AJ29" i="47"/>
  <c r="AJ53" i="5"/>
  <c r="X51" i="5"/>
  <c r="AX29" i="47"/>
  <c r="BA52" i="5"/>
  <c r="BK29" i="47"/>
  <c r="O29" i="47"/>
  <c r="O53" i="5"/>
  <c r="Q52" i="5"/>
  <c r="M125" i="42"/>
  <c r="X54" i="5"/>
  <c r="Y53" i="5"/>
  <c r="Y54" i="5"/>
  <c r="M51" i="5"/>
  <c r="O125" i="42"/>
  <c r="M29" i="47"/>
  <c r="Y51" i="5"/>
  <c r="M52" i="5"/>
  <c r="M53" i="5"/>
  <c r="AX54" i="5"/>
  <c r="Y29" i="47"/>
  <c r="Y52" i="5"/>
  <c r="BA29" i="47"/>
  <c r="BA54" i="5"/>
  <c r="BI52" i="5"/>
  <c r="H125" i="42"/>
  <c r="Q125" i="42"/>
  <c r="AX53" i="5"/>
  <c r="H52" i="5"/>
  <c r="H51" i="5"/>
  <c r="Q51" i="5"/>
  <c r="X29" i="47"/>
  <c r="AX52" i="5"/>
  <c r="X125" i="42"/>
  <c r="AI125" i="42"/>
  <c r="AI52" i="5"/>
  <c r="AI54" i="5"/>
  <c r="AI29" i="47"/>
  <c r="AI53" i="5"/>
  <c r="BA53" i="5"/>
  <c r="X52" i="5"/>
  <c r="BO52" i="5"/>
  <c r="BJ54" i="5"/>
  <c r="BC54" i="5"/>
  <c r="BO54" i="5"/>
  <c r="AW52" i="5"/>
  <c r="H29" i="47"/>
  <c r="BO29" i="47"/>
  <c r="AW29" i="47"/>
  <c r="BH54" i="5"/>
  <c r="BC29" i="47"/>
  <c r="H54" i="5"/>
  <c r="BC53" i="5"/>
  <c r="BO53" i="5"/>
  <c r="BI53" i="5"/>
  <c r="BH29" i="47"/>
  <c r="B49" i="5"/>
  <c r="BH52" i="5"/>
  <c r="V53" i="5"/>
  <c r="N125" i="42"/>
  <c r="V52" i="5"/>
  <c r="V125" i="42"/>
  <c r="V29" i="47"/>
  <c r="BC52" i="5"/>
  <c r="BN29" i="47"/>
  <c r="AE53" i="5"/>
  <c r="BN54" i="5"/>
  <c r="AE52" i="5"/>
  <c r="BN52" i="5"/>
  <c r="BI54" i="5"/>
  <c r="BH53" i="5"/>
  <c r="AE29" i="47"/>
  <c r="N29" i="47"/>
  <c r="AE54" i="5"/>
  <c r="BN53" i="5"/>
  <c r="BJ52" i="5"/>
  <c r="BJ53" i="5"/>
  <c r="V54" i="5"/>
  <c r="BJ29" i="47"/>
  <c r="AY54" i="5"/>
  <c r="BK53" i="5"/>
  <c r="P29" i="47"/>
  <c r="AW53" i="5"/>
  <c r="N51" i="5"/>
  <c r="AY52" i="5"/>
  <c r="P54" i="5"/>
  <c r="N54" i="5"/>
  <c r="AL53" i="5"/>
  <c r="I53" i="5"/>
  <c r="AF52" i="5"/>
  <c r="AW54" i="5"/>
  <c r="BK54" i="5"/>
  <c r="BK52" i="5"/>
  <c r="D14" i="29"/>
  <c r="I29" i="47"/>
  <c r="K29" i="47"/>
  <c r="I125" i="42"/>
  <c r="BI29" i="47"/>
  <c r="AL52" i="5"/>
  <c r="P53" i="5"/>
  <c r="AL29" i="47"/>
  <c r="AL54" i="5"/>
  <c r="K53" i="5"/>
  <c r="I51" i="5"/>
  <c r="P52" i="5"/>
  <c r="I52" i="5"/>
  <c r="N52" i="5"/>
  <c r="K52" i="5"/>
  <c r="L29" i="47"/>
  <c r="L53" i="5"/>
  <c r="K54" i="5"/>
  <c r="L52" i="5"/>
  <c r="L125" i="42"/>
  <c r="L54" i="5"/>
  <c r="AY29" i="47"/>
  <c r="AY53" i="5"/>
  <c r="AF53" i="5"/>
  <c r="AF29" i="47"/>
  <c r="K125" i="42"/>
  <c r="AF54" i="5"/>
  <c r="D125" i="42" l="1"/>
  <c r="D53" i="5"/>
  <c r="D15" i="29" s="1"/>
  <c r="D54" i="5"/>
  <c r="D16" i="29" s="1"/>
  <c r="BO86" i="5"/>
  <c r="BP49" i="54" l="1"/>
  <c r="BP37" i="54" l="1"/>
  <c r="BP15" i="42" l="1"/>
  <c r="BP20" i="42" s="1"/>
  <c r="BP56" i="42" l="1"/>
  <c r="BP14" i="42"/>
  <c r="BP57" i="42" l="1"/>
  <c r="BP39" i="42"/>
  <c r="BP74" i="42"/>
  <c r="BP38" i="42"/>
  <c r="BP75" i="42"/>
  <c r="BQ49" i="54" l="1"/>
  <c r="BQ37" i="54" l="1"/>
  <c r="BQ15" i="42" l="1"/>
  <c r="BQ20" i="42" s="1"/>
  <c r="BQ56" i="42" l="1"/>
  <c r="BQ14" i="42"/>
  <c r="BQ38" i="42" l="1"/>
  <c r="BQ74" i="42"/>
  <c r="BQ75" i="42"/>
  <c r="BQ39" i="42"/>
  <c r="BQ57" i="42"/>
  <c r="BP64" i="42"/>
  <c r="BP82" i="42" l="1"/>
  <c r="BP65" i="42"/>
  <c r="BP46" i="42"/>
  <c r="BP47" i="42"/>
  <c r="BP83" i="42"/>
  <c r="BR49" i="54" l="1"/>
  <c r="BR37" i="54" l="1"/>
  <c r="BR15" i="42" l="1"/>
  <c r="BR20" i="42" s="1"/>
  <c r="BR14" i="42" l="1"/>
  <c r="BR56" i="42" l="1"/>
  <c r="BR38" i="42"/>
  <c r="BR74" i="42"/>
  <c r="BR75" i="42"/>
  <c r="BR57" i="42"/>
  <c r="BR39" i="42"/>
  <c r="BQ64" i="42" l="1"/>
  <c r="BQ82" i="42"/>
  <c r="BQ46" i="42"/>
  <c r="BQ47" i="42"/>
  <c r="BQ65" i="42"/>
  <c r="BQ83" i="42"/>
  <c r="BS49" i="54" l="1"/>
  <c r="BS37" i="54" l="1"/>
  <c r="BS15" i="42" l="1"/>
  <c r="BS20" i="42" s="1"/>
  <c r="BS14" i="42" l="1"/>
  <c r="BS56" i="42"/>
  <c r="BR64" i="42" l="1"/>
  <c r="BS57" i="42"/>
  <c r="BS39" i="42"/>
  <c r="BS38" i="42"/>
  <c r="BS74" i="42"/>
  <c r="BS75" i="42"/>
  <c r="BR46" i="42" l="1"/>
  <c r="BR83" i="42"/>
  <c r="BR82" i="42"/>
  <c r="BR47" i="42"/>
  <c r="BR65" i="42"/>
  <c r="BT49" i="54" l="1"/>
  <c r="BT37" i="54"/>
  <c r="BT15" i="42" l="1"/>
  <c r="BT20" i="42" s="1"/>
  <c r="BT56" i="42" l="1"/>
  <c r="BT14" i="42"/>
  <c r="BT38" i="42" l="1"/>
  <c r="BT39" i="42"/>
  <c r="BT74" i="42"/>
  <c r="BT75" i="42"/>
  <c r="BT57" i="42"/>
  <c r="BS64" i="42"/>
  <c r="BS47" i="42" l="1"/>
  <c r="BS46" i="42"/>
  <c r="BS83" i="42"/>
  <c r="BS65" i="42"/>
  <c r="BS82" i="42"/>
  <c r="BU49" i="54" l="1"/>
  <c r="BU37" i="54" l="1"/>
  <c r="BU15" i="42" l="1"/>
  <c r="BU20" i="42" s="1"/>
  <c r="BU56" i="42" l="1"/>
  <c r="BU14" i="42"/>
  <c r="BU74" i="42" l="1"/>
  <c r="BU39" i="42"/>
  <c r="BU75" i="42"/>
  <c r="BU38" i="42"/>
  <c r="BU57" i="42"/>
  <c r="BT64" i="42"/>
  <c r="BT47" i="42" l="1"/>
  <c r="BT65" i="42"/>
  <c r="BT46" i="42"/>
  <c r="BT82" i="42"/>
  <c r="BT83" i="42"/>
  <c r="BV49" i="54" l="1"/>
  <c r="BV37" i="54" l="1"/>
  <c r="BV15" i="42" l="1"/>
  <c r="BV20" i="42" s="1"/>
  <c r="BV56" i="42" l="1"/>
  <c r="BV14" i="42"/>
  <c r="BV39" i="42" l="1"/>
  <c r="BV38" i="42"/>
  <c r="BV75" i="42"/>
  <c r="BV57" i="42"/>
  <c r="BV74" i="42"/>
  <c r="BU64" i="42"/>
  <c r="BU46" i="42" l="1"/>
  <c r="BU82" i="42"/>
  <c r="BU47" i="42"/>
  <c r="BU65" i="42"/>
  <c r="BU83" i="42"/>
  <c r="BW49" i="54" l="1"/>
  <c r="BW37" i="54" l="1"/>
  <c r="BW15" i="42" l="1"/>
  <c r="BW20" i="42" s="1"/>
  <c r="BW14" i="42" l="1"/>
  <c r="BW56" i="42"/>
  <c r="BV64" i="42" l="1"/>
  <c r="BW75" i="42"/>
  <c r="BW74" i="42"/>
  <c r="BW57" i="42"/>
  <c r="BW39" i="42"/>
  <c r="BW38" i="42"/>
  <c r="BV47" i="42" l="1"/>
  <c r="BV46" i="42"/>
  <c r="BV65" i="42"/>
  <c r="BV82" i="42"/>
  <c r="BV83" i="42"/>
  <c r="BX49" i="54" l="1"/>
  <c r="BX37" i="54" l="1"/>
  <c r="BX15" i="42" l="1"/>
  <c r="BX20" i="42" s="1"/>
  <c r="BX14" i="42" l="1"/>
  <c r="BX56" i="42"/>
  <c r="BW64" i="42" l="1"/>
  <c r="BX39" i="42"/>
  <c r="BX75" i="42"/>
  <c r="BX57" i="42"/>
  <c r="BX74" i="42"/>
  <c r="BX38" i="42"/>
  <c r="BW46" i="42" l="1"/>
  <c r="BW82" i="42"/>
  <c r="BW65" i="42"/>
  <c r="BW83" i="42"/>
  <c r="BW47" i="42"/>
  <c r="BY49" i="54" l="1"/>
  <c r="BY37" i="54"/>
  <c r="BY15" i="42" l="1"/>
  <c r="BY20" i="42" s="1"/>
  <c r="BY14" i="42" l="1"/>
  <c r="BY56" i="42"/>
  <c r="BX64" i="42" l="1"/>
  <c r="BY74" i="42"/>
  <c r="BY57" i="42"/>
  <c r="BY39" i="42"/>
  <c r="BY75" i="42"/>
  <c r="BY38" i="42"/>
  <c r="BX65" i="42" l="1"/>
  <c r="BX46" i="42"/>
  <c r="BX82" i="42"/>
  <c r="BX83" i="42"/>
  <c r="BX47" i="42"/>
  <c r="BZ49" i="54" l="1"/>
  <c r="BZ37" i="54" l="1"/>
  <c r="BZ15" i="42" l="1"/>
  <c r="BZ20" i="42" s="1"/>
  <c r="BZ14" i="42" l="1"/>
  <c r="BZ56" i="42"/>
  <c r="BZ74" i="42" l="1"/>
  <c r="BZ39" i="42"/>
  <c r="BZ57" i="42"/>
  <c r="BZ75" i="42"/>
  <c r="BZ38" i="42"/>
  <c r="BY64" i="42"/>
  <c r="BY82" i="42" l="1"/>
  <c r="BY65" i="42"/>
  <c r="BY47" i="42"/>
  <c r="BY83" i="42"/>
  <c r="BY46" i="42"/>
  <c r="CA49" i="54" l="1"/>
  <c r="CA37" i="54" l="1"/>
  <c r="CA15" i="42" l="1"/>
  <c r="CA20" i="42" s="1"/>
  <c r="CA56" i="42" l="1"/>
  <c r="CA14" i="42"/>
  <c r="CA39" i="42" l="1"/>
  <c r="CA74" i="42"/>
  <c r="CA57" i="42"/>
  <c r="CA75" i="42"/>
  <c r="CA38" i="42"/>
  <c r="BZ64" i="42"/>
  <c r="BZ46" i="42" l="1"/>
  <c r="BZ82" i="42"/>
  <c r="BZ47" i="42"/>
  <c r="BZ83" i="42"/>
  <c r="BZ65" i="42"/>
  <c r="CB49" i="54" l="1"/>
  <c r="CB37" i="54" l="1"/>
  <c r="CB15" i="42" l="1"/>
  <c r="CB20" i="42" s="1"/>
  <c r="CB14" i="42"/>
  <c r="CB56" i="42"/>
  <c r="CA64" i="42" l="1"/>
  <c r="CB39" i="42"/>
  <c r="CB57" i="42"/>
  <c r="CB38" i="42"/>
  <c r="CB75" i="42"/>
  <c r="CB74" i="42"/>
  <c r="CA82" i="42" l="1"/>
  <c r="CA83" i="42"/>
  <c r="CA46" i="42"/>
  <c r="CA65" i="42"/>
  <c r="CA47" i="42"/>
  <c r="CC49" i="54" l="1"/>
  <c r="CC37" i="54"/>
  <c r="CC15" i="42" l="1"/>
  <c r="CC20" i="42" s="1"/>
  <c r="CC56" i="42" l="1"/>
  <c r="CC14" i="42"/>
  <c r="CC38" i="42" l="1"/>
  <c r="CC74" i="42"/>
  <c r="CC75" i="42"/>
  <c r="CC57" i="42"/>
  <c r="CC39" i="42"/>
  <c r="CB64" i="42"/>
  <c r="CB82" i="42" l="1"/>
  <c r="CB46" i="42"/>
  <c r="CB47" i="42"/>
  <c r="CB65" i="42"/>
  <c r="CB83" i="42"/>
  <c r="CD49" i="54" l="1"/>
  <c r="CD37" i="54" l="1"/>
  <c r="CD15" i="42" l="1"/>
  <c r="CD20" i="42" s="1"/>
  <c r="CD14" i="42" l="1"/>
  <c r="CD56" i="42"/>
  <c r="CC64" i="42" l="1"/>
  <c r="CD75" i="42"/>
  <c r="CD57" i="42"/>
  <c r="CD74" i="42"/>
  <c r="CD38" i="42"/>
  <c r="CD39" i="42"/>
  <c r="CC47" i="42" l="1"/>
  <c r="CC46" i="42"/>
  <c r="CC82" i="42"/>
  <c r="CC65" i="42"/>
  <c r="CC83" i="42"/>
  <c r="CE49" i="54" l="1"/>
  <c r="CE37" i="54" l="1"/>
  <c r="CE15" i="42" l="1"/>
  <c r="CE20" i="42" s="1"/>
  <c r="CE14" i="42" l="1"/>
  <c r="CE56" i="42"/>
  <c r="CD64" i="42" l="1"/>
  <c r="CE57" i="42"/>
  <c r="CE75" i="42"/>
  <c r="CE74" i="42"/>
  <c r="CE38" i="42"/>
  <c r="CE39" i="42"/>
  <c r="CD46" i="42" l="1"/>
  <c r="CD65" i="42"/>
  <c r="CD47" i="42"/>
  <c r="CD82" i="42"/>
  <c r="CD83" i="42"/>
  <c r="CF49" i="54" l="1"/>
  <c r="CF37" i="54" l="1"/>
  <c r="CF15" i="42" l="1"/>
  <c r="CF20" i="42" s="1"/>
  <c r="CF14" i="42" l="1"/>
  <c r="CF56" i="42"/>
  <c r="CE64" i="42" l="1"/>
  <c r="CF38" i="42"/>
  <c r="CF75" i="42"/>
  <c r="CF39" i="42"/>
  <c r="CF57" i="42"/>
  <c r="CF74" i="42"/>
  <c r="CE65" i="42" l="1"/>
  <c r="CE47" i="42"/>
  <c r="CE83" i="42"/>
  <c r="CE82" i="42"/>
  <c r="CE46" i="42"/>
  <c r="CG49" i="54" l="1"/>
  <c r="CG37" i="54" l="1"/>
  <c r="CG15" i="42" l="1"/>
  <c r="CG20" i="42" s="1"/>
  <c r="CG56" i="42" l="1"/>
  <c r="CG14" i="42"/>
  <c r="CG57" i="42" l="1"/>
  <c r="CG74" i="42"/>
  <c r="CG75" i="42"/>
  <c r="CG39" i="42"/>
  <c r="CG38" i="42"/>
  <c r="CF64" i="42"/>
  <c r="CF65" i="42" l="1"/>
  <c r="CF82" i="42"/>
  <c r="CF46" i="42"/>
  <c r="CF47" i="42"/>
  <c r="CF83" i="42"/>
  <c r="CH49" i="54" l="1"/>
  <c r="CH37" i="54" l="1"/>
  <c r="CH15" i="42" l="1"/>
  <c r="CH20" i="42" s="1"/>
  <c r="CH14" i="42"/>
  <c r="CH56" i="42" l="1"/>
  <c r="CH75" i="42"/>
  <c r="CH39" i="42"/>
  <c r="CH74" i="42"/>
  <c r="CH38" i="42"/>
  <c r="CH57" i="42"/>
  <c r="CG64" i="42" l="1"/>
  <c r="CG47" i="42"/>
  <c r="CG83" i="42"/>
  <c r="CG65" i="42"/>
  <c r="CG46" i="42"/>
  <c r="CG82" i="42"/>
  <c r="CI37" i="54" l="1"/>
  <c r="CI49" i="54"/>
  <c r="CI15" i="42" l="1"/>
  <c r="CI20" i="42" s="1"/>
  <c r="CI56" i="42"/>
  <c r="CI14" i="42"/>
  <c r="CI39" i="42" l="1"/>
  <c r="CI57" i="42"/>
  <c r="CI38" i="42"/>
  <c r="CI74" i="42"/>
  <c r="CI75" i="42"/>
  <c r="CH64" i="42"/>
  <c r="CH65" i="42" l="1"/>
  <c r="CH47" i="42"/>
  <c r="CH83" i="42"/>
  <c r="CH82" i="42"/>
  <c r="CH46" i="42"/>
  <c r="CJ49" i="54" l="1"/>
  <c r="CJ37" i="54"/>
  <c r="CJ15" i="42" l="1"/>
  <c r="CJ20" i="42" s="1"/>
  <c r="CJ14" i="42" l="1"/>
  <c r="CJ56" i="42"/>
  <c r="CI64" i="42" l="1"/>
  <c r="CJ74" i="42"/>
  <c r="CJ39" i="42"/>
  <c r="CJ38" i="42"/>
  <c r="CJ75" i="42"/>
  <c r="CJ57" i="42"/>
  <c r="CI83" i="42" l="1"/>
  <c r="CI65" i="42"/>
  <c r="CI46" i="42"/>
  <c r="CI47" i="42"/>
  <c r="CI82" i="42"/>
  <c r="CK49" i="54" l="1"/>
  <c r="CK37" i="54" l="1"/>
  <c r="CK15" i="42" l="1"/>
  <c r="CK20" i="42" s="1"/>
  <c r="CK56" i="42" l="1"/>
  <c r="CK14" i="42"/>
  <c r="CK74" i="42" l="1"/>
  <c r="CK39" i="42"/>
  <c r="CK38" i="42"/>
  <c r="CK57" i="42"/>
  <c r="CK75" i="42"/>
  <c r="CJ64" i="42"/>
  <c r="CJ83" i="42" l="1"/>
  <c r="CJ65" i="42"/>
  <c r="CJ46" i="42"/>
  <c r="CJ47" i="42"/>
  <c r="CJ82" i="42"/>
  <c r="CL49" i="54" l="1"/>
  <c r="CL37" i="54" l="1"/>
  <c r="CL15" i="42" l="1"/>
  <c r="CL20" i="42" s="1"/>
  <c r="CL56" i="42" l="1"/>
  <c r="CL14" i="42"/>
  <c r="CL39" i="42" l="1"/>
  <c r="CL57" i="42"/>
  <c r="CL74" i="42"/>
  <c r="CL75" i="42"/>
  <c r="CL38" i="42"/>
  <c r="CK64" i="42"/>
  <c r="CK47" i="42" l="1"/>
  <c r="CK46" i="42"/>
  <c r="CK65" i="42"/>
  <c r="CK83" i="42"/>
  <c r="CK82" i="42"/>
  <c r="CM49" i="54" l="1"/>
  <c r="CM37" i="54" l="1"/>
  <c r="CM15" i="42" l="1"/>
  <c r="CM20" i="42" s="1"/>
  <c r="CM56" i="42" l="1"/>
  <c r="CM14" i="42"/>
  <c r="CM57" i="42" l="1"/>
  <c r="CM74" i="42"/>
  <c r="CM39" i="42"/>
  <c r="CM38" i="42"/>
  <c r="CM75" i="42"/>
  <c r="CL64" i="42"/>
  <c r="CL65" i="42" l="1"/>
  <c r="CL82" i="42"/>
  <c r="CL83" i="42"/>
  <c r="CL46" i="42"/>
  <c r="CL47" i="42"/>
  <c r="CN37" i="54" l="1"/>
  <c r="CN49" i="54"/>
  <c r="CN15" i="42" l="1"/>
  <c r="CN20" i="42" s="1"/>
  <c r="CN14" i="42" l="1"/>
  <c r="CN56" i="42"/>
  <c r="CN75" i="42" l="1"/>
  <c r="CN39" i="42"/>
  <c r="CN38" i="42"/>
  <c r="CN57" i="42"/>
  <c r="CN74" i="42"/>
  <c r="CM64" i="42"/>
  <c r="CM82" i="42" l="1"/>
  <c r="CM47" i="42"/>
  <c r="CM46" i="42"/>
  <c r="CM83" i="42"/>
  <c r="CM65" i="42"/>
  <c r="CO37" i="54" l="1"/>
  <c r="CO49" i="54"/>
  <c r="CO15" i="42" l="1"/>
  <c r="CO20" i="42" s="1"/>
  <c r="CO56" i="42" l="1"/>
  <c r="CO14" i="42"/>
  <c r="CO39" i="42" l="1"/>
  <c r="CO75" i="42"/>
  <c r="CO74" i="42"/>
  <c r="CO38" i="42"/>
  <c r="CO57" i="42"/>
  <c r="CN64" i="42"/>
  <c r="CN47" i="42" l="1"/>
  <c r="CN83" i="42"/>
  <c r="CN65" i="42"/>
  <c r="CN46" i="42"/>
  <c r="CN82" i="42"/>
  <c r="CP37" i="54" l="1"/>
  <c r="CP49" i="54"/>
  <c r="CP15" i="42" l="1"/>
  <c r="CP20" i="42" s="1"/>
  <c r="CP56" i="42" l="1"/>
  <c r="CP14" i="42"/>
  <c r="CP38" i="42" l="1"/>
  <c r="CP75" i="42"/>
  <c r="CP39" i="42"/>
  <c r="CP74" i="42"/>
  <c r="CP57" i="42"/>
  <c r="CO64" i="42"/>
  <c r="CO83" i="42" l="1"/>
  <c r="CO46" i="42"/>
  <c r="CO65" i="42"/>
  <c r="CO82" i="42"/>
  <c r="CO47" i="42"/>
  <c r="CQ49" i="54" l="1"/>
  <c r="CQ37" i="54" l="1"/>
  <c r="CQ15" i="42" l="1"/>
  <c r="CQ20" i="42" s="1"/>
  <c r="CQ56" i="42" l="1"/>
  <c r="CQ14" i="42"/>
  <c r="CQ74" i="42" l="1"/>
  <c r="CQ75" i="42"/>
  <c r="CQ39" i="42"/>
  <c r="CQ57" i="42"/>
  <c r="CQ38" i="42"/>
  <c r="CP64" i="42"/>
  <c r="CP83" i="42" l="1"/>
  <c r="CP82" i="42"/>
  <c r="CP46" i="42"/>
  <c r="CP65" i="42"/>
  <c r="CP47" i="42"/>
  <c r="CR49" i="54" l="1"/>
  <c r="CR37" i="54"/>
  <c r="CR15" i="42" l="1"/>
  <c r="CR20" i="42" s="1"/>
  <c r="CR14" i="42" l="1"/>
  <c r="CR56" i="42"/>
  <c r="CQ64" i="42" l="1"/>
  <c r="CR75" i="42"/>
  <c r="CR74" i="42"/>
  <c r="CR38" i="42"/>
  <c r="CR39" i="42"/>
  <c r="CR57" i="42"/>
  <c r="CQ47" i="42" l="1"/>
  <c r="CQ65" i="42"/>
  <c r="CQ46" i="42"/>
  <c r="CQ82" i="42"/>
  <c r="CQ83" i="42"/>
  <c r="CS49" i="54" l="1"/>
  <c r="CS37" i="54" l="1"/>
  <c r="CS15" i="42" l="1"/>
  <c r="CS20" i="42" s="1"/>
  <c r="CS56" i="42"/>
  <c r="CS14" i="42" l="1"/>
  <c r="CS75" i="42" s="1"/>
  <c r="CR64" i="42"/>
  <c r="CS39" i="42" l="1"/>
  <c r="CR47" i="42" s="1"/>
  <c r="CS57" i="42"/>
  <c r="CR65" i="42" s="1"/>
  <c r="CS74" i="42"/>
  <c r="CS38" i="42"/>
  <c r="CR46" i="42" s="1"/>
  <c r="CR83" i="42"/>
  <c r="CR82" i="42" l="1"/>
  <c r="CT49" i="54" l="1"/>
  <c r="CT37" i="54" l="1"/>
  <c r="CT15" i="42" l="1"/>
  <c r="CT20" i="42" s="1"/>
  <c r="CT56" i="42" l="1"/>
  <c r="CT14" i="42"/>
  <c r="CT75" i="42" l="1"/>
  <c r="CT39" i="42"/>
  <c r="CT38" i="42"/>
  <c r="CT57" i="42"/>
  <c r="CT74" i="42"/>
  <c r="CS64" i="42"/>
  <c r="CS82" i="42" l="1"/>
  <c r="CS65" i="42"/>
  <c r="CS46" i="42"/>
  <c r="CS47" i="42"/>
  <c r="CS83" i="42"/>
  <c r="CU37" i="54" l="1"/>
  <c r="CU49" i="54"/>
  <c r="CU15" i="42" l="1"/>
  <c r="CU20" i="42" s="1"/>
  <c r="CU14" i="42" l="1"/>
  <c r="CU56" i="42"/>
  <c r="CT64" i="42" l="1"/>
  <c r="CU75" i="42"/>
  <c r="CU74" i="42"/>
  <c r="CU57" i="42"/>
  <c r="CU39" i="42"/>
  <c r="CU38" i="42"/>
  <c r="CT46" i="42" l="1"/>
  <c r="CT47" i="42"/>
  <c r="CT83" i="42"/>
  <c r="CT65" i="42"/>
  <c r="CT82" i="42"/>
  <c r="CV49" i="54" l="1"/>
  <c r="CV37" i="54" l="1"/>
  <c r="CV15" i="42" l="1"/>
  <c r="CV20" i="42" s="1"/>
  <c r="CV14" i="42" l="1"/>
  <c r="CV56" i="42"/>
  <c r="CU64" i="42" l="1"/>
  <c r="CV57" i="42"/>
  <c r="CV74" i="42"/>
  <c r="CV75" i="42"/>
  <c r="CV39" i="42"/>
  <c r="CV38" i="42"/>
  <c r="CU46" i="42" l="1"/>
  <c r="CU47" i="42"/>
  <c r="CU83" i="42"/>
  <c r="CU82" i="42"/>
  <c r="CU65" i="42"/>
  <c r="CW49" i="54" l="1"/>
  <c r="CW37" i="54"/>
  <c r="CW15" i="42" l="1"/>
  <c r="CW20" i="42" s="1"/>
  <c r="CW14" i="42" l="1"/>
  <c r="CW56" i="42" l="1"/>
  <c r="CV64" i="42" s="1"/>
  <c r="CW38" i="42"/>
  <c r="CW39" i="42"/>
  <c r="CW75" i="42"/>
  <c r="CW74" i="42"/>
  <c r="CW57" i="42"/>
  <c r="CV82" i="42" l="1"/>
  <c r="CV83" i="42"/>
  <c r="CV65" i="42"/>
  <c r="CV47" i="42"/>
  <c r="CV46" i="42"/>
  <c r="CX49" i="54" l="1"/>
  <c r="CX37" i="54" l="1"/>
  <c r="CX15" i="42" l="1"/>
  <c r="CX20" i="42" s="1"/>
  <c r="CX56" i="42" l="1"/>
  <c r="CX14" i="42" l="1"/>
  <c r="CX74" i="42" s="1"/>
  <c r="CW64" i="42"/>
  <c r="CX75" i="42" l="1"/>
  <c r="CW83" i="42" s="1"/>
  <c r="CX38" i="42"/>
  <c r="CW46" i="42" s="1"/>
  <c r="CX57" i="42"/>
  <c r="CW65" i="42" s="1"/>
  <c r="CX39" i="42"/>
  <c r="CW47" i="42" s="1"/>
  <c r="CW82" i="42"/>
  <c r="CY49" i="54" l="1"/>
  <c r="CY37" i="54" l="1"/>
  <c r="CY15" i="42" l="1"/>
  <c r="CY20" i="42" s="1"/>
  <c r="CY14" i="42" l="1"/>
  <c r="CY56" i="42"/>
  <c r="CX64" i="42" l="1"/>
  <c r="CY74" i="42"/>
  <c r="CY75" i="42"/>
  <c r="CY57" i="42"/>
  <c r="CY38" i="42"/>
  <c r="CY39" i="42"/>
  <c r="CX46" i="42" l="1"/>
  <c r="CX65" i="42"/>
  <c r="CX47" i="42"/>
  <c r="CX83" i="42"/>
  <c r="CX82" i="42"/>
  <c r="CZ49" i="54" l="1"/>
  <c r="CZ37" i="54"/>
  <c r="CZ15" i="42" l="1"/>
  <c r="CZ20" i="42" s="1"/>
  <c r="CZ14" i="42" l="1"/>
  <c r="CZ56" i="42"/>
  <c r="CY64" i="42" l="1"/>
  <c r="CZ74" i="42"/>
  <c r="CZ38" i="42"/>
  <c r="CZ39" i="42"/>
  <c r="CZ57" i="42"/>
  <c r="CZ75" i="42"/>
  <c r="CY65" i="42" l="1"/>
  <c r="CY47" i="42"/>
  <c r="CY82" i="42"/>
  <c r="CY83" i="42"/>
  <c r="CY46" i="42"/>
  <c r="DA49" i="54" l="1"/>
  <c r="DA37" i="54" l="1"/>
  <c r="DA15" i="42" l="1"/>
  <c r="DA20" i="42" s="1"/>
  <c r="DA56" i="42" l="1"/>
  <c r="DA14" i="42" l="1"/>
  <c r="DA74" i="42" s="1"/>
  <c r="CZ64" i="42"/>
  <c r="DA57" i="42" l="1"/>
  <c r="CZ65" i="42" s="1"/>
  <c r="DA39" i="42"/>
  <c r="CZ47" i="42" s="1"/>
  <c r="DA38" i="42"/>
  <c r="CZ46" i="42" s="1"/>
  <c r="DA75" i="42"/>
  <c r="CZ83" i="42" s="1"/>
  <c r="CZ82" i="42"/>
  <c r="DB49" i="54" l="1"/>
  <c r="DB37" i="54"/>
  <c r="DB15" i="42" l="1"/>
  <c r="DB20" i="42" s="1"/>
  <c r="DB14" i="42" l="1"/>
  <c r="DB56" i="42"/>
  <c r="DA64" i="42" l="1"/>
  <c r="DB57" i="42"/>
  <c r="DB74" i="42"/>
  <c r="DB39" i="42"/>
  <c r="DB75" i="42"/>
  <c r="DB38" i="42"/>
  <c r="DA47" i="42" l="1"/>
  <c r="DA46" i="42"/>
  <c r="DA83" i="42"/>
  <c r="DA82" i="42"/>
  <c r="DA65" i="42"/>
  <c r="DC49" i="54" l="1"/>
  <c r="DC37" i="54" l="1"/>
  <c r="DC15" i="42" l="1"/>
  <c r="DC20" i="42" s="1"/>
  <c r="DC14" i="42" l="1"/>
  <c r="DC56" i="42" l="1"/>
  <c r="DC57" i="42"/>
  <c r="DC38" i="42"/>
  <c r="DC74" i="42"/>
  <c r="DC39" i="42"/>
  <c r="DC75" i="42"/>
  <c r="DB64" i="42" l="1"/>
  <c r="DB83" i="42"/>
  <c r="DB47" i="42"/>
  <c r="DB82" i="42"/>
  <c r="DB46" i="42"/>
  <c r="DB65" i="42"/>
  <c r="DD49" i="54" l="1"/>
  <c r="DD37" i="54" l="1"/>
  <c r="DD15" i="42" l="1"/>
  <c r="DD20" i="42" s="1"/>
  <c r="DD56" i="42" l="1"/>
  <c r="DD14" i="42" l="1"/>
  <c r="DD74" i="42" s="1"/>
  <c r="DC64" i="42"/>
  <c r="DD39" i="42" l="1"/>
  <c r="DC47" i="42" s="1"/>
  <c r="DD57" i="42"/>
  <c r="DD75" i="42"/>
  <c r="DC83" i="42" s="1"/>
  <c r="DD38" i="42"/>
  <c r="DC65" i="42"/>
  <c r="DC82" i="42"/>
  <c r="DC46" i="42" l="1"/>
  <c r="DE49" i="54" l="1"/>
  <c r="DE37" i="54" l="1"/>
  <c r="DE56" i="42" l="1"/>
  <c r="DE15" i="42"/>
  <c r="DE20" i="42" s="1"/>
  <c r="DE14" i="42" l="1"/>
  <c r="DE57" i="42" s="1"/>
  <c r="DD64" i="42"/>
  <c r="DE74" i="42" l="1"/>
  <c r="DE39" i="42"/>
  <c r="DD47" i="42" s="1"/>
  <c r="DE38" i="42"/>
  <c r="DD46" i="42" s="1"/>
  <c r="DE75" i="42"/>
  <c r="DD83" i="42" s="1"/>
  <c r="DD65" i="42"/>
  <c r="DD82" i="42" l="1"/>
  <c r="DF37" i="54" l="1"/>
  <c r="DF49" i="54"/>
  <c r="DF15" i="42" l="1"/>
  <c r="DF20" i="42" s="1"/>
  <c r="DF14" i="42" l="1"/>
  <c r="DF56" i="42"/>
  <c r="DE64" i="42" l="1"/>
  <c r="DF57" i="42"/>
  <c r="DF38" i="42"/>
  <c r="DF75" i="42"/>
  <c r="DF74" i="42"/>
  <c r="DF39" i="42"/>
  <c r="DE82" i="42" l="1"/>
  <c r="DE47" i="42"/>
  <c r="DE83" i="42"/>
  <c r="DE46" i="42"/>
  <c r="DE65" i="42"/>
  <c r="DG49" i="54" l="1"/>
  <c r="DG37" i="54"/>
  <c r="DG15" i="42" l="1"/>
  <c r="DG20" i="42" s="1"/>
  <c r="DG56" i="42" l="1"/>
  <c r="DG14" i="42"/>
  <c r="DG57" i="42" l="1"/>
  <c r="DG38" i="42"/>
  <c r="DG75" i="42"/>
  <c r="DG39" i="42"/>
  <c r="DG74" i="42"/>
  <c r="DF64" i="42"/>
  <c r="DF46" i="42" l="1"/>
  <c r="DF47" i="42"/>
  <c r="DF65" i="42"/>
  <c r="DF82" i="42"/>
  <c r="DF83" i="42"/>
  <c r="DH49" i="54" l="1"/>
  <c r="DH37" i="54" l="1"/>
  <c r="DH15" i="42" l="1"/>
  <c r="DH20" i="42" s="1"/>
  <c r="DH56" i="42" l="1"/>
  <c r="DH14" i="42"/>
  <c r="DH75" i="42" l="1"/>
  <c r="DH38" i="42"/>
  <c r="DH74" i="42"/>
  <c r="DH57" i="42"/>
  <c r="DH39" i="42"/>
  <c r="DG64" i="42"/>
  <c r="DG46" i="42" l="1"/>
  <c r="DG83" i="42"/>
  <c r="DG47" i="42"/>
  <c r="DG65" i="42"/>
  <c r="DG82" i="42"/>
  <c r="DI37" i="54" l="1"/>
  <c r="DI49" i="54"/>
  <c r="DI15" i="42" l="1"/>
  <c r="DI20" i="42" s="1"/>
  <c r="DI56" i="42" l="1"/>
  <c r="DI14" i="42"/>
  <c r="DH64" i="42" l="1"/>
  <c r="DI39" i="42"/>
  <c r="DI74" i="42"/>
  <c r="DI38" i="42"/>
  <c r="DI57" i="42"/>
  <c r="DI75" i="42"/>
  <c r="DH83" i="42" l="1"/>
  <c r="DH46" i="42"/>
  <c r="DH65" i="42"/>
  <c r="DH82" i="42"/>
  <c r="DH47" i="42"/>
  <c r="DJ49" i="54" l="1"/>
  <c r="DJ37" i="54" l="1"/>
  <c r="DJ15" i="42" l="1"/>
  <c r="DJ20" i="42" s="1"/>
  <c r="DJ14" i="42" l="1"/>
  <c r="DJ56" i="42"/>
  <c r="DJ74" i="42" l="1"/>
  <c r="DJ57" i="42"/>
  <c r="DJ39" i="42"/>
  <c r="DJ38" i="42"/>
  <c r="DJ75" i="42"/>
  <c r="DI64" i="42"/>
  <c r="DI46" i="42" l="1"/>
  <c r="DI47" i="42"/>
  <c r="DI83" i="42"/>
  <c r="DI65" i="42"/>
  <c r="DI82" i="42"/>
  <c r="DK49" i="54" l="1"/>
  <c r="DK37" i="54" l="1"/>
  <c r="DK15" i="42" l="1"/>
  <c r="DK20" i="42" s="1"/>
  <c r="DK56" i="42" l="1"/>
  <c r="DK14" i="42"/>
  <c r="DK38" i="42" l="1"/>
  <c r="DK74" i="42"/>
  <c r="DK75" i="42"/>
  <c r="DK39" i="42"/>
  <c r="DK57" i="42"/>
  <c r="DJ64" i="42"/>
  <c r="DJ46" i="42" l="1"/>
  <c r="DJ65" i="42"/>
  <c r="DJ82" i="42"/>
  <c r="DJ47" i="42"/>
  <c r="DJ83" i="42"/>
  <c r="DL49" i="54" l="1"/>
  <c r="DL37" i="54" l="1"/>
  <c r="DL15" i="42" l="1"/>
  <c r="DL20" i="42" s="1"/>
  <c r="DL14" i="42" l="1"/>
  <c r="DL56" i="42" l="1"/>
  <c r="DL57" i="42"/>
  <c r="DL75" i="42"/>
  <c r="DL74" i="42"/>
  <c r="DL39" i="42"/>
  <c r="DL38" i="42"/>
  <c r="DK64" i="42" l="1"/>
  <c r="DK83" i="42"/>
  <c r="DK65" i="42"/>
  <c r="DK46" i="42"/>
  <c r="DK47" i="42"/>
  <c r="DK82" i="42"/>
  <c r="DM49" i="54" l="1"/>
  <c r="DM37" i="54" l="1"/>
  <c r="DM15" i="42" l="1"/>
  <c r="DM20" i="42" s="1"/>
  <c r="DM14" i="42" l="1"/>
  <c r="DM56" i="42" l="1"/>
  <c r="DM75" i="42"/>
  <c r="DM39" i="42"/>
  <c r="DM38" i="42"/>
  <c r="DM74" i="42"/>
  <c r="DM57" i="42"/>
  <c r="DL64" i="42" l="1"/>
  <c r="DL82" i="42"/>
  <c r="DL65" i="42"/>
  <c r="DL46" i="42"/>
  <c r="DL47" i="42"/>
  <c r="DL83" i="42"/>
  <c r="DN37" i="54" l="1"/>
  <c r="DN49" i="54"/>
  <c r="DN15" i="42" l="1"/>
  <c r="DN20" i="42" s="1"/>
  <c r="DN56" i="42" l="1"/>
  <c r="DN14" i="42"/>
  <c r="DN38" i="42" l="1"/>
  <c r="DN57" i="42"/>
  <c r="DN74" i="42"/>
  <c r="DN39" i="42"/>
  <c r="DN75" i="42"/>
  <c r="DM64" i="42"/>
  <c r="DM83" i="42" l="1"/>
  <c r="DM65" i="42"/>
  <c r="DM46" i="42"/>
  <c r="DM47" i="42"/>
  <c r="DM82" i="42"/>
  <c r="DO37" i="54" l="1"/>
  <c r="DO49" i="54"/>
  <c r="DO15" i="42" l="1"/>
  <c r="DO20" i="42" s="1"/>
  <c r="DO14" i="42" l="1"/>
  <c r="DO56" i="42"/>
  <c r="DN64" i="42" l="1"/>
  <c r="DO75" i="42"/>
  <c r="DO57" i="42"/>
  <c r="DO74" i="42"/>
  <c r="DO38" i="42"/>
  <c r="DO39" i="42"/>
  <c r="DN46" i="42" l="1"/>
  <c r="DN47" i="42"/>
  <c r="DN82" i="42"/>
  <c r="DN65" i="42"/>
  <c r="DN83" i="42"/>
  <c r="DP49" i="54" l="1"/>
  <c r="DP37" i="54" l="1"/>
  <c r="DP15" i="42" l="1"/>
  <c r="DP20" i="42" s="1"/>
  <c r="DP14" i="42" l="1"/>
  <c r="DP56" i="42"/>
  <c r="DO64" i="42" l="1"/>
  <c r="DP75" i="42"/>
  <c r="DP38" i="42"/>
  <c r="DP74" i="42"/>
  <c r="DP39" i="42"/>
  <c r="DP57" i="42"/>
  <c r="DO47" i="42" l="1"/>
  <c r="DO83" i="42"/>
  <c r="DO65" i="42"/>
  <c r="DO82" i="42"/>
  <c r="DO46" i="42"/>
  <c r="DQ49" i="54" l="1"/>
  <c r="DQ37" i="54" l="1"/>
  <c r="DQ15" i="42" l="1"/>
  <c r="DQ20" i="42" s="1"/>
  <c r="DQ56" i="42" l="1"/>
  <c r="DQ14" i="42"/>
  <c r="DQ75" i="42" l="1"/>
  <c r="DQ57" i="42"/>
  <c r="DQ74" i="42"/>
  <c r="DQ39" i="42"/>
  <c r="DQ38" i="42"/>
  <c r="DP64" i="42"/>
  <c r="DP65" i="42" l="1"/>
  <c r="DP83" i="42"/>
  <c r="DP46" i="42"/>
  <c r="DP47" i="42"/>
  <c r="DP82" i="42"/>
  <c r="DR49" i="54" l="1"/>
  <c r="DR37" i="54" l="1"/>
  <c r="DR15" i="42" l="1"/>
  <c r="DR20" i="42" s="1"/>
  <c r="DR56" i="42" l="1"/>
  <c r="DR14" i="42"/>
  <c r="DR57" i="42" l="1"/>
  <c r="DR74" i="42"/>
  <c r="DR39" i="42"/>
  <c r="DR38" i="42"/>
  <c r="DR75" i="42"/>
  <c r="DQ64" i="42"/>
  <c r="DQ65" i="42" l="1"/>
  <c r="DQ82" i="42"/>
  <c r="DQ83" i="42"/>
  <c r="DQ46" i="42"/>
  <c r="DQ47" i="42"/>
  <c r="DS49" i="54" l="1"/>
  <c r="DS37" i="54" l="1"/>
  <c r="DS15" i="42" l="1"/>
  <c r="DS20" i="42" s="1"/>
  <c r="DS56" i="42" l="1"/>
  <c r="DS14" i="42"/>
  <c r="DS57" i="42" l="1"/>
  <c r="DS38" i="42"/>
  <c r="DS75" i="42"/>
  <c r="DS74" i="42"/>
  <c r="DS39" i="42"/>
  <c r="DR64" i="42"/>
  <c r="DR46" i="42" l="1"/>
  <c r="DR47" i="42"/>
  <c r="DR82" i="42"/>
  <c r="DR65" i="42"/>
  <c r="DR83" i="42"/>
  <c r="DT49" i="54" l="1"/>
  <c r="DT37" i="54" l="1"/>
  <c r="DT15" i="42" l="1"/>
  <c r="DT20" i="42" s="1"/>
  <c r="DT56" i="42" l="1"/>
  <c r="DT14" i="42" l="1"/>
  <c r="DT74" i="42" s="1"/>
  <c r="DS64" i="42"/>
  <c r="DT38" i="42" l="1"/>
  <c r="DT75" i="42"/>
  <c r="DS83" i="42" s="1"/>
  <c r="DT57" i="42"/>
  <c r="DS65" i="42" s="1"/>
  <c r="DT39" i="42"/>
  <c r="DS47" i="42" s="1"/>
  <c r="DS82" i="42"/>
  <c r="DS46" i="42" l="1"/>
  <c r="DU49" i="54" l="1"/>
  <c r="DU37" i="54"/>
  <c r="DU15" i="42" l="1"/>
  <c r="DU20" i="42" s="1"/>
  <c r="DU14" i="42" l="1"/>
  <c r="DU56" i="42"/>
  <c r="DT64" i="42" l="1"/>
  <c r="DU74" i="42"/>
  <c r="DU75" i="42"/>
  <c r="DU38" i="42"/>
  <c r="DU39" i="42"/>
  <c r="DU57" i="42"/>
  <c r="DT65" i="42" l="1"/>
  <c r="DT47" i="42"/>
  <c r="DT46" i="42"/>
  <c r="DT83" i="42"/>
  <c r="DT82" i="42"/>
  <c r="DV49" i="54" l="1"/>
  <c r="DV37" i="54" l="1"/>
  <c r="DV15" i="42" l="1"/>
  <c r="DV20" i="42" s="1"/>
  <c r="DV14" i="42" l="1"/>
  <c r="DV56" i="42" l="1"/>
  <c r="DV39" i="42"/>
  <c r="DV57" i="42"/>
  <c r="DV75" i="42"/>
  <c r="DV38" i="42"/>
  <c r="DV74" i="42"/>
  <c r="DU64" i="42" l="1"/>
  <c r="DU82" i="42"/>
  <c r="DU83" i="42"/>
  <c r="DU46" i="42"/>
  <c r="DU65" i="42"/>
  <c r="DU47" i="42"/>
  <c r="DW49" i="54" l="1"/>
  <c r="DW37" i="54" l="1"/>
  <c r="DW15" i="42" l="1"/>
  <c r="DW20" i="42" s="1"/>
  <c r="DW56" i="42" l="1"/>
  <c r="DW14" i="42"/>
  <c r="DW57" i="42" l="1"/>
  <c r="DW74" i="42"/>
  <c r="DW38" i="42"/>
  <c r="DW39" i="42"/>
  <c r="DW75" i="42"/>
  <c r="DW64" i="42"/>
  <c r="DV64" i="42"/>
  <c r="DW47" i="42" l="1"/>
  <c r="DV47" i="42"/>
  <c r="DW46" i="42"/>
  <c r="DV46" i="42"/>
  <c r="DW82" i="42"/>
  <c r="DV82" i="42"/>
  <c r="DW83" i="42"/>
  <c r="DV83" i="42"/>
  <c r="DW65" i="42"/>
  <c r="DV65" i="42"/>
  <c r="F77" i="59" l="1"/>
  <c r="C22" i="51" l="1"/>
  <c r="D22" i="51" l="1"/>
  <c r="F22" i="51"/>
  <c r="J22" i="51"/>
  <c r="F378" i="32"/>
  <c r="H22" i="51"/>
  <c r="C18" i="51"/>
  <c r="AO18" i="51" l="1"/>
  <c r="AF26" i="32" s="1"/>
  <c r="AH12" i="43" s="1"/>
  <c r="AM18" i="51"/>
  <c r="AD26" i="32" s="1"/>
  <c r="AF12" i="43" s="1"/>
  <c r="X18" i="51"/>
  <c r="O26" i="32" s="1"/>
  <c r="Q12" i="43" s="1"/>
  <c r="V18" i="51"/>
  <c r="M26" i="32" s="1"/>
  <c r="O12" i="43" s="1"/>
  <c r="Z18" i="51"/>
  <c r="Q26" i="32" s="1"/>
  <c r="S12" i="43" s="1"/>
  <c r="AK18" i="51"/>
  <c r="AB26" i="32" s="1"/>
  <c r="AD12" i="43" s="1"/>
  <c r="AD18" i="51"/>
  <c r="U26" i="32" s="1"/>
  <c r="W12" i="43" s="1"/>
  <c r="AQ18" i="51"/>
  <c r="AH26" i="32" s="1"/>
  <c r="AJ12" i="43" s="1"/>
  <c r="C26" i="32"/>
  <c r="C12" i="43" s="1"/>
  <c r="AJ18" i="51"/>
  <c r="AA26" i="32" s="1"/>
  <c r="AC12" i="43" s="1"/>
  <c r="T18" i="51"/>
  <c r="K26" i="32" s="1"/>
  <c r="M12" i="43" s="1"/>
  <c r="AG18" i="51"/>
  <c r="X26" i="32" s="1"/>
  <c r="Z12" i="43" s="1"/>
  <c r="AE18" i="51"/>
  <c r="V26" i="32" s="1"/>
  <c r="X12" i="43" s="1"/>
  <c r="AI18" i="51"/>
  <c r="Z26" i="32" s="1"/>
  <c r="AB12" i="43" s="1"/>
  <c r="AA18" i="51"/>
  <c r="R26" i="32" s="1"/>
  <c r="T12" i="43" s="1"/>
  <c r="AP18" i="51"/>
  <c r="AG26" i="32" s="1"/>
  <c r="AI12" i="43" s="1"/>
  <c r="O18" i="51"/>
  <c r="F26" i="32" s="1"/>
  <c r="H12" i="43" s="1"/>
  <c r="S18" i="51"/>
  <c r="J26" i="32" s="1"/>
  <c r="L12" i="43" s="1"/>
  <c r="AC18" i="51"/>
  <c r="T26" i="32" s="1"/>
  <c r="V12" i="43" s="1"/>
  <c r="Y18" i="51"/>
  <c r="P26" i="32" s="1"/>
  <c r="R12" i="43" s="1"/>
  <c r="N18" i="51"/>
  <c r="R18" i="51"/>
  <c r="I26" i="32" s="1"/>
  <c r="K12" i="43" s="1"/>
  <c r="AL18" i="51"/>
  <c r="AC26" i="32" s="1"/>
  <c r="AE12" i="43" s="1"/>
  <c r="AB18" i="51"/>
  <c r="S26" i="32" s="1"/>
  <c r="U12" i="43" s="1"/>
  <c r="D18" i="51"/>
  <c r="W18" i="51"/>
  <c r="N26" i="32" s="1"/>
  <c r="P12" i="43" s="1"/>
  <c r="AN18" i="51"/>
  <c r="AE26" i="32" s="1"/>
  <c r="AG12" i="43" s="1"/>
  <c r="AF18" i="51"/>
  <c r="W26" i="32" s="1"/>
  <c r="Y12" i="43" s="1"/>
  <c r="U18" i="51"/>
  <c r="L26" i="32" s="1"/>
  <c r="N12" i="43" s="1"/>
  <c r="Q18" i="51"/>
  <c r="H26" i="32" s="1"/>
  <c r="J12" i="43" s="1"/>
  <c r="P18" i="51"/>
  <c r="G26" i="32" s="1"/>
  <c r="I12" i="43" s="1"/>
  <c r="AH18" i="51"/>
  <c r="Y26" i="32" s="1"/>
  <c r="AA12" i="43" s="1"/>
  <c r="G378" i="32"/>
  <c r="C10" i="2" s="1"/>
  <c r="H378" i="32" l="1"/>
  <c r="CH10" i="2"/>
  <c r="CS10" i="2"/>
  <c r="BO10" i="2"/>
  <c r="BS10" i="2"/>
  <c r="DR10" i="2"/>
  <c r="DW10" i="2"/>
  <c r="AV10" i="2"/>
  <c r="BW10" i="2"/>
  <c r="DH10" i="2"/>
  <c r="AC10" i="2"/>
  <c r="CL10" i="2"/>
  <c r="CC10" i="2"/>
  <c r="BB10" i="2"/>
  <c r="AO10" i="2"/>
  <c r="AL10" i="2"/>
  <c r="CP10" i="2"/>
  <c r="BC10" i="2"/>
  <c r="DV10" i="2"/>
  <c r="L10" i="2"/>
  <c r="AW10" i="2"/>
  <c r="G10" i="2"/>
  <c r="BI10" i="2"/>
  <c r="BG10" i="2"/>
  <c r="CU10" i="2"/>
  <c r="CZ10" i="2"/>
  <c r="DK10" i="2"/>
  <c r="AX10" i="2"/>
  <c r="X10" i="2"/>
  <c r="S10" i="2"/>
  <c r="CA10" i="2"/>
  <c r="DL10" i="2"/>
  <c r="DD10" i="2"/>
  <c r="DI10" i="2"/>
  <c r="N10" i="2"/>
  <c r="CX10" i="2"/>
  <c r="DB10" i="2"/>
  <c r="Y10" i="2"/>
  <c r="AI10" i="2"/>
  <c r="AP10" i="2"/>
  <c r="CW10" i="2"/>
  <c r="DG10" i="2"/>
  <c r="DP10" i="2"/>
  <c r="AJ10" i="2"/>
  <c r="CN10" i="2"/>
  <c r="DJ10" i="2"/>
  <c r="H10" i="2"/>
  <c r="BP10" i="2"/>
  <c r="AK10" i="2"/>
  <c r="CT10" i="2"/>
  <c r="CD10" i="2"/>
  <c r="BD10" i="2"/>
  <c r="CO10" i="2"/>
  <c r="J10" i="2"/>
  <c r="BK10" i="2"/>
  <c r="M10" i="2"/>
  <c r="DS10" i="2"/>
  <c r="P10" i="2"/>
  <c r="CI10" i="2"/>
  <c r="BV10" i="2"/>
  <c r="AY10" i="2"/>
  <c r="AA10" i="2"/>
  <c r="BA10" i="2"/>
  <c r="AE10" i="2"/>
  <c r="CV10" i="2"/>
  <c r="U10" i="2"/>
  <c r="CR10" i="2"/>
  <c r="BF10" i="2"/>
  <c r="BY10" i="2"/>
  <c r="BZ10" i="2"/>
  <c r="T10" i="2"/>
  <c r="BJ10" i="2"/>
  <c r="BE10" i="2"/>
  <c r="CE10" i="2"/>
  <c r="AG10" i="2"/>
  <c r="BH10" i="2"/>
  <c r="DF10" i="2"/>
  <c r="CM10" i="2"/>
  <c r="DA10" i="2"/>
  <c r="BQ10" i="2"/>
  <c r="DO10" i="2"/>
  <c r="R10" i="2"/>
  <c r="AH10" i="2"/>
  <c r="AF10" i="2"/>
  <c r="CG10" i="2"/>
  <c r="Z10" i="2"/>
  <c r="DQ10" i="2"/>
  <c r="BX10" i="2"/>
  <c r="DT10" i="2"/>
  <c r="AM10" i="2"/>
  <c r="AT10" i="2"/>
  <c r="DC10" i="2"/>
  <c r="BR10" i="2"/>
  <c r="DU10" i="2"/>
  <c r="AN10" i="2"/>
  <c r="BU10" i="2"/>
  <c r="V10" i="2"/>
  <c r="CK10" i="2"/>
  <c r="AS10" i="2"/>
  <c r="AB10" i="2"/>
  <c r="I10" i="2"/>
  <c r="K10" i="2"/>
  <c r="BN10" i="2"/>
  <c r="DM10" i="2"/>
  <c r="BL10" i="2"/>
  <c r="CB10" i="2"/>
  <c r="AZ10" i="2"/>
  <c r="BT10" i="2"/>
  <c r="Q10" i="2"/>
  <c r="CY10" i="2"/>
  <c r="W10" i="2"/>
  <c r="AD10" i="2"/>
  <c r="DE10" i="2"/>
  <c r="O10" i="2"/>
  <c r="CQ10" i="2"/>
  <c r="CF10" i="2"/>
  <c r="DN10" i="2"/>
  <c r="AU10" i="2"/>
  <c r="AR10" i="2"/>
  <c r="AQ10" i="2"/>
  <c r="CJ10" i="2"/>
  <c r="BM10" i="2"/>
  <c r="E26" i="32"/>
  <c r="M18" i="51"/>
  <c r="D10" i="2" l="1"/>
  <c r="D26" i="32"/>
  <c r="G12" i="43"/>
  <c r="D12" i="43" s="1"/>
  <c r="C30" i="51"/>
  <c r="F379" i="32" s="1"/>
  <c r="H79" i="59"/>
  <c r="H138" i="59" l="1"/>
  <c r="E79" i="59" a="1"/>
  <c r="E79" i="59" s="1"/>
  <c r="F79" i="59" s="1"/>
  <c r="G379" i="32"/>
  <c r="C11" i="2" s="1"/>
  <c r="D30" i="51"/>
  <c r="F83" i="59"/>
  <c r="C24" i="51"/>
  <c r="J30" i="51"/>
  <c r="F30" i="51"/>
  <c r="H30" i="51"/>
  <c r="E139" i="59" l="1" a="1"/>
  <c r="E139" i="59" s="1"/>
  <c r="C98" i="51" s="1"/>
  <c r="E154" i="59" a="1"/>
  <c r="E154" i="59" s="1"/>
  <c r="C113" i="51" s="1"/>
  <c r="C27" i="32"/>
  <c r="C13" i="43" s="1"/>
  <c r="H153" i="59"/>
  <c r="G11" i="2"/>
  <c r="AF11" i="2"/>
  <c r="BJ11" i="2"/>
  <c r="AK11" i="2"/>
  <c r="AG11" i="2"/>
  <c r="X11" i="2"/>
  <c r="S11" i="2"/>
  <c r="V11" i="2"/>
  <c r="AD11" i="2"/>
  <c r="Q11" i="2"/>
  <c r="L11" i="2"/>
  <c r="AV11" i="2"/>
  <c r="AJ11" i="2"/>
  <c r="BB11" i="2"/>
  <c r="AP11" i="2"/>
  <c r="AR11" i="2"/>
  <c r="AE11" i="2"/>
  <c r="AY11" i="2"/>
  <c r="T11" i="2"/>
  <c r="U11" i="2"/>
  <c r="AA11" i="2"/>
  <c r="BG11" i="2"/>
  <c r="BC11" i="2"/>
  <c r="M11" i="2"/>
  <c r="Z11" i="2"/>
  <c r="AO11" i="2"/>
  <c r="W11" i="2"/>
  <c r="AX11" i="2"/>
  <c r="AH11" i="2"/>
  <c r="BI11" i="2"/>
  <c r="AQ11" i="2"/>
  <c r="AC11" i="2"/>
  <c r="AI11" i="2"/>
  <c r="BH11" i="2"/>
  <c r="AZ11" i="2"/>
  <c r="AN11" i="2"/>
  <c r="BD11" i="2"/>
  <c r="AT11" i="2"/>
  <c r="AB11" i="2"/>
  <c r="Y11" i="2"/>
  <c r="BM11" i="2"/>
  <c r="BL11" i="2"/>
  <c r="AW11" i="2"/>
  <c r="O11" i="2"/>
  <c r="P11" i="2"/>
  <c r="BK11" i="2"/>
  <c r="BF11" i="2"/>
  <c r="AS11" i="2"/>
  <c r="BE11" i="2"/>
  <c r="BA11" i="2"/>
  <c r="R11" i="2"/>
  <c r="N11" i="2"/>
  <c r="AU11" i="2"/>
  <c r="AM11" i="2"/>
  <c r="AL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W11" i="2"/>
  <c r="DV11" i="2"/>
  <c r="K11" i="2"/>
  <c r="H11" i="2"/>
  <c r="I11" i="2"/>
  <c r="J11" i="2"/>
  <c r="H379" i="32"/>
  <c r="AE24" i="51"/>
  <c r="AH24" i="51"/>
  <c r="AG24" i="51"/>
  <c r="AB24" i="51"/>
  <c r="E138" i="59" a="1"/>
  <c r="E138" i="59" s="1"/>
  <c r="X24" i="51"/>
  <c r="AA24" i="51"/>
  <c r="R24" i="51"/>
  <c r="AO24" i="51"/>
  <c r="Q24" i="51"/>
  <c r="AN24" i="51"/>
  <c r="Z24" i="51"/>
  <c r="W24" i="51"/>
  <c r="AM24" i="51"/>
  <c r="AD24" i="51"/>
  <c r="AC24" i="51"/>
  <c r="AL24" i="51"/>
  <c r="AF24" i="51"/>
  <c r="P24" i="51"/>
  <c r="AK24" i="51"/>
  <c r="D24" i="51"/>
  <c r="S24" i="51"/>
  <c r="AI24" i="51"/>
  <c r="T24" i="51"/>
  <c r="O24" i="51"/>
  <c r="Y24" i="51"/>
  <c r="N24" i="51"/>
  <c r="AQ24" i="51"/>
  <c r="AP24" i="51"/>
  <c r="AJ24" i="51"/>
  <c r="U24" i="51"/>
  <c r="V24" i="51"/>
  <c r="F139" i="59" l="1"/>
  <c r="B98" i="42"/>
  <c r="G98" i="42" s="1"/>
  <c r="F154" i="59"/>
  <c r="F98" i="51"/>
  <c r="B99" i="42"/>
  <c r="E153" i="59" a="1"/>
  <c r="E153" i="59" s="1"/>
  <c r="D11" i="2"/>
  <c r="F138" i="59"/>
  <c r="D113" i="51"/>
  <c r="H113" i="51"/>
  <c r="F390" i="32"/>
  <c r="G390" i="32" s="1"/>
  <c r="C22" i="2" s="1"/>
  <c r="F113" i="51"/>
  <c r="C112" i="51"/>
  <c r="S112" i="51" s="1"/>
  <c r="J38" i="32" s="1"/>
  <c r="L24" i="43" s="1"/>
  <c r="J98" i="51"/>
  <c r="H98" i="51"/>
  <c r="C97" i="51"/>
  <c r="H42" i="29"/>
  <c r="D98" i="51"/>
  <c r="F386" i="32"/>
  <c r="G386" i="32" s="1"/>
  <c r="M24" i="51"/>
  <c r="U97" i="51" l="1"/>
  <c r="L34" i="32" s="1"/>
  <c r="N20" i="43" s="1"/>
  <c r="H40" i="29"/>
  <c r="H38" i="29"/>
  <c r="J113" i="51"/>
  <c r="C107" i="51" s="1"/>
  <c r="D107" i="51" s="1"/>
  <c r="B91" i="42"/>
  <c r="H99" i="42"/>
  <c r="G99" i="42"/>
  <c r="F153" i="59"/>
  <c r="AA112" i="51"/>
  <c r="R38" i="32" s="1"/>
  <c r="T24" i="43" s="1"/>
  <c r="T112" i="51"/>
  <c r="K38" i="32" s="1"/>
  <c r="M24" i="43" s="1"/>
  <c r="AG112" i="51"/>
  <c r="X38" i="32" s="1"/>
  <c r="Z24" i="43" s="1"/>
  <c r="Q112" i="51"/>
  <c r="H38" i="32" s="1"/>
  <c r="J24" i="43" s="1"/>
  <c r="C38" i="32"/>
  <c r="C24" i="43" s="1"/>
  <c r="AC112" i="51"/>
  <c r="T38" i="32" s="1"/>
  <c r="V24" i="43" s="1"/>
  <c r="AN112" i="51"/>
  <c r="AE38" i="32" s="1"/>
  <c r="AG24" i="43" s="1"/>
  <c r="AP112" i="51"/>
  <c r="AG38" i="32" s="1"/>
  <c r="AI24" i="43" s="1"/>
  <c r="AB112" i="51"/>
  <c r="S38" i="32" s="1"/>
  <c r="U24" i="43" s="1"/>
  <c r="R112" i="51"/>
  <c r="I38" i="32" s="1"/>
  <c r="K24" i="43" s="1"/>
  <c r="C34" i="32"/>
  <c r="C20" i="43" s="1"/>
  <c r="X112" i="51"/>
  <c r="O38" i="32" s="1"/>
  <c r="Q24" i="43" s="1"/>
  <c r="D112" i="51"/>
  <c r="AA97" i="51"/>
  <c r="R34" i="32" s="1"/>
  <c r="T20" i="43" s="1"/>
  <c r="D97" i="51"/>
  <c r="W112" i="51"/>
  <c r="N38" i="32" s="1"/>
  <c r="P24" i="43" s="1"/>
  <c r="AK97" i="51"/>
  <c r="AB34" i="32" s="1"/>
  <c r="AD20" i="43" s="1"/>
  <c r="AO112" i="51"/>
  <c r="AF38" i="32" s="1"/>
  <c r="AH24" i="43" s="1"/>
  <c r="AK112" i="51"/>
  <c r="AB38" i="32" s="1"/>
  <c r="AD24" i="43" s="1"/>
  <c r="AO97" i="51"/>
  <c r="AF34" i="32" s="1"/>
  <c r="AH20" i="43" s="1"/>
  <c r="T97" i="51"/>
  <c r="K34" i="32" s="1"/>
  <c r="M20" i="43" s="1"/>
  <c r="AN97" i="51"/>
  <c r="AE34" i="32" s="1"/>
  <c r="AG20" i="43" s="1"/>
  <c r="U112" i="51"/>
  <c r="L38" i="32" s="1"/>
  <c r="N24" i="43" s="1"/>
  <c r="AD112" i="51"/>
  <c r="U38" i="32" s="1"/>
  <c r="W24" i="43" s="1"/>
  <c r="O112" i="51"/>
  <c r="F38" i="32" s="1"/>
  <c r="H24" i="43" s="1"/>
  <c r="AE112" i="51"/>
  <c r="V38" i="32" s="1"/>
  <c r="X24" i="43" s="1"/>
  <c r="Q97" i="51"/>
  <c r="H34" i="32" s="1"/>
  <c r="J20" i="43" s="1"/>
  <c r="AM112" i="51"/>
  <c r="AD38" i="32" s="1"/>
  <c r="AF24" i="43" s="1"/>
  <c r="V97" i="51"/>
  <c r="M34" i="32" s="1"/>
  <c r="O20" i="43" s="1"/>
  <c r="X97" i="51"/>
  <c r="O34" i="32" s="1"/>
  <c r="Q20" i="43" s="1"/>
  <c r="AH112" i="51"/>
  <c r="Y38" i="32" s="1"/>
  <c r="AA24" i="43" s="1"/>
  <c r="P112" i="51"/>
  <c r="G38" i="32" s="1"/>
  <c r="I24" i="43" s="1"/>
  <c r="AI112" i="51"/>
  <c r="Z38" i="32" s="1"/>
  <c r="AB24" i="43" s="1"/>
  <c r="Y112" i="51"/>
  <c r="P38" i="32" s="1"/>
  <c r="R24" i="43" s="1"/>
  <c r="AH97" i="51"/>
  <c r="Y34" i="32" s="1"/>
  <c r="AA20" i="43" s="1"/>
  <c r="AQ112" i="51"/>
  <c r="AH38" i="32" s="1"/>
  <c r="AJ24" i="43" s="1"/>
  <c r="N112" i="51"/>
  <c r="E38" i="32" s="1"/>
  <c r="AL112" i="51"/>
  <c r="AC38" i="32" s="1"/>
  <c r="AE24" i="43" s="1"/>
  <c r="AJ112" i="51"/>
  <c r="AA38" i="32" s="1"/>
  <c r="AC24" i="43" s="1"/>
  <c r="AF112" i="51"/>
  <c r="W38" i="32" s="1"/>
  <c r="Y24" i="43" s="1"/>
  <c r="V112" i="51"/>
  <c r="M38" i="32" s="1"/>
  <c r="O24" i="43" s="1"/>
  <c r="Z112" i="51"/>
  <c r="Q38" i="32" s="1"/>
  <c r="S24" i="43" s="1"/>
  <c r="O97" i="51"/>
  <c r="F34" i="32" s="1"/>
  <c r="H20" i="43" s="1"/>
  <c r="AC97" i="51"/>
  <c r="T34" i="32" s="1"/>
  <c r="V20" i="43" s="1"/>
  <c r="Y97" i="51"/>
  <c r="P34" i="32" s="1"/>
  <c r="R20" i="43" s="1"/>
  <c r="AB97" i="51"/>
  <c r="S34" i="32" s="1"/>
  <c r="U20" i="43" s="1"/>
  <c r="AI97" i="51"/>
  <c r="Z34" i="32" s="1"/>
  <c r="AB20" i="43" s="1"/>
  <c r="AJ97" i="51"/>
  <c r="AA34" i="32" s="1"/>
  <c r="AC20" i="43" s="1"/>
  <c r="N97" i="51"/>
  <c r="E34" i="32" s="1"/>
  <c r="G20" i="43" s="1"/>
  <c r="Z97" i="51"/>
  <c r="Q34" i="32" s="1"/>
  <c r="S20" i="43" s="1"/>
  <c r="S97" i="51"/>
  <c r="J34" i="32" s="1"/>
  <c r="L20" i="43" s="1"/>
  <c r="P97" i="51"/>
  <c r="G34" i="32" s="1"/>
  <c r="I20" i="43" s="1"/>
  <c r="W97" i="51"/>
  <c r="N34" i="32" s="1"/>
  <c r="P20" i="43" s="1"/>
  <c r="AD97" i="51"/>
  <c r="U34" i="32" s="1"/>
  <c r="W20" i="43" s="1"/>
  <c r="AP97" i="51"/>
  <c r="AG34" i="32" s="1"/>
  <c r="AI20" i="43" s="1"/>
  <c r="AF97" i="51"/>
  <c r="W34" i="32" s="1"/>
  <c r="Y20" i="43" s="1"/>
  <c r="AM97" i="51"/>
  <c r="AD34" i="32" s="1"/>
  <c r="AF20" i="43" s="1"/>
  <c r="AG97" i="51"/>
  <c r="X34" i="32" s="1"/>
  <c r="Z20" i="43" s="1"/>
  <c r="AQ97" i="51"/>
  <c r="AH34" i="32" s="1"/>
  <c r="AJ20" i="43" s="1"/>
  <c r="AL97" i="51"/>
  <c r="AC34" i="32" s="1"/>
  <c r="AE20" i="43" s="1"/>
  <c r="AE97" i="51"/>
  <c r="V34" i="32" s="1"/>
  <c r="X20" i="43" s="1"/>
  <c r="R97" i="51"/>
  <c r="I34" i="32" s="1"/>
  <c r="K20" i="43" s="1"/>
  <c r="H390" i="32"/>
  <c r="C18" i="2"/>
  <c r="H386" i="32"/>
  <c r="I22" i="2"/>
  <c r="DN22" i="2"/>
  <c r="CL22" i="2"/>
  <c r="DG22" i="2"/>
  <c r="BD22" i="2"/>
  <c r="AY22" i="2"/>
  <c r="BW22" i="2"/>
  <c r="CO22" i="2"/>
  <c r="AD22" i="2"/>
  <c r="N22" i="2"/>
  <c r="BG22" i="2"/>
  <c r="DO22" i="2"/>
  <c r="Q22" i="2"/>
  <c r="AC22" i="2"/>
  <c r="G22" i="2"/>
  <c r="U22" i="2"/>
  <c r="CD22" i="2"/>
  <c r="CI22" i="2"/>
  <c r="CZ22" i="2"/>
  <c r="CM22" i="2"/>
  <c r="BK22" i="2"/>
  <c r="DQ22" i="2"/>
  <c r="CF22" i="2"/>
  <c r="AI22" i="2"/>
  <c r="AA22" i="2"/>
  <c r="BX22" i="2"/>
  <c r="DU22" i="2"/>
  <c r="BA22" i="2"/>
  <c r="L22" i="2"/>
  <c r="AU22" i="2"/>
  <c r="AT22" i="2"/>
  <c r="DE22" i="2"/>
  <c r="T22" i="2"/>
  <c r="AM22" i="2"/>
  <c r="CW22" i="2"/>
  <c r="AB22" i="2"/>
  <c r="BO22" i="2"/>
  <c r="BR22" i="2"/>
  <c r="CV22" i="2"/>
  <c r="BS22" i="2"/>
  <c r="DL22" i="2"/>
  <c r="DR22" i="2"/>
  <c r="BE22" i="2"/>
  <c r="BQ22" i="2"/>
  <c r="DJ22" i="2"/>
  <c r="S22" i="2"/>
  <c r="CX22" i="2"/>
  <c r="W22" i="2"/>
  <c r="Z22" i="2"/>
  <c r="CP22" i="2"/>
  <c r="BL22" i="2"/>
  <c r="DP22" i="2"/>
  <c r="Y22" i="2"/>
  <c r="CB22" i="2"/>
  <c r="BC22" i="2"/>
  <c r="AV22" i="2"/>
  <c r="AE22" i="2"/>
  <c r="AG22" i="2"/>
  <c r="AK22" i="2"/>
  <c r="CN22" i="2"/>
  <c r="DV22" i="2"/>
  <c r="AQ22" i="2"/>
  <c r="BY22" i="2"/>
  <c r="CC22" i="2"/>
  <c r="CS22" i="2"/>
  <c r="DW22" i="2"/>
  <c r="AZ22" i="2"/>
  <c r="AP22" i="2"/>
  <c r="K22" i="2"/>
  <c r="BZ22" i="2"/>
  <c r="BU22" i="2"/>
  <c r="DD22" i="2"/>
  <c r="DF22" i="2"/>
  <c r="AX22" i="2"/>
  <c r="CA22" i="2"/>
  <c r="CH22" i="2"/>
  <c r="DH22" i="2"/>
  <c r="CG22" i="2"/>
  <c r="AW22" i="2"/>
  <c r="CR22" i="2"/>
  <c r="DB22" i="2"/>
  <c r="BH22" i="2"/>
  <c r="H22" i="2"/>
  <c r="BM22" i="2"/>
  <c r="V22" i="2"/>
  <c r="AO22" i="2"/>
  <c r="CJ22" i="2"/>
  <c r="P22" i="2"/>
  <c r="M22" i="2"/>
  <c r="BP22" i="2"/>
  <c r="CK22" i="2"/>
  <c r="AS22" i="2"/>
  <c r="DM22" i="2"/>
  <c r="BN22" i="2"/>
  <c r="AN22" i="2"/>
  <c r="AL22" i="2"/>
  <c r="R22" i="2"/>
  <c r="X22" i="2"/>
  <c r="AH22" i="2"/>
  <c r="BB22" i="2"/>
  <c r="CE22" i="2"/>
  <c r="O22" i="2"/>
  <c r="DS22" i="2"/>
  <c r="BV22" i="2"/>
  <c r="BT22" i="2"/>
  <c r="AF22" i="2"/>
  <c r="BF22" i="2"/>
  <c r="DK22" i="2"/>
  <c r="J22" i="2"/>
  <c r="CU22" i="2"/>
  <c r="CQ22" i="2"/>
  <c r="DT22" i="2"/>
  <c r="DC22" i="2"/>
  <c r="DI22" i="2"/>
  <c r="CY22" i="2"/>
  <c r="AJ22" i="2"/>
  <c r="AR22" i="2"/>
  <c r="CT22" i="2"/>
  <c r="DA22" i="2"/>
  <c r="BJ22" i="2"/>
  <c r="BI22" i="2"/>
  <c r="H91" i="42" l="1"/>
  <c r="H106" i="42" s="1"/>
  <c r="G91" i="42"/>
  <c r="G106" i="42" s="1"/>
  <c r="F388" i="32"/>
  <c r="G388" i="32" s="1"/>
  <c r="C20" i="2" s="1"/>
  <c r="F107" i="51"/>
  <c r="C105" i="51" s="1"/>
  <c r="J107" i="51"/>
  <c r="C106" i="51"/>
  <c r="AA106" i="51" s="1"/>
  <c r="R36" i="32" s="1"/>
  <c r="T22" i="43" s="1"/>
  <c r="H107" i="51"/>
  <c r="M112" i="51"/>
  <c r="D34" i="32"/>
  <c r="M97" i="51"/>
  <c r="D20" i="43"/>
  <c r="BP18" i="2"/>
  <c r="DM18" i="2"/>
  <c r="CZ18" i="2"/>
  <c r="DG18" i="2"/>
  <c r="CE18" i="2"/>
  <c r="AQ18" i="2"/>
  <c r="AL18" i="2"/>
  <c r="M18" i="2"/>
  <c r="AD18" i="2"/>
  <c r="H18" i="2"/>
  <c r="AU18" i="2"/>
  <c r="BC18" i="2"/>
  <c r="AY18" i="2"/>
  <c r="T18" i="2"/>
  <c r="BD18" i="2"/>
  <c r="AS18" i="2"/>
  <c r="K18" i="2"/>
  <c r="AF18" i="2"/>
  <c r="AV18" i="2"/>
  <c r="L18" i="2"/>
  <c r="CU18" i="2"/>
  <c r="DJ18" i="2"/>
  <c r="DB18" i="2"/>
  <c r="BV18" i="2"/>
  <c r="CR18" i="2"/>
  <c r="CQ18" i="2"/>
  <c r="CP18" i="2"/>
  <c r="CY18" i="2"/>
  <c r="CX18" i="2"/>
  <c r="P18" i="2"/>
  <c r="Q18" i="2"/>
  <c r="BI18" i="2"/>
  <c r="AM18" i="2"/>
  <c r="N18" i="2"/>
  <c r="BG18" i="2"/>
  <c r="Z18" i="2"/>
  <c r="Y18" i="2"/>
  <c r="AO18" i="2"/>
  <c r="W18" i="2"/>
  <c r="AC18" i="2"/>
  <c r="O18" i="2"/>
  <c r="BF18" i="2"/>
  <c r="BM18" i="2"/>
  <c r="CN18" i="2"/>
  <c r="DK18" i="2"/>
  <c r="CF18" i="2"/>
  <c r="BQ18" i="2"/>
  <c r="AG18" i="2"/>
  <c r="CC18" i="2"/>
  <c r="BR18" i="2"/>
  <c r="CS18" i="2"/>
  <c r="DR18" i="2"/>
  <c r="CG18" i="2"/>
  <c r="DE18" i="2"/>
  <c r="CK18" i="2"/>
  <c r="AP18" i="2"/>
  <c r="BJ18" i="2"/>
  <c r="BO18" i="2"/>
  <c r="BE18" i="2"/>
  <c r="I18" i="2"/>
  <c r="DN18" i="2"/>
  <c r="DP18" i="2"/>
  <c r="DL18" i="2"/>
  <c r="DD18" i="2"/>
  <c r="CL18" i="2"/>
  <c r="BH18" i="2"/>
  <c r="X18" i="2"/>
  <c r="AW18" i="2"/>
  <c r="AZ18" i="2"/>
  <c r="BZ18" i="2"/>
  <c r="CI18" i="2"/>
  <c r="V18" i="2"/>
  <c r="AN18" i="2"/>
  <c r="BX18" i="2"/>
  <c r="CB18" i="2"/>
  <c r="BB18" i="2"/>
  <c r="BN18" i="2"/>
  <c r="AT18" i="2"/>
  <c r="CD18" i="2"/>
  <c r="BT18" i="2"/>
  <c r="CM18" i="2"/>
  <c r="DT18" i="2"/>
  <c r="BW18" i="2"/>
  <c r="DA18" i="2"/>
  <c r="AH18" i="2"/>
  <c r="BA18" i="2"/>
  <c r="DQ18" i="2"/>
  <c r="DH18" i="2"/>
  <c r="G18" i="2"/>
  <c r="J18" i="2"/>
  <c r="AE18" i="2"/>
  <c r="AA18" i="2"/>
  <c r="DC18" i="2"/>
  <c r="CT18" i="2"/>
  <c r="BU18" i="2"/>
  <c r="DI18" i="2"/>
  <c r="BK18" i="2"/>
  <c r="AJ18" i="2"/>
  <c r="DV18" i="2"/>
  <c r="CH18" i="2"/>
  <c r="DU18" i="2"/>
  <c r="U18" i="2"/>
  <c r="DS18" i="2"/>
  <c r="CJ18" i="2"/>
  <c r="AI18" i="2"/>
  <c r="AR18" i="2"/>
  <c r="CW18" i="2"/>
  <c r="DW18" i="2"/>
  <c r="CO18" i="2"/>
  <c r="AK18" i="2"/>
  <c r="AB18" i="2"/>
  <c r="AX18" i="2"/>
  <c r="R18" i="2"/>
  <c r="DF18" i="2"/>
  <c r="BY18" i="2"/>
  <c r="DO18" i="2"/>
  <c r="S18" i="2"/>
  <c r="BL18" i="2"/>
  <c r="CV18" i="2"/>
  <c r="CA18" i="2"/>
  <c r="BS18" i="2"/>
  <c r="G24" i="43"/>
  <c r="D24" i="43" s="1"/>
  <c r="D38" i="32"/>
  <c r="D22" i="2"/>
  <c r="C117" i="51" l="1"/>
  <c r="D130" i="42" s="1"/>
  <c r="D134" i="42" s="1"/>
  <c r="C35" i="32"/>
  <c r="C21" i="43" s="1"/>
  <c r="AD106" i="51"/>
  <c r="U36" i="32" s="1"/>
  <c r="W22" i="43" s="1"/>
  <c r="P106" i="51"/>
  <c r="G36" i="32" s="1"/>
  <c r="I22" i="43" s="1"/>
  <c r="O106" i="51"/>
  <c r="F36" i="32" s="1"/>
  <c r="H22" i="43" s="1"/>
  <c r="R106" i="51"/>
  <c r="I36" i="32" s="1"/>
  <c r="K22" i="43" s="1"/>
  <c r="AH106" i="51"/>
  <c r="Y36" i="32" s="1"/>
  <c r="AA22" i="43" s="1"/>
  <c r="Y106" i="51"/>
  <c r="P36" i="32" s="1"/>
  <c r="R22" i="43" s="1"/>
  <c r="W106" i="51"/>
  <c r="N36" i="32" s="1"/>
  <c r="P22" i="43" s="1"/>
  <c r="AN106" i="51"/>
  <c r="AE36" i="32" s="1"/>
  <c r="AG22" i="43" s="1"/>
  <c r="Q106" i="51"/>
  <c r="H36" i="32" s="1"/>
  <c r="J22" i="43" s="1"/>
  <c r="AF106" i="51"/>
  <c r="W36" i="32" s="1"/>
  <c r="Y22" i="43" s="1"/>
  <c r="H43" i="29"/>
  <c r="AB106" i="51"/>
  <c r="S36" i="32" s="1"/>
  <c r="U22" i="43" s="1"/>
  <c r="F387" i="32"/>
  <c r="G387" i="32" s="1"/>
  <c r="AE106" i="51"/>
  <c r="V36" i="32" s="1"/>
  <c r="X22" i="43" s="1"/>
  <c r="M105" i="51"/>
  <c r="C36" i="32"/>
  <c r="C22" i="43" s="1"/>
  <c r="H105" i="51"/>
  <c r="J105" i="51"/>
  <c r="S147" i="51" s="1"/>
  <c r="AM106" i="51"/>
  <c r="AD36" i="32" s="1"/>
  <c r="AF22" i="43" s="1"/>
  <c r="AO106" i="51"/>
  <c r="AF36" i="32" s="1"/>
  <c r="AH22" i="43" s="1"/>
  <c r="AQ106" i="51"/>
  <c r="AH36" i="32" s="1"/>
  <c r="AJ22" i="43" s="1"/>
  <c r="U106" i="51"/>
  <c r="L36" i="32" s="1"/>
  <c r="N22" i="43" s="1"/>
  <c r="V106" i="51"/>
  <c r="M36" i="32" s="1"/>
  <c r="O22" i="43" s="1"/>
  <c r="AK106" i="51"/>
  <c r="AB36" i="32" s="1"/>
  <c r="AD22" i="43" s="1"/>
  <c r="D106" i="51"/>
  <c r="X106" i="51"/>
  <c r="O36" i="32" s="1"/>
  <c r="Q22" i="43" s="1"/>
  <c r="D105" i="51"/>
  <c r="T106" i="51"/>
  <c r="K36" i="32" s="1"/>
  <c r="M22" i="43" s="1"/>
  <c r="AI106" i="51"/>
  <c r="Z36" i="32" s="1"/>
  <c r="AB22" i="43" s="1"/>
  <c r="AC106" i="51"/>
  <c r="T36" i="32" s="1"/>
  <c r="V22" i="43" s="1"/>
  <c r="AP106" i="51"/>
  <c r="AG36" i="32" s="1"/>
  <c r="AI22" i="43" s="1"/>
  <c r="AJ106" i="51"/>
  <c r="AA36" i="32" s="1"/>
  <c r="AC22" i="43" s="1"/>
  <c r="AG106" i="51"/>
  <c r="X36" i="32" s="1"/>
  <c r="Z22" i="43" s="1"/>
  <c r="N106" i="51"/>
  <c r="E36" i="32" s="1"/>
  <c r="Z106" i="51"/>
  <c r="Q36" i="32" s="1"/>
  <c r="S22" i="43" s="1"/>
  <c r="AL106" i="51"/>
  <c r="AC36" i="32" s="1"/>
  <c r="AE22" i="43" s="1"/>
  <c r="S106" i="51"/>
  <c r="J36" i="32" s="1"/>
  <c r="L22" i="43" s="1"/>
  <c r="H388" i="32"/>
  <c r="AE20" i="2"/>
  <c r="Q20" i="2"/>
  <c r="M20" i="2"/>
  <c r="BM20" i="2"/>
  <c r="DI20" i="2"/>
  <c r="DR20" i="2"/>
  <c r="DG20" i="2"/>
  <c r="AH20" i="2"/>
  <c r="BX20" i="2"/>
  <c r="V20" i="2"/>
  <c r="AK20" i="2"/>
  <c r="DP20" i="2"/>
  <c r="CG20" i="2"/>
  <c r="BS20" i="2"/>
  <c r="BF20" i="2"/>
  <c r="X20" i="2"/>
  <c r="BO20" i="2"/>
  <c r="DK20" i="2"/>
  <c r="BU20" i="2"/>
  <c r="DE20" i="2"/>
  <c r="G20" i="2"/>
  <c r="BP20" i="2"/>
  <c r="CJ20" i="2"/>
  <c r="CS20" i="2"/>
  <c r="BV20" i="2"/>
  <c r="AV20" i="2"/>
  <c r="O20" i="2"/>
  <c r="AR20" i="2"/>
  <c r="T20" i="2"/>
  <c r="BG20" i="2"/>
  <c r="BL20" i="2"/>
  <c r="CI20" i="2"/>
  <c r="AX20" i="2"/>
  <c r="AP20" i="2"/>
  <c r="CN20" i="2"/>
  <c r="N20" i="2"/>
  <c r="CA20" i="2"/>
  <c r="DW20" i="2"/>
  <c r="DF20" i="2"/>
  <c r="BC20" i="2"/>
  <c r="CX20" i="2"/>
  <c r="CD20" i="2"/>
  <c r="CT20" i="2"/>
  <c r="BW20" i="2"/>
  <c r="CO20" i="2"/>
  <c r="AC20" i="2"/>
  <c r="AB20" i="2"/>
  <c r="Y20" i="2"/>
  <c r="BK20" i="2"/>
  <c r="Z20" i="2"/>
  <c r="DT20" i="2"/>
  <c r="BE20" i="2"/>
  <c r="CL20" i="2"/>
  <c r="DL20" i="2"/>
  <c r="L20" i="2"/>
  <c r="CW20" i="2"/>
  <c r="DD20" i="2"/>
  <c r="CC20" i="2"/>
  <c r="DM20" i="2"/>
  <c r="DO20" i="2"/>
  <c r="DH20" i="2"/>
  <c r="AA20" i="2"/>
  <c r="CK20" i="2"/>
  <c r="DB20" i="2"/>
  <c r="BI20" i="2"/>
  <c r="CH20" i="2"/>
  <c r="BZ20" i="2"/>
  <c r="AJ20" i="2"/>
  <c r="DU20" i="2"/>
  <c r="BT20" i="2"/>
  <c r="BA20" i="2"/>
  <c r="I20" i="2"/>
  <c r="AW20" i="2"/>
  <c r="H20" i="2"/>
  <c r="R20" i="2"/>
  <c r="CP20" i="2"/>
  <c r="DQ20" i="2"/>
  <c r="BD20" i="2"/>
  <c r="DA20" i="2"/>
  <c r="DN20" i="2"/>
  <c r="AS20" i="2"/>
  <c r="CV20" i="2"/>
  <c r="AD20" i="2"/>
  <c r="CB20" i="2"/>
  <c r="AN20" i="2"/>
  <c r="CU20" i="2"/>
  <c r="BB20" i="2"/>
  <c r="AY20" i="2"/>
  <c r="BJ20" i="2"/>
  <c r="CF20" i="2"/>
  <c r="CM20" i="2"/>
  <c r="BY20" i="2"/>
  <c r="DJ20" i="2"/>
  <c r="CR20" i="2"/>
  <c r="AT20" i="2"/>
  <c r="U20" i="2"/>
  <c r="DV20" i="2"/>
  <c r="J20" i="2"/>
  <c r="AQ20" i="2"/>
  <c r="DC20" i="2"/>
  <c r="AG20" i="2"/>
  <c r="CZ20" i="2"/>
  <c r="CE20" i="2"/>
  <c r="BH20" i="2"/>
  <c r="AL20" i="2"/>
  <c r="AZ20" i="2"/>
  <c r="AF20" i="2"/>
  <c r="BN20" i="2"/>
  <c r="CQ20" i="2"/>
  <c r="BR20" i="2"/>
  <c r="BQ20" i="2"/>
  <c r="AM20" i="2"/>
  <c r="AO20" i="2"/>
  <c r="AU20" i="2"/>
  <c r="S20" i="2"/>
  <c r="K20" i="2"/>
  <c r="P20" i="2"/>
  <c r="DS20" i="2"/>
  <c r="W20" i="2"/>
  <c r="CY20" i="2"/>
  <c r="AI20" i="2"/>
  <c r="D18" i="2"/>
  <c r="F54" i="29" l="1"/>
  <c r="B136" i="5"/>
  <c r="AB143" i="51"/>
  <c r="AQ147" i="51"/>
  <c r="AJ147" i="51"/>
  <c r="AD143" i="51"/>
  <c r="R143" i="51"/>
  <c r="P143" i="51"/>
  <c r="T143" i="51"/>
  <c r="W143" i="51"/>
  <c r="Q143" i="51"/>
  <c r="AF143" i="51"/>
  <c r="AM143" i="51"/>
  <c r="AO143" i="51"/>
  <c r="AA143" i="51"/>
  <c r="C143" i="51"/>
  <c r="C64" i="43" s="1"/>
  <c r="V147" i="51"/>
  <c r="AN143" i="51"/>
  <c r="AL147" i="51"/>
  <c r="AF147" i="51"/>
  <c r="AM147" i="51"/>
  <c r="O143" i="51"/>
  <c r="AD147" i="51"/>
  <c r="Y143" i="51"/>
  <c r="AH143" i="51"/>
  <c r="AE143" i="51"/>
  <c r="Q147" i="51"/>
  <c r="AO147" i="51"/>
  <c r="T147" i="51"/>
  <c r="AG147" i="51"/>
  <c r="AA147" i="51"/>
  <c r="AN147" i="51"/>
  <c r="AE147" i="51"/>
  <c r="W147" i="51"/>
  <c r="Z147" i="51"/>
  <c r="AP147" i="51"/>
  <c r="U147" i="51"/>
  <c r="AI147" i="51"/>
  <c r="AC147" i="51"/>
  <c r="P147" i="51"/>
  <c r="G165" i="32"/>
  <c r="O37" i="29" s="1"/>
  <c r="D22" i="29" s="1"/>
  <c r="AH147" i="51"/>
  <c r="O147" i="51"/>
  <c r="R147" i="51"/>
  <c r="AC143" i="51"/>
  <c r="AB147" i="51"/>
  <c r="Y147" i="51"/>
  <c r="X147" i="51"/>
  <c r="AK147" i="51"/>
  <c r="N147" i="51"/>
  <c r="AQ143" i="51"/>
  <c r="U143" i="51"/>
  <c r="V143" i="51"/>
  <c r="D117" i="51"/>
  <c r="Z143" i="51"/>
  <c r="X143" i="51"/>
  <c r="AK143" i="51"/>
  <c r="AJ143" i="51"/>
  <c r="AP143" i="51"/>
  <c r="AL143" i="51"/>
  <c r="AG143" i="51"/>
  <c r="S143" i="51"/>
  <c r="D36" i="32"/>
  <c r="AI143" i="51"/>
  <c r="G22" i="43"/>
  <c r="D22" i="43" s="1"/>
  <c r="N143" i="51"/>
  <c r="M106" i="51"/>
  <c r="M3" i="51" s="1"/>
  <c r="E54" i="29" s="1"/>
  <c r="C19" i="2"/>
  <c r="H387" i="32"/>
  <c r="D20" i="2"/>
  <c r="G136" i="5" l="1"/>
  <c r="G167" i="5" s="1"/>
  <c r="G169" i="5" s="1"/>
  <c r="D127" i="42"/>
  <c r="AH64" i="43"/>
  <c r="J64" i="43"/>
  <c r="P66" i="43" s="1"/>
  <c r="AA64" i="43"/>
  <c r="AG66" i="43" s="1"/>
  <c r="Y64" i="43"/>
  <c r="AE66" i="43" s="1"/>
  <c r="AF64" i="43"/>
  <c r="AG64" i="43"/>
  <c r="N64" i="43"/>
  <c r="T66" i="43" s="1"/>
  <c r="K64" i="43"/>
  <c r="Q66" i="43" s="1"/>
  <c r="AE64" i="43"/>
  <c r="I64" i="43"/>
  <c r="O66" i="43" s="1"/>
  <c r="H64" i="43"/>
  <c r="N66" i="43" s="1"/>
  <c r="AB64" i="43"/>
  <c r="AH66" i="43" s="1"/>
  <c r="AJ64" i="43"/>
  <c r="L64" i="43"/>
  <c r="R66" i="43" s="1"/>
  <c r="Z64" i="43"/>
  <c r="AF66" i="43" s="1"/>
  <c r="M64" i="43"/>
  <c r="S66" i="43" s="1"/>
  <c r="P64" i="43"/>
  <c r="V66" i="43" s="1"/>
  <c r="R64" i="43"/>
  <c r="X66" i="43" s="1"/>
  <c r="W64" i="43"/>
  <c r="AC66" i="43" s="1"/>
  <c r="AI64" i="43"/>
  <c r="T64" i="43"/>
  <c r="Z66" i="43" s="1"/>
  <c r="AC64" i="43"/>
  <c r="AI66" i="43" s="1"/>
  <c r="U64" i="43"/>
  <c r="AA66" i="43" s="1"/>
  <c r="AD64" i="43"/>
  <c r="AJ66" i="43" s="1"/>
  <c r="V64" i="43"/>
  <c r="AB66" i="43" s="1"/>
  <c r="X64" i="43"/>
  <c r="AD66" i="43" s="1"/>
  <c r="Q64" i="43"/>
  <c r="W66" i="43" s="1"/>
  <c r="S64" i="43"/>
  <c r="Y66" i="43" s="1"/>
  <c r="G64" i="43"/>
  <c r="G67" i="43" s="1"/>
  <c r="O64" i="43"/>
  <c r="U66" i="43" s="1"/>
  <c r="D54" i="29"/>
  <c r="C54" i="29" s="1"/>
  <c r="BB19" i="2"/>
  <c r="BB31" i="2" s="1"/>
  <c r="S19" i="2"/>
  <c r="S31" i="2" s="1"/>
  <c r="BV19" i="2"/>
  <c r="AC19" i="2"/>
  <c r="AC31" i="2" s="1"/>
  <c r="CQ19" i="2"/>
  <c r="AD19" i="2"/>
  <c r="AD31" i="2" s="1"/>
  <c r="BT19" i="2"/>
  <c r="O19" i="2"/>
  <c r="O31" i="2" s="1"/>
  <c r="AN19" i="2"/>
  <c r="AN31" i="2" s="1"/>
  <c r="BL19" i="2"/>
  <c r="BL31" i="2" s="1"/>
  <c r="P19" i="2"/>
  <c r="P31" i="2" s="1"/>
  <c r="DE19" i="2"/>
  <c r="CV19" i="2"/>
  <c r="CX19" i="2"/>
  <c r="J19" i="2"/>
  <c r="J31" i="2" s="1"/>
  <c r="BC19" i="2"/>
  <c r="BC31" i="2" s="1"/>
  <c r="DQ19" i="2"/>
  <c r="AL19" i="2"/>
  <c r="AL31" i="2" s="1"/>
  <c r="N19" i="2"/>
  <c r="N31" i="2" s="1"/>
  <c r="DC19" i="2"/>
  <c r="AO19" i="2"/>
  <c r="AO31" i="2" s="1"/>
  <c r="AT19" i="2"/>
  <c r="AT31" i="2" s="1"/>
  <c r="DN19" i="2"/>
  <c r="AP19" i="2"/>
  <c r="AP31" i="2" s="1"/>
  <c r="L19" i="2"/>
  <c r="L31" i="2" s="1"/>
  <c r="AA19" i="2"/>
  <c r="AA31" i="2" s="1"/>
  <c r="CH19" i="2"/>
  <c r="AJ19" i="2"/>
  <c r="AJ31" i="2" s="1"/>
  <c r="CK19" i="2"/>
  <c r="AZ19" i="2"/>
  <c r="AZ31" i="2" s="1"/>
  <c r="AB19" i="2"/>
  <c r="AB31" i="2" s="1"/>
  <c r="BE19" i="2"/>
  <c r="BE31" i="2" s="1"/>
  <c r="CE19" i="2"/>
  <c r="DM19" i="2"/>
  <c r="V19" i="2"/>
  <c r="V31" i="2" s="1"/>
  <c r="BQ19" i="2"/>
  <c r="CI19" i="2"/>
  <c r="DD19" i="2"/>
  <c r="BU19" i="2"/>
  <c r="BP19" i="2"/>
  <c r="AX19" i="2"/>
  <c r="AX31" i="2" s="1"/>
  <c r="CU19" i="2"/>
  <c r="W19" i="2"/>
  <c r="W31" i="2" s="1"/>
  <c r="AM19" i="2"/>
  <c r="AM31" i="2" s="1"/>
  <c r="AV19" i="2"/>
  <c r="AV31" i="2" s="1"/>
  <c r="AS19" i="2"/>
  <c r="AS31" i="2" s="1"/>
  <c r="DU19" i="2"/>
  <c r="CG19" i="2"/>
  <c r="BD19" i="2"/>
  <c r="BD31" i="2" s="1"/>
  <c r="BH19" i="2"/>
  <c r="BH31" i="2" s="1"/>
  <c r="DO19" i="2"/>
  <c r="BN19" i="2"/>
  <c r="BN31" i="2" s="1"/>
  <c r="DT19" i="2"/>
  <c r="DW19" i="2"/>
  <c r="DK19" i="2"/>
  <c r="CA19" i="2"/>
  <c r="Q19" i="2"/>
  <c r="Q31" i="2" s="1"/>
  <c r="AY19" i="2"/>
  <c r="AY31" i="2" s="1"/>
  <c r="BF19" i="2"/>
  <c r="BF31" i="2" s="1"/>
  <c r="BK19" i="2"/>
  <c r="BK31" i="2" s="1"/>
  <c r="AW19" i="2"/>
  <c r="AW31" i="2" s="1"/>
  <c r="G19" i="2"/>
  <c r="G31" i="2" s="1"/>
  <c r="CR19" i="2"/>
  <c r="CC19" i="2"/>
  <c r="DA19" i="2"/>
  <c r="BI19" i="2"/>
  <c r="BI31" i="2" s="1"/>
  <c r="DR19" i="2"/>
  <c r="X19" i="2"/>
  <c r="X31" i="2" s="1"/>
  <c r="K19" i="2"/>
  <c r="K31" i="2" s="1"/>
  <c r="BM19" i="2"/>
  <c r="BM31" i="2" s="1"/>
  <c r="CP19" i="2"/>
  <c r="AH19" i="2"/>
  <c r="AH31" i="2" s="1"/>
  <c r="CF19" i="2"/>
  <c r="BR19" i="2"/>
  <c r="DG19" i="2"/>
  <c r="BJ19" i="2"/>
  <c r="BJ31" i="2" s="1"/>
  <c r="R19" i="2"/>
  <c r="R31" i="2" s="1"/>
  <c r="BW19" i="2"/>
  <c r="H19" i="2"/>
  <c r="H31" i="2" s="1"/>
  <c r="M19" i="2"/>
  <c r="M31" i="2" s="1"/>
  <c r="CD19" i="2"/>
  <c r="CO19" i="2"/>
  <c r="BA19" i="2"/>
  <c r="BA31" i="2" s="1"/>
  <c r="I19" i="2"/>
  <c r="I31" i="2" s="1"/>
  <c r="CM19" i="2"/>
  <c r="DJ19" i="2"/>
  <c r="U19" i="2"/>
  <c r="U31" i="2" s="1"/>
  <c r="DS19" i="2"/>
  <c r="Z19" i="2"/>
  <c r="Z31" i="2" s="1"/>
  <c r="AF19" i="2"/>
  <c r="AF31" i="2" s="1"/>
  <c r="CN19" i="2"/>
  <c r="CB19" i="2"/>
  <c r="BO19" i="2"/>
  <c r="BO31" i="2" s="1"/>
  <c r="T19" i="2"/>
  <c r="T31" i="2" s="1"/>
  <c r="AU19" i="2"/>
  <c r="AU31" i="2" s="1"/>
  <c r="DI19" i="2"/>
  <c r="CJ19" i="2"/>
  <c r="BS19" i="2"/>
  <c r="CW19" i="2"/>
  <c r="BG19" i="2"/>
  <c r="BG31" i="2" s="1"/>
  <c r="BX19" i="2"/>
  <c r="AI19" i="2"/>
  <c r="AI31" i="2" s="1"/>
  <c r="Y19" i="2"/>
  <c r="Y31" i="2" s="1"/>
  <c r="CY19" i="2"/>
  <c r="DL19" i="2"/>
  <c r="BY19" i="2"/>
  <c r="DH19" i="2"/>
  <c r="DB19" i="2"/>
  <c r="CZ19" i="2"/>
  <c r="DF19" i="2"/>
  <c r="DP19" i="2"/>
  <c r="DV19" i="2"/>
  <c r="AE19" i="2"/>
  <c r="AE31" i="2" s="1"/>
  <c r="BZ19" i="2"/>
  <c r="AG19" i="2"/>
  <c r="AG31" i="2" s="1"/>
  <c r="AR19" i="2"/>
  <c r="AR31" i="2" s="1"/>
  <c r="AK19" i="2"/>
  <c r="AK31" i="2" s="1"/>
  <c r="CT19" i="2"/>
  <c r="AQ19" i="2"/>
  <c r="AQ31" i="2" s="1"/>
  <c r="CL19" i="2"/>
  <c r="CS19" i="2"/>
  <c r="D128" i="42" l="1"/>
  <c r="E368" i="59" s="1"/>
  <c r="M66" i="43"/>
  <c r="AH67" i="43" s="1"/>
  <c r="AH68" i="43" s="1"/>
  <c r="D64" i="43"/>
  <c r="L67" i="43"/>
  <c r="L68" i="43" s="1"/>
  <c r="K67" i="43"/>
  <c r="K68" i="43" s="1"/>
  <c r="J67" i="43"/>
  <c r="J68" i="43" s="1"/>
  <c r="I67" i="43"/>
  <c r="I68" i="43" s="1"/>
  <c r="H67" i="43"/>
  <c r="H68" i="43" s="1"/>
  <c r="D19" i="2"/>
  <c r="G68" i="43"/>
  <c r="AI67" i="43" l="1"/>
  <c r="AI68" i="43" s="1"/>
  <c r="N67" i="43"/>
  <c r="N68" i="43" s="1"/>
  <c r="U67" i="43"/>
  <c r="U68" i="43" s="1"/>
  <c r="Z67" i="43"/>
  <c r="Z68" i="43" s="1"/>
  <c r="W67" i="43"/>
  <c r="W68" i="43" s="1"/>
  <c r="AD67" i="43"/>
  <c r="AD68" i="43" s="1"/>
  <c r="AE67" i="43"/>
  <c r="AE68" i="43" s="1"/>
  <c r="AA67" i="43"/>
  <c r="AA68" i="43" s="1"/>
  <c r="AF67" i="43"/>
  <c r="AF68" i="43" s="1"/>
  <c r="AG67" i="43"/>
  <c r="AG68" i="43" s="1"/>
  <c r="Q67" i="43"/>
  <c r="Q68" i="43" s="1"/>
  <c r="O67" i="43"/>
  <c r="O68" i="43" s="1"/>
  <c r="M67" i="43"/>
  <c r="M68" i="43" s="1"/>
  <c r="P67" i="43"/>
  <c r="P68" i="43" s="1"/>
  <c r="V67" i="43"/>
  <c r="V68" i="43" s="1"/>
  <c r="AJ67" i="43"/>
  <c r="AJ68" i="43" s="1"/>
  <c r="AB67" i="43"/>
  <c r="AB68" i="43" s="1"/>
  <c r="X67" i="43"/>
  <c r="X68" i="43" s="1"/>
  <c r="AC67" i="43"/>
  <c r="AC68" i="43" s="1"/>
  <c r="T67" i="43"/>
  <c r="T68" i="43" s="1"/>
  <c r="Y67" i="43"/>
  <c r="Y68" i="43" s="1"/>
  <c r="R67" i="43"/>
  <c r="R68" i="43" s="1"/>
  <c r="S67" i="43"/>
  <c r="S68" i="43" s="1"/>
  <c r="D68" i="43" l="1"/>
  <c r="C129" i="51" s="1"/>
  <c r="D129" i="51" s="1"/>
  <c r="D67" i="43"/>
  <c r="Y69" i="43" s="1"/>
  <c r="Y63" i="43" s="1"/>
  <c r="J129" i="51" l="1"/>
  <c r="B31" i="47"/>
  <c r="R69" i="43"/>
  <c r="R63" i="43" s="1"/>
  <c r="AI69" i="43"/>
  <c r="AI63" i="43" s="1"/>
  <c r="S69" i="43"/>
  <c r="S63" i="43" s="1"/>
  <c r="V69" i="43"/>
  <c r="V63" i="43" s="1"/>
  <c r="Q69" i="43"/>
  <c r="Q63" i="43" s="1"/>
  <c r="AE69" i="43"/>
  <c r="AE63" i="43" s="1"/>
  <c r="J69" i="43"/>
  <c r="J63" i="43" s="1"/>
  <c r="D275" i="32"/>
  <c r="D172" i="32" s="1"/>
  <c r="L43" i="29" s="1"/>
  <c r="P69" i="43"/>
  <c r="P63" i="43" s="1"/>
  <c r="K69" i="43"/>
  <c r="K63" i="43" s="1"/>
  <c r="AG69" i="43"/>
  <c r="AG63" i="43" s="1"/>
  <c r="G69" i="43"/>
  <c r="G63" i="43" s="1"/>
  <c r="U69" i="43"/>
  <c r="U63" i="43" s="1"/>
  <c r="AC69" i="43"/>
  <c r="AC63" i="43" s="1"/>
  <c r="M69" i="43"/>
  <c r="M63" i="43" s="1"/>
  <c r="N69" i="43"/>
  <c r="N63" i="43" s="1"/>
  <c r="H69" i="43"/>
  <c r="H63" i="43" s="1"/>
  <c r="L69" i="43"/>
  <c r="L63" i="43" s="1"/>
  <c r="AH69" i="43"/>
  <c r="AH63" i="43" s="1"/>
  <c r="O69" i="43"/>
  <c r="O63" i="43" s="1"/>
  <c r="Z69" i="43"/>
  <c r="Z63" i="43" s="1"/>
  <c r="AD69" i="43"/>
  <c r="AD63" i="43" s="1"/>
  <c r="AB69" i="43"/>
  <c r="AB63" i="43" s="1"/>
  <c r="AF69" i="43"/>
  <c r="AF63" i="43" s="1"/>
  <c r="AA69" i="43"/>
  <c r="AA63" i="43" s="1"/>
  <c r="I69" i="43"/>
  <c r="I63" i="43" s="1"/>
  <c r="T69" i="43"/>
  <c r="T63" i="43" s="1"/>
  <c r="AJ69" i="43"/>
  <c r="AJ63" i="43" s="1"/>
  <c r="W69" i="43"/>
  <c r="W63" i="43" s="1"/>
  <c r="X69" i="43"/>
  <c r="X63" i="43" s="1"/>
  <c r="AT31" i="47" l="1"/>
  <c r="I31" i="47"/>
  <c r="BA31" i="47"/>
  <c r="AP31" i="47"/>
  <c r="N31" i="47"/>
  <c r="AR31" i="47"/>
  <c r="BB31" i="47"/>
  <c r="S31" i="47"/>
  <c r="AW31" i="47"/>
  <c r="BG31" i="47"/>
  <c r="BI31" i="47"/>
  <c r="AV31" i="47"/>
  <c r="BE31" i="47"/>
  <c r="AE31" i="47"/>
  <c r="T31" i="47"/>
  <c r="Y31" i="47"/>
  <c r="BO31" i="47"/>
  <c r="V31" i="47"/>
  <c r="AK31" i="47"/>
  <c r="BL31" i="47"/>
  <c r="BN31" i="47"/>
  <c r="AZ31" i="47"/>
  <c r="AJ31" i="47"/>
  <c r="J31" i="47"/>
  <c r="AB31" i="47"/>
  <c r="BH31" i="47"/>
  <c r="BF31" i="47"/>
  <c r="M31" i="47"/>
  <c r="BK31" i="47"/>
  <c r="AN31" i="47"/>
  <c r="R31" i="47"/>
  <c r="L31" i="47"/>
  <c r="BC31" i="47"/>
  <c r="W31" i="47"/>
  <c r="AG31" i="47"/>
  <c r="AL31" i="47"/>
  <c r="Z31" i="47"/>
  <c r="AQ31" i="47"/>
  <c r="BM31" i="47"/>
  <c r="AY31" i="47"/>
  <c r="BJ31" i="47"/>
  <c r="P31" i="47"/>
  <c r="AX31" i="47"/>
  <c r="AM31" i="47"/>
  <c r="K31" i="47"/>
  <c r="G31" i="47"/>
  <c r="G32" i="47" s="1"/>
  <c r="G34" i="47" s="1"/>
  <c r="AS31" i="47"/>
  <c r="AC31" i="47"/>
  <c r="U31" i="47"/>
  <c r="AU31" i="47"/>
  <c r="AD31" i="47"/>
  <c r="H31" i="47"/>
  <c r="X31" i="47"/>
  <c r="AI31" i="47"/>
  <c r="AF31" i="47"/>
  <c r="AA31" i="47"/>
  <c r="AH31" i="47"/>
  <c r="O31" i="47"/>
  <c r="BD31" i="47"/>
  <c r="AO31" i="47"/>
  <c r="Q31" i="47"/>
  <c r="D63" i="43"/>
  <c r="C44" i="32" s="1"/>
  <c r="C30" i="43" s="1"/>
  <c r="D69" i="43"/>
  <c r="C132" i="51" s="1"/>
  <c r="J132" i="51" s="1"/>
  <c r="C144" i="51" s="1"/>
  <c r="C73" i="43" s="1"/>
  <c r="D31" i="47" l="1"/>
  <c r="C45" i="32"/>
  <c r="G135" i="5" s="1"/>
  <c r="C121" i="51"/>
  <c r="C141" i="51" s="1"/>
  <c r="C4" i="51" s="1"/>
  <c r="G170" i="32"/>
  <c r="O41" i="29" s="1"/>
  <c r="D132" i="51"/>
  <c r="F396" i="32"/>
  <c r="G396" i="32" s="1"/>
  <c r="H396" i="32" s="1"/>
  <c r="B10" i="6" s="1"/>
  <c r="AD73" i="43"/>
  <c r="Y73" i="43"/>
  <c r="AI73" i="43"/>
  <c r="AH73" i="43"/>
  <c r="AF73" i="43"/>
  <c r="AJ73" i="43"/>
  <c r="AC73" i="43"/>
  <c r="X73" i="43"/>
  <c r="M73" i="43"/>
  <c r="P73" i="43"/>
  <c r="AB73" i="43"/>
  <c r="AE73" i="43"/>
  <c r="I73" i="43"/>
  <c r="G73" i="43"/>
  <c r="U73" i="43"/>
  <c r="W73" i="43"/>
  <c r="T73" i="43"/>
  <c r="S73" i="43"/>
  <c r="L73" i="43"/>
  <c r="V73" i="43"/>
  <c r="N73" i="43"/>
  <c r="O73" i="43"/>
  <c r="Q73" i="43"/>
  <c r="AG73" i="43"/>
  <c r="Z73" i="43"/>
  <c r="AA73" i="43"/>
  <c r="H73" i="43"/>
  <c r="R73" i="43"/>
  <c r="K73" i="43"/>
  <c r="J73" i="43"/>
  <c r="C31" i="43"/>
  <c r="G31" i="43" s="1"/>
  <c r="H30" i="47"/>
  <c r="G171" i="32" l="1"/>
  <c r="D311" i="32" s="1"/>
  <c r="G34" i="43"/>
  <c r="C28" i="2"/>
  <c r="B8" i="7"/>
  <c r="BO10" i="6"/>
  <c r="BM10" i="6"/>
  <c r="BL10" i="6"/>
  <c r="BK10" i="6"/>
  <c r="BN10" i="6"/>
  <c r="BI10" i="6"/>
  <c r="BH10" i="6"/>
  <c r="BF10" i="6"/>
  <c r="BJ10" i="6"/>
  <c r="BC10" i="6"/>
  <c r="BE10" i="6"/>
  <c r="BB10" i="6"/>
  <c r="BD10" i="6"/>
  <c r="BG10" i="6"/>
  <c r="AZ10" i="6"/>
  <c r="AX10" i="6"/>
  <c r="AW10" i="6"/>
  <c r="AY10" i="6"/>
  <c r="AV10" i="6"/>
  <c r="BA10" i="6"/>
  <c r="AP10" i="6"/>
  <c r="AS10" i="6"/>
  <c r="AR10" i="6"/>
  <c r="AU10" i="6"/>
  <c r="AT10" i="6"/>
  <c r="AQ10" i="6"/>
  <c r="AI10" i="6"/>
  <c r="AJ10" i="6"/>
  <c r="AH10" i="6"/>
  <c r="AO10" i="6"/>
  <c r="AM10" i="6"/>
  <c r="AL10" i="6"/>
  <c r="AK10" i="6"/>
  <c r="AN10" i="6"/>
  <c r="Z10" i="6"/>
  <c r="X10" i="6"/>
  <c r="AG10" i="6"/>
  <c r="AC10" i="6"/>
  <c r="AA10" i="6"/>
  <c r="AF10" i="6"/>
  <c r="AD10" i="6"/>
  <c r="AB10" i="6"/>
  <c r="AE10" i="6"/>
  <c r="Y10" i="6"/>
  <c r="S10" i="6"/>
  <c r="V10" i="6"/>
  <c r="U10" i="6"/>
  <c r="R10" i="6"/>
  <c r="Q10" i="6"/>
  <c r="T10" i="6"/>
  <c r="W10" i="6"/>
  <c r="O10" i="6"/>
  <c r="L10" i="6"/>
  <c r="K10" i="6"/>
  <c r="P10" i="6"/>
  <c r="N10" i="6"/>
  <c r="M10" i="6"/>
  <c r="J10" i="6"/>
  <c r="I10" i="6"/>
  <c r="H10" i="6"/>
  <c r="G10" i="6"/>
  <c r="D73" i="43"/>
  <c r="H33" i="47"/>
  <c r="H35" i="47" s="1"/>
  <c r="H83" i="5" s="1"/>
  <c r="H32" i="47"/>
  <c r="D141" i="51" l="1"/>
  <c r="D4" i="51" s="1"/>
  <c r="O42" i="29"/>
  <c r="F52" i="29"/>
  <c r="D256" i="32"/>
  <c r="H23" i="47"/>
  <c r="H46" i="47" s="1"/>
  <c r="G8" i="7"/>
  <c r="BN8" i="7"/>
  <c r="BK8" i="7"/>
  <c r="BM8" i="7"/>
  <c r="BL8" i="7"/>
  <c r="BO8" i="7"/>
  <c r="BJ8" i="7"/>
  <c r="BH8" i="7"/>
  <c r="BG8" i="7"/>
  <c r="BI8" i="7"/>
  <c r="BF8" i="7"/>
  <c r="BE8" i="7"/>
  <c r="BB8" i="7"/>
  <c r="BA8" i="7"/>
  <c r="AY8" i="7"/>
  <c r="BC8" i="7"/>
  <c r="BD8" i="7"/>
  <c r="AZ8" i="7"/>
  <c r="AU8" i="7"/>
  <c r="AW8" i="7"/>
  <c r="AV8" i="7"/>
  <c r="AX8" i="7"/>
  <c r="AQ8" i="7"/>
  <c r="AS8" i="7"/>
  <c r="AP8" i="7"/>
  <c r="AR8" i="7"/>
  <c r="AT8" i="7"/>
  <c r="AH8" i="7"/>
  <c r="AN8" i="7"/>
  <c r="AL8" i="7"/>
  <c r="AM8" i="7"/>
  <c r="AK8" i="7"/>
  <c r="AF8" i="7"/>
  <c r="AO8" i="7"/>
  <c r="AJ8" i="7"/>
  <c r="AI8" i="7"/>
  <c r="AG8" i="7"/>
  <c r="AA8" i="7"/>
  <c r="AD8" i="7"/>
  <c r="AB8" i="7"/>
  <c r="AC8" i="7"/>
  <c r="Z8" i="7"/>
  <c r="X8" i="7"/>
  <c r="Y8" i="7"/>
  <c r="AE8" i="7"/>
  <c r="W8" i="7"/>
  <c r="T8" i="7"/>
  <c r="U8" i="7"/>
  <c r="Q8" i="7"/>
  <c r="P8" i="7"/>
  <c r="S8" i="7"/>
  <c r="V8" i="7"/>
  <c r="R8" i="7"/>
  <c r="J8" i="7"/>
  <c r="M8" i="7"/>
  <c r="N8" i="7"/>
  <c r="K8" i="7"/>
  <c r="O8" i="7"/>
  <c r="L8" i="7"/>
  <c r="I8" i="7"/>
  <c r="H8" i="7"/>
  <c r="BH28" i="2"/>
  <c r="BH30" i="2" s="1"/>
  <c r="R28" i="2"/>
  <c r="R30" i="2" s="1"/>
  <c r="U28" i="2"/>
  <c r="U30" i="2" s="1"/>
  <c r="AH28" i="2"/>
  <c r="AH30" i="2" s="1"/>
  <c r="W28" i="2"/>
  <c r="W30" i="2" s="1"/>
  <c r="DQ28" i="2"/>
  <c r="DQ30" i="2" s="1"/>
  <c r="AC28" i="2"/>
  <c r="AC30" i="2" s="1"/>
  <c r="BE28" i="2"/>
  <c r="BE30" i="2" s="1"/>
  <c r="CM28" i="2"/>
  <c r="CM30" i="2" s="1"/>
  <c r="V28" i="2"/>
  <c r="V30" i="2" s="1"/>
  <c r="BP28" i="2"/>
  <c r="BP30" i="2" s="1"/>
  <c r="AI28" i="2"/>
  <c r="AI30" i="2" s="1"/>
  <c r="AF28" i="2"/>
  <c r="AF30" i="2" s="1"/>
  <c r="DM28" i="2"/>
  <c r="DM30" i="2" s="1"/>
  <c r="CZ28" i="2"/>
  <c r="CZ30" i="2" s="1"/>
  <c r="DG28" i="2"/>
  <c r="DG30" i="2" s="1"/>
  <c r="H28" i="2"/>
  <c r="H30" i="2" s="1"/>
  <c r="CE28" i="2"/>
  <c r="CE30" i="2" s="1"/>
  <c r="AU28" i="2"/>
  <c r="AU30" i="2" s="1"/>
  <c r="AP28" i="2"/>
  <c r="AP30" i="2" s="1"/>
  <c r="CH28" i="2"/>
  <c r="CH30" i="2" s="1"/>
  <c r="AX28" i="2"/>
  <c r="AX30" i="2" s="1"/>
  <c r="DU28" i="2"/>
  <c r="DU30" i="2" s="1"/>
  <c r="AO28" i="2"/>
  <c r="AO30" i="2" s="1"/>
  <c r="BZ28" i="2"/>
  <c r="BZ30" i="2" s="1"/>
  <c r="CI28" i="2"/>
  <c r="CI30" i="2" s="1"/>
  <c r="M28" i="2"/>
  <c r="M30" i="2" s="1"/>
  <c r="AY28" i="2"/>
  <c r="AY30" i="2" s="1"/>
  <c r="CP28" i="2"/>
  <c r="CP30" i="2" s="1"/>
  <c r="CY28" i="2"/>
  <c r="CY30" i="2" s="1"/>
  <c r="CX28" i="2"/>
  <c r="CX30" i="2" s="1"/>
  <c r="AM28" i="2"/>
  <c r="AM30" i="2" s="1"/>
  <c r="AS28" i="2"/>
  <c r="AS30" i="2" s="1"/>
  <c r="CO28" i="2"/>
  <c r="CO30" i="2" s="1"/>
  <c r="CV28" i="2"/>
  <c r="CV30" i="2" s="1"/>
  <c r="AT28" i="2"/>
  <c r="AT30" i="2" s="1"/>
  <c r="CQ28" i="2"/>
  <c r="CQ30" i="2" s="1"/>
  <c r="CN28" i="2"/>
  <c r="CN30" i="2" s="1"/>
  <c r="DK28" i="2"/>
  <c r="DK30" i="2" s="1"/>
  <c r="AZ28" i="2"/>
  <c r="AZ30" i="2" s="1"/>
  <c r="AD28" i="2"/>
  <c r="AD30" i="2" s="1"/>
  <c r="L28" i="2"/>
  <c r="L30" i="2" s="1"/>
  <c r="Y28" i="2"/>
  <c r="Y30" i="2" s="1"/>
  <c r="CF28" i="2"/>
  <c r="CF30" i="2" s="1"/>
  <c r="BQ28" i="2"/>
  <c r="BQ30" i="2" s="1"/>
  <c r="G28" i="2"/>
  <c r="AQ28" i="2"/>
  <c r="AQ30" i="2" s="1"/>
  <c r="AB28" i="2"/>
  <c r="AB30" i="2" s="1"/>
  <c r="AR28" i="2"/>
  <c r="AR30" i="2" s="1"/>
  <c r="CC28" i="2"/>
  <c r="CC30" i="2" s="1"/>
  <c r="BR28" i="2"/>
  <c r="BR30" i="2" s="1"/>
  <c r="CS28" i="2"/>
  <c r="CS30" i="2" s="1"/>
  <c r="Z28" i="2"/>
  <c r="Z30" i="2" s="1"/>
  <c r="DR28" i="2"/>
  <c r="DR30" i="2" s="1"/>
  <c r="CG28" i="2"/>
  <c r="CG30" i="2" s="1"/>
  <c r="DE28" i="2"/>
  <c r="DE30" i="2" s="1"/>
  <c r="CK28" i="2"/>
  <c r="CK30" i="2" s="1"/>
  <c r="P28" i="2"/>
  <c r="P30" i="2" s="1"/>
  <c r="K28" i="2"/>
  <c r="K30" i="2" s="1"/>
  <c r="BK28" i="2"/>
  <c r="BK30" i="2" s="1"/>
  <c r="BF28" i="2"/>
  <c r="BF30" i="2" s="1"/>
  <c r="S28" i="2"/>
  <c r="S30" i="2" s="1"/>
  <c r="BS28" i="2"/>
  <c r="BS30" i="2" s="1"/>
  <c r="O28" i="2"/>
  <c r="O30" i="2" s="1"/>
  <c r="AJ28" i="2"/>
  <c r="AJ30" i="2" s="1"/>
  <c r="DN28" i="2"/>
  <c r="DN30" i="2" s="1"/>
  <c r="AN28" i="2"/>
  <c r="AN30" i="2" s="1"/>
  <c r="Q28" i="2"/>
  <c r="Q30" i="2" s="1"/>
  <c r="BC28" i="2"/>
  <c r="BC30" i="2" s="1"/>
  <c r="BX28" i="2"/>
  <c r="BX30" i="2" s="1"/>
  <c r="CB28" i="2"/>
  <c r="CB30" i="2" s="1"/>
  <c r="BJ28" i="2"/>
  <c r="BJ30" i="2" s="1"/>
  <c r="AV28" i="2"/>
  <c r="AV30" i="2" s="1"/>
  <c r="BL28" i="2"/>
  <c r="BL30" i="2" s="1"/>
  <c r="N28" i="2"/>
  <c r="N30" i="2" s="1"/>
  <c r="CD28" i="2"/>
  <c r="CD30" i="2" s="1"/>
  <c r="BM28" i="2"/>
  <c r="BM30" i="2" s="1"/>
  <c r="BT28" i="2"/>
  <c r="BT30" i="2" s="1"/>
  <c r="DT28" i="2"/>
  <c r="DT30" i="2" s="1"/>
  <c r="AK28" i="2"/>
  <c r="AK30" i="2" s="1"/>
  <c r="BW28" i="2"/>
  <c r="BW30" i="2" s="1"/>
  <c r="BN28" i="2"/>
  <c r="BN30" i="2" s="1"/>
  <c r="DA28" i="2"/>
  <c r="DA30" i="2" s="1"/>
  <c r="BA28" i="2"/>
  <c r="BA30" i="2" s="1"/>
  <c r="DH28" i="2"/>
  <c r="DH30" i="2" s="1"/>
  <c r="CR28" i="2"/>
  <c r="CR30" i="2" s="1"/>
  <c r="DC28" i="2"/>
  <c r="DC30" i="2" s="1"/>
  <c r="CT28" i="2"/>
  <c r="CT30" i="2" s="1"/>
  <c r="BU28" i="2"/>
  <c r="BU30" i="2" s="1"/>
  <c r="AA28" i="2"/>
  <c r="AA30" i="2" s="1"/>
  <c r="DI28" i="2"/>
  <c r="DI30" i="2" s="1"/>
  <c r="BD28" i="2"/>
  <c r="BD30" i="2" s="1"/>
  <c r="DV28" i="2"/>
  <c r="DV30" i="2" s="1"/>
  <c r="T28" i="2"/>
  <c r="T30" i="2" s="1"/>
  <c r="BB28" i="2"/>
  <c r="BB30" i="2" s="1"/>
  <c r="DP28" i="2"/>
  <c r="DP30" i="2" s="1"/>
  <c r="AW28" i="2"/>
  <c r="AW30" i="2" s="1"/>
  <c r="BG28" i="2"/>
  <c r="BG30" i="2" s="1"/>
  <c r="AG28" i="2"/>
  <c r="AG30" i="2" s="1"/>
  <c r="DS28" i="2"/>
  <c r="DS30" i="2" s="1"/>
  <c r="BV28" i="2"/>
  <c r="BV30" i="2" s="1"/>
  <c r="CJ28" i="2"/>
  <c r="CJ30" i="2" s="1"/>
  <c r="CL28" i="2"/>
  <c r="CL30" i="2" s="1"/>
  <c r="AL28" i="2"/>
  <c r="AL30" i="2" s="1"/>
  <c r="CW28" i="2"/>
  <c r="CW30" i="2" s="1"/>
  <c r="I28" i="2"/>
  <c r="I30" i="2" s="1"/>
  <c r="DW28" i="2"/>
  <c r="DW30" i="2" s="1"/>
  <c r="DL28" i="2"/>
  <c r="DL30" i="2" s="1"/>
  <c r="BO28" i="2"/>
  <c r="BO30" i="2" s="1"/>
  <c r="X28" i="2"/>
  <c r="X30" i="2" s="1"/>
  <c r="DF28" i="2"/>
  <c r="DF30" i="2" s="1"/>
  <c r="AE28" i="2"/>
  <c r="AE30" i="2" s="1"/>
  <c r="BY28" i="2"/>
  <c r="BY30" i="2" s="1"/>
  <c r="DO28" i="2"/>
  <c r="DO30" i="2" s="1"/>
  <c r="CU28" i="2"/>
  <c r="CU30" i="2" s="1"/>
  <c r="DJ28" i="2"/>
  <c r="DJ30" i="2" s="1"/>
  <c r="DB28" i="2"/>
  <c r="DB30" i="2" s="1"/>
  <c r="BI28" i="2"/>
  <c r="BI30" i="2" s="1"/>
  <c r="J28" i="2"/>
  <c r="J30" i="2" s="1"/>
  <c r="DD28" i="2"/>
  <c r="DD30" i="2" s="1"/>
  <c r="CA28" i="2"/>
  <c r="CA30" i="2" s="1"/>
  <c r="G35" i="43"/>
  <c r="H34" i="47"/>
  <c r="D20" i="29" l="1"/>
  <c r="D21" i="29" s="1"/>
  <c r="E371" i="59"/>
  <c r="AG13" i="6"/>
  <c r="BB13" i="6"/>
  <c r="K13" i="6"/>
  <c r="AQ13" i="6"/>
  <c r="AA13" i="6"/>
  <c r="L13" i="6"/>
  <c r="BM13" i="6"/>
  <c r="AJ13" i="6"/>
  <c r="Z13" i="6"/>
  <c r="AD13" i="6"/>
  <c r="H13" i="6"/>
  <c r="W13" i="6"/>
  <c r="O13" i="6"/>
  <c r="AY13" i="6"/>
  <c r="AH13" i="6"/>
  <c r="H87" i="47"/>
  <c r="R13" i="6"/>
  <c r="BO13" i="6"/>
  <c r="AW13" i="6"/>
  <c r="AV13" i="6"/>
  <c r="BF13" i="6"/>
  <c r="AR13" i="6"/>
  <c r="AF13" i="6"/>
  <c r="BH13" i="6"/>
  <c r="G45" i="43"/>
  <c r="BA13" i="6"/>
  <c r="BJ13" i="6"/>
  <c r="BK13" i="6"/>
  <c r="AB13" i="6"/>
  <c r="AT13" i="6"/>
  <c r="AO13" i="6"/>
  <c r="AI13" i="6"/>
  <c r="U13" i="6"/>
  <c r="J13" i="6"/>
  <c r="AE13" i="6"/>
  <c r="BG13" i="6"/>
  <c r="BI13" i="6"/>
  <c r="I13" i="6"/>
  <c r="T13" i="6"/>
  <c r="BN13" i="6"/>
  <c r="P13" i="6"/>
  <c r="D28" i="2"/>
  <c r="D30" i="2" s="1"/>
  <c r="E34" i="2" s="1"/>
  <c r="F57" i="29" s="1"/>
  <c r="G30" i="2"/>
  <c r="AX13" i="6"/>
  <c r="V13" i="6"/>
  <c r="X13" i="6"/>
  <c r="BL13" i="6"/>
  <c r="AZ13" i="6"/>
  <c r="M13" i="6"/>
  <c r="S13" i="6"/>
  <c r="AS13" i="6"/>
  <c r="BD13" i="6"/>
  <c r="Q13" i="6"/>
  <c r="AM13" i="6"/>
  <c r="BE13" i="6"/>
  <c r="N13" i="6"/>
  <c r="I30" i="47"/>
  <c r="BC13" i="6"/>
  <c r="AL13" i="6"/>
  <c r="AK13" i="6"/>
  <c r="AP13" i="6"/>
  <c r="AN13" i="6"/>
  <c r="Y13" i="6"/>
  <c r="AU13" i="6"/>
  <c r="AC13" i="6"/>
  <c r="I33" i="47" l="1"/>
  <c r="I35" i="47" s="1"/>
  <c r="I83" i="5" s="1"/>
  <c r="I32" i="47"/>
  <c r="I34" i="47" s="1"/>
  <c r="H92" i="47"/>
  <c r="H91" i="47"/>
  <c r="BY32" i="2"/>
  <c r="BE32" i="2"/>
  <c r="BE9" i="7" s="1"/>
  <c r="BE10" i="7" s="1"/>
  <c r="J32" i="2"/>
  <c r="J9" i="7" s="1"/>
  <c r="J10" i="7" s="1"/>
  <c r="DI32" i="2"/>
  <c r="AJ32" i="2"/>
  <c r="AJ9" i="7" s="1"/>
  <c r="AJ10" i="7" s="1"/>
  <c r="CC32" i="2"/>
  <c r="BL32" i="2"/>
  <c r="BL9" i="7" s="1"/>
  <c r="BL10" i="7" s="1"/>
  <c r="BP32" i="2"/>
  <c r="AO32" i="2"/>
  <c r="AO9" i="7" s="1"/>
  <c r="AO10" i="7" s="1"/>
  <c r="DR32" i="2"/>
  <c r="DQ32" i="2"/>
  <c r="N32" i="2"/>
  <c r="N9" i="7" s="1"/>
  <c r="N10" i="7" s="1"/>
  <c r="P32" i="2"/>
  <c r="P9" i="7" s="1"/>
  <c r="P10" i="7" s="1"/>
  <c r="G13" i="6"/>
  <c r="H32" i="2"/>
  <c r="H9" i="7" s="1"/>
  <c r="H10" i="7" s="1"/>
  <c r="W32" i="2"/>
  <c r="W9" i="7" s="1"/>
  <c r="W10" i="7" s="1"/>
  <c r="BS32" i="2"/>
  <c r="CP32" i="2"/>
  <c r="CX32" i="2"/>
  <c r="BK32" i="2"/>
  <c r="BK9" i="7" s="1"/>
  <c r="BK10" i="7" s="1"/>
  <c r="CU32" i="2"/>
  <c r="BA32" i="2"/>
  <c r="BA9" i="7" s="1"/>
  <c r="BA10" i="7" s="1"/>
  <c r="AR32" i="2"/>
  <c r="AR9" i="7" s="1"/>
  <c r="AR10" i="7" s="1"/>
  <c r="X32" i="2"/>
  <c r="X9" i="7" s="1"/>
  <c r="X10" i="7" s="1"/>
  <c r="CH32" i="2"/>
  <c r="CS32" i="2"/>
  <c r="AC32" i="2"/>
  <c r="AC9" i="7" s="1"/>
  <c r="AC10" i="7" s="1"/>
  <c r="BZ32" i="2"/>
  <c r="AM32" i="2"/>
  <c r="AM9" i="7" s="1"/>
  <c r="AM10" i="7" s="1"/>
  <c r="Z32" i="2"/>
  <c r="Z9" i="7" s="1"/>
  <c r="Z10" i="7" s="1"/>
  <c r="AD32" i="2"/>
  <c r="AD9" i="7" s="1"/>
  <c r="AD10" i="7" s="1"/>
  <c r="BM32" i="2"/>
  <c r="BM9" i="7" s="1"/>
  <c r="BM10" i="7" s="1"/>
  <c r="CV32" i="2"/>
  <c r="CA32" i="2"/>
  <c r="DG32" i="2"/>
  <c r="AN32" i="2"/>
  <c r="AN9" i="7" s="1"/>
  <c r="AN10" i="7" s="1"/>
  <c r="AP32" i="2"/>
  <c r="AP9" i="7" s="1"/>
  <c r="AP10" i="7" s="1"/>
  <c r="CZ32" i="2"/>
  <c r="DL32" i="2"/>
  <c r="AB32" i="2"/>
  <c r="AB9" i="7" s="1"/>
  <c r="AB10" i="7" s="1"/>
  <c r="DH32" i="2"/>
  <c r="DV32" i="2"/>
  <c r="AG32" i="2"/>
  <c r="AG9" i="7" s="1"/>
  <c r="AG10" i="7" s="1"/>
  <c r="AL32" i="2"/>
  <c r="AL9" i="7" s="1"/>
  <c r="AL10" i="7" s="1"/>
  <c r="BQ32" i="2"/>
  <c r="DJ32" i="2"/>
  <c r="AE32" i="2"/>
  <c r="AE9" i="7" s="1"/>
  <c r="AE10" i="7" s="1"/>
  <c r="DU32" i="2"/>
  <c r="AT32" i="2"/>
  <c r="AT9" i="7" s="1"/>
  <c r="AT10" i="7" s="1"/>
  <c r="AI32" i="2"/>
  <c r="AI9" i="7" s="1"/>
  <c r="AI10" i="7" s="1"/>
  <c r="AQ32" i="2"/>
  <c r="AQ9" i="7" s="1"/>
  <c r="AQ10" i="7" s="1"/>
  <c r="BB32" i="2"/>
  <c r="BB9" i="7" s="1"/>
  <c r="BB10" i="7" s="1"/>
  <c r="BF32" i="2"/>
  <c r="BF9" i="7" s="1"/>
  <c r="BF10" i="7" s="1"/>
  <c r="I32" i="2"/>
  <c r="I9" i="7" s="1"/>
  <c r="I10" i="7" s="1"/>
  <c r="BD32" i="2"/>
  <c r="BD9" i="7" s="1"/>
  <c r="BD10" i="7" s="1"/>
  <c r="CN32" i="2"/>
  <c r="M32" i="2"/>
  <c r="M9" i="7" s="1"/>
  <c r="M10" i="7" s="1"/>
  <c r="BU32" i="2"/>
  <c r="Q32" i="2"/>
  <c r="Q9" i="7" s="1"/>
  <c r="Q10" i="7" s="1"/>
  <c r="BJ32" i="2"/>
  <c r="BJ9" i="7" s="1"/>
  <c r="BJ10" i="7" s="1"/>
  <c r="DK32" i="2"/>
  <c r="BC32" i="2"/>
  <c r="BC9" i="7" s="1"/>
  <c r="BC10" i="7" s="1"/>
  <c r="U32" i="2"/>
  <c r="U9" i="7" s="1"/>
  <c r="U10" i="7" s="1"/>
  <c r="AH32" i="2"/>
  <c r="AH9" i="7" s="1"/>
  <c r="AH10" i="7" s="1"/>
  <c r="CO32" i="2"/>
  <c r="AV32" i="2"/>
  <c r="AV9" i="7" s="1"/>
  <c r="AV10" i="7" s="1"/>
  <c r="CE32" i="2"/>
  <c r="V32" i="2"/>
  <c r="V9" i="7" s="1"/>
  <c r="V10" i="7" s="1"/>
  <c r="BO32" i="2"/>
  <c r="BO9" i="7" s="1"/>
  <c r="BO10" i="7" s="1"/>
  <c r="AZ32" i="2"/>
  <c r="AZ9" i="7" s="1"/>
  <c r="AZ10" i="7" s="1"/>
  <c r="CF32" i="2"/>
  <c r="CT32" i="2"/>
  <c r="DE32" i="2"/>
  <c r="DW32" i="2"/>
  <c r="CD32" i="2"/>
  <c r="CR32" i="2"/>
  <c r="BI32" i="2"/>
  <c r="BI9" i="7" s="1"/>
  <c r="BI10" i="7" s="1"/>
  <c r="BT32" i="2"/>
  <c r="DB32" i="2"/>
  <c r="AS32" i="2"/>
  <c r="AS9" i="7" s="1"/>
  <c r="AS10" i="7" s="1"/>
  <c r="BG32" i="2"/>
  <c r="BG9" i="7" s="1"/>
  <c r="BG10" i="7" s="1"/>
  <c r="DO32" i="2"/>
  <c r="S32" i="2"/>
  <c r="S9" i="7" s="1"/>
  <c r="S10" i="7" s="1"/>
  <c r="G32" i="2"/>
  <c r="G9" i="7" s="1"/>
  <c r="G10" i="7" s="1"/>
  <c r="DA32" i="2"/>
  <c r="CL32" i="2"/>
  <c r="CB32" i="2"/>
  <c r="BV32" i="2"/>
  <c r="CW32" i="2"/>
  <c r="K32" i="2"/>
  <c r="K9" i="7" s="1"/>
  <c r="K10" i="7" s="1"/>
  <c r="Y32" i="2"/>
  <c r="Y9" i="7" s="1"/>
  <c r="Y10" i="7" s="1"/>
  <c r="AF32" i="2"/>
  <c r="AF9" i="7" s="1"/>
  <c r="AF10" i="7" s="1"/>
  <c r="CI32" i="2"/>
  <c r="BR32" i="2"/>
  <c r="CM32" i="2"/>
  <c r="CG32" i="2"/>
  <c r="O32" i="2"/>
  <c r="O9" i="7" s="1"/>
  <c r="O10" i="7" s="1"/>
  <c r="T32" i="2"/>
  <c r="T9" i="7" s="1"/>
  <c r="T10" i="7" s="1"/>
  <c r="CY32" i="2"/>
  <c r="BH32" i="2"/>
  <c r="BH9" i="7" s="1"/>
  <c r="BH10" i="7" s="1"/>
  <c r="R32" i="2"/>
  <c r="R9" i="7" s="1"/>
  <c r="R10" i="7" s="1"/>
  <c r="DM32" i="2"/>
  <c r="CQ32" i="2"/>
  <c r="DF32" i="2"/>
  <c r="BX32" i="2"/>
  <c r="DS32" i="2"/>
  <c r="DT32" i="2"/>
  <c r="AW32" i="2"/>
  <c r="AW9" i="7" s="1"/>
  <c r="AW10" i="7" s="1"/>
  <c r="BW32" i="2"/>
  <c r="DP32" i="2"/>
  <c r="AX32" i="2"/>
  <c r="AX9" i="7" s="1"/>
  <c r="AX10" i="7" s="1"/>
  <c r="DC32" i="2"/>
  <c r="AY32" i="2"/>
  <c r="AY9" i="7" s="1"/>
  <c r="AY10" i="7" s="1"/>
  <c r="AK32" i="2"/>
  <c r="AK9" i="7" s="1"/>
  <c r="AK10" i="7" s="1"/>
  <c r="AU32" i="2"/>
  <c r="AU9" i="7" s="1"/>
  <c r="AU10" i="7" s="1"/>
  <c r="BN32" i="2"/>
  <c r="BN9" i="7" s="1"/>
  <c r="BN10" i="7" s="1"/>
  <c r="DN32" i="2"/>
  <c r="DD32" i="2"/>
  <c r="AA32" i="2"/>
  <c r="AA9" i="7" s="1"/>
  <c r="AA10" i="7" s="1"/>
  <c r="L32" i="2"/>
  <c r="L9" i="7" s="1"/>
  <c r="L10" i="7" s="1"/>
  <c r="CJ32" i="2"/>
  <c r="CK32" i="2"/>
  <c r="E34" i="7" l="1"/>
  <c r="H27" i="7"/>
  <c r="I85" i="47"/>
  <c r="J30" i="47"/>
  <c r="I23" i="47"/>
  <c r="I46" i="47" s="1"/>
  <c r="E57" i="29" l="1"/>
  <c r="D57" i="29" s="1"/>
  <c r="C57" i="29" s="1"/>
  <c r="J33" i="47"/>
  <c r="J35" i="47" s="1"/>
  <c r="J83" i="5" s="1"/>
  <c r="J32" i="47"/>
  <c r="J34" i="47" s="1"/>
  <c r="I88" i="47"/>
  <c r="K30" i="47" l="1"/>
  <c r="I25" i="6"/>
  <c r="I89" i="47"/>
  <c r="I90" i="47" s="1"/>
  <c r="I87" i="47" s="1"/>
  <c r="J23" i="47"/>
  <c r="J46" i="47" s="1"/>
  <c r="I92" i="47" l="1"/>
  <c r="I91" i="47"/>
  <c r="K32" i="47"/>
  <c r="K34" i="47" s="1"/>
  <c r="K33" i="47"/>
  <c r="K35" i="47" s="1"/>
  <c r="K83" i="5" s="1"/>
  <c r="K23" i="47" l="1"/>
  <c r="K46" i="47" s="1"/>
  <c r="L30" i="47"/>
  <c r="J85" i="47"/>
  <c r="I27" i="7"/>
  <c r="J88" i="47" l="1"/>
  <c r="L32" i="47"/>
  <c r="L34" i="47" s="1"/>
  <c r="M30" i="47" s="1"/>
  <c r="L33" i="47"/>
  <c r="L35" i="47" s="1"/>
  <c r="L83" i="5" s="1"/>
  <c r="M33" i="47" l="1"/>
  <c r="M35" i="47" s="1"/>
  <c r="M83" i="5" s="1"/>
  <c r="M23" i="47" s="1"/>
  <c r="M46" i="47" s="1"/>
  <c r="M32" i="47"/>
  <c r="M34" i="47" s="1"/>
  <c r="N30" i="47" s="1"/>
  <c r="L23" i="47"/>
  <c r="L46" i="47" s="1"/>
  <c r="J25" i="6"/>
  <c r="J89" i="47"/>
  <c r="J90" i="47" s="1"/>
  <c r="J87" i="47" s="1"/>
  <c r="J92" i="47" l="1"/>
  <c r="J91" i="47"/>
  <c r="N33" i="47"/>
  <c r="N35" i="47" s="1"/>
  <c r="N83" i="5" s="1"/>
  <c r="N32" i="47"/>
  <c r="N34" i="47" s="1"/>
  <c r="O30" i="47" s="1"/>
  <c r="O32" i="47" l="1"/>
  <c r="O34" i="47" s="1"/>
  <c r="P30" i="47" s="1"/>
  <c r="O33" i="47"/>
  <c r="O35" i="47" s="1"/>
  <c r="O83" i="5" s="1"/>
  <c r="O23" i="47" s="1"/>
  <c r="O46" i="47" s="1"/>
  <c r="N23" i="47"/>
  <c r="N46" i="47" s="1"/>
  <c r="K85" i="47"/>
  <c r="J27" i="7"/>
  <c r="P33" i="47" l="1"/>
  <c r="P35" i="47" s="1"/>
  <c r="P83" i="5" s="1"/>
  <c r="P32" i="47"/>
  <c r="P34" i="47" s="1"/>
  <c r="Q30" i="47" s="1"/>
  <c r="K88" i="47"/>
  <c r="Q32" i="47" l="1"/>
  <c r="Q34" i="47" s="1"/>
  <c r="R30" i="47" s="1"/>
  <c r="Q33" i="47"/>
  <c r="Q35" i="47" s="1"/>
  <c r="Q83" i="5" s="1"/>
  <c r="Q23" i="47" s="1"/>
  <c r="Q46" i="47" s="1"/>
  <c r="P23" i="47"/>
  <c r="P46" i="47" s="1"/>
  <c r="K89" i="47"/>
  <c r="K90" i="47" s="1"/>
  <c r="K87" i="47" s="1"/>
  <c r="K25" i="6"/>
  <c r="R32" i="47" l="1"/>
  <c r="R34" i="47" s="1"/>
  <c r="S30" i="47" s="1"/>
  <c r="R33" i="47"/>
  <c r="R35" i="47" s="1"/>
  <c r="R83" i="5" s="1"/>
  <c r="K92" i="47"/>
  <c r="K91" i="47"/>
  <c r="L85" i="47" l="1"/>
  <c r="K27" i="7"/>
  <c r="S32" i="47"/>
  <c r="S34" i="47" s="1"/>
  <c r="T30" i="47" s="1"/>
  <c r="S33" i="47"/>
  <c r="S35" i="47" s="1"/>
  <c r="S83" i="5" s="1"/>
  <c r="S23" i="47" s="1"/>
  <c r="S46" i="47" s="1"/>
  <c r="R23" i="47"/>
  <c r="R46" i="47" s="1"/>
  <c r="T32" i="47" l="1"/>
  <c r="T34" i="47" s="1"/>
  <c r="U30" i="47" s="1"/>
  <c r="T33" i="47"/>
  <c r="T35" i="47" s="1"/>
  <c r="T83" i="5" s="1"/>
  <c r="L88" i="47"/>
  <c r="U33" i="47" l="1"/>
  <c r="U35" i="47" s="1"/>
  <c r="U83" i="5" s="1"/>
  <c r="U23" i="47" s="1"/>
  <c r="U46" i="47" s="1"/>
  <c r="U32" i="47"/>
  <c r="U34" i="47" s="1"/>
  <c r="V30" i="47" s="1"/>
  <c r="T23" i="47"/>
  <c r="T46" i="47" s="1"/>
  <c r="L89" i="47"/>
  <c r="L90" i="47" s="1"/>
  <c r="L87" i="47" s="1"/>
  <c r="L25" i="6"/>
  <c r="L92" i="47" l="1"/>
  <c r="L91" i="47"/>
  <c r="V33" i="47"/>
  <c r="V35" i="47" s="1"/>
  <c r="V83" i="5" s="1"/>
  <c r="V32" i="47"/>
  <c r="V34" i="47" s="1"/>
  <c r="W30" i="47" s="1"/>
  <c r="W33" i="47" l="1"/>
  <c r="W35" i="47" s="1"/>
  <c r="W83" i="5" s="1"/>
  <c r="W23" i="47" s="1"/>
  <c r="W46" i="47" s="1"/>
  <c r="W32" i="47"/>
  <c r="W34" i="47" s="1"/>
  <c r="X30" i="47" s="1"/>
  <c r="V23" i="47"/>
  <c r="V46" i="47" s="1"/>
  <c r="L27" i="7"/>
  <c r="M85" i="47"/>
  <c r="X33" i="47" l="1"/>
  <c r="X35" i="47" s="1"/>
  <c r="X83" i="5" s="1"/>
  <c r="X32" i="47"/>
  <c r="X34" i="47" s="1"/>
  <c r="Y30" i="47" s="1"/>
  <c r="M88" i="47"/>
  <c r="Y33" i="47" l="1"/>
  <c r="Y35" i="47" s="1"/>
  <c r="Y83" i="5" s="1"/>
  <c r="Y23" i="47" s="1"/>
  <c r="Y46" i="47" s="1"/>
  <c r="Y32" i="47"/>
  <c r="Y34" i="47" s="1"/>
  <c r="Z30" i="47" s="1"/>
  <c r="M25" i="6"/>
  <c r="M89" i="47"/>
  <c r="M90" i="47" s="1"/>
  <c r="M87" i="47" s="1"/>
  <c r="X23" i="47"/>
  <c r="X46" i="47" s="1"/>
  <c r="M92" i="47" l="1"/>
  <c r="M91" i="47"/>
  <c r="Z33" i="47"/>
  <c r="Z35" i="47" s="1"/>
  <c r="Z83" i="5" s="1"/>
  <c r="Z32" i="47"/>
  <c r="Z34" i="47" s="1"/>
  <c r="AA30" i="47" s="1"/>
  <c r="AA33" i="47" l="1"/>
  <c r="AA35" i="47" s="1"/>
  <c r="AA83" i="5" s="1"/>
  <c r="AA23" i="47" s="1"/>
  <c r="AA46" i="47" s="1"/>
  <c r="AA32" i="47"/>
  <c r="D32" i="47" s="1"/>
  <c r="E36" i="47" s="1"/>
  <c r="E70" i="29" s="1"/>
  <c r="Z23" i="47"/>
  <c r="Z46" i="47" s="1"/>
  <c r="N85" i="47"/>
  <c r="M27" i="7"/>
  <c r="N88" i="47" l="1"/>
  <c r="AA34" i="47"/>
  <c r="AB30" i="47" s="1"/>
  <c r="N25" i="6" l="1"/>
  <c r="N89" i="47"/>
  <c r="N90" i="47" s="1"/>
  <c r="N87" i="47" s="1"/>
  <c r="AB32" i="47"/>
  <c r="AB34" i="47" s="1"/>
  <c r="AC30" i="47" s="1"/>
  <c r="AB33" i="47"/>
  <c r="AB35" i="47" s="1"/>
  <c r="AB83" i="5" s="1"/>
  <c r="N92" i="47" l="1"/>
  <c r="N91" i="47"/>
  <c r="AC33" i="47"/>
  <c r="AC35" i="47" s="1"/>
  <c r="AC83" i="5" s="1"/>
  <c r="AC23" i="47" s="1"/>
  <c r="AC46" i="47" s="1"/>
  <c r="AC32" i="47"/>
  <c r="AC34" i="47" s="1"/>
  <c r="AD30" i="47" s="1"/>
  <c r="AB23" i="47"/>
  <c r="AB46" i="47" s="1"/>
  <c r="AD33" i="47" l="1"/>
  <c r="AD35" i="47" s="1"/>
  <c r="AD83" i="5" s="1"/>
  <c r="AD32" i="47"/>
  <c r="AD34" i="47" s="1"/>
  <c r="AE30" i="47" s="1"/>
  <c r="N27" i="7"/>
  <c r="O85" i="47"/>
  <c r="AE33" i="47" l="1"/>
  <c r="AE35" i="47" s="1"/>
  <c r="AE83" i="5" s="1"/>
  <c r="AE23" i="47" s="1"/>
  <c r="AE46" i="47" s="1"/>
  <c r="AE32" i="47"/>
  <c r="AE34" i="47" s="1"/>
  <c r="AF30" i="47" s="1"/>
  <c r="AD23" i="47"/>
  <c r="AD46" i="47" s="1"/>
  <c r="O88" i="47"/>
  <c r="AF33" i="47" l="1"/>
  <c r="AF35" i="47" s="1"/>
  <c r="AF83" i="5" s="1"/>
  <c r="AF32" i="47"/>
  <c r="AF34" i="47" s="1"/>
  <c r="AG30" i="47" s="1"/>
  <c r="O25" i="6"/>
  <c r="O89" i="47"/>
  <c r="O90" i="47" s="1"/>
  <c r="O87" i="47" s="1"/>
  <c r="O92" i="47" l="1"/>
  <c r="O91" i="47"/>
  <c r="AG33" i="47"/>
  <c r="AG35" i="47" s="1"/>
  <c r="AG83" i="5" s="1"/>
  <c r="AG23" i="47" s="1"/>
  <c r="AG46" i="47" s="1"/>
  <c r="AG32" i="47"/>
  <c r="AG34" i="47" s="1"/>
  <c r="AH30" i="47" s="1"/>
  <c r="AF23" i="47"/>
  <c r="AF46" i="47" s="1"/>
  <c r="AH32" i="47" l="1"/>
  <c r="AH34" i="47" s="1"/>
  <c r="AI30" i="47" s="1"/>
  <c r="AH33" i="47"/>
  <c r="AH35" i="47" s="1"/>
  <c r="AH83" i="5" s="1"/>
  <c r="P85" i="47"/>
  <c r="O27" i="7"/>
  <c r="AI32" i="47" l="1"/>
  <c r="AI34" i="47" s="1"/>
  <c r="AJ30" i="47" s="1"/>
  <c r="AI33" i="47"/>
  <c r="AI35" i="47" s="1"/>
  <c r="AI83" i="5" s="1"/>
  <c r="AI23" i="47" s="1"/>
  <c r="AI46" i="47" s="1"/>
  <c r="P88" i="47"/>
  <c r="AH23" i="47"/>
  <c r="AH46" i="47" s="1"/>
  <c r="P25" i="6" l="1"/>
  <c r="P89" i="47"/>
  <c r="P90" i="47" s="1"/>
  <c r="P87" i="47" s="1"/>
  <c r="AJ32" i="47"/>
  <c r="AJ34" i="47" s="1"/>
  <c r="AK30" i="47" s="1"/>
  <c r="AJ33" i="47"/>
  <c r="AJ35" i="47" s="1"/>
  <c r="AJ83" i="5" s="1"/>
  <c r="P92" i="47" l="1"/>
  <c r="P91" i="47"/>
  <c r="AK33" i="47"/>
  <c r="AK35" i="47" s="1"/>
  <c r="AK83" i="5" s="1"/>
  <c r="AK23" i="47" s="1"/>
  <c r="AK46" i="47" s="1"/>
  <c r="AK32" i="47"/>
  <c r="AK34" i="47" s="1"/>
  <c r="AJ23" i="47"/>
  <c r="AJ46" i="47" s="1"/>
  <c r="AL30" i="47" l="1"/>
  <c r="D277" i="32"/>
  <c r="Q85" i="47"/>
  <c r="P27" i="7"/>
  <c r="Q88" i="47" l="1"/>
  <c r="AL32" i="47"/>
  <c r="AL34" i="47" s="1"/>
  <c r="AM30" i="47" s="1"/>
  <c r="AL33" i="47"/>
  <c r="AL35" i="47" s="1"/>
  <c r="AL83" i="5" s="1"/>
  <c r="AL23" i="47" l="1"/>
  <c r="AL46" i="47" s="1"/>
  <c r="AM33" i="47"/>
  <c r="AM35" i="47" s="1"/>
  <c r="AM83" i="5" s="1"/>
  <c r="AM23" i="47" s="1"/>
  <c r="AM46" i="47" s="1"/>
  <c r="AM32" i="47"/>
  <c r="AM34" i="47" s="1"/>
  <c r="AN30" i="47" s="1"/>
  <c r="Q25" i="6"/>
  <c r="Q89" i="47"/>
  <c r="Q90" i="47" s="1"/>
  <c r="Q87" i="47" s="1"/>
  <c r="Q92" i="47" l="1"/>
  <c r="Q91" i="47"/>
  <c r="AN32" i="47"/>
  <c r="AN34" i="47" s="1"/>
  <c r="AO30" i="47" s="1"/>
  <c r="AN33" i="47"/>
  <c r="AN35" i="47" s="1"/>
  <c r="AN83" i="5" s="1"/>
  <c r="AO33" i="47" l="1"/>
  <c r="AO35" i="47" s="1"/>
  <c r="AO83" i="5" s="1"/>
  <c r="AO23" i="47" s="1"/>
  <c r="AO46" i="47" s="1"/>
  <c r="AO32" i="47"/>
  <c r="AO34" i="47" s="1"/>
  <c r="AP30" i="47" s="1"/>
  <c r="AN23" i="47"/>
  <c r="AN46" i="47" s="1"/>
  <c r="Q27" i="7"/>
  <c r="R85" i="47"/>
  <c r="AP32" i="47" l="1"/>
  <c r="AP34" i="47" s="1"/>
  <c r="AQ30" i="47" s="1"/>
  <c r="AP33" i="47"/>
  <c r="AP35" i="47" s="1"/>
  <c r="AP83" i="5" s="1"/>
  <c r="R88" i="47"/>
  <c r="AQ32" i="47" l="1"/>
  <c r="AQ34" i="47" s="1"/>
  <c r="AR30" i="47" s="1"/>
  <c r="AQ33" i="47"/>
  <c r="AQ35" i="47" s="1"/>
  <c r="AQ83" i="5" s="1"/>
  <c r="AQ23" i="47" s="1"/>
  <c r="AQ46" i="47" s="1"/>
  <c r="R89" i="47"/>
  <c r="R90" i="47" s="1"/>
  <c r="R87" i="47" s="1"/>
  <c r="R25" i="6"/>
  <c r="AP23" i="47"/>
  <c r="AP46" i="47" s="1"/>
  <c r="AR32" i="47" l="1"/>
  <c r="AR34" i="47" s="1"/>
  <c r="AS30" i="47" s="1"/>
  <c r="AR33" i="47"/>
  <c r="AR35" i="47" s="1"/>
  <c r="AR83" i="5" s="1"/>
  <c r="R92" i="47"/>
  <c r="R91" i="47"/>
  <c r="AS33" i="47" l="1"/>
  <c r="AS35" i="47" s="1"/>
  <c r="AS83" i="5" s="1"/>
  <c r="AS23" i="47" s="1"/>
  <c r="AS46" i="47" s="1"/>
  <c r="AS32" i="47"/>
  <c r="AS34" i="47" s="1"/>
  <c r="AT30" i="47" s="1"/>
  <c r="S85" i="47"/>
  <c r="R27" i="7"/>
  <c r="AR23" i="47"/>
  <c r="AR46" i="47" s="1"/>
  <c r="AT32" i="47" l="1"/>
  <c r="AT34" i="47" s="1"/>
  <c r="AU30" i="47" s="1"/>
  <c r="AT33" i="47"/>
  <c r="AT35" i="47" s="1"/>
  <c r="AT83" i="5" s="1"/>
  <c r="S88" i="47"/>
  <c r="S89" i="47" l="1"/>
  <c r="S90" i="47" s="1"/>
  <c r="S87" i="47" s="1"/>
  <c r="S25" i="6"/>
  <c r="AU33" i="47"/>
  <c r="AU35" i="47" s="1"/>
  <c r="AU83" i="5" s="1"/>
  <c r="AU23" i="47" s="1"/>
  <c r="AU46" i="47" s="1"/>
  <c r="AU32" i="47"/>
  <c r="AU34" i="47" s="1"/>
  <c r="AV30" i="47" s="1"/>
  <c r="AT23" i="47"/>
  <c r="AT46" i="47" s="1"/>
  <c r="AV33" i="47" l="1"/>
  <c r="AV35" i="47" s="1"/>
  <c r="AV83" i="5" s="1"/>
  <c r="AV32" i="47"/>
  <c r="AV34" i="47" s="1"/>
  <c r="AW30" i="47" s="1"/>
  <c r="S92" i="47"/>
  <c r="S91" i="47"/>
  <c r="AW33" i="47" l="1"/>
  <c r="AW35" i="47" s="1"/>
  <c r="AW83" i="5" s="1"/>
  <c r="AW23" i="47" s="1"/>
  <c r="AW46" i="47" s="1"/>
  <c r="AW32" i="47"/>
  <c r="AW34" i="47" s="1"/>
  <c r="AX30" i="47" s="1"/>
  <c r="T85" i="47"/>
  <c r="S27" i="7"/>
  <c r="AV23" i="47"/>
  <c r="AV46" i="47" s="1"/>
  <c r="T88" i="47" l="1"/>
  <c r="AX32" i="47"/>
  <c r="AX34" i="47" s="1"/>
  <c r="AY30" i="47" s="1"/>
  <c r="AX33" i="47"/>
  <c r="AX35" i="47" s="1"/>
  <c r="AX83" i="5" s="1"/>
  <c r="AY32" i="47" l="1"/>
  <c r="AY34" i="47" s="1"/>
  <c r="AZ30" i="47" s="1"/>
  <c r="AY33" i="47"/>
  <c r="AY35" i="47" s="1"/>
  <c r="AY83" i="5" s="1"/>
  <c r="AY23" i="47" s="1"/>
  <c r="AY46" i="47" s="1"/>
  <c r="AX23" i="47"/>
  <c r="AX46" i="47" s="1"/>
  <c r="T25" i="6"/>
  <c r="T89" i="47"/>
  <c r="T90" i="47" s="1"/>
  <c r="T87" i="47" s="1"/>
  <c r="T92" i="47" l="1"/>
  <c r="T91" i="47"/>
  <c r="AZ33" i="47"/>
  <c r="AZ35" i="47" s="1"/>
  <c r="AZ83" i="5" s="1"/>
  <c r="AZ32" i="47"/>
  <c r="AZ34" i="47" s="1"/>
  <c r="BA30" i="47" s="1"/>
  <c r="BA33" i="47" l="1"/>
  <c r="BA35" i="47" s="1"/>
  <c r="BA83" i="5" s="1"/>
  <c r="BA23" i="47" s="1"/>
  <c r="BA46" i="47" s="1"/>
  <c r="BA32" i="47"/>
  <c r="BA34" i="47" s="1"/>
  <c r="BB30" i="47" s="1"/>
  <c r="AZ23" i="47"/>
  <c r="AZ46" i="47" s="1"/>
  <c r="T27" i="7"/>
  <c r="U85" i="47"/>
  <c r="BB32" i="47" l="1"/>
  <c r="BB34" i="47" s="1"/>
  <c r="BC30" i="47" s="1"/>
  <c r="BB33" i="47"/>
  <c r="BB35" i="47" s="1"/>
  <c r="BB83" i="5" s="1"/>
  <c r="U88" i="47"/>
  <c r="U25" i="6" l="1"/>
  <c r="U89" i="47"/>
  <c r="U90" i="47" s="1"/>
  <c r="U87" i="47" s="1"/>
  <c r="BB23" i="47"/>
  <c r="BB46" i="47" s="1"/>
  <c r="BC33" i="47"/>
  <c r="BC35" i="47" s="1"/>
  <c r="BC83" i="5" s="1"/>
  <c r="BC23" i="47" s="1"/>
  <c r="BC46" i="47" s="1"/>
  <c r="BC32" i="47"/>
  <c r="BC34" i="47" s="1"/>
  <c r="BD30" i="47" s="1"/>
  <c r="U92" i="47" l="1"/>
  <c r="U91" i="47"/>
  <c r="BD33" i="47"/>
  <c r="BD35" i="47" s="1"/>
  <c r="BD83" i="5" s="1"/>
  <c r="BD32" i="47"/>
  <c r="BD34" i="47" s="1"/>
  <c r="BE30" i="47" s="1"/>
  <c r="BE33" i="47" l="1"/>
  <c r="BE35" i="47" s="1"/>
  <c r="BE83" i="5" s="1"/>
  <c r="BE23" i="47" s="1"/>
  <c r="BE46" i="47" s="1"/>
  <c r="BE32" i="47"/>
  <c r="BE34" i="47" s="1"/>
  <c r="BF30" i="47" s="1"/>
  <c r="BD23" i="47"/>
  <c r="BD46" i="47" s="1"/>
  <c r="V85" i="47"/>
  <c r="U27" i="7"/>
  <c r="BF33" i="47" l="1"/>
  <c r="BF35" i="47" s="1"/>
  <c r="BF83" i="5" s="1"/>
  <c r="BF32" i="47"/>
  <c r="BF34" i="47" s="1"/>
  <c r="BG30" i="47" s="1"/>
  <c r="V88" i="47"/>
  <c r="BF23" i="47" l="1"/>
  <c r="BF46" i="47" s="1"/>
  <c r="BG33" i="47"/>
  <c r="BG35" i="47" s="1"/>
  <c r="BG83" i="5" s="1"/>
  <c r="BG23" i="47" s="1"/>
  <c r="BG46" i="47" s="1"/>
  <c r="BG32" i="47"/>
  <c r="BG34" i="47" s="1"/>
  <c r="BH30" i="47" s="1"/>
  <c r="V25" i="6"/>
  <c r="V89" i="47"/>
  <c r="V90" i="47" s="1"/>
  <c r="V87" i="47" s="1"/>
  <c r="BH33" i="47" l="1"/>
  <c r="BH35" i="47" s="1"/>
  <c r="BH83" i="5" s="1"/>
  <c r="BH32" i="47"/>
  <c r="BH34" i="47" s="1"/>
  <c r="BI30" i="47" s="1"/>
  <c r="V92" i="47"/>
  <c r="V91" i="47"/>
  <c r="BH23" i="47" l="1"/>
  <c r="BH46" i="47" s="1"/>
  <c r="BI33" i="47"/>
  <c r="BI35" i="47" s="1"/>
  <c r="BI83" i="5" s="1"/>
  <c r="BI23" i="47" s="1"/>
  <c r="BI46" i="47" s="1"/>
  <c r="BI32" i="47"/>
  <c r="BI34" i="47" s="1"/>
  <c r="BJ30" i="47" s="1"/>
  <c r="V27" i="7"/>
  <c r="W85" i="47"/>
  <c r="W88" i="47" l="1"/>
  <c r="BJ32" i="47"/>
  <c r="BJ34" i="47" s="1"/>
  <c r="BK30" i="47" s="1"/>
  <c r="BJ33" i="47"/>
  <c r="BJ35" i="47" s="1"/>
  <c r="BJ83" i="5" s="1"/>
  <c r="BJ23" i="47" l="1"/>
  <c r="BJ46" i="47" s="1"/>
  <c r="BK33" i="47"/>
  <c r="BK35" i="47" s="1"/>
  <c r="BK83" i="5" s="1"/>
  <c r="BK23" i="47" s="1"/>
  <c r="BK46" i="47" s="1"/>
  <c r="BK32" i="47"/>
  <c r="BK34" i="47" s="1"/>
  <c r="BL30" i="47" s="1"/>
  <c r="W89" i="47"/>
  <c r="W90" i="47" s="1"/>
  <c r="W87" i="47" s="1"/>
  <c r="W25" i="6"/>
  <c r="W92" i="47" l="1"/>
  <c r="W91" i="47"/>
  <c r="BL32" i="47"/>
  <c r="BL34" i="47" s="1"/>
  <c r="BM30" i="47" s="1"/>
  <c r="BL33" i="47"/>
  <c r="BL35" i="47" s="1"/>
  <c r="BL83" i="5" s="1"/>
  <c r="BL23" i="47" l="1"/>
  <c r="BL46" i="47" s="1"/>
  <c r="BM33" i="47"/>
  <c r="BM35" i="47" s="1"/>
  <c r="BM83" i="5" s="1"/>
  <c r="BM23" i="47" s="1"/>
  <c r="BM46" i="47" s="1"/>
  <c r="BM32" i="47"/>
  <c r="BM34" i="47" s="1"/>
  <c r="BN30" i="47" s="1"/>
  <c r="W27" i="7"/>
  <c r="X85" i="47"/>
  <c r="BN33" i="47" l="1"/>
  <c r="BN35" i="47" s="1"/>
  <c r="BN83" i="5" s="1"/>
  <c r="BN32" i="47"/>
  <c r="BN34" i="47" s="1"/>
  <c r="BO30" i="47" s="1"/>
  <c r="X88" i="47"/>
  <c r="BN23" i="47" l="1"/>
  <c r="BN46" i="47" s="1"/>
  <c r="BO32" i="47"/>
  <c r="BO34" i="47" s="1"/>
  <c r="BO33" i="47"/>
  <c r="BO35" i="47" s="1"/>
  <c r="BO83" i="5" s="1"/>
  <c r="BO23" i="47" s="1"/>
  <c r="BO46" i="47" s="1"/>
  <c r="X25" i="6"/>
  <c r="X89" i="47"/>
  <c r="X90" i="47" s="1"/>
  <c r="X87" i="47" s="1"/>
  <c r="X92" i="47" l="1"/>
  <c r="X91" i="47"/>
  <c r="BO82" i="47"/>
  <c r="BN82" i="47" s="1"/>
  <c r="BM82" i="47" s="1"/>
  <c r="BL82" i="47" s="1"/>
  <c r="BK82" i="47" s="1"/>
  <c r="BJ82" i="47" s="1"/>
  <c r="BI82" i="47" s="1"/>
  <c r="BH82" i="47" s="1"/>
  <c r="BG82" i="47" s="1"/>
  <c r="BF82" i="47" s="1"/>
  <c r="BE82" i="47" s="1"/>
  <c r="BD82" i="47" s="1"/>
  <c r="BC82" i="47" s="1"/>
  <c r="BB82" i="47" s="1"/>
  <c r="BA82" i="47" s="1"/>
  <c r="AZ82" i="47" s="1"/>
  <c r="AY82" i="47" s="1"/>
  <c r="AX82" i="47" s="1"/>
  <c r="AW82" i="47" s="1"/>
  <c r="AV82" i="47" s="1"/>
  <c r="AU82" i="47" s="1"/>
  <c r="AT82" i="47" s="1"/>
  <c r="AS82" i="47" s="1"/>
  <c r="AR82" i="47" s="1"/>
  <c r="AQ82" i="47" s="1"/>
  <c r="AP82" i="47" s="1"/>
  <c r="AO82" i="47" s="1"/>
  <c r="AN82" i="47" s="1"/>
  <c r="AM82" i="47" s="1"/>
  <c r="AL82" i="47" s="1"/>
  <c r="AK82" i="47" s="1"/>
  <c r="AJ82" i="47" s="1"/>
  <c r="AI82" i="47" s="1"/>
  <c r="AH82" i="47" s="1"/>
  <c r="AG82" i="47" s="1"/>
  <c r="AF82" i="47" s="1"/>
  <c r="AE82" i="47" s="1"/>
  <c r="AD82" i="47" s="1"/>
  <c r="AC82" i="47" s="1"/>
  <c r="AB82" i="47" s="1"/>
  <c r="AA82" i="47" s="1"/>
  <c r="Z82" i="47" s="1"/>
  <c r="Y82" i="47" s="1"/>
  <c r="X82" i="47" s="1"/>
  <c r="W82" i="47" s="1"/>
  <c r="V82" i="47" s="1"/>
  <c r="U82" i="47" s="1"/>
  <c r="T82" i="47" s="1"/>
  <c r="S82" i="47" s="1"/>
  <c r="R82" i="47" s="1"/>
  <c r="Q82" i="47" s="1"/>
  <c r="P82" i="47" s="1"/>
  <c r="O82" i="47" s="1"/>
  <c r="N82" i="47" s="1"/>
  <c r="M82" i="47" s="1"/>
  <c r="L82" i="47" s="1"/>
  <c r="K82" i="47" s="1"/>
  <c r="J82" i="47" s="1"/>
  <c r="I82" i="47" s="1"/>
  <c r="H82" i="47" s="1"/>
  <c r="G82" i="47" s="1"/>
  <c r="D82" i="47" s="1"/>
  <c r="BO47" i="47" l="1"/>
  <c r="BN47" i="47" s="1"/>
  <c r="BM47" i="47" s="1"/>
  <c r="BL47" i="47" s="1"/>
  <c r="BK47" i="47" s="1"/>
  <c r="BJ47" i="47" s="1"/>
  <c r="BI47" i="47" s="1"/>
  <c r="BH47" i="47" s="1"/>
  <c r="BG47" i="47" s="1"/>
  <c r="BF47" i="47" s="1"/>
  <c r="BE47" i="47" s="1"/>
  <c r="BD47" i="47" s="1"/>
  <c r="BC47" i="47" s="1"/>
  <c r="BB47" i="47" s="1"/>
  <c r="BA47" i="47" s="1"/>
  <c r="AZ47" i="47" s="1"/>
  <c r="AY47" i="47" s="1"/>
  <c r="AX47" i="47" s="1"/>
  <c r="AW47" i="47" s="1"/>
  <c r="AV47" i="47" s="1"/>
  <c r="AU47" i="47" s="1"/>
  <c r="AT47" i="47" s="1"/>
  <c r="AS47" i="47" s="1"/>
  <c r="AR47" i="47" s="1"/>
  <c r="AQ47" i="47" s="1"/>
  <c r="AP47" i="47" s="1"/>
  <c r="AO47" i="47" s="1"/>
  <c r="AN47" i="47" s="1"/>
  <c r="AM47" i="47" s="1"/>
  <c r="AL47" i="47" s="1"/>
  <c r="AK47" i="47" s="1"/>
  <c r="AJ47" i="47" s="1"/>
  <c r="AI47" i="47" s="1"/>
  <c r="AH47" i="47" s="1"/>
  <c r="AG47" i="47" s="1"/>
  <c r="AF47" i="47" s="1"/>
  <c r="AE47" i="47" s="1"/>
  <c r="AD47" i="47" s="1"/>
  <c r="AC47" i="47" s="1"/>
  <c r="AB47" i="47" s="1"/>
  <c r="AA47" i="47" s="1"/>
  <c r="Z47" i="47" s="1"/>
  <c r="Y47" i="47" s="1"/>
  <c r="X47" i="47" s="1"/>
  <c r="W47" i="47" s="1"/>
  <c r="V47" i="47" s="1"/>
  <c r="U47" i="47" s="1"/>
  <c r="T47" i="47" s="1"/>
  <c r="S47" i="47" s="1"/>
  <c r="R47" i="47" s="1"/>
  <c r="Q47" i="47" s="1"/>
  <c r="P47" i="47" s="1"/>
  <c r="O47" i="47" s="1"/>
  <c r="N47" i="47" s="1"/>
  <c r="M47" i="47" s="1"/>
  <c r="L47" i="47" s="1"/>
  <c r="K47" i="47" s="1"/>
  <c r="J47" i="47" s="1"/>
  <c r="I47" i="47" s="1"/>
  <c r="H47" i="47" s="1"/>
  <c r="G47" i="47" s="1"/>
  <c r="D47" i="47" s="1"/>
  <c r="Y85" i="47"/>
  <c r="X27" i="7"/>
  <c r="D195" i="32" l="1"/>
  <c r="D198" i="32" s="1"/>
  <c r="Y88" i="47"/>
  <c r="B62" i="47" l="1"/>
  <c r="BI62" i="47" s="1"/>
  <c r="BI51" i="47" s="1"/>
  <c r="B72" i="47"/>
  <c r="G72" i="47" s="1"/>
  <c r="K72" i="47" s="1"/>
  <c r="O72" i="47" s="1"/>
  <c r="S72" i="47" s="1"/>
  <c r="W72" i="47" s="1"/>
  <c r="AA72" i="47" s="1"/>
  <c r="AE72" i="47" s="1"/>
  <c r="AI72" i="47" s="1"/>
  <c r="AM72" i="47" s="1"/>
  <c r="AQ72" i="47" s="1"/>
  <c r="AU72" i="47" s="1"/>
  <c r="AY72" i="47" s="1"/>
  <c r="BC72" i="47" s="1"/>
  <c r="BG72" i="47" s="1"/>
  <c r="BK72" i="47" s="1"/>
  <c r="BO72" i="47" s="1"/>
  <c r="Y89" i="47"/>
  <c r="Y90" i="47" s="1"/>
  <c r="Y87" i="47" s="1"/>
  <c r="Y25" i="6"/>
  <c r="AL62" i="47" l="1"/>
  <c r="AL51" i="47" s="1"/>
  <c r="BD62" i="47"/>
  <c r="BD51" i="47" s="1"/>
  <c r="AQ62" i="47"/>
  <c r="AQ51" i="47" s="1"/>
  <c r="AT62" i="47"/>
  <c r="AT51" i="47" s="1"/>
  <c r="AG62" i="47"/>
  <c r="AG51" i="47" s="1"/>
  <c r="N62" i="47"/>
  <c r="N51" i="47" s="1"/>
  <c r="G62" i="47"/>
  <c r="G67" i="47" s="1"/>
  <c r="H61" i="47" s="1"/>
  <c r="AB62" i="47"/>
  <c r="AB51" i="47" s="1"/>
  <c r="AS62" i="47"/>
  <c r="AS51" i="47" s="1"/>
  <c r="AJ62" i="47"/>
  <c r="AJ51" i="47" s="1"/>
  <c r="BF62" i="47"/>
  <c r="BF51" i="47" s="1"/>
  <c r="AX62" i="47"/>
  <c r="AX51" i="47" s="1"/>
  <c r="AU62" i="47"/>
  <c r="AU51" i="47" s="1"/>
  <c r="AW62" i="47"/>
  <c r="AW51" i="47" s="1"/>
  <c r="AZ62" i="47"/>
  <c r="AZ51" i="47" s="1"/>
  <c r="V62" i="47"/>
  <c r="V51" i="47" s="1"/>
  <c r="Q62" i="47"/>
  <c r="Q51" i="47" s="1"/>
  <c r="BK62" i="47"/>
  <c r="BK51" i="47" s="1"/>
  <c r="X62" i="47"/>
  <c r="X51" i="47" s="1"/>
  <c r="R62" i="47"/>
  <c r="R51" i="47" s="1"/>
  <c r="T62" i="47"/>
  <c r="T51" i="47" s="1"/>
  <c r="BC62" i="47"/>
  <c r="BC51" i="47" s="1"/>
  <c r="K62" i="47"/>
  <c r="K51" i="47" s="1"/>
  <c r="U62" i="47"/>
  <c r="U51" i="47" s="1"/>
  <c r="AE62" i="47"/>
  <c r="AE51" i="47" s="1"/>
  <c r="AM62" i="47"/>
  <c r="AM51" i="47" s="1"/>
  <c r="BH62" i="47"/>
  <c r="BH51" i="47" s="1"/>
  <c r="AK62" i="47"/>
  <c r="AK51" i="47" s="1"/>
  <c r="BL62" i="47"/>
  <c r="BL51" i="47" s="1"/>
  <c r="L62" i="47"/>
  <c r="L51" i="47" s="1"/>
  <c r="J62" i="47"/>
  <c r="J51" i="47" s="1"/>
  <c r="Y62" i="47"/>
  <c r="Y51" i="47" s="1"/>
  <c r="AP62" i="47"/>
  <c r="AP51" i="47" s="1"/>
  <c r="P62" i="47"/>
  <c r="P51" i="47" s="1"/>
  <c r="BO62" i="47"/>
  <c r="BO51" i="47" s="1"/>
  <c r="O62" i="47"/>
  <c r="O51" i="47" s="1"/>
  <c r="AV62" i="47"/>
  <c r="AV51" i="47" s="1"/>
  <c r="M62" i="47"/>
  <c r="M51" i="47" s="1"/>
  <c r="AR62" i="47"/>
  <c r="AR51" i="47" s="1"/>
  <c r="BM62" i="47"/>
  <c r="BM51" i="47" s="1"/>
  <c r="AN62" i="47"/>
  <c r="AN51" i="47" s="1"/>
  <c r="BB62" i="47"/>
  <c r="BB51" i="47" s="1"/>
  <c r="Z62" i="47"/>
  <c r="Z51" i="47" s="1"/>
  <c r="AF62" i="47"/>
  <c r="AF51" i="47" s="1"/>
  <c r="AA62" i="47"/>
  <c r="AA51" i="47" s="1"/>
  <c r="BJ62" i="47"/>
  <c r="BJ51" i="47" s="1"/>
  <c r="BE62" i="47"/>
  <c r="BE51" i="47" s="1"/>
  <c r="AD62" i="47"/>
  <c r="AD51" i="47" s="1"/>
  <c r="AY62" i="47"/>
  <c r="AY51" i="47" s="1"/>
  <c r="I62" i="47"/>
  <c r="I51" i="47" s="1"/>
  <c r="H62" i="47"/>
  <c r="H51" i="47" s="1"/>
  <c r="BG62" i="47"/>
  <c r="BG51" i="47" s="1"/>
  <c r="AC62" i="47"/>
  <c r="AC51" i="47" s="1"/>
  <c r="BA62" i="47"/>
  <c r="BA51" i="47" s="1"/>
  <c r="BN62" i="47"/>
  <c r="BN51" i="47" s="1"/>
  <c r="AO62" i="47"/>
  <c r="AO51" i="47" s="1"/>
  <c r="AH62" i="47"/>
  <c r="AH51" i="47" s="1"/>
  <c r="AI62" i="47"/>
  <c r="AI51" i="47" s="1"/>
  <c r="W62" i="47"/>
  <c r="W51" i="47" s="1"/>
  <c r="G77" i="47"/>
  <c r="H71" i="47" s="1"/>
  <c r="H74" i="47" s="1"/>
  <c r="H75" i="47" s="1"/>
  <c r="H76" i="47" s="1"/>
  <c r="H73" i="47" s="1"/>
  <c r="S62" i="47"/>
  <c r="S51" i="47" s="1"/>
  <c r="Y92" i="47"/>
  <c r="Y91" i="47"/>
  <c r="G51" i="47" l="1"/>
  <c r="D51" i="47" s="1"/>
  <c r="D192" i="32" s="1"/>
  <c r="C40" i="43" s="1"/>
  <c r="G56" i="47"/>
  <c r="G26" i="7" s="1"/>
  <c r="H50" i="47"/>
  <c r="H64" i="47"/>
  <c r="H78" i="47"/>
  <c r="H77" i="47"/>
  <c r="I71" i="47" s="1"/>
  <c r="Z85" i="47"/>
  <c r="Y27" i="7"/>
  <c r="D89" i="29" l="1"/>
  <c r="I74" i="47"/>
  <c r="Z88" i="47"/>
  <c r="H65" i="47"/>
  <c r="H54" i="47" s="1"/>
  <c r="H53" i="47"/>
  <c r="H66" i="47" l="1"/>
  <c r="H55" i="47" s="1"/>
  <c r="H24" i="6"/>
  <c r="Z25" i="6"/>
  <c r="Z89" i="47"/>
  <c r="Z90" i="47" s="1"/>
  <c r="Z87" i="47" s="1"/>
  <c r="I75" i="47"/>
  <c r="I76" i="47" s="1"/>
  <c r="I73" i="47" s="1"/>
  <c r="H63" i="47" l="1"/>
  <c r="H52" i="47" s="1"/>
  <c r="I78" i="47"/>
  <c r="I77" i="47"/>
  <c r="J71" i="47" s="1"/>
  <c r="Z92" i="47"/>
  <c r="Z91" i="47"/>
  <c r="H68" i="47" l="1"/>
  <c r="H67" i="47"/>
  <c r="I61" i="47" s="1"/>
  <c r="H80" i="5"/>
  <c r="H57" i="47"/>
  <c r="Z27" i="7"/>
  <c r="AA85" i="47"/>
  <c r="J74" i="47"/>
  <c r="H56" i="47" l="1"/>
  <c r="H26" i="7" s="1"/>
  <c r="D348" i="32"/>
  <c r="D347" i="32"/>
  <c r="G24" i="54" s="1"/>
  <c r="E24" i="54" s="1"/>
  <c r="H59" i="29" s="1"/>
  <c r="H26" i="47"/>
  <c r="H103" i="47" s="1"/>
  <c r="G86" i="5"/>
  <c r="G89" i="5" s="1"/>
  <c r="AA88" i="47"/>
  <c r="I50" i="47"/>
  <c r="I64" i="47"/>
  <c r="J75" i="47"/>
  <c r="J76" i="47" s="1"/>
  <c r="J73" i="47" s="1"/>
  <c r="J78" i="47" l="1"/>
  <c r="J77" i="47"/>
  <c r="K71" i="47" s="1"/>
  <c r="G92" i="5"/>
  <c r="H87" i="5"/>
  <c r="G91" i="5"/>
  <c r="I65" i="47"/>
  <c r="I54" i="47" s="1"/>
  <c r="I53" i="47"/>
  <c r="AA89" i="47"/>
  <c r="AA90" i="47" s="1"/>
  <c r="AA87" i="47" s="1"/>
  <c r="AA25" i="6"/>
  <c r="AA92" i="47" l="1"/>
  <c r="AA91" i="47"/>
  <c r="I66" i="47"/>
  <c r="G12" i="7"/>
  <c r="D79" i="29"/>
  <c r="G94" i="5"/>
  <c r="K74" i="47"/>
  <c r="I24" i="6"/>
  <c r="E91" i="29"/>
  <c r="I55" i="47" l="1"/>
  <c r="I63" i="47"/>
  <c r="K75" i="47"/>
  <c r="K76" i="47" s="1"/>
  <c r="K73" i="47" s="1"/>
  <c r="AA27" i="7"/>
  <c r="AB85" i="47"/>
  <c r="G96" i="5"/>
  <c r="G97" i="5" s="1"/>
  <c r="G104" i="5" s="1"/>
  <c r="K78" i="47" l="1"/>
  <c r="K77" i="47"/>
  <c r="L71" i="47" s="1"/>
  <c r="G106" i="5"/>
  <c r="G105" i="5"/>
  <c r="I52" i="47"/>
  <c r="I68" i="47"/>
  <c r="I67" i="47"/>
  <c r="AB88" i="47"/>
  <c r="J61" i="47" l="1"/>
  <c r="I56" i="47"/>
  <c r="D81" i="29"/>
  <c r="G108" i="5"/>
  <c r="AB89" i="47"/>
  <c r="AB90" i="47" s="1"/>
  <c r="AB87" i="47" s="1"/>
  <c r="AB25" i="6"/>
  <c r="I57" i="47"/>
  <c r="I80" i="5"/>
  <c r="E90" i="29"/>
  <c r="H101" i="5"/>
  <c r="H19" i="6"/>
  <c r="G13" i="7"/>
  <c r="L74" i="47"/>
  <c r="AB92" i="47" l="1"/>
  <c r="AB91" i="47"/>
  <c r="L75" i="47"/>
  <c r="L76" i="47" s="1"/>
  <c r="L73" i="47" s="1"/>
  <c r="I26" i="7"/>
  <c r="E89" i="29"/>
  <c r="I26" i="47"/>
  <c r="I103" i="47" s="1"/>
  <c r="D349" i="32"/>
  <c r="J50" i="47"/>
  <c r="J64" i="47"/>
  <c r="G109" i="5"/>
  <c r="G112" i="5" s="1"/>
  <c r="H86" i="5"/>
  <c r="H89" i="5" s="1"/>
  <c r="G118" i="47" l="1"/>
  <c r="J53" i="47"/>
  <c r="J65" i="47"/>
  <c r="J54" i="47" s="1"/>
  <c r="L78" i="47"/>
  <c r="L77" i="47"/>
  <c r="M71" i="47" s="1"/>
  <c r="AB27" i="7"/>
  <c r="AC85" i="47"/>
  <c r="I87" i="5"/>
  <c r="G110" i="5"/>
  <c r="G14" i="7" s="1"/>
  <c r="J66" i="47" l="1"/>
  <c r="J24" i="6"/>
  <c r="AC88" i="47"/>
  <c r="M74" i="47"/>
  <c r="J55" i="47" l="1"/>
  <c r="J63" i="47"/>
  <c r="M75" i="47"/>
  <c r="M76" i="47" s="1"/>
  <c r="M73" i="47" s="1"/>
  <c r="AC25" i="6"/>
  <c r="AC89" i="47"/>
  <c r="AC90" i="47" s="1"/>
  <c r="AC87" i="47" s="1"/>
  <c r="AC92" i="47" l="1"/>
  <c r="AC91" i="47"/>
  <c r="M78" i="47"/>
  <c r="M77" i="47"/>
  <c r="N71" i="47" s="1"/>
  <c r="J52" i="47"/>
  <c r="J68" i="47"/>
  <c r="J67" i="47"/>
  <c r="K61" i="47" l="1"/>
  <c r="J56" i="47"/>
  <c r="J26" i="7" s="1"/>
  <c r="J57" i="47"/>
  <c r="J26" i="47" s="1"/>
  <c r="J103" i="47" s="1"/>
  <c r="J80" i="5"/>
  <c r="N74" i="47"/>
  <c r="AC27" i="7"/>
  <c r="AD85" i="47"/>
  <c r="N75" i="47" l="1"/>
  <c r="N76" i="47" s="1"/>
  <c r="N73" i="47" s="1"/>
  <c r="I86" i="5"/>
  <c r="I89" i="5" s="1"/>
  <c r="K64" i="47"/>
  <c r="K50" i="47"/>
  <c r="AD88" i="47"/>
  <c r="N78" i="47" l="1"/>
  <c r="N77" i="47"/>
  <c r="O71" i="47" s="1"/>
  <c r="AD25" i="6"/>
  <c r="AD89" i="47"/>
  <c r="AD90" i="47" s="1"/>
  <c r="AD87" i="47" s="1"/>
  <c r="K53" i="47"/>
  <c r="K65" i="47"/>
  <c r="K54" i="47" s="1"/>
  <c r="J87" i="5"/>
  <c r="AD92" i="47" l="1"/>
  <c r="AD91" i="47"/>
  <c r="O74" i="47"/>
  <c r="K66" i="47"/>
  <c r="K24" i="6"/>
  <c r="F91" i="29"/>
  <c r="K55" i="47" l="1"/>
  <c r="K63" i="47"/>
  <c r="O75" i="47"/>
  <c r="O76" i="47" s="1"/>
  <c r="O73" i="47" s="1"/>
  <c r="AE85" i="47"/>
  <c r="AD27" i="7"/>
  <c r="O78" i="47" l="1"/>
  <c r="O77" i="47"/>
  <c r="P71" i="47" s="1"/>
  <c r="AE88" i="47"/>
  <c r="K52" i="47"/>
  <c r="K68" i="47"/>
  <c r="K67" i="47"/>
  <c r="L61" i="47" l="1"/>
  <c r="K56" i="47"/>
  <c r="K57" i="47"/>
  <c r="K26" i="47" s="1"/>
  <c r="K103" i="47" s="1"/>
  <c r="K80" i="5"/>
  <c r="F90" i="29"/>
  <c r="AE89" i="47"/>
  <c r="AE90" i="47" s="1"/>
  <c r="AE87" i="47" s="1"/>
  <c r="AE25" i="6"/>
  <c r="P74" i="47"/>
  <c r="AE92" i="47" l="1"/>
  <c r="AE91" i="47"/>
  <c r="J86" i="5"/>
  <c r="J89" i="5" s="1"/>
  <c r="F89" i="29"/>
  <c r="K26" i="7"/>
  <c r="L50" i="47"/>
  <c r="L64" i="47"/>
  <c r="P75" i="47"/>
  <c r="P76" i="47" s="1"/>
  <c r="P73" i="47" s="1"/>
  <c r="P78" i="47" l="1"/>
  <c r="P77" i="47"/>
  <c r="Q71" i="47" s="1"/>
  <c r="K87" i="5"/>
  <c r="L53" i="47"/>
  <c r="L65" i="47"/>
  <c r="L54" i="47" s="1"/>
  <c r="AE27" i="7"/>
  <c r="AF85" i="47"/>
  <c r="L24" i="6" l="1"/>
  <c r="L66" i="47"/>
  <c r="Q74" i="47"/>
  <c r="AF88" i="47"/>
  <c r="Q75" i="47" l="1"/>
  <c r="Q76" i="47" s="1"/>
  <c r="Q73" i="47" s="1"/>
  <c r="L55" i="47"/>
  <c r="L63" i="47"/>
  <c r="AF89" i="47"/>
  <c r="AF90" i="47" s="1"/>
  <c r="AF87" i="47" s="1"/>
  <c r="AF25" i="6"/>
  <c r="AF92" i="47" l="1"/>
  <c r="AF91" i="47"/>
  <c r="L68" i="47"/>
  <c r="L52" i="47"/>
  <c r="L67" i="47"/>
  <c r="Q78" i="47"/>
  <c r="Q77" i="47"/>
  <c r="R71" i="47" s="1"/>
  <c r="R74" i="47" l="1"/>
  <c r="M61" i="47"/>
  <c r="L56" i="47"/>
  <c r="L26" i="7" s="1"/>
  <c r="L57" i="47"/>
  <c r="L26" i="47" s="1"/>
  <c r="L103" i="47" s="1"/>
  <c r="L80" i="5"/>
  <c r="AG85" i="47"/>
  <c r="AF27" i="7"/>
  <c r="AG88" i="47" l="1"/>
  <c r="M64" i="47"/>
  <c r="M50" i="47"/>
  <c r="K86" i="5"/>
  <c r="K89" i="5" s="1"/>
  <c r="R75" i="47"/>
  <c r="R76" i="47" s="1"/>
  <c r="R73" i="47" s="1"/>
  <c r="R78" i="47" l="1"/>
  <c r="R77" i="47"/>
  <c r="S71" i="47" s="1"/>
  <c r="M65" i="47"/>
  <c r="M54" i="47" s="1"/>
  <c r="M53" i="47"/>
  <c r="L87" i="5"/>
  <c r="AG25" i="6"/>
  <c r="AG89" i="47"/>
  <c r="AG90" i="47" s="1"/>
  <c r="AG87" i="47" s="1"/>
  <c r="M66" i="47" l="1"/>
  <c r="M55" i="47" s="1"/>
  <c r="AG92" i="47"/>
  <c r="AG91" i="47"/>
  <c r="M24" i="6"/>
  <c r="G91" i="29"/>
  <c r="S74" i="47"/>
  <c r="M63" i="47" l="1"/>
  <c r="M68" i="47" s="1"/>
  <c r="S75" i="47"/>
  <c r="S76" i="47" s="1"/>
  <c r="S73" i="47" s="1"/>
  <c r="AH85" i="47"/>
  <c r="AG27" i="7"/>
  <c r="M67" i="47" l="1"/>
  <c r="M56" i="47" s="1"/>
  <c r="M52" i="47"/>
  <c r="M57" i="47" s="1"/>
  <c r="M26" i="47" s="1"/>
  <c r="M103" i="47" s="1"/>
  <c r="S78" i="47"/>
  <c r="S77" i="47"/>
  <c r="T71" i="47" s="1"/>
  <c r="AH88" i="47"/>
  <c r="G90" i="29" l="1"/>
  <c r="M80" i="5"/>
  <c r="L86" i="5" s="1"/>
  <c r="L89" i="5" s="1"/>
  <c r="N61" i="47"/>
  <c r="N64" i="47" s="1"/>
  <c r="M26" i="7"/>
  <c r="G89" i="29"/>
  <c r="T74" i="47"/>
  <c r="AH25" i="6"/>
  <c r="AH89" i="47"/>
  <c r="AH90" i="47" s="1"/>
  <c r="AH87" i="47" s="1"/>
  <c r="N50" i="47" l="1"/>
  <c r="AH92" i="47"/>
  <c r="AH91" i="47"/>
  <c r="M87" i="5"/>
  <c r="T75" i="47"/>
  <c r="T76" i="47" s="1"/>
  <c r="T73" i="47" s="1"/>
  <c r="N53" i="47"/>
  <c r="N65" i="47"/>
  <c r="N54" i="47" s="1"/>
  <c r="N66" i="47" l="1"/>
  <c r="N55" i="47" s="1"/>
  <c r="N24" i="6"/>
  <c r="T78" i="47"/>
  <c r="T77" i="47"/>
  <c r="U71" i="47" s="1"/>
  <c r="AH27" i="7"/>
  <c r="AI85" i="47"/>
  <c r="N63" i="47" l="1"/>
  <c r="N52" i="47" s="1"/>
  <c r="U74" i="47"/>
  <c r="AI88" i="47"/>
  <c r="N67" i="47" l="1"/>
  <c r="O61" i="47" s="1"/>
  <c r="N68" i="47"/>
  <c r="AI25" i="6"/>
  <c r="AI89" i="47"/>
  <c r="AI90" i="47" s="1"/>
  <c r="AI87" i="47" s="1"/>
  <c r="N57" i="47"/>
  <c r="N26" i="47" s="1"/>
  <c r="N103" i="47" s="1"/>
  <c r="N80" i="5"/>
  <c r="U75" i="47"/>
  <c r="U76" i="47" s="1"/>
  <c r="U73" i="47" s="1"/>
  <c r="N56" i="47" l="1"/>
  <c r="N26" i="7" s="1"/>
  <c r="AI92" i="47"/>
  <c r="AI91" i="47"/>
  <c r="M86" i="5"/>
  <c r="M89" i="5" s="1"/>
  <c r="U78" i="47"/>
  <c r="U77" i="47"/>
  <c r="V71" i="47" s="1"/>
  <c r="O64" i="47"/>
  <c r="O50" i="47"/>
  <c r="N87" i="5" l="1"/>
  <c r="V74" i="47"/>
  <c r="O53" i="47"/>
  <c r="H91" i="29" s="1"/>
  <c r="O65" i="47"/>
  <c r="O54" i="47" s="1"/>
  <c r="AJ85" i="47"/>
  <c r="AI27" i="7"/>
  <c r="AJ88" i="47" l="1"/>
  <c r="O66" i="47"/>
  <c r="O24" i="6"/>
  <c r="V75" i="47"/>
  <c r="V76" i="47" s="1"/>
  <c r="V73" i="47" s="1"/>
  <c r="V78" i="47" l="1"/>
  <c r="V77" i="47"/>
  <c r="W71" i="47" s="1"/>
  <c r="O55" i="47"/>
  <c r="O63" i="47"/>
  <c r="AJ89" i="47"/>
  <c r="AJ90" i="47" s="1"/>
  <c r="AJ87" i="47" s="1"/>
  <c r="AJ25" i="6"/>
  <c r="AJ92" i="47" l="1"/>
  <c r="AJ91" i="47"/>
  <c r="O52" i="47"/>
  <c r="H90" i="29" s="1"/>
  <c r="O68" i="47"/>
  <c r="O67" i="47"/>
  <c r="W74" i="47"/>
  <c r="W75" i="47" l="1"/>
  <c r="W76" i="47" s="1"/>
  <c r="W73" i="47" s="1"/>
  <c r="P61" i="47"/>
  <c r="O56" i="47"/>
  <c r="H89" i="29" s="1"/>
  <c r="O57" i="47"/>
  <c r="O26" i="47" s="1"/>
  <c r="O103" i="47" s="1"/>
  <c r="O80" i="5"/>
  <c r="AJ27" i="7"/>
  <c r="AK85" i="47"/>
  <c r="AK88" i="47" l="1"/>
  <c r="N86" i="5"/>
  <c r="N89" i="5" s="1"/>
  <c r="O26" i="7"/>
  <c r="P64" i="47"/>
  <c r="P50" i="47"/>
  <c r="W78" i="47"/>
  <c r="W77" i="47"/>
  <c r="X71" i="47" s="1"/>
  <c r="O87" i="5" l="1"/>
  <c r="X74" i="47"/>
  <c r="AK25" i="6"/>
  <c r="AK89" i="47"/>
  <c r="AK90" i="47" s="1"/>
  <c r="AK87" i="47" s="1"/>
  <c r="P65" i="47"/>
  <c r="P54" i="47" s="1"/>
  <c r="P53" i="47"/>
  <c r="AK92" i="47" l="1"/>
  <c r="AK91" i="47"/>
  <c r="X75" i="47"/>
  <c r="X76" i="47" s="1"/>
  <c r="X73" i="47" s="1"/>
  <c r="P66" i="47"/>
  <c r="P24" i="6"/>
  <c r="X78" i="47" l="1"/>
  <c r="X77" i="47"/>
  <c r="Y71" i="47" s="1"/>
  <c r="P55" i="47"/>
  <c r="P63" i="47"/>
  <c r="AL85" i="47"/>
  <c r="AK27" i="7"/>
  <c r="AL88" i="47" l="1"/>
  <c r="P52" i="47"/>
  <c r="P68" i="47"/>
  <c r="P67" i="47"/>
  <c r="Y74" i="47"/>
  <c r="Y75" i="47" l="1"/>
  <c r="Y76" i="47" s="1"/>
  <c r="Y73" i="47" s="1"/>
  <c r="P56" i="47"/>
  <c r="P26" i="7" s="1"/>
  <c r="Q61" i="47"/>
  <c r="P57" i="47"/>
  <c r="P26" i="47" s="1"/>
  <c r="P103" i="47" s="1"/>
  <c r="P80" i="5"/>
  <c r="AL89" i="47"/>
  <c r="AL90" i="47" s="1"/>
  <c r="AL87" i="47" s="1"/>
  <c r="AL25" i="6"/>
  <c r="AL92" i="47" l="1"/>
  <c r="AL91" i="47"/>
  <c r="Y78" i="47"/>
  <c r="Y77" i="47"/>
  <c r="Z71" i="47" s="1"/>
  <c r="O86" i="5"/>
  <c r="O89" i="5" s="1"/>
  <c r="Q64" i="47"/>
  <c r="Q50" i="47"/>
  <c r="Q65" i="47" l="1"/>
  <c r="Q54" i="47" s="1"/>
  <c r="Q53" i="47"/>
  <c r="P87" i="5"/>
  <c r="AM85" i="47"/>
  <c r="AL27" i="7"/>
  <c r="Z74" i="47"/>
  <c r="Q66" i="47" l="1"/>
  <c r="Q55" i="47" s="1"/>
  <c r="Z75" i="47"/>
  <c r="Z76" i="47" s="1"/>
  <c r="Z73" i="47" s="1"/>
  <c r="AM88" i="47"/>
  <c r="Q24" i="6"/>
  <c r="I91" i="29"/>
  <c r="Q63" i="47" l="1"/>
  <c r="Q68" i="47" s="1"/>
  <c r="Z78" i="47"/>
  <c r="Z77" i="47"/>
  <c r="AA71" i="47" s="1"/>
  <c r="AM25" i="6"/>
  <c r="AM89" i="47"/>
  <c r="AM90" i="47" s="1"/>
  <c r="AM87" i="47" s="1"/>
  <c r="Q67" i="47" l="1"/>
  <c r="R61" i="47" s="1"/>
  <c r="Q52" i="47"/>
  <c r="Q57" i="47" s="1"/>
  <c r="Q26" i="47" s="1"/>
  <c r="Q103" i="47" s="1"/>
  <c r="AM92" i="47"/>
  <c r="AM91" i="47"/>
  <c r="AA74" i="47"/>
  <c r="I90" i="29" l="1"/>
  <c r="Q80" i="5"/>
  <c r="P86" i="5" s="1"/>
  <c r="P89" i="5" s="1"/>
  <c r="Q56" i="47"/>
  <c r="Q26" i="7" s="1"/>
  <c r="AA75" i="47"/>
  <c r="AA76" i="47" s="1"/>
  <c r="AA73" i="47" s="1"/>
  <c r="R50" i="47"/>
  <c r="R64" i="47"/>
  <c r="AM27" i="7"/>
  <c r="AN85" i="47"/>
  <c r="I89" i="29" l="1"/>
  <c r="Q87" i="5"/>
  <c r="AN88" i="47"/>
  <c r="R65" i="47"/>
  <c r="R54" i="47" s="1"/>
  <c r="R53" i="47"/>
  <c r="AA78" i="47"/>
  <c r="AA77" i="47"/>
  <c r="AB71" i="47" s="1"/>
  <c r="R66" i="47" l="1"/>
  <c r="R55" i="47" s="1"/>
  <c r="AB74" i="47"/>
  <c r="R24" i="6"/>
  <c r="AN25" i="6"/>
  <c r="AN89" i="47"/>
  <c r="AN90" i="47" s="1"/>
  <c r="AN87" i="47" s="1"/>
  <c r="R63" i="47" l="1"/>
  <c r="R52" i="47" s="1"/>
  <c r="AN92" i="47"/>
  <c r="AN91" i="47"/>
  <c r="AB75" i="47"/>
  <c r="AB76" i="47" s="1"/>
  <c r="AB73" i="47" s="1"/>
  <c r="R67" i="47" l="1"/>
  <c r="R56" i="47" s="1"/>
  <c r="R26" i="7" s="1"/>
  <c r="R68" i="47"/>
  <c r="R57" i="47"/>
  <c r="R26" i="47" s="1"/>
  <c r="R103" i="47" s="1"/>
  <c r="R80" i="5"/>
  <c r="AB78" i="47"/>
  <c r="AB77" i="47"/>
  <c r="AC71" i="47" s="1"/>
  <c r="AN27" i="7"/>
  <c r="AO85" i="47"/>
  <c r="S61" i="47" l="1"/>
  <c r="S64" i="47" s="1"/>
  <c r="AO88" i="47"/>
  <c r="Q86" i="5"/>
  <c r="Q89" i="5" s="1"/>
  <c r="AC74" i="47"/>
  <c r="S50" i="47" l="1"/>
  <c r="AC75" i="47"/>
  <c r="AC76" i="47" s="1"/>
  <c r="AC73" i="47" s="1"/>
  <c r="R87" i="5"/>
  <c r="S65" i="47"/>
  <c r="S54" i="47" s="1"/>
  <c r="S53" i="47"/>
  <c r="AO89" i="47"/>
  <c r="AO90" i="47" s="1"/>
  <c r="AO87" i="47" s="1"/>
  <c r="AO25" i="6"/>
  <c r="S66" i="47" l="1"/>
  <c r="S55" i="47" s="1"/>
  <c r="AO92" i="47"/>
  <c r="AO91" i="47"/>
  <c r="AC78" i="47"/>
  <c r="AC77" i="47"/>
  <c r="AD71" i="47" s="1"/>
  <c r="S24" i="6"/>
  <c r="J91" i="29"/>
  <c r="S63" i="47" l="1"/>
  <c r="S68" i="47" s="1"/>
  <c r="AD74" i="47"/>
  <c r="AO27" i="7"/>
  <c r="AP85" i="47"/>
  <c r="S67" i="47" l="1"/>
  <c r="T61" i="47" s="1"/>
  <c r="S52" i="47"/>
  <c r="S57" i="47" s="1"/>
  <c r="S26" i="47" s="1"/>
  <c r="S103" i="47" s="1"/>
  <c r="AP88" i="47"/>
  <c r="AD75" i="47"/>
  <c r="AD76" i="47" s="1"/>
  <c r="AD73" i="47" s="1"/>
  <c r="J90" i="29" l="1"/>
  <c r="S80" i="5"/>
  <c r="R86" i="5" s="1"/>
  <c r="R89" i="5" s="1"/>
  <c r="S56" i="47"/>
  <c r="S26" i="7" s="1"/>
  <c r="T64" i="47"/>
  <c r="T50" i="47"/>
  <c r="AD78" i="47"/>
  <c r="AD77" i="47"/>
  <c r="AE71" i="47" s="1"/>
  <c r="AP25" i="6"/>
  <c r="AP89" i="47"/>
  <c r="AP90" i="47" s="1"/>
  <c r="AP87" i="47" s="1"/>
  <c r="J89" i="29" l="1"/>
  <c r="AP92" i="47"/>
  <c r="AP91" i="47"/>
  <c r="T65" i="47"/>
  <c r="T54" i="47" s="1"/>
  <c r="T53" i="47"/>
  <c r="S87" i="5"/>
  <c r="AE74" i="47"/>
  <c r="T66" i="47" l="1"/>
  <c r="T55" i="47" s="1"/>
  <c r="AE75" i="47"/>
  <c r="AE76" i="47" s="1"/>
  <c r="AE73" i="47" s="1"/>
  <c r="T24" i="6"/>
  <c r="AP27" i="7"/>
  <c r="AQ85" i="47"/>
  <c r="T63" i="47" l="1"/>
  <c r="T52" i="47" s="1"/>
  <c r="AE78" i="47"/>
  <c r="AE77" i="47"/>
  <c r="AF71" i="47" s="1"/>
  <c r="AQ88" i="47"/>
  <c r="T67" i="47" l="1"/>
  <c r="T56" i="47" s="1"/>
  <c r="T26" i="7" s="1"/>
  <c r="T68" i="47"/>
  <c r="T57" i="47"/>
  <c r="T26" i="47" s="1"/>
  <c r="T103" i="47" s="1"/>
  <c r="T80" i="5"/>
  <c r="AQ25" i="6"/>
  <c r="AQ89" i="47"/>
  <c r="AQ90" i="47" s="1"/>
  <c r="AQ87" i="47" s="1"/>
  <c r="AF74" i="47"/>
  <c r="U61" i="47" l="1"/>
  <c r="U64" i="47" s="1"/>
  <c r="AQ92" i="47"/>
  <c r="AQ91" i="47"/>
  <c r="AF75" i="47"/>
  <c r="AF76" i="47" s="1"/>
  <c r="AF73" i="47" s="1"/>
  <c r="S86" i="5"/>
  <c r="S89" i="5" s="1"/>
  <c r="U50" i="47" l="1"/>
  <c r="AF78" i="47"/>
  <c r="AF77" i="47"/>
  <c r="AG71" i="47" s="1"/>
  <c r="T87" i="5"/>
  <c r="U65" i="47"/>
  <c r="U54" i="47" s="1"/>
  <c r="U53" i="47"/>
  <c r="AR85" i="47"/>
  <c r="AQ27" i="7"/>
  <c r="U66" i="47" l="1"/>
  <c r="U55" i="47" s="1"/>
  <c r="AR88" i="47"/>
  <c r="U24" i="6"/>
  <c r="K91" i="29"/>
  <c r="AG74" i="47"/>
  <c r="U63" i="47" l="1"/>
  <c r="U68" i="47" s="1"/>
  <c r="AG75" i="47"/>
  <c r="AG76" i="47" s="1"/>
  <c r="AG73" i="47" s="1"/>
  <c r="AR25" i="6"/>
  <c r="AR89" i="47"/>
  <c r="AR90" i="47" s="1"/>
  <c r="AR87" i="47" s="1"/>
  <c r="U52" i="47" l="1"/>
  <c r="U57" i="47" s="1"/>
  <c r="U26" i="47" s="1"/>
  <c r="U103" i="47" s="1"/>
  <c r="U67" i="47"/>
  <c r="U56" i="47" s="1"/>
  <c r="AR92" i="47"/>
  <c r="AR91" i="47"/>
  <c r="AG78" i="47"/>
  <c r="AG77" i="47"/>
  <c r="AH71" i="47" s="1"/>
  <c r="K90" i="29" l="1"/>
  <c r="U80" i="5"/>
  <c r="T86" i="5" s="1"/>
  <c r="T89" i="5" s="1"/>
  <c r="V61" i="47"/>
  <c r="V64" i="47" s="1"/>
  <c r="U26" i="7"/>
  <c r="K89" i="29"/>
  <c r="AH74" i="47"/>
  <c r="AS85" i="47"/>
  <c r="AR27" i="7"/>
  <c r="V50" i="47" l="1"/>
  <c r="V65" i="47"/>
  <c r="V54" i="47" s="1"/>
  <c r="V53" i="47"/>
  <c r="AH75" i="47"/>
  <c r="AH76" i="47" s="1"/>
  <c r="AH73" i="47" s="1"/>
  <c r="U87" i="5"/>
  <c r="AS88" i="47"/>
  <c r="AH78" i="47" l="1"/>
  <c r="AH77" i="47"/>
  <c r="AI71" i="47" s="1"/>
  <c r="AS25" i="6"/>
  <c r="AS89" i="47"/>
  <c r="AS90" i="47" s="1"/>
  <c r="AS87" i="47" s="1"/>
  <c r="V24" i="6"/>
  <c r="V66" i="47"/>
  <c r="AS92" i="47" l="1"/>
  <c r="AS91" i="47"/>
  <c r="V55" i="47"/>
  <c r="V63" i="47"/>
  <c r="AI74" i="47"/>
  <c r="AI75" i="47" l="1"/>
  <c r="AI76" i="47" s="1"/>
  <c r="AI73" i="47" s="1"/>
  <c r="V52" i="47"/>
  <c r="V68" i="47"/>
  <c r="V67" i="47"/>
  <c r="AT85" i="47"/>
  <c r="AS27" i="7"/>
  <c r="AI78" i="47" l="1"/>
  <c r="AI77" i="47"/>
  <c r="AJ71" i="47" s="1"/>
  <c r="AT88" i="47"/>
  <c r="V56" i="47"/>
  <c r="V26" i="7" s="1"/>
  <c r="W61" i="47"/>
  <c r="V57" i="47"/>
  <c r="V26" i="47" s="1"/>
  <c r="V103" i="47" s="1"/>
  <c r="V80" i="5"/>
  <c r="U86" i="5" l="1"/>
  <c r="U89" i="5" s="1"/>
  <c r="W64" i="47"/>
  <c r="W50" i="47"/>
  <c r="AT89" i="47"/>
  <c r="AT90" i="47" s="1"/>
  <c r="AT87" i="47" s="1"/>
  <c r="AT25" i="6"/>
  <c r="AJ74" i="47"/>
  <c r="AT92" i="47" l="1"/>
  <c r="AT91" i="47"/>
  <c r="AJ75" i="47"/>
  <c r="AJ76" i="47" s="1"/>
  <c r="AJ73" i="47" s="1"/>
  <c r="W53" i="47"/>
  <c r="W65" i="47"/>
  <c r="W54" i="47" s="1"/>
  <c r="V87" i="5"/>
  <c r="AJ78" i="47" l="1"/>
  <c r="AJ77" i="47"/>
  <c r="AK71" i="47" s="1"/>
  <c r="W24" i="6"/>
  <c r="L91" i="29"/>
  <c r="W66" i="47"/>
  <c r="AT27" i="7"/>
  <c r="AU85" i="47"/>
  <c r="AU88" i="47" l="1"/>
  <c r="W55" i="47"/>
  <c r="W63" i="47"/>
  <c r="AK74" i="47"/>
  <c r="AK75" i="47" l="1"/>
  <c r="AK76" i="47" s="1"/>
  <c r="AK73" i="47" s="1"/>
  <c r="W52" i="47"/>
  <c r="W68" i="47"/>
  <c r="W67" i="47"/>
  <c r="AU89" i="47"/>
  <c r="AU90" i="47" s="1"/>
  <c r="AU87" i="47" s="1"/>
  <c r="AU25" i="6"/>
  <c r="AU92" i="47" l="1"/>
  <c r="AU91" i="47"/>
  <c r="AK78" i="47"/>
  <c r="AK77" i="47"/>
  <c r="AL71" i="47" s="1"/>
  <c r="W56" i="47"/>
  <c r="X61" i="47"/>
  <c r="W57" i="47"/>
  <c r="W26" i="47" s="1"/>
  <c r="W103" i="47" s="1"/>
  <c r="W80" i="5"/>
  <c r="L90" i="29"/>
  <c r="V86" i="5" l="1"/>
  <c r="V89" i="5" s="1"/>
  <c r="X50" i="47"/>
  <c r="X64" i="47"/>
  <c r="L89" i="29"/>
  <c r="W26" i="7"/>
  <c r="AL74" i="47"/>
  <c r="AV85" i="47"/>
  <c r="AU27" i="7"/>
  <c r="X53" i="47" l="1"/>
  <c r="X65" i="47"/>
  <c r="X54" i="47" s="1"/>
  <c r="AL75" i="47"/>
  <c r="AL76" i="47" s="1"/>
  <c r="AL73" i="47" s="1"/>
  <c r="W87" i="5"/>
  <c r="AV88" i="47"/>
  <c r="AL78" i="47" l="1"/>
  <c r="AL77" i="47"/>
  <c r="AM71" i="47" s="1"/>
  <c r="AV89" i="47"/>
  <c r="AV90" i="47" s="1"/>
  <c r="AV87" i="47" s="1"/>
  <c r="AV25" i="6"/>
  <c r="X66" i="47"/>
  <c r="X24" i="6"/>
  <c r="AV92" i="47" l="1"/>
  <c r="AV91" i="47"/>
  <c r="X55" i="47"/>
  <c r="X63" i="47"/>
  <c r="AM74" i="47"/>
  <c r="AM75" i="47" l="1"/>
  <c r="AM76" i="47" s="1"/>
  <c r="AM73" i="47" s="1"/>
  <c r="X68" i="47"/>
  <c r="X52" i="47"/>
  <c r="X67" i="47"/>
  <c r="AW85" i="47"/>
  <c r="AV27" i="7"/>
  <c r="AM78" i="47" l="1"/>
  <c r="AM77" i="47"/>
  <c r="AN71" i="47" s="1"/>
  <c r="AW88" i="47"/>
  <c r="X56" i="47"/>
  <c r="X26" i="7" s="1"/>
  <c r="Y61" i="47"/>
  <c r="X57" i="47"/>
  <c r="X26" i="47" s="1"/>
  <c r="X103" i="47" s="1"/>
  <c r="X80" i="5"/>
  <c r="Y50" i="47" l="1"/>
  <c r="Y64" i="47"/>
  <c r="W86" i="5"/>
  <c r="W89" i="5" s="1"/>
  <c r="AW25" i="6"/>
  <c r="AW89" i="47"/>
  <c r="AW90" i="47" s="1"/>
  <c r="AW87" i="47" s="1"/>
  <c r="AN74" i="47"/>
  <c r="AW92" i="47" l="1"/>
  <c r="AW91" i="47"/>
  <c r="X87" i="5"/>
  <c r="AN75" i="47"/>
  <c r="AN76" i="47" s="1"/>
  <c r="AN73" i="47" s="1"/>
  <c r="Y53" i="47"/>
  <c r="Y65" i="47"/>
  <c r="Y54" i="47" s="1"/>
  <c r="AN78" i="47" l="1"/>
  <c r="AN77" i="47"/>
  <c r="AO71" i="47" s="1"/>
  <c r="Y24" i="6"/>
  <c r="M91" i="29"/>
  <c r="Y66" i="47"/>
  <c r="AX85" i="47"/>
  <c r="AW27" i="7"/>
  <c r="AX88" i="47" l="1"/>
  <c r="Y55" i="47"/>
  <c r="Y63" i="47"/>
  <c r="AO74" i="47"/>
  <c r="AO75" i="47" l="1"/>
  <c r="AO76" i="47" s="1"/>
  <c r="AO73" i="47" s="1"/>
  <c r="Y52" i="47"/>
  <c r="Y68" i="47"/>
  <c r="Y67" i="47"/>
  <c r="AX25" i="6"/>
  <c r="AX89" i="47"/>
  <c r="AX90" i="47" s="1"/>
  <c r="AX87" i="47" s="1"/>
  <c r="AX92" i="47" l="1"/>
  <c r="AX91" i="47"/>
  <c r="AO78" i="47"/>
  <c r="AO77" i="47"/>
  <c r="AP71" i="47" s="1"/>
  <c r="Y56" i="47"/>
  <c r="Z61" i="47"/>
  <c r="Y57" i="47"/>
  <c r="Y26" i="47" s="1"/>
  <c r="Y103" i="47" s="1"/>
  <c r="Y80" i="5"/>
  <c r="M90" i="29"/>
  <c r="X86" i="5" l="1"/>
  <c r="X89" i="5" s="1"/>
  <c r="Z50" i="47"/>
  <c r="Z64" i="47"/>
  <c r="M89" i="29"/>
  <c r="Y26" i="7"/>
  <c r="AP74" i="47"/>
  <c r="AY85" i="47"/>
  <c r="AX27" i="7"/>
  <c r="Z65" i="47" l="1"/>
  <c r="Z54" i="47" s="1"/>
  <c r="Z53" i="47"/>
  <c r="AY88" i="47"/>
  <c r="Y87" i="5"/>
  <c r="AP75" i="47"/>
  <c r="AP76" i="47" s="1"/>
  <c r="AP73" i="47" s="1"/>
  <c r="Z66" i="47" l="1"/>
  <c r="Z55" i="47" s="1"/>
  <c r="AP78" i="47"/>
  <c r="AP77" i="47"/>
  <c r="AQ71" i="47" s="1"/>
  <c r="AY89" i="47"/>
  <c r="AY90" i="47" s="1"/>
  <c r="AY87" i="47" s="1"/>
  <c r="AY25" i="6"/>
  <c r="Z24" i="6"/>
  <c r="Z63" i="47" l="1"/>
  <c r="Z68" i="47" s="1"/>
  <c r="AY92" i="47"/>
  <c r="AY91" i="47"/>
  <c r="AQ74" i="47"/>
  <c r="Z67" i="47" l="1"/>
  <c r="AA61" i="47" s="1"/>
  <c r="Z52" i="47"/>
  <c r="Z57" i="47" s="1"/>
  <c r="Z26" i="47" s="1"/>
  <c r="Z103" i="47" s="1"/>
  <c r="AQ75" i="47"/>
  <c r="AQ76" i="47" s="1"/>
  <c r="AQ73" i="47" s="1"/>
  <c r="AY27" i="7"/>
  <c r="AZ85" i="47"/>
  <c r="Z56" i="47" l="1"/>
  <c r="Z26" i="7" s="1"/>
  <c r="Z80" i="5"/>
  <c r="Y86" i="5" s="1"/>
  <c r="Y89" i="5" s="1"/>
  <c r="AQ78" i="47"/>
  <c r="AQ77" i="47"/>
  <c r="AR71" i="47" s="1"/>
  <c r="AA50" i="47"/>
  <c r="AA64" i="47"/>
  <c r="AZ88" i="47"/>
  <c r="AA65" i="47" l="1"/>
  <c r="AA54" i="47" s="1"/>
  <c r="AA53" i="47"/>
  <c r="Z87" i="5"/>
  <c r="AZ25" i="6"/>
  <c r="AZ89" i="47"/>
  <c r="AZ90" i="47" s="1"/>
  <c r="AZ87" i="47" s="1"/>
  <c r="AR74" i="47"/>
  <c r="AZ92" i="47" l="1"/>
  <c r="AZ91" i="47"/>
  <c r="AR75" i="47"/>
  <c r="AR76" i="47" s="1"/>
  <c r="AR73" i="47" s="1"/>
  <c r="AA24" i="6"/>
  <c r="N91" i="29"/>
  <c r="AA66" i="47"/>
  <c r="AA55" i="47" l="1"/>
  <c r="AA63" i="47"/>
  <c r="AR78" i="47"/>
  <c r="AR77" i="47"/>
  <c r="AS71" i="47" s="1"/>
  <c r="AZ27" i="7"/>
  <c r="BA85" i="47"/>
  <c r="BA88" i="47" l="1"/>
  <c r="AS74" i="47"/>
  <c r="AA52" i="47"/>
  <c r="AA68" i="47"/>
  <c r="AA67" i="47"/>
  <c r="AB61" i="47" l="1"/>
  <c r="AA56" i="47"/>
  <c r="AA57" i="47"/>
  <c r="AA26" i="47" s="1"/>
  <c r="AA103" i="47" s="1"/>
  <c r="AA80" i="5"/>
  <c r="N90" i="29"/>
  <c r="AS75" i="47"/>
  <c r="AS76" i="47" s="1"/>
  <c r="AS73" i="47" s="1"/>
  <c r="BA25" i="6"/>
  <c r="BA89" i="47"/>
  <c r="BA90" i="47" s="1"/>
  <c r="BA87" i="47" s="1"/>
  <c r="BA92" i="47" l="1"/>
  <c r="BA91" i="47"/>
  <c r="AS78" i="47"/>
  <c r="AS77" i="47"/>
  <c r="AT71" i="47" s="1"/>
  <c r="Z86" i="5"/>
  <c r="Z89" i="5" s="1"/>
  <c r="N89" i="29"/>
  <c r="AA26" i="7"/>
  <c r="AB64" i="47"/>
  <c r="AB50" i="47"/>
  <c r="BB85" i="47" l="1"/>
  <c r="BA27" i="7"/>
  <c r="AA87" i="5"/>
  <c r="AT74" i="47"/>
  <c r="AB65" i="47"/>
  <c r="AB54" i="47" s="1"/>
  <c r="AB53" i="47"/>
  <c r="AB66" i="47" l="1"/>
  <c r="AB55" i="47" s="1"/>
  <c r="AB24" i="6"/>
  <c r="AT75" i="47"/>
  <c r="AT76" i="47" s="1"/>
  <c r="AT73" i="47" s="1"/>
  <c r="BB88" i="47"/>
  <c r="AB63" i="47" l="1"/>
  <c r="AB52" i="47" s="1"/>
  <c r="AT78" i="47"/>
  <c r="AT77" i="47"/>
  <c r="AU71" i="47" s="1"/>
  <c r="BB25" i="6"/>
  <c r="BB89" i="47"/>
  <c r="BB90" i="47" s="1"/>
  <c r="BB87" i="47" s="1"/>
  <c r="AB67" i="47" l="1"/>
  <c r="AC61" i="47" s="1"/>
  <c r="AB68" i="47"/>
  <c r="BB92" i="47"/>
  <c r="BB91" i="47"/>
  <c r="AB57" i="47"/>
  <c r="AB26" i="47" s="1"/>
  <c r="AB103" i="47" s="1"/>
  <c r="AB80" i="5"/>
  <c r="AU74" i="47"/>
  <c r="AB56" i="47" l="1"/>
  <c r="AB26" i="7" s="1"/>
  <c r="AU75" i="47"/>
  <c r="AU76" i="47" s="1"/>
  <c r="AU73" i="47" s="1"/>
  <c r="AA86" i="5"/>
  <c r="AA89" i="5" s="1"/>
  <c r="AC50" i="47"/>
  <c r="AC64" i="47"/>
  <c r="BB27" i="7"/>
  <c r="BC85" i="47"/>
  <c r="AU78" i="47" l="1"/>
  <c r="AU77" i="47"/>
  <c r="AV71" i="47" s="1"/>
  <c r="AC53" i="47"/>
  <c r="AC65" i="47"/>
  <c r="AC54" i="47" s="1"/>
  <c r="BC88" i="47"/>
  <c r="AB87" i="5"/>
  <c r="AC66" i="47" l="1"/>
  <c r="AC63" i="47" s="1"/>
  <c r="BC25" i="6"/>
  <c r="BC89" i="47"/>
  <c r="BC90" i="47" s="1"/>
  <c r="BC87" i="47" s="1"/>
  <c r="AC24" i="6"/>
  <c r="O91" i="29"/>
  <c r="AV74" i="47"/>
  <c r="AC55" i="47" l="1"/>
  <c r="BC92" i="47"/>
  <c r="BC91" i="47"/>
  <c r="AV75" i="47"/>
  <c r="AV76" i="47" s="1"/>
  <c r="AV73" i="47" s="1"/>
  <c r="AC52" i="47"/>
  <c r="AC68" i="47"/>
  <c r="AC67" i="47"/>
  <c r="AD61" i="47" l="1"/>
  <c r="AC56" i="47"/>
  <c r="AC57" i="47"/>
  <c r="AC26" i="47" s="1"/>
  <c r="AC103" i="47" s="1"/>
  <c r="AC80" i="5"/>
  <c r="O90" i="29"/>
  <c r="AV78" i="47"/>
  <c r="AV77" i="47"/>
  <c r="AW71" i="47" s="1"/>
  <c r="BD85" i="47"/>
  <c r="BC27" i="7"/>
  <c r="BD88" i="47" l="1"/>
  <c r="AW74" i="47"/>
  <c r="AB86" i="5"/>
  <c r="AB89" i="5" s="1"/>
  <c r="O89" i="29"/>
  <c r="AC26" i="7"/>
  <c r="AD64" i="47"/>
  <c r="AD50" i="47"/>
  <c r="AW75" i="47" l="1"/>
  <c r="AW76" i="47" s="1"/>
  <c r="AW73" i="47" s="1"/>
  <c r="AC87" i="5"/>
  <c r="AD53" i="47"/>
  <c r="AD65" i="47"/>
  <c r="AD54" i="47" s="1"/>
  <c r="BD25" i="6"/>
  <c r="BD89" i="47"/>
  <c r="BD90" i="47" s="1"/>
  <c r="BD87" i="47" s="1"/>
  <c r="BD92" i="47" l="1"/>
  <c r="BD91" i="47"/>
  <c r="AW78" i="47"/>
  <c r="AW77" i="47"/>
  <c r="AX71" i="47" s="1"/>
  <c r="AD24" i="6"/>
  <c r="AD66" i="47"/>
  <c r="AD55" i="47" l="1"/>
  <c r="AD63" i="47"/>
  <c r="AX74" i="47"/>
  <c r="BE85" i="47"/>
  <c r="BD27" i="7"/>
  <c r="AD52" i="47" l="1"/>
  <c r="AD68" i="47"/>
  <c r="AD67" i="47"/>
  <c r="BE88" i="47"/>
  <c r="AX75" i="47"/>
  <c r="AX76" i="47" s="1"/>
  <c r="AX73" i="47" s="1"/>
  <c r="AX78" i="47" l="1"/>
  <c r="AX77" i="47"/>
  <c r="AY71" i="47" s="1"/>
  <c r="AE61" i="47"/>
  <c r="AD56" i="47"/>
  <c r="AD26" i="7" s="1"/>
  <c r="BE89" i="47"/>
  <c r="BE90" i="47" s="1"/>
  <c r="BE87" i="47" s="1"/>
  <c r="BE25" i="6"/>
  <c r="AD57" i="47"/>
  <c r="AD26" i="47" s="1"/>
  <c r="AD103" i="47" s="1"/>
  <c r="AD80" i="5"/>
  <c r="AC86" i="5" l="1"/>
  <c r="AC89" i="5" s="1"/>
  <c r="BE92" i="47"/>
  <c r="BE91" i="47"/>
  <c r="AE64" i="47"/>
  <c r="AE50" i="47"/>
  <c r="AY74" i="47"/>
  <c r="AE65" i="47" l="1"/>
  <c r="AE54" i="47" s="1"/>
  <c r="AE53" i="47"/>
  <c r="BF85" i="47"/>
  <c r="BE27" i="7"/>
  <c r="AD87" i="5"/>
  <c r="AY75" i="47"/>
  <c r="AY76" i="47" s="1"/>
  <c r="AY73" i="47" s="1"/>
  <c r="AE66" i="47" l="1"/>
  <c r="AE63" i="47" s="1"/>
  <c r="AY78" i="47"/>
  <c r="AY77" i="47"/>
  <c r="AZ71" i="47" s="1"/>
  <c r="BF88" i="47"/>
  <c r="AE24" i="6"/>
  <c r="P91" i="29"/>
  <c r="AE55" i="47" l="1"/>
  <c r="BF25" i="6"/>
  <c r="BF89" i="47"/>
  <c r="BF90" i="47" s="1"/>
  <c r="BF87" i="47" s="1"/>
  <c r="AE52" i="47"/>
  <c r="AE68" i="47"/>
  <c r="AE67" i="47"/>
  <c r="AZ74" i="47"/>
  <c r="BF92" i="47" l="1"/>
  <c r="BF91" i="47"/>
  <c r="AZ75" i="47"/>
  <c r="AZ76" i="47" s="1"/>
  <c r="AZ73" i="47" s="1"/>
  <c r="AE56" i="47"/>
  <c r="AF61" i="47"/>
  <c r="AE57" i="47"/>
  <c r="AE26" i="47" s="1"/>
  <c r="AE103" i="47" s="1"/>
  <c r="AE80" i="5"/>
  <c r="P90" i="29"/>
  <c r="AZ78" i="47" l="1"/>
  <c r="AZ77" i="47"/>
  <c r="BA71" i="47" s="1"/>
  <c r="AD86" i="5"/>
  <c r="AD89" i="5" s="1"/>
  <c r="AF64" i="47"/>
  <c r="AF50" i="47"/>
  <c r="AE26" i="7"/>
  <c r="P89" i="29"/>
  <c r="BG85" i="47"/>
  <c r="BF27" i="7"/>
  <c r="AE87" i="5" l="1"/>
  <c r="BG88" i="47"/>
  <c r="AF53" i="47"/>
  <c r="AF65" i="47"/>
  <c r="AF54" i="47" s="1"/>
  <c r="BA74" i="47"/>
  <c r="BA75" i="47" l="1"/>
  <c r="BA76" i="47" s="1"/>
  <c r="BA73" i="47" s="1"/>
  <c r="AF24" i="6"/>
  <c r="AF66" i="47"/>
  <c r="BG25" i="6"/>
  <c r="BG89" i="47"/>
  <c r="BG90" i="47" s="1"/>
  <c r="BG87" i="47" s="1"/>
  <c r="BG92" i="47" l="1"/>
  <c r="BG91" i="47"/>
  <c r="AF55" i="47"/>
  <c r="AF63" i="47"/>
  <c r="BA78" i="47"/>
  <c r="BA77" i="47"/>
  <c r="BB71" i="47" s="1"/>
  <c r="BB74" i="47" l="1"/>
  <c r="AF68" i="47"/>
  <c r="AF52" i="47"/>
  <c r="AF67" i="47"/>
  <c r="BG27" i="7"/>
  <c r="BH85" i="47"/>
  <c r="BH88" i="47" l="1"/>
  <c r="AG61" i="47"/>
  <c r="AF56" i="47"/>
  <c r="AF26" i="7" s="1"/>
  <c r="AF57" i="47"/>
  <c r="AF26" i="47" s="1"/>
  <c r="AF103" i="47" s="1"/>
  <c r="AF80" i="5"/>
  <c r="BB75" i="47"/>
  <c r="BB76" i="47" s="1"/>
  <c r="BB73" i="47" s="1"/>
  <c r="BB78" i="47" l="1"/>
  <c r="BB77" i="47"/>
  <c r="BC71" i="47" s="1"/>
  <c r="AE86" i="5"/>
  <c r="AE89" i="5" s="1"/>
  <c r="AG50" i="47"/>
  <c r="AG64" i="47"/>
  <c r="BH25" i="6"/>
  <c r="BH89" i="47"/>
  <c r="BH90" i="47" s="1"/>
  <c r="BH87" i="47" s="1"/>
  <c r="BH92" i="47" l="1"/>
  <c r="BH91" i="47"/>
  <c r="AG65" i="47"/>
  <c r="AG54" i="47" s="1"/>
  <c r="AG53" i="47"/>
  <c r="AF87" i="5"/>
  <c r="BC74" i="47"/>
  <c r="BC75" i="47" l="1"/>
  <c r="BC76" i="47" s="1"/>
  <c r="BC73" i="47" s="1"/>
  <c r="AG24" i="6"/>
  <c r="Q91" i="29"/>
  <c r="AG66" i="47"/>
  <c r="BI85" i="47"/>
  <c r="BH27" i="7"/>
  <c r="BC78" i="47" l="1"/>
  <c r="BC77" i="47"/>
  <c r="BD71" i="47" s="1"/>
  <c r="BI88" i="47"/>
  <c r="AG55" i="47"/>
  <c r="AG63" i="47"/>
  <c r="AG68" i="47" l="1"/>
  <c r="AG52" i="47"/>
  <c r="AG67" i="47"/>
  <c r="BI89" i="47"/>
  <c r="BI90" i="47" s="1"/>
  <c r="BI87" i="47" s="1"/>
  <c r="BI25" i="6"/>
  <c r="BD74" i="47"/>
  <c r="BD75" i="47" l="1"/>
  <c r="BD76" i="47" s="1"/>
  <c r="BD73" i="47" s="1"/>
  <c r="BI92" i="47"/>
  <c r="BI91" i="47"/>
  <c r="AG56" i="47"/>
  <c r="AH61" i="47"/>
  <c r="AG57" i="47"/>
  <c r="AG26" i="47" s="1"/>
  <c r="AG103" i="47" s="1"/>
  <c r="AG80" i="5"/>
  <c r="Q90" i="29"/>
  <c r="AF86" i="5" l="1"/>
  <c r="AF89" i="5" s="1"/>
  <c r="AH50" i="47"/>
  <c r="AH64" i="47"/>
  <c r="AG26" i="7"/>
  <c r="Q89" i="29"/>
  <c r="BJ85" i="47"/>
  <c r="BI27" i="7"/>
  <c r="BD78" i="47"/>
  <c r="BD77" i="47"/>
  <c r="BE71" i="47" s="1"/>
  <c r="AH53" i="47" l="1"/>
  <c r="AH65" i="47"/>
  <c r="AH54" i="47" s="1"/>
  <c r="BE74" i="47"/>
  <c r="AG87" i="5"/>
  <c r="BJ88" i="47"/>
  <c r="BJ25" i="6" l="1"/>
  <c r="BJ89" i="47"/>
  <c r="BJ90" i="47" s="1"/>
  <c r="BJ87" i="47" s="1"/>
  <c r="BE75" i="47"/>
  <c r="BE76" i="47" s="1"/>
  <c r="BE73" i="47" s="1"/>
  <c r="AH66" i="47"/>
  <c r="AH24" i="6"/>
  <c r="BJ92" i="47" l="1"/>
  <c r="BJ91" i="47"/>
  <c r="BE78" i="47"/>
  <c r="BE77" i="47"/>
  <c r="BF71" i="47" s="1"/>
  <c r="AH55" i="47"/>
  <c r="AH63" i="47"/>
  <c r="AH68" i="47" l="1"/>
  <c r="AH52" i="47"/>
  <c r="AH67" i="47"/>
  <c r="BF74" i="47"/>
  <c r="BK85" i="47"/>
  <c r="BJ27" i="7"/>
  <c r="BK88" i="47" l="1"/>
  <c r="BF75" i="47"/>
  <c r="BF76" i="47" s="1"/>
  <c r="BF73" i="47" s="1"/>
  <c r="AH56" i="47"/>
  <c r="AH26" i="7" s="1"/>
  <c r="AI61" i="47"/>
  <c r="AH57" i="47"/>
  <c r="AH26" i="47" s="1"/>
  <c r="AH103" i="47" s="1"/>
  <c r="AH80" i="5"/>
  <c r="AG86" i="5" l="1"/>
  <c r="AG89" i="5" s="1"/>
  <c r="AI64" i="47"/>
  <c r="AI50" i="47"/>
  <c r="BF78" i="47"/>
  <c r="BF77" i="47"/>
  <c r="BG71" i="47" s="1"/>
  <c r="BK25" i="6"/>
  <c r="BK89" i="47"/>
  <c r="BK90" i="47" s="1"/>
  <c r="BK87" i="47" s="1"/>
  <c r="AI53" i="47" l="1"/>
  <c r="AI65" i="47"/>
  <c r="AI54" i="47" s="1"/>
  <c r="AH87" i="5"/>
  <c r="BG74" i="47"/>
  <c r="BK92" i="47"/>
  <c r="BK91" i="47"/>
  <c r="BG75" i="47" l="1"/>
  <c r="BG76" i="47" s="1"/>
  <c r="BG73" i="47" s="1"/>
  <c r="BK27" i="7"/>
  <c r="BL85" i="47"/>
  <c r="AI24" i="6"/>
  <c r="R91" i="29"/>
  <c r="AI66" i="47"/>
  <c r="AI55" i="47" l="1"/>
  <c r="AI63" i="47"/>
  <c r="BL88" i="47"/>
  <c r="BG78" i="47"/>
  <c r="BG77" i="47"/>
  <c r="BH71" i="47" s="1"/>
  <c r="BH74" i="47" l="1"/>
  <c r="BL25" i="6"/>
  <c r="BL89" i="47"/>
  <c r="BL90" i="47" s="1"/>
  <c r="BL87" i="47" s="1"/>
  <c r="AI52" i="47"/>
  <c r="AI68" i="47"/>
  <c r="AI67" i="47"/>
  <c r="BL92" i="47" l="1"/>
  <c r="BL91" i="47"/>
  <c r="AJ61" i="47"/>
  <c r="AI56" i="47"/>
  <c r="AI57" i="47"/>
  <c r="AI26" i="47" s="1"/>
  <c r="AI103" i="47" s="1"/>
  <c r="AI80" i="5"/>
  <c r="R90" i="29"/>
  <c r="BH75" i="47"/>
  <c r="BH76" i="47" s="1"/>
  <c r="BH73" i="47" s="1"/>
  <c r="BH78" i="47" l="1"/>
  <c r="BH77" i="47"/>
  <c r="BI71" i="47" s="1"/>
  <c r="AH86" i="5"/>
  <c r="AH89" i="5" s="1"/>
  <c r="AI26" i="7"/>
  <c r="R89" i="29"/>
  <c r="AJ64" i="47"/>
  <c r="AJ50" i="47"/>
  <c r="BM85" i="47"/>
  <c r="BL27" i="7"/>
  <c r="AI87" i="5" l="1"/>
  <c r="BI74" i="47"/>
  <c r="AJ65" i="47"/>
  <c r="AJ54" i="47" s="1"/>
  <c r="AJ53" i="47"/>
  <c r="BM88" i="47"/>
  <c r="AJ24" i="6" l="1"/>
  <c r="BI75" i="47"/>
  <c r="BI76" i="47" s="1"/>
  <c r="BI73" i="47" s="1"/>
  <c r="BM89" i="47"/>
  <c r="BM90" i="47" s="1"/>
  <c r="BM87" i="47" s="1"/>
  <c r="BM25" i="6"/>
  <c r="AJ66" i="47"/>
  <c r="BI78" i="47" l="1"/>
  <c r="BI77" i="47"/>
  <c r="BJ71" i="47" s="1"/>
  <c r="BM92" i="47"/>
  <c r="BM91" i="47"/>
  <c r="AJ55" i="47"/>
  <c r="AJ63" i="47"/>
  <c r="BN85" i="47" l="1"/>
  <c r="BM27" i="7"/>
  <c r="AJ68" i="47"/>
  <c r="AJ52" i="47"/>
  <c r="AJ67" i="47"/>
  <c r="BJ74" i="47"/>
  <c r="BJ75" i="47" l="1"/>
  <c r="BJ76" i="47" s="1"/>
  <c r="BJ73" i="47" s="1"/>
  <c r="AK61" i="47"/>
  <c r="AJ56" i="47"/>
  <c r="AJ26" i="7" s="1"/>
  <c r="AJ57" i="47"/>
  <c r="AJ26" i="47" s="1"/>
  <c r="AJ103" i="47" s="1"/>
  <c r="AJ80" i="5"/>
  <c r="BN88" i="47"/>
  <c r="BJ78" i="47" l="1"/>
  <c r="BJ77" i="47"/>
  <c r="BK71" i="47" s="1"/>
  <c r="BN25" i="6"/>
  <c r="BN89" i="47"/>
  <c r="BN90" i="47" s="1"/>
  <c r="BN87" i="47" s="1"/>
  <c r="AI86" i="5"/>
  <c r="AI89" i="5" s="1"/>
  <c r="AK64" i="47"/>
  <c r="AK50" i="47"/>
  <c r="BN92" i="47" l="1"/>
  <c r="BN91" i="47"/>
  <c r="AJ87" i="5"/>
  <c r="BK74" i="47"/>
  <c r="AK65" i="47"/>
  <c r="AK54" i="47" s="1"/>
  <c r="AK53" i="47"/>
  <c r="AK24" i="6" l="1"/>
  <c r="S91" i="29"/>
  <c r="AK66" i="47"/>
  <c r="BK75" i="47"/>
  <c r="BK76" i="47" s="1"/>
  <c r="BK73" i="47" s="1"/>
  <c r="BO85" i="47"/>
  <c r="BN27" i="7"/>
  <c r="BK78" i="47" l="1"/>
  <c r="BK77" i="47"/>
  <c r="BL71" i="47" s="1"/>
  <c r="BO88" i="47"/>
  <c r="AK55" i="47"/>
  <c r="AK63" i="47"/>
  <c r="AK52" i="47" l="1"/>
  <c r="AK68" i="47"/>
  <c r="AK67" i="47"/>
  <c r="BO25" i="6"/>
  <c r="BO89" i="47"/>
  <c r="BO90" i="47" s="1"/>
  <c r="BO87" i="47" s="1"/>
  <c r="BL74" i="47"/>
  <c r="BO92" i="47" l="1"/>
  <c r="BO91" i="47"/>
  <c r="BL75" i="47"/>
  <c r="BL76" i="47" s="1"/>
  <c r="BL73" i="47" s="1"/>
  <c r="AK56" i="47"/>
  <c r="AL61" i="47"/>
  <c r="AK57" i="47"/>
  <c r="AK26" i="47" s="1"/>
  <c r="AK103" i="47" s="1"/>
  <c r="AK80" i="5"/>
  <c r="S90" i="29"/>
  <c r="BL78" i="47" l="1"/>
  <c r="BL77" i="47"/>
  <c r="BM71" i="47" s="1"/>
  <c r="AJ86" i="5"/>
  <c r="AJ89" i="5" s="1"/>
  <c r="AL50" i="47"/>
  <c r="AL64" i="47"/>
  <c r="S89" i="29"/>
  <c r="AK26" i="7"/>
  <c r="BO27" i="7"/>
  <c r="AK87" i="5" l="1"/>
  <c r="AL65" i="47"/>
  <c r="AL54" i="47" s="1"/>
  <c r="AL53" i="47"/>
  <c r="BM74" i="47"/>
  <c r="AL66" i="47" l="1"/>
  <c r="AL55" i="47" s="1"/>
  <c r="BM75" i="47"/>
  <c r="BM76" i="47" s="1"/>
  <c r="BM73" i="47" s="1"/>
  <c r="AL24" i="6"/>
  <c r="AL63" i="47" l="1"/>
  <c r="AL68" i="47" s="1"/>
  <c r="BM78" i="47"/>
  <c r="BM77" i="47"/>
  <c r="BN71" i="47" s="1"/>
  <c r="AL67" i="47" l="1"/>
  <c r="AM61" i="47" s="1"/>
  <c r="AL52" i="47"/>
  <c r="AL57" i="47" s="1"/>
  <c r="AL26" i="47" s="1"/>
  <c r="AL103" i="47" s="1"/>
  <c r="BN74" i="47"/>
  <c r="AL80" i="5" l="1"/>
  <c r="AK86" i="5" s="1"/>
  <c r="AK89" i="5" s="1"/>
  <c r="AL56" i="47"/>
  <c r="AL26" i="7" s="1"/>
  <c r="BN75" i="47"/>
  <c r="BN76" i="47" s="1"/>
  <c r="BN73" i="47" s="1"/>
  <c r="AM64" i="47"/>
  <c r="AM50" i="47"/>
  <c r="AL138" i="5" l="1"/>
  <c r="AL87" i="5"/>
  <c r="AM65" i="47"/>
  <c r="AM54" i="47" s="1"/>
  <c r="AM53" i="47"/>
  <c r="BN78" i="47"/>
  <c r="BN77" i="47"/>
  <c r="BO71" i="47" s="1"/>
  <c r="BO74" i="47" l="1"/>
  <c r="AM24" i="6"/>
  <c r="T91" i="29"/>
  <c r="AM66" i="47"/>
  <c r="AM55" i="47" l="1"/>
  <c r="AM63" i="47"/>
  <c r="BO75" i="47"/>
  <c r="BO76" i="47" s="1"/>
  <c r="BO73" i="47" s="1"/>
  <c r="AM52" i="47" l="1"/>
  <c r="AM68" i="47"/>
  <c r="AM67" i="47"/>
  <c r="BO78" i="47"/>
  <c r="BO77" i="47"/>
  <c r="AM56" i="47" l="1"/>
  <c r="AN61" i="47"/>
  <c r="AM57" i="47"/>
  <c r="AM26" i="47" s="1"/>
  <c r="AM103" i="47" s="1"/>
  <c r="AM80" i="5"/>
  <c r="T90" i="29"/>
  <c r="AM138" i="5" l="1"/>
  <c r="AL86" i="5"/>
  <c r="AL89" i="5" s="1"/>
  <c r="T89" i="29"/>
  <c r="AM26" i="7"/>
  <c r="AN64" i="47"/>
  <c r="AN50" i="47"/>
  <c r="AN65" i="47" l="1"/>
  <c r="AN54" i="47" s="1"/>
  <c r="AN53" i="47"/>
  <c r="AM87" i="5"/>
  <c r="AN24" i="6" l="1"/>
  <c r="AN66" i="47"/>
  <c r="AN55" i="47" l="1"/>
  <c r="AN63" i="47"/>
  <c r="AN68" i="47" l="1"/>
  <c r="AN52" i="47"/>
  <c r="AN67" i="47"/>
  <c r="AO61" i="47" l="1"/>
  <c r="AN56" i="47"/>
  <c r="AN26" i="7" s="1"/>
  <c r="AN57" i="47"/>
  <c r="AN26" i="47" s="1"/>
  <c r="AN103" i="47" s="1"/>
  <c r="AN80" i="5"/>
  <c r="AN138" i="5" l="1"/>
  <c r="AM86" i="5"/>
  <c r="AM89" i="5" s="1"/>
  <c r="AO50" i="47"/>
  <c r="AO64" i="47"/>
  <c r="AO53" i="47" l="1"/>
  <c r="AO65" i="47"/>
  <c r="AO54" i="47" s="1"/>
  <c r="AN87" i="5"/>
  <c r="AO66" i="47" l="1"/>
  <c r="AO24" i="6"/>
  <c r="U91" i="29"/>
  <c r="AO55" i="47" l="1"/>
  <c r="AO63" i="47"/>
  <c r="AO52" i="47" l="1"/>
  <c r="AO68" i="47"/>
  <c r="AO67" i="47"/>
  <c r="AO56" i="47" l="1"/>
  <c r="AP61" i="47"/>
  <c r="AO57" i="47"/>
  <c r="AO26" i="47" s="1"/>
  <c r="AO103" i="47" s="1"/>
  <c r="AO80" i="5"/>
  <c r="U90" i="29"/>
  <c r="AO138" i="5" l="1"/>
  <c r="AN86" i="5"/>
  <c r="AN89" i="5" s="1"/>
  <c r="AP64" i="47"/>
  <c r="AP50" i="47"/>
  <c r="U89" i="29"/>
  <c r="AO26" i="7"/>
  <c r="AO87" i="5" l="1"/>
  <c r="AP53" i="47"/>
  <c r="AP65" i="47"/>
  <c r="AP54" i="47" s="1"/>
  <c r="AP66" i="47" l="1"/>
  <c r="AP24" i="6"/>
  <c r="AP55" i="47" l="1"/>
  <c r="AP63" i="47"/>
  <c r="AP52" i="47" l="1"/>
  <c r="AP68" i="47"/>
  <c r="AP67" i="47"/>
  <c r="AQ61" i="47" l="1"/>
  <c r="AP56" i="47"/>
  <c r="AP26" i="7" s="1"/>
  <c r="AP57" i="47"/>
  <c r="AP26" i="47" s="1"/>
  <c r="AP103" i="47" s="1"/>
  <c r="AP80" i="5"/>
  <c r="AP138" i="5" l="1"/>
  <c r="AO86" i="5"/>
  <c r="AO89" i="5" s="1"/>
  <c r="AQ50" i="47"/>
  <c r="AQ64" i="47"/>
  <c r="AP87" i="5" l="1"/>
  <c r="AQ65" i="47"/>
  <c r="AQ54" i="47" s="1"/>
  <c r="AQ53" i="47"/>
  <c r="AQ66" i="47" l="1"/>
  <c r="AQ55" i="47" s="1"/>
  <c r="AQ24" i="6"/>
  <c r="V91" i="29"/>
  <c r="AQ63" i="47" l="1"/>
  <c r="AQ68" i="47" s="1"/>
  <c r="AQ67" i="47" l="1"/>
  <c r="AR61" i="47" s="1"/>
  <c r="AQ52" i="47"/>
  <c r="AQ57" i="47" s="1"/>
  <c r="AQ26" i="47" s="1"/>
  <c r="AQ103" i="47" s="1"/>
  <c r="V90" i="29" l="1"/>
  <c r="AQ80" i="5"/>
  <c r="AQ138" i="5" s="1"/>
  <c r="AQ56" i="47"/>
  <c r="AQ26" i="7" s="1"/>
  <c r="AR64" i="47"/>
  <c r="AR50" i="47"/>
  <c r="V89" i="29" l="1"/>
  <c r="AP86" i="5"/>
  <c r="AP89" i="5" s="1"/>
  <c r="AQ87" i="5" s="1"/>
  <c r="AR53" i="47"/>
  <c r="AR65" i="47"/>
  <c r="AR54" i="47" s="1"/>
  <c r="AR66" i="47" l="1"/>
  <c r="AR55" i="47" s="1"/>
  <c r="AR24" i="6"/>
  <c r="AR63" i="47" l="1"/>
  <c r="AR68" i="47" s="1"/>
  <c r="AR67" i="47" l="1"/>
  <c r="AR56" i="47" s="1"/>
  <c r="AR26" i="7" s="1"/>
  <c r="AR52" i="47"/>
  <c r="AR57" i="47" s="1"/>
  <c r="AR26" i="47" s="1"/>
  <c r="AR103" i="47" s="1"/>
  <c r="AR80" i="5" l="1"/>
  <c r="AQ86" i="5" s="1"/>
  <c r="AQ89" i="5" s="1"/>
  <c r="AS61" i="47"/>
  <c r="AS50" i="47" s="1"/>
  <c r="AR138" i="5" l="1"/>
  <c r="AS64" i="47"/>
  <c r="AS65" i="47" s="1"/>
  <c r="AS54" i="47" s="1"/>
  <c r="AR87" i="5"/>
  <c r="AS53" i="47" l="1"/>
  <c r="AS24" i="6" s="1"/>
  <c r="AS66" i="47"/>
  <c r="AS55" i="47" s="1"/>
  <c r="W91" i="29" l="1"/>
  <c r="AS63" i="47"/>
  <c r="AS52" i="47" s="1"/>
  <c r="AS67" i="47" l="1"/>
  <c r="AS56" i="47" s="1"/>
  <c r="AS68" i="47"/>
  <c r="AS57" i="47"/>
  <c r="AS26" i="47" s="1"/>
  <c r="AS103" i="47" s="1"/>
  <c r="AS80" i="5"/>
  <c r="W90" i="29"/>
  <c r="AT61" i="47" l="1"/>
  <c r="AT64" i="47" s="1"/>
  <c r="AS138" i="5"/>
  <c r="AR86" i="5"/>
  <c r="AR89" i="5" s="1"/>
  <c r="AS26" i="7"/>
  <c r="W89" i="29"/>
  <c r="AT50" i="47" l="1"/>
  <c r="AS87" i="5"/>
  <c r="AT65" i="47"/>
  <c r="AT54" i="47" s="1"/>
  <c r="AT53" i="47"/>
  <c r="AT66" i="47" l="1"/>
  <c r="AT55" i="47" s="1"/>
  <c r="AT24" i="6"/>
  <c r="AT63" i="47" l="1"/>
  <c r="AT52" i="47" s="1"/>
  <c r="AT67" i="47" l="1"/>
  <c r="AU61" i="47" s="1"/>
  <c r="AT68" i="47"/>
  <c r="AT57" i="47"/>
  <c r="AT26" i="47" s="1"/>
  <c r="AT103" i="47" s="1"/>
  <c r="AT80" i="5"/>
  <c r="AT56" i="47" l="1"/>
  <c r="AT26" i="7" s="1"/>
  <c r="AT138" i="5"/>
  <c r="AS86" i="5"/>
  <c r="AS89" i="5" s="1"/>
  <c r="AU50" i="47"/>
  <c r="AU64" i="47"/>
  <c r="AT87" i="5" l="1"/>
  <c r="AU65" i="47"/>
  <c r="AU54" i="47" s="1"/>
  <c r="AU53" i="47"/>
  <c r="AU66" i="47" l="1"/>
  <c r="AU55" i="47" s="1"/>
  <c r="AU24" i="6"/>
  <c r="X91" i="29"/>
  <c r="AU63" i="47" l="1"/>
  <c r="AU68" i="47" s="1"/>
  <c r="AU67" i="47" l="1"/>
  <c r="AU56" i="47" s="1"/>
  <c r="AU52" i="47"/>
  <c r="AU57" i="47" s="1"/>
  <c r="AU26" i="47" s="1"/>
  <c r="AU103" i="47" s="1"/>
  <c r="X90" i="29" l="1"/>
  <c r="AU80" i="5"/>
  <c r="AU138" i="5" s="1"/>
  <c r="AV61" i="47"/>
  <c r="AV64" i="47" s="1"/>
  <c r="X89" i="29"/>
  <c r="AU26" i="7"/>
  <c r="AT86" i="5" l="1"/>
  <c r="AT89" i="5" s="1"/>
  <c r="AU87" i="5" s="1"/>
  <c r="AV50" i="47"/>
  <c r="AV65" i="47"/>
  <c r="AV54" i="47" s="1"/>
  <c r="AV53" i="47"/>
  <c r="AV66" i="47" l="1"/>
  <c r="AV55" i="47" s="1"/>
  <c r="AV24" i="6"/>
  <c r="AV63" i="47" l="1"/>
  <c r="AV68" i="47" s="1"/>
  <c r="AV67" i="47" l="1"/>
  <c r="AV56" i="47" s="1"/>
  <c r="AV26" i="7" s="1"/>
  <c r="AV52" i="47"/>
  <c r="AV57" i="47" s="1"/>
  <c r="AV26" i="47" s="1"/>
  <c r="AV103" i="47" s="1"/>
  <c r="AW61" i="47" l="1"/>
  <c r="AW50" i="47" s="1"/>
  <c r="AV80" i="5"/>
  <c r="AV138" i="5" s="1"/>
  <c r="AW64" i="47" l="1"/>
  <c r="AW65" i="47" s="1"/>
  <c r="AW54" i="47" s="1"/>
  <c r="AU86" i="5"/>
  <c r="AU89" i="5" s="1"/>
  <c r="AV87" i="5" s="1"/>
  <c r="AW53" i="47" l="1"/>
  <c r="AW24" i="6" s="1"/>
  <c r="AW66" i="47"/>
  <c r="AW55" i="47" s="1"/>
  <c r="Y91" i="29" l="1"/>
  <c r="AW63" i="47"/>
  <c r="AW68" i="47" s="1"/>
  <c r="AW67" i="47" l="1"/>
  <c r="AX61" i="47" s="1"/>
  <c r="AW52" i="47"/>
  <c r="AW57" i="47" s="1"/>
  <c r="AW26" i="47" s="1"/>
  <c r="AW103" i="47" s="1"/>
  <c r="Y90" i="29" l="1"/>
  <c r="AW80" i="5"/>
  <c r="AV86" i="5" s="1"/>
  <c r="AV89" i="5" s="1"/>
  <c r="AW56" i="47"/>
  <c r="AW26" i="7" s="1"/>
  <c r="AX50" i="47"/>
  <c r="AX64" i="47"/>
  <c r="AW138" i="5" l="1"/>
  <c r="Y89" i="29"/>
  <c r="AX53" i="47"/>
  <c r="AX65" i="47"/>
  <c r="AX54" i="47" s="1"/>
  <c r="AW87" i="5"/>
  <c r="AX66" i="47" l="1"/>
  <c r="AX24" i="6"/>
  <c r="AX55" i="47" l="1"/>
  <c r="AX63" i="47"/>
  <c r="AX68" i="47" l="1"/>
  <c r="AX52" i="47"/>
  <c r="AX67" i="47"/>
  <c r="AX56" i="47" l="1"/>
  <c r="AX26" i="7" s="1"/>
  <c r="AY61" i="47"/>
  <c r="AX57" i="47"/>
  <c r="AX26" i="47" s="1"/>
  <c r="AX103" i="47" s="1"/>
  <c r="AX80" i="5"/>
  <c r="AX138" i="5" l="1"/>
  <c r="AW86" i="5"/>
  <c r="AW89" i="5" s="1"/>
  <c r="AY64" i="47"/>
  <c r="AY50" i="47"/>
  <c r="AY53" i="47" l="1"/>
  <c r="AY65" i="47"/>
  <c r="AY54" i="47" s="1"/>
  <c r="AX87" i="5"/>
  <c r="AY66" i="47" l="1"/>
  <c r="AY63" i="47" s="1"/>
  <c r="AY24" i="6"/>
  <c r="Z91" i="29"/>
  <c r="AY55" i="47" l="1"/>
  <c r="AY52" i="47"/>
  <c r="AY68" i="47"/>
  <c r="AY67" i="47"/>
  <c r="AZ61" i="47" l="1"/>
  <c r="AY56" i="47"/>
  <c r="AY57" i="47"/>
  <c r="AY26" i="47" s="1"/>
  <c r="AY103" i="47" s="1"/>
  <c r="AY80" i="5"/>
  <c r="Z90" i="29"/>
  <c r="AY138" i="5" l="1"/>
  <c r="AX86" i="5"/>
  <c r="AX89" i="5" s="1"/>
  <c r="Z89" i="29"/>
  <c r="AY26" i="7"/>
  <c r="AZ64" i="47"/>
  <c r="AZ50" i="47"/>
  <c r="AZ65" i="47" l="1"/>
  <c r="AZ54" i="47" s="1"/>
  <c r="AZ53" i="47"/>
  <c r="AY87" i="5"/>
  <c r="AZ24" i="6" l="1"/>
  <c r="AZ66" i="47"/>
  <c r="AZ55" i="47" l="1"/>
  <c r="AZ63" i="47"/>
  <c r="AZ68" i="47" l="1"/>
  <c r="AZ52" i="47"/>
  <c r="AZ67" i="47"/>
  <c r="AZ57" i="47" l="1"/>
  <c r="AZ26" i="47" s="1"/>
  <c r="AZ103" i="47" s="1"/>
  <c r="AZ80" i="5"/>
  <c r="AZ56" i="47"/>
  <c r="AZ26" i="7" s="1"/>
  <c r="BA61" i="47"/>
  <c r="BA64" i="47" l="1"/>
  <c r="BA50" i="47"/>
  <c r="AZ138" i="5"/>
  <c r="AY86" i="5"/>
  <c r="AY89" i="5" s="1"/>
  <c r="AZ87" i="5" l="1"/>
  <c r="BA65" i="47"/>
  <c r="BA54" i="47" s="1"/>
  <c r="BA53" i="47"/>
  <c r="BA24" i="6" l="1"/>
  <c r="AA91" i="29"/>
  <c r="BA66" i="47"/>
  <c r="BA55" i="47" l="1"/>
  <c r="BA63" i="47"/>
  <c r="BA52" i="47" l="1"/>
  <c r="BA68" i="47"/>
  <c r="BA67" i="47"/>
  <c r="BA56" i="47" l="1"/>
  <c r="BB61" i="47"/>
  <c r="BA57" i="47"/>
  <c r="BA26" i="47" s="1"/>
  <c r="BA103" i="47" s="1"/>
  <c r="BA80" i="5"/>
  <c r="AA90" i="29"/>
  <c r="BA138" i="5" l="1"/>
  <c r="AZ86" i="5"/>
  <c r="AZ89" i="5" s="1"/>
  <c r="BB50" i="47"/>
  <c r="BB64" i="47"/>
  <c r="AA89" i="29"/>
  <c r="BA26" i="7"/>
  <c r="BA87" i="5" l="1"/>
  <c r="BB53" i="47"/>
  <c r="BB65" i="47"/>
  <c r="BB54" i="47" s="1"/>
  <c r="BB66" i="47" l="1"/>
  <c r="BB55" i="47" s="1"/>
  <c r="BB24" i="6"/>
  <c r="BB63" i="47" l="1"/>
  <c r="BB68" i="47" s="1"/>
  <c r="BB67" i="47" l="1"/>
  <c r="BC61" i="47" s="1"/>
  <c r="BB52" i="47"/>
  <c r="BB57" i="47" s="1"/>
  <c r="BB26" i="47" s="1"/>
  <c r="BB103" i="47" s="1"/>
  <c r="BB80" i="5" l="1"/>
  <c r="BB138" i="5" s="1"/>
  <c r="BB56" i="47"/>
  <c r="BB26" i="7" s="1"/>
  <c r="BC50" i="47"/>
  <c r="BC64" i="47"/>
  <c r="BA86" i="5" l="1"/>
  <c r="BA89" i="5" s="1"/>
  <c r="BB87" i="5" s="1"/>
  <c r="BC65" i="47"/>
  <c r="BC54" i="47" s="1"/>
  <c r="BC53" i="47"/>
  <c r="BC24" i="6" l="1"/>
  <c r="AB91" i="29"/>
  <c r="BC66" i="47"/>
  <c r="BC55" i="47" l="1"/>
  <c r="BC63" i="47"/>
  <c r="BC52" i="47" l="1"/>
  <c r="BC68" i="47"/>
  <c r="BC67" i="47"/>
  <c r="BC56" i="47" l="1"/>
  <c r="BD61" i="47"/>
  <c r="BC57" i="47"/>
  <c r="BC26" i="47" s="1"/>
  <c r="BC103" i="47" s="1"/>
  <c r="BC80" i="5"/>
  <c r="AB90" i="29"/>
  <c r="BC138" i="5" l="1"/>
  <c r="BB86" i="5"/>
  <c r="BB89" i="5" s="1"/>
  <c r="BD64" i="47"/>
  <c r="BD50" i="47"/>
  <c r="AB89" i="29"/>
  <c r="BC26" i="7"/>
  <c r="BD53" i="47" l="1"/>
  <c r="BD65" i="47"/>
  <c r="BD54" i="47" s="1"/>
  <c r="BC87" i="5"/>
  <c r="BD66" i="47" l="1"/>
  <c r="BD24" i="6"/>
  <c r="BD55" i="47" l="1"/>
  <c r="BD63" i="47"/>
  <c r="BD52" i="47" l="1"/>
  <c r="BD68" i="47"/>
  <c r="BD67" i="47"/>
  <c r="BD56" i="47" l="1"/>
  <c r="BD26" i="7" s="1"/>
  <c r="BE61" i="47"/>
  <c r="BD57" i="47"/>
  <c r="BD26" i="47" s="1"/>
  <c r="BD103" i="47" s="1"/>
  <c r="BD80" i="5"/>
  <c r="BD138" i="5" l="1"/>
  <c r="BC86" i="5"/>
  <c r="BC89" i="5" s="1"/>
  <c r="BE64" i="47"/>
  <c r="BE50" i="47"/>
  <c r="BE65" i="47" l="1"/>
  <c r="BE54" i="47" s="1"/>
  <c r="BE53" i="47"/>
  <c r="BD87" i="5"/>
  <c r="BE66" i="47" l="1"/>
  <c r="BE55" i="47" s="1"/>
  <c r="BE24" i="6"/>
  <c r="AC91" i="29"/>
  <c r="BE63" i="47" l="1"/>
  <c r="BE52" i="47" s="1"/>
  <c r="BE67" i="47" l="1"/>
  <c r="BE56" i="47" s="1"/>
  <c r="BE68" i="47"/>
  <c r="BE57" i="47"/>
  <c r="BE26" i="47" s="1"/>
  <c r="BE103" i="47" s="1"/>
  <c r="BE80" i="5"/>
  <c r="AC90" i="29"/>
  <c r="BF61" i="47" l="1"/>
  <c r="BF50" i="47" s="1"/>
  <c r="BE138" i="5"/>
  <c r="BD86" i="5"/>
  <c r="BD89" i="5" s="1"/>
  <c r="AC89" i="29"/>
  <c r="BE26" i="7"/>
  <c r="BF64" i="47" l="1"/>
  <c r="BF65" i="47" s="1"/>
  <c r="BF54" i="47" s="1"/>
  <c r="BE87" i="5"/>
  <c r="BF53" i="47" l="1"/>
  <c r="BF24" i="6" s="1"/>
  <c r="BF66" i="47"/>
  <c r="BF55" i="47" l="1"/>
  <c r="BF63" i="47"/>
  <c r="BF68" i="47" l="1"/>
  <c r="BF52" i="47"/>
  <c r="BF67" i="47"/>
  <c r="BG61" i="47" l="1"/>
  <c r="BF56" i="47"/>
  <c r="BF26" i="7" s="1"/>
  <c r="BF57" i="47"/>
  <c r="BF26" i="47" s="1"/>
  <c r="BF103" i="47" s="1"/>
  <c r="BF80" i="5"/>
  <c r="BG50" i="47" l="1"/>
  <c r="BG64" i="47"/>
  <c r="BF138" i="5"/>
  <c r="BE86" i="5"/>
  <c r="BE89" i="5" s="1"/>
  <c r="BG65" i="47" l="1"/>
  <c r="BG54" i="47" s="1"/>
  <c r="BG53" i="47"/>
  <c r="BG24" i="6" s="1"/>
  <c r="BF87" i="5"/>
  <c r="BG66" i="47" l="1"/>
  <c r="BG55" i="47" l="1"/>
  <c r="BG63" i="47"/>
  <c r="BG68" i="47" l="1"/>
  <c r="BG52" i="47"/>
  <c r="BG67" i="47"/>
  <c r="BH61" i="47" l="1"/>
  <c r="BG56" i="47"/>
  <c r="BG26" i="7" s="1"/>
  <c r="BG80" i="5"/>
  <c r="BG57" i="47"/>
  <c r="BG26" i="47" s="1"/>
  <c r="BG103" i="47" s="1"/>
  <c r="BG138" i="5" l="1"/>
  <c r="BF86" i="5"/>
  <c r="BF89" i="5" s="1"/>
  <c r="BH64" i="47"/>
  <c r="BH50" i="47"/>
  <c r="BH65" i="47" l="1"/>
  <c r="BH54" i="47" s="1"/>
  <c r="BH53" i="47"/>
  <c r="BH24" i="6" s="1"/>
  <c r="BG87" i="5"/>
  <c r="BH66" i="47" l="1"/>
  <c r="BH55" i="47" s="1"/>
  <c r="BH63" i="47" l="1"/>
  <c r="BH68" i="47" s="1"/>
  <c r="BH67" i="47" l="1"/>
  <c r="BH56" i="47" s="1"/>
  <c r="BH26" i="7" s="1"/>
  <c r="BH52" i="47"/>
  <c r="BH57" i="47" s="1"/>
  <c r="BH26" i="47" s="1"/>
  <c r="BH103" i="47" s="1"/>
  <c r="BH80" i="5" l="1"/>
  <c r="BI61" i="47"/>
  <c r="BI64" i="47" s="1"/>
  <c r="BH138" i="5" l="1"/>
  <c r="BG86" i="5"/>
  <c r="BG89" i="5" s="1"/>
  <c r="BH87" i="5" s="1"/>
  <c r="BI50" i="47"/>
  <c r="BI53" i="47"/>
  <c r="BI24" i="6" s="1"/>
  <c r="BI65" i="47"/>
  <c r="BI54" i="47" s="1"/>
  <c r="BI66" i="47" l="1"/>
  <c r="BI55" i="47" l="1"/>
  <c r="BI63" i="47"/>
  <c r="BI52" i="47" l="1"/>
  <c r="BI68" i="47"/>
  <c r="BI67" i="47"/>
  <c r="BJ61" i="47" l="1"/>
  <c r="BI56" i="47"/>
  <c r="BI26" i="7" s="1"/>
  <c r="BI57" i="47"/>
  <c r="BI26" i="47" s="1"/>
  <c r="BI103" i="47" s="1"/>
  <c r="BI80" i="5"/>
  <c r="BI138" i="5" l="1"/>
  <c r="BH86" i="5"/>
  <c r="BH89" i="5" s="1"/>
  <c r="BJ64" i="47"/>
  <c r="BJ50" i="47"/>
  <c r="BI87" i="5" l="1"/>
  <c r="BJ53" i="47"/>
  <c r="BJ24" i="6" s="1"/>
  <c r="BJ65" i="47"/>
  <c r="BJ54" i="47" s="1"/>
  <c r="BJ66" i="47" l="1"/>
  <c r="BJ55" i="47" l="1"/>
  <c r="BJ63" i="47"/>
  <c r="BJ52" i="47" l="1"/>
  <c r="BJ68" i="47"/>
  <c r="BJ67" i="47"/>
  <c r="BK61" i="47" l="1"/>
  <c r="BJ56" i="47"/>
  <c r="BJ26" i="7" s="1"/>
  <c r="BJ57" i="47"/>
  <c r="BJ26" i="47" s="1"/>
  <c r="BJ103" i="47" s="1"/>
  <c r="BJ80" i="5"/>
  <c r="BJ138" i="5" l="1"/>
  <c r="BI86" i="5"/>
  <c r="BI89" i="5" s="1"/>
  <c r="BK64" i="47"/>
  <c r="BK50" i="47"/>
  <c r="BJ87" i="5" l="1"/>
  <c r="BK65" i="47"/>
  <c r="BK54" i="47" s="1"/>
  <c r="BK53" i="47"/>
  <c r="BK24" i="6" s="1"/>
  <c r="BK66" i="47" l="1"/>
  <c r="BK55" i="47" s="1"/>
  <c r="BK63" i="47" l="1"/>
  <c r="BK52" i="47" s="1"/>
  <c r="BK67" i="47" l="1"/>
  <c r="BL61" i="47" s="1"/>
  <c r="BK68" i="47"/>
  <c r="BK57" i="47"/>
  <c r="BK26" i="47" s="1"/>
  <c r="BK103" i="47" s="1"/>
  <c r="BK80" i="5"/>
  <c r="BK56" i="47" l="1"/>
  <c r="BK26" i="7" s="1"/>
  <c r="BK138" i="5"/>
  <c r="BJ86" i="5"/>
  <c r="BJ89" i="5" s="1"/>
  <c r="BL64" i="47"/>
  <c r="BL50" i="47"/>
  <c r="BL53" i="47" l="1"/>
  <c r="BL24" i="6" s="1"/>
  <c r="BL65" i="47"/>
  <c r="BL54" i="47" s="1"/>
  <c r="BK87" i="5"/>
  <c r="BL66" i="47" l="1"/>
  <c r="BL55" i="47" l="1"/>
  <c r="BL63" i="47"/>
  <c r="BL52" i="47" l="1"/>
  <c r="BL68" i="47"/>
  <c r="BL67" i="47"/>
  <c r="BM61" i="47" l="1"/>
  <c r="BL56" i="47"/>
  <c r="BL26" i="7" s="1"/>
  <c r="BL57" i="47"/>
  <c r="BL26" i="47" s="1"/>
  <c r="BL103" i="47" s="1"/>
  <c r="BL80" i="5"/>
  <c r="BL138" i="5" l="1"/>
  <c r="BK86" i="5"/>
  <c r="BK89" i="5" s="1"/>
  <c r="BM50" i="47"/>
  <c r="BM64" i="47"/>
  <c r="BM53" i="47" l="1"/>
  <c r="BM24" i="6" s="1"/>
  <c r="BM65" i="47"/>
  <c r="BM54" i="47" s="1"/>
  <c r="BL87" i="5"/>
  <c r="BM66" i="47" l="1"/>
  <c r="BM55" i="47" s="1"/>
  <c r="BM63" i="47" l="1"/>
  <c r="BM52" i="47" s="1"/>
  <c r="BM67" i="47" l="1"/>
  <c r="BM56" i="47" s="1"/>
  <c r="BM26" i="7" s="1"/>
  <c r="BM68" i="47"/>
  <c r="BM57" i="47"/>
  <c r="BM26" i="47" s="1"/>
  <c r="BM103" i="47" s="1"/>
  <c r="BM80" i="5"/>
  <c r="BN61" i="47" l="1"/>
  <c r="BN50" i="47" s="1"/>
  <c r="BM138" i="5"/>
  <c r="BL86" i="5"/>
  <c r="BL89" i="5" s="1"/>
  <c r="BN64" i="47" l="1"/>
  <c r="BN65" i="47" s="1"/>
  <c r="BN54" i="47" s="1"/>
  <c r="BM87" i="5"/>
  <c r="BN53" i="47" l="1"/>
  <c r="BN24" i="6" s="1"/>
  <c r="BN66" i="47"/>
  <c r="BN55" i="47" s="1"/>
  <c r="BN63" i="47" l="1"/>
  <c r="BN68" i="47" s="1"/>
  <c r="BN67" i="47" l="1"/>
  <c r="BN56" i="47" s="1"/>
  <c r="BN26" i="7" s="1"/>
  <c r="BN52" i="47"/>
  <c r="BN57" i="47" s="1"/>
  <c r="BN26" i="47" s="1"/>
  <c r="BN103" i="47" s="1"/>
  <c r="BN80" i="5" l="1"/>
  <c r="BO61" i="47"/>
  <c r="BO64" i="47" s="1"/>
  <c r="BN138" i="5" l="1"/>
  <c r="BM86" i="5"/>
  <c r="BM89" i="5" s="1"/>
  <c r="BN87" i="5" s="1"/>
  <c r="BO50" i="47"/>
  <c r="BO53" i="47"/>
  <c r="BO24" i="6" s="1"/>
  <c r="BO65" i="47"/>
  <c r="BO54" i="47" s="1"/>
  <c r="BO66" i="47" l="1"/>
  <c r="BO55" i="47" s="1"/>
  <c r="BO63" i="47" l="1"/>
  <c r="BO68" i="47" s="1"/>
  <c r="BO67" i="47" l="1"/>
  <c r="BO52" i="47"/>
  <c r="BO57" i="47" s="1"/>
  <c r="BO26" i="47" s="1"/>
  <c r="BO103" i="47" s="1"/>
  <c r="BO80" i="5" l="1"/>
  <c r="BO56" i="47"/>
  <c r="BO26" i="7" s="1"/>
  <c r="D26" i="7" s="1"/>
  <c r="D464" i="32" s="1"/>
  <c r="BN86" i="5" l="1"/>
  <c r="BN89" i="5" s="1"/>
  <c r="BO87" i="5" s="1"/>
  <c r="BO138" i="5"/>
  <c r="BO89" i="5" l="1"/>
  <c r="D88" i="47" l="1"/>
  <c r="D87" i="47" l="1"/>
  <c r="E93" i="47" s="1"/>
  <c r="D53" i="47" l="1"/>
  <c r="D54" i="47" l="1"/>
  <c r="D55" i="47" l="1"/>
  <c r="D52" i="47" l="1"/>
  <c r="E58" i="47" s="1"/>
  <c r="F70" i="29" s="1"/>
  <c r="BO104" i="47"/>
  <c r="BN104" i="47" s="1"/>
  <c r="BM104" i="47" s="1"/>
  <c r="BL104" i="47" s="1"/>
  <c r="BK104" i="47" s="1"/>
  <c r="BJ104" i="47" s="1"/>
  <c r="BI104" i="47" s="1"/>
  <c r="BH104" i="47" s="1"/>
  <c r="BG104" i="47" s="1"/>
  <c r="BF104" i="47" s="1"/>
  <c r="BE104" i="47" s="1"/>
  <c r="BD104" i="47" s="1"/>
  <c r="BC104" i="47" s="1"/>
  <c r="BB104" i="47" s="1"/>
  <c r="BA104" i="47" s="1"/>
  <c r="AZ104" i="47" s="1"/>
  <c r="AY104" i="47" s="1"/>
  <c r="AX104" i="47" s="1"/>
  <c r="AW104" i="47" s="1"/>
  <c r="AV104" i="47" s="1"/>
  <c r="AU104" i="47" s="1"/>
  <c r="AT104" i="47" s="1"/>
  <c r="AS104" i="47" s="1"/>
  <c r="AR104" i="47" s="1"/>
  <c r="AQ104" i="47" s="1"/>
  <c r="AP104" i="47" s="1"/>
  <c r="AO104" i="47" s="1"/>
  <c r="AN104" i="47" s="1"/>
  <c r="AM104" i="47" s="1"/>
  <c r="AL104" i="47" s="1"/>
  <c r="AK104" i="47" s="1"/>
  <c r="AJ104" i="47" s="1"/>
  <c r="AI104" i="47" s="1"/>
  <c r="AH104" i="47" s="1"/>
  <c r="AG104" i="47" s="1"/>
  <c r="AF104" i="47" s="1"/>
  <c r="AE104" i="47" s="1"/>
  <c r="AD104" i="47" s="1"/>
  <c r="AC104" i="47" s="1"/>
  <c r="AB104" i="47" s="1"/>
  <c r="AA104" i="47" s="1"/>
  <c r="Z104" i="47" s="1"/>
  <c r="Y104" i="47" s="1"/>
  <c r="X104" i="47" s="1"/>
  <c r="W104" i="47" s="1"/>
  <c r="V104" i="47" s="1"/>
  <c r="U104" i="47" s="1"/>
  <c r="T104" i="47" s="1"/>
  <c r="S104" i="47" s="1"/>
  <c r="R104" i="47" s="1"/>
  <c r="Q104" i="47" s="1"/>
  <c r="P104" i="47" s="1"/>
  <c r="O104" i="47" s="1"/>
  <c r="N104" i="47" s="1"/>
  <c r="M104" i="47" s="1"/>
  <c r="L104" i="47" s="1"/>
  <c r="K104" i="47" s="1"/>
  <c r="J104" i="47" s="1"/>
  <c r="I104" i="47" s="1"/>
  <c r="H104" i="47" s="1"/>
  <c r="G104" i="47" s="1"/>
  <c r="D104" i="47" s="1"/>
  <c r="D255" i="32" s="1"/>
  <c r="C39" i="43" l="1"/>
  <c r="B108" i="47"/>
  <c r="C47" i="43"/>
  <c r="G23" i="54"/>
  <c r="E23" i="54" s="1"/>
  <c r="G59" i="29" s="1"/>
  <c r="D325" i="32"/>
  <c r="D188" i="32"/>
  <c r="G21" i="54" l="1"/>
  <c r="G22" i="54"/>
  <c r="D331" i="32"/>
  <c r="D324" i="32"/>
  <c r="C46" i="43"/>
  <c r="G46" i="43" s="1"/>
  <c r="C38" i="43"/>
  <c r="G38" i="43" s="1"/>
  <c r="G28" i="54"/>
  <c r="E28" i="54" s="1"/>
  <c r="N59" i="29" s="1"/>
  <c r="D330" i="32"/>
  <c r="D328" i="32"/>
  <c r="AB108" i="47"/>
  <c r="P108" i="47"/>
  <c r="AX108" i="47"/>
  <c r="AS108" i="47"/>
  <c r="BM108" i="47"/>
  <c r="G108" i="47"/>
  <c r="BJ108" i="47"/>
  <c r="AI108" i="47"/>
  <c r="L108" i="47"/>
  <c r="BF108" i="47"/>
  <c r="BB108" i="47"/>
  <c r="AT108" i="47"/>
  <c r="X108" i="47"/>
  <c r="Q108" i="47"/>
  <c r="K108" i="47"/>
  <c r="AE108" i="47"/>
  <c r="AW108" i="47"/>
  <c r="N108" i="47"/>
  <c r="BN108" i="47"/>
  <c r="BH108" i="47"/>
  <c r="AD108" i="47"/>
  <c r="AH108" i="47"/>
  <c r="AF108" i="47"/>
  <c r="BL108" i="47"/>
  <c r="T108" i="47"/>
  <c r="AN108" i="47"/>
  <c r="AQ108" i="47"/>
  <c r="BI108" i="47"/>
  <c r="W108" i="47"/>
  <c r="I108" i="47"/>
  <c r="J108" i="47"/>
  <c r="AC108" i="47"/>
  <c r="AU108" i="47"/>
  <c r="U108" i="47"/>
  <c r="AY108" i="47"/>
  <c r="S108" i="47"/>
  <c r="AJ108" i="47"/>
  <c r="BK108" i="47"/>
  <c r="BE108" i="47"/>
  <c r="AR108" i="47"/>
  <c r="AP108" i="47"/>
  <c r="Z108" i="47"/>
  <c r="AO108" i="47"/>
  <c r="BG108" i="47"/>
  <c r="BD108" i="47"/>
  <c r="AG108" i="47"/>
  <c r="AM108" i="47"/>
  <c r="O108" i="47"/>
  <c r="H108" i="47"/>
  <c r="AZ108" i="47"/>
  <c r="V108" i="47"/>
  <c r="BA108" i="47"/>
  <c r="AA108" i="47"/>
  <c r="BO108" i="47"/>
  <c r="Y108" i="47"/>
  <c r="AV108" i="47"/>
  <c r="M108" i="47"/>
  <c r="BC108" i="47"/>
  <c r="R108" i="47"/>
  <c r="AK108" i="47"/>
  <c r="AL108" i="47"/>
  <c r="G113" i="47" l="1"/>
  <c r="B71" i="42"/>
  <c r="G71" i="42" s="1"/>
  <c r="B137" i="47"/>
  <c r="D51" i="43"/>
  <c r="B35" i="42"/>
  <c r="G35" i="42" s="1"/>
  <c r="D329" i="32"/>
  <c r="D52" i="43"/>
  <c r="B149" i="47" s="1"/>
  <c r="G149" i="47" s="1"/>
  <c r="B148" i="47"/>
  <c r="G39" i="43"/>
  <c r="G47" i="43"/>
  <c r="B53" i="42"/>
  <c r="G53" i="42" s="1"/>
  <c r="B159" i="47"/>
  <c r="D53" i="43"/>
  <c r="B160" i="47" s="1"/>
  <c r="G160" i="47" s="1"/>
  <c r="E21" i="54"/>
  <c r="F59" i="29" s="1"/>
  <c r="G150" i="47" l="1"/>
  <c r="G161" i="47"/>
  <c r="Z159" i="47"/>
  <c r="BI159" i="47"/>
  <c r="Q159" i="47"/>
  <c r="K159" i="47"/>
  <c r="H159" i="47"/>
  <c r="O159" i="47"/>
  <c r="BK159" i="47"/>
  <c r="X159" i="47"/>
  <c r="M159" i="47"/>
  <c r="BM159" i="47"/>
  <c r="AN159" i="47"/>
  <c r="BC159" i="47"/>
  <c r="BL159" i="47"/>
  <c r="BG159" i="47"/>
  <c r="AO159" i="47"/>
  <c r="G159" i="47"/>
  <c r="AH159" i="47"/>
  <c r="I159" i="47"/>
  <c r="AI159" i="47"/>
  <c r="AG159" i="47"/>
  <c r="AU159" i="47"/>
  <c r="BD159" i="47"/>
  <c r="AR159" i="47"/>
  <c r="AX159" i="47"/>
  <c r="AA159" i="47"/>
  <c r="BF159" i="47"/>
  <c r="AT159" i="47"/>
  <c r="BB159" i="47"/>
  <c r="AB159" i="47"/>
  <c r="U159" i="47"/>
  <c r="AM159" i="47"/>
  <c r="BO159" i="47"/>
  <c r="W159" i="47"/>
  <c r="AQ159" i="47"/>
  <c r="AP159" i="47"/>
  <c r="AK159" i="47"/>
  <c r="S159" i="47"/>
  <c r="AZ159" i="47"/>
  <c r="T159" i="47"/>
  <c r="AL159" i="47"/>
  <c r="P159" i="47"/>
  <c r="N159" i="47"/>
  <c r="BE159" i="47"/>
  <c r="V159" i="47"/>
  <c r="Y159" i="47"/>
  <c r="J159" i="47"/>
  <c r="BH159" i="47"/>
  <c r="AY159" i="47"/>
  <c r="R159" i="47"/>
  <c r="AV159" i="47"/>
  <c r="BN159" i="47"/>
  <c r="AW159" i="47"/>
  <c r="AD159" i="47"/>
  <c r="BJ159" i="47"/>
  <c r="AE159" i="47"/>
  <c r="AJ159" i="47"/>
  <c r="BA159" i="47"/>
  <c r="AC159" i="47"/>
  <c r="AS159" i="47"/>
  <c r="AF159" i="47"/>
  <c r="L159" i="47"/>
  <c r="B138" i="47"/>
  <c r="G138" i="47" s="1"/>
  <c r="D54" i="43"/>
  <c r="G72" i="43"/>
  <c r="G137" i="47"/>
  <c r="AG137" i="47"/>
  <c r="AK137" i="47"/>
  <c r="AW137" i="47"/>
  <c r="AJ137" i="47"/>
  <c r="BM137" i="47"/>
  <c r="T137" i="47"/>
  <c r="AY137" i="47"/>
  <c r="X137" i="47"/>
  <c r="Q137" i="47"/>
  <c r="AZ137" i="47"/>
  <c r="R137" i="47"/>
  <c r="BB137" i="47"/>
  <c r="BD137" i="47"/>
  <c r="S137" i="47"/>
  <c r="BH137" i="47"/>
  <c r="AE137" i="47"/>
  <c r="BK137" i="47"/>
  <c r="AB137" i="47"/>
  <c r="P137" i="47"/>
  <c r="AH137" i="47"/>
  <c r="I137" i="47"/>
  <c r="AR137" i="47"/>
  <c r="O137" i="47"/>
  <c r="AT137" i="47"/>
  <c r="U137" i="47"/>
  <c r="V137" i="47"/>
  <c r="AI137" i="47"/>
  <c r="AV137" i="47"/>
  <c r="BL137" i="47"/>
  <c r="AS137" i="47"/>
  <c r="Y137" i="47"/>
  <c r="AX137" i="47"/>
  <c r="BC137" i="47"/>
  <c r="AQ137" i="47"/>
  <c r="BE137" i="47"/>
  <c r="BO137" i="47"/>
  <c r="AO137" i="47"/>
  <c r="J137" i="47"/>
  <c r="AA137" i="47"/>
  <c r="Z137" i="47"/>
  <c r="BF137" i="47"/>
  <c r="N137" i="47"/>
  <c r="AN137" i="47"/>
  <c r="AF137" i="47"/>
  <c r="BG137" i="47"/>
  <c r="M137" i="47"/>
  <c r="BJ137" i="47"/>
  <c r="AD137" i="47"/>
  <c r="BN137" i="47"/>
  <c r="H137" i="47"/>
  <c r="K137" i="47"/>
  <c r="BA137" i="47"/>
  <c r="W137" i="47"/>
  <c r="AL137" i="47"/>
  <c r="BI137" i="47"/>
  <c r="AP137" i="47"/>
  <c r="AU137" i="47"/>
  <c r="AC137" i="47"/>
  <c r="AM137" i="47"/>
  <c r="L137" i="47"/>
  <c r="H55" i="43"/>
  <c r="H56" i="43"/>
  <c r="AD148" i="47"/>
  <c r="BD148" i="47"/>
  <c r="AB148" i="47"/>
  <c r="AV148" i="47"/>
  <c r="AP148" i="47"/>
  <c r="N148" i="47"/>
  <c r="BO148" i="47"/>
  <c r="AI148" i="47"/>
  <c r="Z148" i="47"/>
  <c r="Y148" i="47"/>
  <c r="AG148" i="47"/>
  <c r="Q148" i="47"/>
  <c r="T148" i="47"/>
  <c r="BI148" i="47"/>
  <c r="P148" i="47"/>
  <c r="BK148" i="47"/>
  <c r="AF148" i="47"/>
  <c r="AT148" i="47"/>
  <c r="U148" i="47"/>
  <c r="AK148" i="47"/>
  <c r="S148" i="47"/>
  <c r="BM148" i="47"/>
  <c r="AW148" i="47"/>
  <c r="AR148" i="47"/>
  <c r="G148" i="47"/>
  <c r="AX148" i="47"/>
  <c r="BA148" i="47"/>
  <c r="BH148" i="47"/>
  <c r="BF148" i="47"/>
  <c r="K148" i="47"/>
  <c r="AL148" i="47"/>
  <c r="AE148" i="47"/>
  <c r="O148" i="47"/>
  <c r="AM148" i="47"/>
  <c r="BN148" i="47"/>
  <c r="AJ148" i="47"/>
  <c r="W148" i="47"/>
  <c r="AA148" i="47"/>
  <c r="BL148" i="47"/>
  <c r="AY148" i="47"/>
  <c r="X148" i="47"/>
  <c r="AN148" i="47"/>
  <c r="BE148" i="47"/>
  <c r="BB148" i="47"/>
  <c r="BC148" i="47"/>
  <c r="AC148" i="47"/>
  <c r="L148" i="47"/>
  <c r="J148" i="47"/>
  <c r="BG148" i="47"/>
  <c r="AH148" i="47"/>
  <c r="M148" i="47"/>
  <c r="BJ148" i="47"/>
  <c r="V148" i="47"/>
  <c r="AQ148" i="47"/>
  <c r="AZ148" i="47"/>
  <c r="AO148" i="47"/>
  <c r="I148" i="47"/>
  <c r="AS148" i="47"/>
  <c r="AU148" i="47"/>
  <c r="H148" i="47"/>
  <c r="R148" i="47"/>
  <c r="G40" i="43"/>
  <c r="G37" i="43" s="1"/>
  <c r="G42" i="43" s="1"/>
  <c r="G25" i="7"/>
  <c r="D93" i="29"/>
  <c r="H107" i="47"/>
  <c r="AV124" i="47" l="1"/>
  <c r="U124" i="47"/>
  <c r="BH124" i="47"/>
  <c r="AK124" i="47"/>
  <c r="AC124" i="47"/>
  <c r="W124" i="47"/>
  <c r="AA124" i="47"/>
  <c r="AT124" i="47"/>
  <c r="AY124" i="47"/>
  <c r="T124" i="47"/>
  <c r="BC124" i="47"/>
  <c r="I124" i="47"/>
  <c r="BJ124" i="47"/>
  <c r="BO124" i="47"/>
  <c r="AX124" i="47"/>
  <c r="AB124" i="47"/>
  <c r="AS124" i="47"/>
  <c r="BI124" i="47"/>
  <c r="M124" i="47"/>
  <c r="BL124" i="47"/>
  <c r="AM124" i="47"/>
  <c r="AL124" i="47"/>
  <c r="BG124" i="47"/>
  <c r="Z124" i="47"/>
  <c r="AE124" i="47"/>
  <c r="AW124" i="47"/>
  <c r="P124" i="47"/>
  <c r="N124" i="47"/>
  <c r="Y124" i="47"/>
  <c r="AZ124" i="47"/>
  <c r="BK124" i="47"/>
  <c r="Q124" i="47"/>
  <c r="L124" i="47"/>
  <c r="BF124" i="47"/>
  <c r="AJ124" i="47"/>
  <c r="X124" i="47"/>
  <c r="S124" i="47"/>
  <c r="G17" i="54"/>
  <c r="BA124" i="47"/>
  <c r="AU124" i="47"/>
  <c r="K124" i="47"/>
  <c r="J124" i="47"/>
  <c r="AQ124" i="47"/>
  <c r="O124" i="47"/>
  <c r="BD124" i="47"/>
  <c r="BE124" i="47"/>
  <c r="H110" i="47"/>
  <c r="AP124" i="47"/>
  <c r="H124" i="47"/>
  <c r="AF124" i="47"/>
  <c r="AO124" i="47"/>
  <c r="AI124" i="47"/>
  <c r="AR124" i="47"/>
  <c r="BB124" i="47"/>
  <c r="BM124" i="47"/>
  <c r="AG124" i="47"/>
  <c r="BN124" i="47"/>
  <c r="AN124" i="47"/>
  <c r="R124" i="47"/>
  <c r="G124" i="47"/>
  <c r="G157" i="47" s="1"/>
  <c r="G123" i="47"/>
  <c r="AD124" i="47"/>
  <c r="V124" i="47"/>
  <c r="AH124" i="47"/>
  <c r="G139" i="47"/>
  <c r="G126" i="47" s="1"/>
  <c r="G125" i="47"/>
  <c r="G48" i="43"/>
  <c r="G135" i="47" l="1"/>
  <c r="D124" i="47"/>
  <c r="H57" i="43"/>
  <c r="H58" i="43"/>
  <c r="G44" i="43"/>
  <c r="G61" i="43" s="1"/>
  <c r="G27" i="6"/>
  <c r="G59" i="6" s="1"/>
  <c r="G120" i="47"/>
  <c r="G113" i="5"/>
  <c r="G119" i="47"/>
  <c r="G146" i="47"/>
  <c r="H111" i="47"/>
  <c r="H26" i="6"/>
  <c r="G12" i="6" l="1"/>
  <c r="G14" i="6" s="1"/>
  <c r="G16" i="6" s="1"/>
  <c r="G152" i="47"/>
  <c r="G163" i="47"/>
  <c r="G141" i="47"/>
  <c r="H26" i="43"/>
  <c r="H72" i="43"/>
  <c r="H25" i="43"/>
  <c r="H50" i="43"/>
  <c r="G30" i="6"/>
  <c r="H112" i="47"/>
  <c r="G151" i="47"/>
  <c r="G162" i="47"/>
  <c r="G140" i="47"/>
  <c r="G165" i="47" l="1"/>
  <c r="G164" i="47"/>
  <c r="H158" i="47" s="1"/>
  <c r="G55" i="42"/>
  <c r="G54" i="42"/>
  <c r="G128" i="47"/>
  <c r="G73" i="42"/>
  <c r="G72" i="42"/>
  <c r="H109" i="47"/>
  <c r="G37" i="42"/>
  <c r="G36" i="42"/>
  <c r="G153" i="47"/>
  <c r="H147" i="47" s="1"/>
  <c r="G127" i="47"/>
  <c r="G142" i="47"/>
  <c r="G143" i="47"/>
  <c r="G154" i="47"/>
  <c r="F40" i="32"/>
  <c r="G32" i="6"/>
  <c r="F39" i="32"/>
  <c r="H31" i="43"/>
  <c r="H17" i="54"/>
  <c r="G58" i="42" l="1"/>
  <c r="G129" i="47"/>
  <c r="H136" i="47"/>
  <c r="D100" i="29"/>
  <c r="D99" i="29" s="1"/>
  <c r="G19" i="42"/>
  <c r="G109" i="42" s="1"/>
  <c r="H149" i="47"/>
  <c r="D98" i="29"/>
  <c r="G131" i="47"/>
  <c r="G114" i="5" s="1"/>
  <c r="G130" i="47"/>
  <c r="G40" i="42"/>
  <c r="H160" i="47"/>
  <c r="H34" i="43"/>
  <c r="G46" i="6"/>
  <c r="G37" i="6"/>
  <c r="G76" i="42"/>
  <c r="H114" i="47"/>
  <c r="H95" i="5"/>
  <c r="H113" i="47"/>
  <c r="H161" i="47" l="1"/>
  <c r="H35" i="43"/>
  <c r="H150" i="47"/>
  <c r="H123" i="47"/>
  <c r="H138" i="47"/>
  <c r="G24" i="7"/>
  <c r="H157" i="47"/>
  <c r="H146" i="47"/>
  <c r="H135" i="47"/>
  <c r="H25" i="7"/>
  <c r="I107" i="47"/>
  <c r="D82" i="29"/>
  <c r="G118" i="5"/>
  <c r="G121" i="5" s="1"/>
  <c r="G116" i="5"/>
  <c r="H139" i="5"/>
  <c r="D354" i="32"/>
  <c r="D355" i="32"/>
  <c r="G25" i="54" s="1"/>
  <c r="E25" i="54" s="1"/>
  <c r="I59" i="29" s="1"/>
  <c r="G147" i="5"/>
  <c r="G117" i="5"/>
  <c r="G38" i="6"/>
  <c r="G39" i="6" s="1"/>
  <c r="I110" i="47" l="1"/>
  <c r="H45" i="43"/>
  <c r="H46" i="43" s="1"/>
  <c r="H47" i="43" s="1"/>
  <c r="H38" i="43"/>
  <c r="H39" i="43" s="1"/>
  <c r="H160" i="5"/>
  <c r="H139" i="47"/>
  <c r="H126" i="47" s="1"/>
  <c r="H125" i="47"/>
  <c r="I55" i="43" l="1"/>
  <c r="I56" i="43"/>
  <c r="H40" i="43"/>
  <c r="H27" i="6"/>
  <c r="H59" i="6" s="1"/>
  <c r="H113" i="5"/>
  <c r="I26" i="6"/>
  <c r="I111" i="47"/>
  <c r="I112" i="47" s="1"/>
  <c r="I109" i="47" l="1"/>
  <c r="E95" i="29"/>
  <c r="H12" i="6"/>
  <c r="H14" i="6" s="1"/>
  <c r="H37" i="43"/>
  <c r="H42" i="43" s="1"/>
  <c r="H48" i="43"/>
  <c r="H16" i="6" l="1"/>
  <c r="H136" i="5" s="1"/>
  <c r="H167" i="5" s="1"/>
  <c r="I57" i="43"/>
  <c r="I58" i="43"/>
  <c r="H44" i="43"/>
  <c r="H61" i="43" s="1"/>
  <c r="I95" i="5"/>
  <c r="I114" i="47"/>
  <c r="D356" i="32" s="1"/>
  <c r="E94" i="29"/>
  <c r="I113" i="47"/>
  <c r="I25" i="7" l="1"/>
  <c r="E93" i="29"/>
  <c r="J107" i="47"/>
  <c r="H100" i="5"/>
  <c r="H103" i="5" s="1"/>
  <c r="I139" i="5"/>
  <c r="E80" i="29"/>
  <c r="I26" i="43"/>
  <c r="I25" i="43"/>
  <c r="I72" i="43"/>
  <c r="I50" i="43"/>
  <c r="G40" i="32" l="1"/>
  <c r="I160" i="5"/>
  <c r="J110" i="47"/>
  <c r="I17" i="54"/>
  <c r="G39" i="32"/>
  <c r="I31" i="43"/>
  <c r="J111" i="47" l="1"/>
  <c r="J26" i="6"/>
  <c r="I34" i="43"/>
  <c r="I35" i="43" l="1"/>
  <c r="J112" i="47"/>
  <c r="J109" i="47" l="1"/>
  <c r="I38" i="43"/>
  <c r="I39" i="43" s="1"/>
  <c r="I45" i="43"/>
  <c r="J95" i="5" l="1"/>
  <c r="J114" i="47"/>
  <c r="J113" i="47"/>
  <c r="I46" i="43"/>
  <c r="I40" i="43"/>
  <c r="I47" i="43" l="1"/>
  <c r="I48" i="43" s="1"/>
  <c r="J25" i="7"/>
  <c r="K107" i="47"/>
  <c r="I100" i="5"/>
  <c r="J139" i="5"/>
  <c r="I37" i="43"/>
  <c r="I42" i="43" s="1"/>
  <c r="J160" i="5" l="1"/>
  <c r="K110" i="47"/>
  <c r="J57" i="43"/>
  <c r="J58" i="43"/>
  <c r="J55" i="43"/>
  <c r="J56" i="43"/>
  <c r="I44" i="43"/>
  <c r="I61" i="43" s="1"/>
  <c r="J26" i="43" l="1"/>
  <c r="J50" i="43"/>
  <c r="J25" i="43"/>
  <c r="J72" i="43"/>
  <c r="K26" i="6"/>
  <c r="K111" i="47"/>
  <c r="K112" i="47" s="1"/>
  <c r="K109" i="47" l="1"/>
  <c r="F95" i="29"/>
  <c r="J17" i="54"/>
  <c r="H39" i="32"/>
  <c r="J31" i="43"/>
  <c r="H40" i="32"/>
  <c r="J34" i="43" l="1"/>
  <c r="K95" i="5"/>
  <c r="K114" i="47"/>
  <c r="F94" i="29"/>
  <c r="K113" i="47"/>
  <c r="K25" i="7" l="1"/>
  <c r="F93" i="29"/>
  <c r="L107" i="47"/>
  <c r="J100" i="5"/>
  <c r="K139" i="5"/>
  <c r="F80" i="29"/>
  <c r="J35" i="43"/>
  <c r="J45" i="43" l="1"/>
  <c r="J46" i="43" s="1"/>
  <c r="J47" i="43" s="1"/>
  <c r="J38" i="43"/>
  <c r="J39" i="43" s="1"/>
  <c r="L110" i="47"/>
  <c r="K160" i="5"/>
  <c r="L111" i="47" l="1"/>
  <c r="L112" i="47" s="1"/>
  <c r="L26" i="6"/>
  <c r="K55" i="43"/>
  <c r="K56" i="43"/>
  <c r="J40" i="43"/>
  <c r="J48" i="43" s="1"/>
  <c r="J37" i="43" l="1"/>
  <c r="J42" i="43" s="1"/>
  <c r="K57" i="43"/>
  <c r="K25" i="43" s="1"/>
  <c r="K58" i="43"/>
  <c r="K26" i="43" s="1"/>
  <c r="J44" i="43"/>
  <c r="L109" i="47"/>
  <c r="K72" i="43" l="1"/>
  <c r="K17" i="54" s="1"/>
  <c r="K50" i="43"/>
  <c r="J61" i="43"/>
  <c r="I39" i="32"/>
  <c r="K31" i="43"/>
  <c r="I40" i="32"/>
  <c r="L95" i="5"/>
  <c r="L114" i="47"/>
  <c r="L113" i="47"/>
  <c r="K100" i="5" l="1"/>
  <c r="L139" i="5"/>
  <c r="K34" i="43"/>
  <c r="L25" i="7"/>
  <c r="M107" i="47"/>
  <c r="M110" i="47" l="1"/>
  <c r="K35" i="43"/>
  <c r="L160" i="5"/>
  <c r="K45" i="43" l="1"/>
  <c r="K46" i="43" s="1"/>
  <c r="K38" i="43"/>
  <c r="M26" i="6"/>
  <c r="M111" i="47"/>
  <c r="M112" i="47" s="1"/>
  <c r="K47" i="43" l="1"/>
  <c r="L55" i="43" s="1"/>
  <c r="M109" i="47"/>
  <c r="G95" i="29"/>
  <c r="K39" i="43"/>
  <c r="K40" i="43" s="1"/>
  <c r="K48" i="43" l="1"/>
  <c r="L58" i="43" s="1"/>
  <c r="L56" i="43"/>
  <c r="K37" i="43"/>
  <c r="K42" i="43" s="1"/>
  <c r="M114" i="47"/>
  <c r="M95" i="5"/>
  <c r="G94" i="29"/>
  <c r="M113" i="47"/>
  <c r="L26" i="43" l="1"/>
  <c r="J40" i="32" s="1"/>
  <c r="K44" i="43"/>
  <c r="K61" i="43" s="1"/>
  <c r="L57" i="43"/>
  <c r="L50" i="43" s="1"/>
  <c r="M25" i="7"/>
  <c r="N107" i="47"/>
  <c r="G93" i="29"/>
  <c r="M139" i="5"/>
  <c r="M160" i="5" s="1"/>
  <c r="L100" i="5"/>
  <c r="G80" i="29"/>
  <c r="L25" i="43" l="1"/>
  <c r="L72" i="43"/>
  <c r="L17" i="54" s="1"/>
  <c r="N110" i="47"/>
  <c r="J39" i="32" l="1"/>
  <c r="L31" i="43"/>
  <c r="L34" i="43" s="1"/>
  <c r="L35" i="43" s="1"/>
  <c r="N111" i="47"/>
  <c r="N112" i="47" s="1"/>
  <c r="N26" i="6"/>
  <c r="L45" i="43" l="1"/>
  <c r="L46" i="43" s="1"/>
  <c r="L47" i="43" s="1"/>
  <c r="M55" i="43" s="1"/>
  <c r="L38" i="43"/>
  <c r="L39" i="43" s="1"/>
  <c r="N109" i="47"/>
  <c r="L40" i="43" l="1"/>
  <c r="L37" i="43" s="1"/>
  <c r="L42" i="43" s="1"/>
  <c r="M56" i="43"/>
  <c r="N95" i="5"/>
  <c r="N114" i="47"/>
  <c r="N113" i="47"/>
  <c r="L48" i="43" l="1"/>
  <c r="M57" i="43" s="1"/>
  <c r="N25" i="7"/>
  <c r="O107" i="47"/>
  <c r="M100" i="5"/>
  <c r="N139" i="5"/>
  <c r="N160" i="5" s="1"/>
  <c r="L44" i="43" l="1"/>
  <c r="L61" i="43" s="1"/>
  <c r="M58" i="43"/>
  <c r="M26" i="43" s="1"/>
  <c r="K40" i="32" s="1"/>
  <c r="O110" i="47"/>
  <c r="M25" i="43"/>
  <c r="M72" i="43" l="1"/>
  <c r="M17" i="54" s="1"/>
  <c r="M50" i="43"/>
  <c r="K39" i="32"/>
  <c r="M31" i="43"/>
  <c r="M34" i="43" s="1"/>
  <c r="M35" i="43" s="1"/>
  <c r="O111" i="47"/>
  <c r="O112" i="47" s="1"/>
  <c r="H95" i="29" s="1"/>
  <c r="O26" i="6"/>
  <c r="O109" i="47" l="1"/>
  <c r="H94" i="29" s="1"/>
  <c r="M38" i="43"/>
  <c r="M39" i="43" s="1"/>
  <c r="M40" i="43" s="1"/>
  <c r="M45" i="43"/>
  <c r="M37" i="43" l="1"/>
  <c r="M42" i="43" s="1"/>
  <c r="M46" i="43"/>
  <c r="M47" i="43" s="1"/>
  <c r="O95" i="5"/>
  <c r="H80" i="29" s="1"/>
  <c r="O114" i="47"/>
  <c r="O113" i="47"/>
  <c r="H93" i="29" s="1"/>
  <c r="O25" i="7" l="1"/>
  <c r="P107" i="47"/>
  <c r="N100" i="5"/>
  <c r="O139" i="5"/>
  <c r="O160" i="5" s="1"/>
  <c r="N55" i="43"/>
  <c r="N56" i="43"/>
  <c r="M48" i="43"/>
  <c r="N57" i="43" l="1"/>
  <c r="N25" i="43" s="1"/>
  <c r="N58" i="43"/>
  <c r="N26" i="43" s="1"/>
  <c r="L40" i="32" s="1"/>
  <c r="P110" i="47"/>
  <c r="M44" i="43"/>
  <c r="M61" i="43" s="1"/>
  <c r="N72" i="43" l="1"/>
  <c r="N17" i="54" s="1"/>
  <c r="N50" i="43"/>
  <c r="P111" i="47"/>
  <c r="P112" i="47" s="1"/>
  <c r="P26" i="6"/>
  <c r="L39" i="32"/>
  <c r="N31" i="43"/>
  <c r="N34" i="43" s="1"/>
  <c r="N35" i="43" s="1"/>
  <c r="N45" i="43" l="1"/>
  <c r="N46" i="43" s="1"/>
  <c r="N38" i="43"/>
  <c r="N39" i="43" s="1"/>
  <c r="N40" i="43" s="1"/>
  <c r="P109" i="47"/>
  <c r="N47" i="43" l="1"/>
  <c r="N48" i="43" s="1"/>
  <c r="N44" i="43" s="1"/>
  <c r="P95" i="5"/>
  <c r="P114" i="47"/>
  <c r="P113" i="47"/>
  <c r="N37" i="43"/>
  <c r="N42" i="43" s="1"/>
  <c r="N61" i="43" l="1"/>
  <c r="O56" i="43"/>
  <c r="O55" i="43"/>
  <c r="P25" i="7"/>
  <c r="Q107" i="47"/>
  <c r="O57" i="43"/>
  <c r="O58" i="43"/>
  <c r="P139" i="5"/>
  <c r="P160" i="5" s="1"/>
  <c r="O100" i="5"/>
  <c r="O26" i="43" l="1"/>
  <c r="M40" i="32" s="1"/>
  <c r="O25" i="43"/>
  <c r="M39" i="32" s="1"/>
  <c r="O72" i="43"/>
  <c r="O17" i="54" s="1"/>
  <c r="Q110" i="47"/>
  <c r="O50" i="43"/>
  <c r="O31" i="43" l="1"/>
  <c r="O34" i="43" s="1"/>
  <c r="O35" i="43" s="1"/>
  <c r="O38" i="43" s="1"/>
  <c r="O39" i="43" s="1"/>
  <c r="O40" i="43" s="1"/>
  <c r="Q111" i="47"/>
  <c r="Q112" i="47" s="1"/>
  <c r="Q26" i="6"/>
  <c r="O45" i="43" l="1"/>
  <c r="O46" i="43" s="1"/>
  <c r="O47" i="43" s="1"/>
  <c r="O37" i="43"/>
  <c r="O42" i="43" s="1"/>
  <c r="Q109" i="47"/>
  <c r="I95" i="29"/>
  <c r="Q95" i="5" l="1"/>
  <c r="Q114" i="47"/>
  <c r="I94" i="29"/>
  <c r="Q113" i="47"/>
  <c r="P55" i="43"/>
  <c r="P56" i="43"/>
  <c r="O48" i="43"/>
  <c r="P57" i="43" l="1"/>
  <c r="P58" i="43"/>
  <c r="P26" i="43" s="1"/>
  <c r="N40" i="32" s="1"/>
  <c r="Q25" i="7"/>
  <c r="R107" i="47"/>
  <c r="I93" i="29"/>
  <c r="O44" i="43"/>
  <c r="O61" i="43" s="1"/>
  <c r="Q139" i="5"/>
  <c r="Q160" i="5" s="1"/>
  <c r="P100" i="5"/>
  <c r="I80" i="29"/>
  <c r="P72" i="43" l="1"/>
  <c r="P17" i="54" s="1"/>
  <c r="P50" i="43"/>
  <c r="R110" i="47"/>
  <c r="P25" i="43"/>
  <c r="N39" i="32" l="1"/>
  <c r="P31" i="43"/>
  <c r="P34" i="43" s="1"/>
  <c r="P35" i="43" s="1"/>
  <c r="R111" i="47"/>
  <c r="R112" i="47" s="1"/>
  <c r="R26" i="6"/>
  <c r="R109" i="47" l="1"/>
  <c r="P45" i="43"/>
  <c r="P46" i="43" s="1"/>
  <c r="P38" i="43"/>
  <c r="P39" i="43" s="1"/>
  <c r="R114" i="47" l="1"/>
  <c r="R95" i="5"/>
  <c r="R113" i="47"/>
  <c r="P47" i="43"/>
  <c r="P40" i="43"/>
  <c r="P37" i="43" s="1"/>
  <c r="P42" i="43" s="1"/>
  <c r="Q55" i="43" l="1"/>
  <c r="Q56" i="43"/>
  <c r="R25" i="7"/>
  <c r="S107" i="47"/>
  <c r="P48" i="43"/>
  <c r="P44" i="43" s="1"/>
  <c r="P61" i="43" s="1"/>
  <c r="R139" i="5"/>
  <c r="R160" i="5" s="1"/>
  <c r="Q100" i="5"/>
  <c r="S110" i="47" l="1"/>
  <c r="Q57" i="43"/>
  <c r="Q25" i="43" s="1"/>
  <c r="Q58" i="43"/>
  <c r="Q26" i="43" s="1"/>
  <c r="O40" i="32" s="1"/>
  <c r="Q72" i="43" l="1"/>
  <c r="Q17" i="54" s="1"/>
  <c r="Q50" i="43"/>
  <c r="O39" i="32"/>
  <c r="Q31" i="43"/>
  <c r="Q34" i="43" s="1"/>
  <c r="Q35" i="43" s="1"/>
  <c r="S111" i="47"/>
  <c r="S112" i="47" s="1"/>
  <c r="S26" i="6"/>
  <c r="S109" i="47" l="1"/>
  <c r="J95" i="29"/>
  <c r="Q45" i="43"/>
  <c r="Q38" i="43"/>
  <c r="Q46" i="43" l="1"/>
  <c r="Q47" i="43" s="1"/>
  <c r="Q39" i="43"/>
  <c r="Q40" i="43" s="1"/>
  <c r="S95" i="5"/>
  <c r="S114" i="47"/>
  <c r="J94" i="29"/>
  <c r="S113" i="47"/>
  <c r="R55" i="43" l="1"/>
  <c r="R56" i="43"/>
  <c r="Q48" i="43"/>
  <c r="R57" i="43" s="1"/>
  <c r="Q37" i="43"/>
  <c r="Q42" i="43" s="1"/>
  <c r="S25" i="7"/>
  <c r="J93" i="29"/>
  <c r="T107" i="47"/>
  <c r="S139" i="5"/>
  <c r="S160" i="5" s="1"/>
  <c r="R100" i="5"/>
  <c r="J80" i="29"/>
  <c r="R58" i="43" l="1"/>
  <c r="R26" i="43" s="1"/>
  <c r="R25" i="43"/>
  <c r="P39" i="32" s="1"/>
  <c r="Q44" i="43"/>
  <c r="Q61" i="43" s="1"/>
  <c r="T110" i="47"/>
  <c r="R72" i="43" l="1"/>
  <c r="R17" i="54" s="1"/>
  <c r="P40" i="32"/>
  <c r="R31" i="43"/>
  <c r="R34" i="43" s="1"/>
  <c r="R35" i="43" s="1"/>
  <c r="R45" i="43" s="1"/>
  <c r="R50" i="43"/>
  <c r="T26" i="6"/>
  <c r="T111" i="47"/>
  <c r="T112" i="47" s="1"/>
  <c r="R38" i="43" l="1"/>
  <c r="R39" i="43" s="1"/>
  <c r="R40" i="43" s="1"/>
  <c r="T109" i="47"/>
  <c r="R46" i="43"/>
  <c r="R47" i="43" s="1"/>
  <c r="R37" i="43" l="1"/>
  <c r="R42" i="43" s="1"/>
  <c r="S55" i="43"/>
  <c r="S56" i="43"/>
  <c r="T114" i="47"/>
  <c r="T95" i="5"/>
  <c r="T113" i="47"/>
  <c r="R48" i="43"/>
  <c r="T25" i="7" l="1"/>
  <c r="U107" i="47"/>
  <c r="T139" i="5"/>
  <c r="T160" i="5" s="1"/>
  <c r="S100" i="5"/>
  <c r="S57" i="43"/>
  <c r="S25" i="43" s="1"/>
  <c r="S58" i="43"/>
  <c r="S26" i="43" s="1"/>
  <c r="Q40" i="32" s="1"/>
  <c r="R44" i="43"/>
  <c r="R61" i="43" s="1"/>
  <c r="S72" i="43" l="1"/>
  <c r="S17" i="54" s="1"/>
  <c r="Q39" i="32"/>
  <c r="S31" i="43"/>
  <c r="S34" i="43" s="1"/>
  <c r="S35" i="43" s="1"/>
  <c r="S50" i="43"/>
  <c r="U110" i="47"/>
  <c r="U111" i="47" l="1"/>
  <c r="U112" i="47" s="1"/>
  <c r="U26" i="6"/>
  <c r="S38" i="43"/>
  <c r="S39" i="43" s="1"/>
  <c r="S40" i="43" s="1"/>
  <c r="S45" i="43"/>
  <c r="S46" i="43" l="1"/>
  <c r="S47" i="43" s="1"/>
  <c r="U109" i="47"/>
  <c r="K95" i="29"/>
  <c r="S37" i="43"/>
  <c r="S42" i="43" s="1"/>
  <c r="T55" i="43" l="1"/>
  <c r="T56" i="43"/>
  <c r="S48" i="43"/>
  <c r="T57" i="43" s="1"/>
  <c r="U95" i="5"/>
  <c r="U114" i="47"/>
  <c r="K94" i="29"/>
  <c r="U113" i="47"/>
  <c r="T58" i="43" l="1"/>
  <c r="T26" i="43" s="1"/>
  <c r="R40" i="32" s="1"/>
  <c r="T25" i="43"/>
  <c r="R39" i="32" s="1"/>
  <c r="S44" i="43"/>
  <c r="S61" i="43" s="1"/>
  <c r="U25" i="7"/>
  <c r="K93" i="29"/>
  <c r="V107" i="47"/>
  <c r="T100" i="5"/>
  <c r="U139" i="5"/>
  <c r="U160" i="5" s="1"/>
  <c r="D160" i="5" s="1"/>
  <c r="K80" i="29"/>
  <c r="T72" i="43" l="1"/>
  <c r="T17" i="54" s="1"/>
  <c r="T31" i="43"/>
  <c r="T34" i="43" s="1"/>
  <c r="T35" i="43" s="1"/>
  <c r="T45" i="43" s="1"/>
  <c r="T46" i="43" s="1"/>
  <c r="T50" i="43"/>
  <c r="V110" i="47"/>
  <c r="T38" i="43" l="1"/>
  <c r="T39" i="43" s="1"/>
  <c r="T40" i="43" s="1"/>
  <c r="V26" i="6"/>
  <c r="V111" i="47"/>
  <c r="V112" i="47" s="1"/>
  <c r="T47" i="43"/>
  <c r="T37" i="43" l="1"/>
  <c r="T42" i="43" s="1"/>
  <c r="V109" i="47"/>
  <c r="U55" i="43"/>
  <c r="U56" i="43"/>
  <c r="T48" i="43"/>
  <c r="T44" i="43" s="1"/>
  <c r="T61" i="43" l="1"/>
  <c r="V95" i="5"/>
  <c r="V114" i="47"/>
  <c r="V113" i="47"/>
  <c r="U57" i="43"/>
  <c r="U58" i="43"/>
  <c r="U26" i="43" s="1"/>
  <c r="S40" i="32" s="1"/>
  <c r="U72" i="43" l="1"/>
  <c r="U17" i="54" s="1"/>
  <c r="U50" i="43"/>
  <c r="U25" i="43"/>
  <c r="S39" i="32" s="1"/>
  <c r="V25" i="7"/>
  <c r="W107" i="47"/>
  <c r="U100" i="5"/>
  <c r="V139" i="5"/>
  <c r="U31" i="43" l="1"/>
  <c r="U34" i="43" s="1"/>
  <c r="U35" i="43" s="1"/>
  <c r="U45" i="43" s="1"/>
  <c r="U46" i="43" s="1"/>
  <c r="W110" i="47"/>
  <c r="U38" i="43" l="1"/>
  <c r="U39" i="43" s="1"/>
  <c r="U40" i="43" s="1"/>
  <c r="U47" i="43"/>
  <c r="W26" i="6"/>
  <c r="W111" i="47"/>
  <c r="W112" i="47" s="1"/>
  <c r="U37" i="43" l="1"/>
  <c r="U42" i="43" s="1"/>
  <c r="W109" i="47"/>
  <c r="L95" i="29"/>
  <c r="V55" i="43"/>
  <c r="V56" i="43"/>
  <c r="U48" i="43"/>
  <c r="V57" i="43" l="1"/>
  <c r="V58" i="43"/>
  <c r="V26" i="43" s="1"/>
  <c r="T40" i="32" s="1"/>
  <c r="U44" i="43"/>
  <c r="U61" i="43" s="1"/>
  <c r="W95" i="5"/>
  <c r="W114" i="47"/>
  <c r="L94" i="29"/>
  <c r="W113" i="47"/>
  <c r="V72" i="43" l="1"/>
  <c r="V17" i="54" s="1"/>
  <c r="V50" i="43"/>
  <c r="V25" i="43"/>
  <c r="T39" i="32" s="1"/>
  <c r="W139" i="5"/>
  <c r="L80" i="29"/>
  <c r="W25" i="7"/>
  <c r="X107" i="47"/>
  <c r="L93" i="29"/>
  <c r="V31" i="43" l="1"/>
  <c r="V34" i="43" s="1"/>
  <c r="V35" i="43" s="1"/>
  <c r="V38" i="43" s="1"/>
  <c r="X110" i="47"/>
  <c r="V45" i="43" l="1"/>
  <c r="V46" i="43" s="1"/>
  <c r="V47" i="43" s="1"/>
  <c r="X26" i="6"/>
  <c r="X111" i="47"/>
  <c r="X112" i="47" s="1"/>
  <c r="V39" i="43"/>
  <c r="V40" i="43" s="1"/>
  <c r="X109" i="47" l="1"/>
  <c r="W55" i="43"/>
  <c r="W56" i="43"/>
  <c r="V48" i="43"/>
  <c r="V37" i="43"/>
  <c r="V42" i="43" s="1"/>
  <c r="X114" i="47" l="1"/>
  <c r="X95" i="5"/>
  <c r="X113" i="47"/>
  <c r="W57" i="43"/>
  <c r="W25" i="43" s="1"/>
  <c r="W58" i="43"/>
  <c r="W26" i="43" s="1"/>
  <c r="U40" i="32" s="1"/>
  <c r="V44" i="43"/>
  <c r="V61" i="43" s="1"/>
  <c r="W72" i="43" l="1"/>
  <c r="W17" i="54" s="1"/>
  <c r="W50" i="43"/>
  <c r="U39" i="32"/>
  <c r="W31" i="43"/>
  <c r="W34" i="43" s="1"/>
  <c r="W35" i="43" s="1"/>
  <c r="X25" i="7"/>
  <c r="Y107" i="47"/>
  <c r="X139" i="5"/>
  <c r="Y110" i="47" l="1"/>
  <c r="W38" i="43"/>
  <c r="W45" i="43"/>
  <c r="W46" i="43" s="1"/>
  <c r="W39" i="43" l="1"/>
  <c r="W40" i="43" s="1"/>
  <c r="W47" i="43"/>
  <c r="Y26" i="6"/>
  <c r="Y111" i="47"/>
  <c r="Y112" i="47" s="1"/>
  <c r="Y109" i="47" l="1"/>
  <c r="M95" i="29"/>
  <c r="X55" i="43"/>
  <c r="X56" i="43"/>
  <c r="W48" i="43"/>
  <c r="W44" i="43" s="1"/>
  <c r="W37" i="43"/>
  <c r="W42" i="43" s="1"/>
  <c r="W61" i="43" l="1"/>
  <c r="X57" i="43"/>
  <c r="X25" i="43" s="1"/>
  <c r="X58" i="43"/>
  <c r="X26" i="43" s="1"/>
  <c r="V40" i="32" s="1"/>
  <c r="Y114" i="47"/>
  <c r="Y95" i="5"/>
  <c r="M94" i="29"/>
  <c r="Y113" i="47"/>
  <c r="V39" i="32" l="1"/>
  <c r="X31" i="43"/>
  <c r="X34" i="43" s="1"/>
  <c r="X35" i="43" s="1"/>
  <c r="Y25" i="7"/>
  <c r="Z107" i="47"/>
  <c r="M93" i="29"/>
  <c r="Y139" i="5"/>
  <c r="M80" i="29"/>
  <c r="X72" i="43"/>
  <c r="X17" i="54" s="1"/>
  <c r="X50" i="43"/>
  <c r="Z110" i="47" l="1"/>
  <c r="X45" i="43"/>
  <c r="X38" i="43"/>
  <c r="X39" i="43" s="1"/>
  <c r="X40" i="43" l="1"/>
  <c r="X37" i="43" s="1"/>
  <c r="X42" i="43" s="1"/>
  <c r="Z111" i="47"/>
  <c r="Z112" i="47" s="1"/>
  <c r="Z26" i="6"/>
  <c r="X46" i="43"/>
  <c r="X47" i="43" l="1"/>
  <c r="X48" i="43" s="1"/>
  <c r="Z109" i="47"/>
  <c r="Y57" i="43" l="1"/>
  <c r="Y58" i="43"/>
  <c r="X44" i="43"/>
  <c r="X61" i="43" s="1"/>
  <c r="Z95" i="5"/>
  <c r="Z114" i="47"/>
  <c r="Z113" i="47"/>
  <c r="Y55" i="43"/>
  <c r="Y56" i="43"/>
  <c r="Y26" i="43" l="1"/>
  <c r="W40" i="32" s="1"/>
  <c r="Z25" i="7"/>
  <c r="AA107" i="47"/>
  <c r="Y50" i="43"/>
  <c r="Y25" i="43"/>
  <c r="Y72" i="43"/>
  <c r="Y17" i="54" s="1"/>
  <c r="Z139" i="5"/>
  <c r="W39" i="32" l="1"/>
  <c r="Y31" i="43"/>
  <c r="Y34" i="43" s="1"/>
  <c r="Y35" i="43" s="1"/>
  <c r="AA110" i="47"/>
  <c r="AA26" i="6" l="1"/>
  <c r="AA111" i="47"/>
  <c r="AA112" i="47" s="1"/>
  <c r="Y45" i="43"/>
  <c r="Y38" i="43"/>
  <c r="Y39" i="43" s="1"/>
  <c r="AA109" i="47" l="1"/>
  <c r="N95" i="29"/>
  <c r="Y46" i="43"/>
  <c r="Y47" i="43" s="1"/>
  <c r="Y40" i="43"/>
  <c r="Y37" i="43" s="1"/>
  <c r="Y42" i="43" s="1"/>
  <c r="Z55" i="43" l="1"/>
  <c r="Z56" i="43"/>
  <c r="Y48" i="43"/>
  <c r="Y44" i="43" s="1"/>
  <c r="Y61" i="43" s="1"/>
  <c r="AA114" i="47"/>
  <c r="AA95" i="5"/>
  <c r="N94" i="29"/>
  <c r="AA113" i="47"/>
  <c r="AA25" i="7" l="1"/>
  <c r="N93" i="29"/>
  <c r="AB107" i="47"/>
  <c r="AA139" i="5"/>
  <c r="N80" i="29"/>
  <c r="Z57" i="43"/>
  <c r="Z25" i="43" s="1"/>
  <c r="Z58" i="43"/>
  <c r="Z26" i="43" s="1"/>
  <c r="X40" i="32" s="1"/>
  <c r="Z72" i="43" l="1"/>
  <c r="Z17" i="54" s="1"/>
  <c r="X39" i="32"/>
  <c r="Z31" i="43"/>
  <c r="Z34" i="43" s="1"/>
  <c r="Z35" i="43" s="1"/>
  <c r="Z50" i="43"/>
  <c r="AB110" i="47"/>
  <c r="AB26" i="6" l="1"/>
  <c r="AB111" i="47"/>
  <c r="AB112" i="47" s="1"/>
  <c r="Z45" i="43"/>
  <c r="Z38" i="43"/>
  <c r="AB109" i="47" l="1"/>
  <c r="Z39" i="43"/>
  <c r="Z40" i="43" s="1"/>
  <c r="Z46" i="43"/>
  <c r="Z47" i="43" s="1"/>
  <c r="Z37" i="43" l="1"/>
  <c r="Z42" i="43" s="1"/>
  <c r="AA55" i="43"/>
  <c r="AA56" i="43"/>
  <c r="Z48" i="43"/>
  <c r="Z44" i="43" s="1"/>
  <c r="AB95" i="5"/>
  <c r="AB114" i="47"/>
  <c r="AB113" i="47"/>
  <c r="Z61" i="43" l="1"/>
  <c r="AB139" i="5"/>
  <c r="AA57" i="43"/>
  <c r="AA25" i="43" s="1"/>
  <c r="AA58" i="43"/>
  <c r="AA26" i="43" s="1"/>
  <c r="Y40" i="32" s="1"/>
  <c r="AB25" i="7"/>
  <c r="AC107" i="47"/>
  <c r="AA72" i="43" l="1"/>
  <c r="AA17" i="54" s="1"/>
  <c r="AA50" i="43"/>
  <c r="Y39" i="32"/>
  <c r="AA31" i="43"/>
  <c r="AA34" i="43" s="1"/>
  <c r="AA35" i="43" s="1"/>
  <c r="AC110" i="47"/>
  <c r="AC26" i="6" l="1"/>
  <c r="AC111" i="47"/>
  <c r="AC112" i="47" s="1"/>
  <c r="AA45" i="43"/>
  <c r="AA46" i="43" s="1"/>
  <c r="AA47" i="43" s="1"/>
  <c r="AA38" i="43"/>
  <c r="AA39" i="43" s="1"/>
  <c r="AA40" i="43" s="1"/>
  <c r="AC109" i="47" l="1"/>
  <c r="O95" i="29"/>
  <c r="AB55" i="43"/>
  <c r="AB56" i="43"/>
  <c r="AA37" i="43"/>
  <c r="AA42" i="43" s="1"/>
  <c r="AA48" i="43"/>
  <c r="AA44" i="43" s="1"/>
  <c r="AA61" i="43" l="1"/>
  <c r="AB57" i="43"/>
  <c r="AB25" i="43" s="1"/>
  <c r="AB58" i="43"/>
  <c r="AB26" i="43" s="1"/>
  <c r="Z40" i="32" s="1"/>
  <c r="AC114" i="47"/>
  <c r="AC95" i="5"/>
  <c r="O94" i="29"/>
  <c r="AC113" i="47"/>
  <c r="AB72" i="43" l="1"/>
  <c r="AB17" i="54" s="1"/>
  <c r="Z39" i="32"/>
  <c r="AB31" i="43"/>
  <c r="AB34" i="43" s="1"/>
  <c r="AB35" i="43" s="1"/>
  <c r="AC25" i="7"/>
  <c r="O93" i="29"/>
  <c r="AD107" i="47"/>
  <c r="AC139" i="5"/>
  <c r="O80" i="29"/>
  <c r="AB50" i="43"/>
  <c r="AD110" i="47" l="1"/>
  <c r="AB45" i="43"/>
  <c r="AB46" i="43" s="1"/>
  <c r="AB47" i="43" s="1"/>
  <c r="AB38" i="43"/>
  <c r="AB39" i="43" s="1"/>
  <c r="AB40" i="43" s="1"/>
  <c r="AC55" i="43" l="1"/>
  <c r="AC56" i="43"/>
  <c r="AB48" i="43"/>
  <c r="AB44" i="43" s="1"/>
  <c r="AB37" i="43"/>
  <c r="AB42" i="43" s="1"/>
  <c r="AD26" i="6"/>
  <c r="AD111" i="47"/>
  <c r="AD112" i="47" s="1"/>
  <c r="AB61" i="43" l="1"/>
  <c r="AD109" i="47"/>
  <c r="AC57" i="43"/>
  <c r="AC25" i="43" s="1"/>
  <c r="AC58" i="43"/>
  <c r="AC26" i="43" s="1"/>
  <c r="AA40" i="32" s="1"/>
  <c r="AC72" i="43" l="1"/>
  <c r="AC17" i="54" s="1"/>
  <c r="AC50" i="43"/>
  <c r="AD114" i="47"/>
  <c r="AD95" i="5"/>
  <c r="AD113" i="47"/>
  <c r="AA39" i="32"/>
  <c r="AC31" i="43"/>
  <c r="AC34" i="43" s="1"/>
  <c r="AC35" i="43" s="1"/>
  <c r="AC38" i="43" l="1"/>
  <c r="AC39" i="43" s="1"/>
  <c r="AC45" i="43"/>
  <c r="AD25" i="7"/>
  <c r="AE107" i="47"/>
  <c r="AD139" i="5"/>
  <c r="AE110" i="47" l="1"/>
  <c r="AC40" i="43"/>
  <c r="AC37" i="43" s="1"/>
  <c r="AC42" i="43" s="1"/>
  <c r="AC46" i="43"/>
  <c r="AC47" i="43" l="1"/>
  <c r="AE26" i="6"/>
  <c r="AE111" i="47"/>
  <c r="AE112" i="47" s="1"/>
  <c r="AE109" i="47" l="1"/>
  <c r="P95" i="29"/>
  <c r="AD55" i="43"/>
  <c r="AD56" i="43"/>
  <c r="AC48" i="43"/>
  <c r="AC44" i="43" s="1"/>
  <c r="AC61" i="43" s="1"/>
  <c r="G12" i="54" l="1"/>
  <c r="G11" i="54"/>
  <c r="AD57" i="43"/>
  <c r="G13" i="54" s="1"/>
  <c r="AD58" i="43"/>
  <c r="G14" i="54" s="1"/>
  <c r="AE95" i="5"/>
  <c r="AE114" i="47"/>
  <c r="P94" i="29"/>
  <c r="AE113" i="47"/>
  <c r="AE25" i="7" l="1"/>
  <c r="P93" i="29"/>
  <c r="AF107" i="47"/>
  <c r="AE139" i="5"/>
  <c r="P80" i="29"/>
  <c r="AD72" i="43"/>
  <c r="AD17" i="54" s="1"/>
  <c r="AD25" i="43"/>
  <c r="AD50" i="43"/>
  <c r="AD26" i="43"/>
  <c r="AB40" i="32" s="1"/>
  <c r="AF110" i="47" l="1"/>
  <c r="AB39" i="32"/>
  <c r="AD31" i="43"/>
  <c r="AD34" i="43" s="1"/>
  <c r="AD35" i="43" s="1"/>
  <c r="AD38" i="43" l="1"/>
  <c r="AD39" i="43" s="1"/>
  <c r="AD40" i="43" s="1"/>
  <c r="AD45" i="43"/>
  <c r="AF26" i="6"/>
  <c r="AF111" i="47"/>
  <c r="AF112" i="47" s="1"/>
  <c r="AF109" i="47" l="1"/>
  <c r="AD37" i="43"/>
  <c r="AD42" i="43" s="1"/>
  <c r="AD46" i="43"/>
  <c r="AD47" i="43" s="1"/>
  <c r="AE55" i="43" l="1"/>
  <c r="AE56" i="43"/>
  <c r="AF95" i="5"/>
  <c r="AF114" i="47"/>
  <c r="AF113" i="47"/>
  <c r="AD48" i="43"/>
  <c r="AF25" i="7" l="1"/>
  <c r="AG107" i="47"/>
  <c r="AE57" i="43"/>
  <c r="AE25" i="43" s="1"/>
  <c r="AE58" i="43"/>
  <c r="AE26" i="43" s="1"/>
  <c r="AC40" i="32" s="1"/>
  <c r="AF139" i="5"/>
  <c r="AD44" i="43"/>
  <c r="AD61" i="43" s="1"/>
  <c r="E61" i="43" s="1"/>
  <c r="G52" i="29" s="1"/>
  <c r="AE72" i="43" l="1"/>
  <c r="AE17" i="54" s="1"/>
  <c r="AE50" i="43"/>
  <c r="AC39" i="32"/>
  <c r="AE31" i="43"/>
  <c r="AE34" i="43" s="1"/>
  <c r="AE35" i="43" s="1"/>
  <c r="AG110" i="47"/>
  <c r="AG111" i="47" l="1"/>
  <c r="AG112" i="47" s="1"/>
  <c r="AG26" i="6"/>
  <c r="AE45" i="43"/>
  <c r="AE46" i="43" s="1"/>
  <c r="AE38" i="43"/>
  <c r="AG109" i="47" l="1"/>
  <c r="Q95" i="29"/>
  <c r="AE39" i="43"/>
  <c r="AE40" i="43" s="1"/>
  <c r="AE47" i="43"/>
  <c r="AE37" i="43" l="1"/>
  <c r="AE42" i="43" s="1"/>
  <c r="AF55" i="43"/>
  <c r="AF56" i="43"/>
  <c r="AE48" i="43"/>
  <c r="AG95" i="5"/>
  <c r="AG114" i="47"/>
  <c r="Q94" i="29"/>
  <c r="AG113" i="47"/>
  <c r="AG25" i="7" l="1"/>
  <c r="AH107" i="47"/>
  <c r="Q93" i="29"/>
  <c r="AG139" i="5"/>
  <c r="Q80" i="29"/>
  <c r="AF57" i="43"/>
  <c r="AF25" i="43" s="1"/>
  <c r="AF58" i="43"/>
  <c r="AF26" i="43" s="1"/>
  <c r="AD40" i="32" s="1"/>
  <c r="AE44" i="43"/>
  <c r="AE61" i="43" s="1"/>
  <c r="AF50" i="43" l="1"/>
  <c r="AF72" i="43"/>
  <c r="AF17" i="54" s="1"/>
  <c r="AD39" i="32"/>
  <c r="AF31" i="43"/>
  <c r="AF34" i="43" s="1"/>
  <c r="AF35" i="43" s="1"/>
  <c r="AH110" i="47"/>
  <c r="AH111" i="47" l="1"/>
  <c r="AH112" i="47" s="1"/>
  <c r="AH26" i="6"/>
  <c r="AF38" i="43"/>
  <c r="AF39" i="43" s="1"/>
  <c r="AF40" i="43" s="1"/>
  <c r="AF45" i="43"/>
  <c r="AH109" i="47" l="1"/>
  <c r="AF46" i="43"/>
  <c r="AF37" i="43"/>
  <c r="AF42" i="43" s="1"/>
  <c r="AF47" i="43" l="1"/>
  <c r="AH114" i="47"/>
  <c r="AH95" i="5"/>
  <c r="AH113" i="47"/>
  <c r="AH139" i="5" l="1"/>
  <c r="AH25" i="7"/>
  <c r="AI107" i="47"/>
  <c r="AG55" i="43"/>
  <c r="AG56" i="43"/>
  <c r="AF48" i="43"/>
  <c r="AF44" i="43" s="1"/>
  <c r="AF61" i="43" s="1"/>
  <c r="AG57" i="43" l="1"/>
  <c r="AG25" i="43" s="1"/>
  <c r="AG58" i="43"/>
  <c r="AG26" i="43" s="1"/>
  <c r="AE40" i="32" s="1"/>
  <c r="AI110" i="47"/>
  <c r="AG72" i="43" l="1"/>
  <c r="AG17" i="54" s="1"/>
  <c r="AG50" i="43"/>
  <c r="AE39" i="32"/>
  <c r="AG31" i="43"/>
  <c r="AG34" i="43" s="1"/>
  <c r="AG35" i="43" s="1"/>
  <c r="AI26" i="6"/>
  <c r="AI111" i="47"/>
  <c r="AI112" i="47" s="1"/>
  <c r="AI109" i="47" l="1"/>
  <c r="R95" i="29"/>
  <c r="AG45" i="43"/>
  <c r="AG38" i="43"/>
  <c r="AG39" i="43" s="1"/>
  <c r="AG46" i="43" l="1"/>
  <c r="AG47" i="43" s="1"/>
  <c r="AG40" i="43"/>
  <c r="AG37" i="43" s="1"/>
  <c r="AG42" i="43" s="1"/>
  <c r="AI114" i="47"/>
  <c r="AI95" i="5"/>
  <c r="R94" i="29"/>
  <c r="AI113" i="47"/>
  <c r="AI25" i="7" l="1"/>
  <c r="AJ107" i="47"/>
  <c r="R93" i="29"/>
  <c r="AI139" i="5"/>
  <c r="R80" i="29"/>
  <c r="AH55" i="43"/>
  <c r="AH56" i="43"/>
  <c r="AG48" i="43"/>
  <c r="AH57" i="43" l="1"/>
  <c r="AH25" i="43" s="1"/>
  <c r="AH58" i="43"/>
  <c r="AH26" i="43" s="1"/>
  <c r="AF40" i="32" s="1"/>
  <c r="AJ110" i="47"/>
  <c r="AG44" i="43"/>
  <c r="AG61" i="43" s="1"/>
  <c r="AH72" i="43" l="1"/>
  <c r="AH17" i="54" s="1"/>
  <c r="AH50" i="43"/>
  <c r="AJ26" i="6"/>
  <c r="AJ111" i="47"/>
  <c r="AJ112" i="47" s="1"/>
  <c r="AF39" i="32"/>
  <c r="AH31" i="43"/>
  <c r="AH34" i="43" s="1"/>
  <c r="AH35" i="43" s="1"/>
  <c r="AJ109" i="47" l="1"/>
  <c r="AH38" i="43"/>
  <c r="AH45" i="43"/>
  <c r="AJ95" i="5" l="1"/>
  <c r="AJ114" i="47"/>
  <c r="AJ113" i="47"/>
  <c r="AH39" i="43"/>
  <c r="AH46" i="43"/>
  <c r="AH47" i="43" s="1"/>
  <c r="AI55" i="43" l="1"/>
  <c r="AI56" i="43"/>
  <c r="AH40" i="43"/>
  <c r="AH37" i="43" s="1"/>
  <c r="AH42" i="43" s="1"/>
  <c r="AJ139" i="5"/>
  <c r="AJ25" i="7"/>
  <c r="AK107" i="47"/>
  <c r="AH48" i="43" l="1"/>
  <c r="AH44" i="43" s="1"/>
  <c r="AH61" i="43" s="1"/>
  <c r="AK110" i="47"/>
  <c r="AI58" i="43" l="1"/>
  <c r="AI26" i="43" s="1"/>
  <c r="AG40" i="32" s="1"/>
  <c r="AI57" i="43"/>
  <c r="AK26" i="6"/>
  <c r="AK111" i="47"/>
  <c r="AK112" i="47" s="1"/>
  <c r="AI50" i="43" l="1"/>
  <c r="AI25" i="43"/>
  <c r="AI72" i="43"/>
  <c r="AI17" i="54" s="1"/>
  <c r="AK109" i="47"/>
  <c r="S95" i="29"/>
  <c r="AG39" i="32" l="1"/>
  <c r="AI31" i="43"/>
  <c r="AI34" i="43" s="1"/>
  <c r="AI35" i="43" s="1"/>
  <c r="AK114" i="47"/>
  <c r="AK95" i="5"/>
  <c r="S94" i="29"/>
  <c r="AK113" i="47"/>
  <c r="AI38" i="43" l="1"/>
  <c r="AI39" i="43" s="1"/>
  <c r="AI40" i="43" s="1"/>
  <c r="AI45" i="43"/>
  <c r="AK25" i="7"/>
  <c r="S93" i="29"/>
  <c r="AL107" i="47"/>
  <c r="AK139" i="5"/>
  <c r="S80" i="29"/>
  <c r="AI37" i="43" l="1"/>
  <c r="AI42" i="43" s="1"/>
  <c r="AI46" i="43"/>
  <c r="AI47" i="43" s="1"/>
  <c r="AL110" i="47"/>
  <c r="AJ55" i="43" l="1"/>
  <c r="AJ56" i="43"/>
  <c r="AI48" i="43"/>
  <c r="AL111" i="47"/>
  <c r="AL112" i="47" s="1"/>
  <c r="AL26" i="6"/>
  <c r="AJ57" i="43" l="1"/>
  <c r="AJ58" i="43"/>
  <c r="AJ26" i="43" s="1"/>
  <c r="AI44" i="43"/>
  <c r="AI61" i="43" s="1"/>
  <c r="AL109" i="47"/>
  <c r="D26" i="43" l="1"/>
  <c r="AH40" i="32"/>
  <c r="D40" i="32" s="1"/>
  <c r="AJ25" i="43"/>
  <c r="AJ72" i="43"/>
  <c r="AJ50" i="43"/>
  <c r="AL114" i="47"/>
  <c r="AL95" i="5"/>
  <c r="AL113" i="47"/>
  <c r="AJ17" i="54" l="1"/>
  <c r="D17" i="54" s="1"/>
  <c r="E10" i="54" s="1"/>
  <c r="E59" i="29" s="1"/>
  <c r="D72" i="43"/>
  <c r="AJ31" i="43"/>
  <c r="D25" i="43"/>
  <c r="AH39" i="32"/>
  <c r="D39" i="32" s="1"/>
  <c r="AL139" i="5"/>
  <c r="AL25" i="7"/>
  <c r="AM107" i="47"/>
  <c r="D31" i="43" l="1"/>
  <c r="AJ34" i="43"/>
  <c r="AM110" i="47"/>
  <c r="D34" i="43" l="1"/>
  <c r="AJ35" i="43"/>
  <c r="AM111" i="47"/>
  <c r="AM112" i="47" s="1"/>
  <c r="AM26" i="6"/>
  <c r="AJ38" i="43" l="1"/>
  <c r="D35" i="43"/>
  <c r="AJ45" i="43"/>
  <c r="AM109" i="47"/>
  <c r="T95" i="29"/>
  <c r="AJ46" i="43" l="1"/>
  <c r="AJ47" i="43" s="1"/>
  <c r="D47" i="43" s="1"/>
  <c r="D167" i="32" s="1"/>
  <c r="L39" i="29" s="1"/>
  <c r="D45" i="43"/>
  <c r="AJ39" i="43"/>
  <c r="AJ40" i="43" s="1"/>
  <c r="D40" i="43" s="1"/>
  <c r="D38" i="43"/>
  <c r="AM95" i="5"/>
  <c r="AM114" i="47"/>
  <c r="T94" i="29"/>
  <c r="AM113" i="47"/>
  <c r="D39" i="43" l="1"/>
  <c r="D37" i="43" s="1"/>
  <c r="AJ37" i="43"/>
  <c r="AJ42" i="43" s="1"/>
  <c r="B21" i="7"/>
  <c r="D165" i="32"/>
  <c r="D46" i="43"/>
  <c r="D166" i="32" s="1"/>
  <c r="AJ48" i="43"/>
  <c r="AM25" i="7"/>
  <c r="AN107" i="47"/>
  <c r="T93" i="29"/>
  <c r="AM139" i="5"/>
  <c r="T80" i="29"/>
  <c r="D42" i="43" l="1"/>
  <c r="E42" i="43"/>
  <c r="H52" i="29" s="1"/>
  <c r="D48" i="43"/>
  <c r="D168" i="32" s="1"/>
  <c r="D171" i="32" s="1"/>
  <c r="AJ44" i="43"/>
  <c r="AJ61" i="43" s="1"/>
  <c r="B18" i="42"/>
  <c r="G18" i="42" s="1"/>
  <c r="G17" i="42" s="1"/>
  <c r="G21" i="42" s="1"/>
  <c r="L38" i="29"/>
  <c r="B150" i="5"/>
  <c r="L37" i="29"/>
  <c r="BG21" i="7"/>
  <c r="AR21" i="7"/>
  <c r="AK21" i="7"/>
  <c r="T21" i="7"/>
  <c r="H21" i="7"/>
  <c r="AC21" i="7"/>
  <c r="BL21" i="7"/>
  <c r="Z21" i="7"/>
  <c r="BJ21" i="7"/>
  <c r="AG21" i="7"/>
  <c r="Q21" i="7"/>
  <c r="AT21" i="7"/>
  <c r="AJ21" i="7"/>
  <c r="AB21" i="7"/>
  <c r="O21" i="7"/>
  <c r="BN21" i="7"/>
  <c r="AI21" i="7"/>
  <c r="AE21" i="7"/>
  <c r="K21" i="7"/>
  <c r="AW21" i="7"/>
  <c r="AN21" i="7"/>
  <c r="AA21" i="7"/>
  <c r="J21" i="7"/>
  <c r="AZ21" i="7"/>
  <c r="AP21" i="7"/>
  <c r="L21" i="7"/>
  <c r="AY21" i="7"/>
  <c r="AH21" i="7"/>
  <c r="X21" i="7"/>
  <c r="M21" i="7"/>
  <c r="AO21" i="7"/>
  <c r="V21" i="7"/>
  <c r="BD21" i="7"/>
  <c r="AQ21" i="7"/>
  <c r="AF21" i="7"/>
  <c r="W21" i="7"/>
  <c r="I21" i="7"/>
  <c r="BB21" i="7"/>
  <c r="AS21" i="7"/>
  <c r="G21" i="7"/>
  <c r="BA21" i="7"/>
  <c r="U21" i="7"/>
  <c r="BC21" i="7"/>
  <c r="AD21" i="7"/>
  <c r="AU21" i="7"/>
  <c r="BO21" i="7"/>
  <c r="R21" i="7"/>
  <c r="AM21" i="7"/>
  <c r="AV21" i="7"/>
  <c r="BK21" i="7"/>
  <c r="BI21" i="7"/>
  <c r="P21" i="7"/>
  <c r="AL21" i="7"/>
  <c r="N21" i="7"/>
  <c r="Y21" i="7"/>
  <c r="BH21" i="7"/>
  <c r="S21" i="7"/>
  <c r="BM21" i="7"/>
  <c r="BF21" i="7"/>
  <c r="AX21" i="7"/>
  <c r="BE21" i="7"/>
  <c r="AN110" i="47"/>
  <c r="D97" i="29" l="1"/>
  <c r="E375" i="59"/>
  <c r="L42" i="29"/>
  <c r="L40" i="29"/>
  <c r="D44" i="43"/>
  <c r="H35" i="29"/>
  <c r="H23" i="29"/>
  <c r="H24" i="29"/>
  <c r="AV150" i="5"/>
  <c r="BD150" i="5"/>
  <c r="L150" i="5"/>
  <c r="AE150" i="5"/>
  <c r="M150" i="5"/>
  <c r="AP150" i="5"/>
  <c r="BA150" i="5"/>
  <c r="AU150" i="5"/>
  <c r="AA150" i="5"/>
  <c r="AO150" i="5"/>
  <c r="AX150" i="5"/>
  <c r="J150" i="5"/>
  <c r="BK150" i="5"/>
  <c r="AZ150" i="5"/>
  <c r="U150" i="5"/>
  <c r="AG150" i="5"/>
  <c r="AQ150" i="5"/>
  <c r="BH150" i="5"/>
  <c r="AR150" i="5"/>
  <c r="AY150" i="5"/>
  <c r="BJ150" i="5"/>
  <c r="P150" i="5"/>
  <c r="AT150" i="5"/>
  <c r="S150" i="5"/>
  <c r="W150" i="5"/>
  <c r="BB150" i="5"/>
  <c r="BF150" i="5"/>
  <c r="BL150" i="5"/>
  <c r="BE150" i="5"/>
  <c r="AI150" i="5"/>
  <c r="AC150" i="5"/>
  <c r="AB150" i="5"/>
  <c r="AN150" i="5"/>
  <c r="X150" i="5"/>
  <c r="AL150" i="5"/>
  <c r="BO150" i="5"/>
  <c r="Y150" i="5"/>
  <c r="Z150" i="5"/>
  <c r="AF150" i="5"/>
  <c r="K150" i="5"/>
  <c r="BG150" i="5"/>
  <c r="AJ150" i="5"/>
  <c r="G150" i="5"/>
  <c r="G149" i="5" s="1"/>
  <c r="G153" i="5" s="1"/>
  <c r="H150" i="5"/>
  <c r="AM150" i="5"/>
  <c r="AW150" i="5"/>
  <c r="O150" i="5"/>
  <c r="Q150" i="5"/>
  <c r="I150" i="5"/>
  <c r="AS150" i="5"/>
  <c r="BM150" i="5"/>
  <c r="BN150" i="5"/>
  <c r="AD150" i="5"/>
  <c r="AH150" i="5"/>
  <c r="AK150" i="5"/>
  <c r="BC150" i="5"/>
  <c r="V150" i="5"/>
  <c r="R150" i="5"/>
  <c r="BI150" i="5"/>
  <c r="N150" i="5"/>
  <c r="T150" i="5"/>
  <c r="AN26" i="6"/>
  <c r="AN111" i="47"/>
  <c r="AN112" i="47" s="1"/>
  <c r="H33" i="29" l="1"/>
  <c r="H34" i="29" s="1"/>
  <c r="H9" i="29"/>
  <c r="E372" i="59"/>
  <c r="C168" i="32"/>
  <c r="C165" i="32"/>
  <c r="K37" i="29" s="1"/>
  <c r="C166" i="32"/>
  <c r="K38" i="29" s="1"/>
  <c r="C167" i="32"/>
  <c r="K39" i="29" s="1"/>
  <c r="H171" i="32"/>
  <c r="E52" i="29" s="1"/>
  <c r="D52" i="29" s="1"/>
  <c r="C52" i="29" s="1"/>
  <c r="H11" i="29"/>
  <c r="G152" i="5"/>
  <c r="G123" i="5"/>
  <c r="G125" i="5" s="1"/>
  <c r="G48" i="6"/>
  <c r="AN109" i="47"/>
  <c r="E225" i="32" l="1"/>
  <c r="F225" i="32" s="1"/>
  <c r="H68" i="29" s="1"/>
  <c r="K40" i="29"/>
  <c r="H8" i="29" s="1"/>
  <c r="G126" i="5"/>
  <c r="G128" i="5"/>
  <c r="G129" i="5" s="1"/>
  <c r="G50" i="6"/>
  <c r="H151" i="5"/>
  <c r="G22" i="7"/>
  <c r="AN114" i="47"/>
  <c r="AN95" i="5"/>
  <c r="AN113" i="47"/>
  <c r="H149" i="5" l="1"/>
  <c r="G15" i="42"/>
  <c r="G130" i="5"/>
  <c r="AN25" i="7"/>
  <c r="AO107" i="47"/>
  <c r="AN139" i="5"/>
  <c r="D83" i="29" l="1"/>
  <c r="G14" i="42"/>
  <c r="G132" i="5"/>
  <c r="G155" i="5"/>
  <c r="AO110" i="47"/>
  <c r="G154" i="5" l="1"/>
  <c r="G23" i="7" s="1"/>
  <c r="G49" i="6"/>
  <c r="G52" i="6" s="1"/>
  <c r="G157" i="5"/>
  <c r="G144" i="5"/>
  <c r="D84" i="29"/>
  <c r="AO111" i="47"/>
  <c r="AO112" i="47" s="1"/>
  <c r="AO26" i="6"/>
  <c r="G39" i="7" l="1"/>
  <c r="G20" i="7"/>
  <c r="G44" i="7"/>
  <c r="G45" i="7" s="1"/>
  <c r="G56" i="6" s="1"/>
  <c r="G57" i="6" s="1"/>
  <c r="G41" i="7"/>
  <c r="G145" i="5"/>
  <c r="H28" i="6"/>
  <c r="G29" i="7"/>
  <c r="G31" i="7" s="1"/>
  <c r="G36" i="7" s="1"/>
  <c r="G38" i="7" s="1"/>
  <c r="G15" i="7"/>
  <c r="G17" i="7" s="1"/>
  <c r="H20" i="6"/>
  <c r="H21" i="6" s="1"/>
  <c r="AO109" i="47"/>
  <c r="U95" i="29"/>
  <c r="H76" i="5" l="1"/>
  <c r="G58" i="6"/>
  <c r="G54" i="6" s="1"/>
  <c r="G34" i="6" s="1"/>
  <c r="G35" i="6" s="1"/>
  <c r="H36" i="6" s="1"/>
  <c r="G33" i="7"/>
  <c r="H30" i="6"/>
  <c r="AO95" i="5"/>
  <c r="AO114" i="47"/>
  <c r="U94" i="29"/>
  <c r="AO113" i="47"/>
  <c r="H32" i="6" l="1"/>
  <c r="H46" i="6" s="1"/>
  <c r="H117" i="5" s="1"/>
  <c r="H153" i="5" s="1"/>
  <c r="H79" i="5"/>
  <c r="H142" i="5" s="1"/>
  <c r="H135" i="5"/>
  <c r="G41" i="6"/>
  <c r="G43" i="6" s="1"/>
  <c r="AO25" i="7"/>
  <c r="AP107" i="47"/>
  <c r="U93" i="29"/>
  <c r="AO139" i="5"/>
  <c r="U80" i="29"/>
  <c r="G37" i="54" l="1"/>
  <c r="H147" i="5"/>
  <c r="H37" i="6"/>
  <c r="H38" i="6" s="1"/>
  <c r="H39" i="6" s="1"/>
  <c r="H120" i="5"/>
  <c r="H48" i="6"/>
  <c r="H152" i="5"/>
  <c r="I151" i="5" s="1"/>
  <c r="H141" i="5"/>
  <c r="H138" i="5" s="1"/>
  <c r="H159" i="5" s="1"/>
  <c r="H81" i="5"/>
  <c r="H82" i="5" s="1"/>
  <c r="H90" i="5" s="1"/>
  <c r="H92" i="5" s="1"/>
  <c r="H94" i="5" s="1"/>
  <c r="H49" i="54"/>
  <c r="AP110" i="47"/>
  <c r="H22" i="7" l="1"/>
  <c r="H91" i="5"/>
  <c r="H12" i="7" s="1"/>
  <c r="H96" i="5"/>
  <c r="H97" i="5" s="1"/>
  <c r="H104" i="5" s="1"/>
  <c r="AP26" i="6"/>
  <c r="AP111" i="47"/>
  <c r="AP112" i="47" s="1"/>
  <c r="I149" i="5" l="1"/>
  <c r="AP109" i="47"/>
  <c r="H106" i="5"/>
  <c r="H105" i="5"/>
  <c r="I101" i="5" l="1"/>
  <c r="H13" i="7"/>
  <c r="I19" i="6"/>
  <c r="AP114" i="47"/>
  <c r="AP95" i="5"/>
  <c r="AP113" i="47"/>
  <c r="H108" i="5"/>
  <c r="H109" i="5" l="1"/>
  <c r="H112" i="5" s="1"/>
  <c r="AP25" i="7"/>
  <c r="AQ107" i="47"/>
  <c r="AP139" i="5"/>
  <c r="I103" i="5"/>
  <c r="H118" i="47" l="1"/>
  <c r="AQ110" i="47"/>
  <c r="H110" i="5"/>
  <c r="H14" i="7" s="1"/>
  <c r="AQ26" i="6" l="1"/>
  <c r="AQ111" i="47"/>
  <c r="AQ112" i="47" s="1"/>
  <c r="H120" i="47"/>
  <c r="H119" i="47"/>
  <c r="AQ109" i="47" l="1"/>
  <c r="V95" i="29"/>
  <c r="H152" i="47"/>
  <c r="H163" i="47"/>
  <c r="H141" i="47"/>
  <c r="H162" i="47"/>
  <c r="H140" i="47"/>
  <c r="H151" i="47"/>
  <c r="H128" i="47" l="1"/>
  <c r="H72" i="42"/>
  <c r="H73" i="42"/>
  <c r="H71" i="42"/>
  <c r="H127" i="47"/>
  <c r="H142" i="47"/>
  <c r="H143" i="47"/>
  <c r="H55" i="42"/>
  <c r="H54" i="42"/>
  <c r="H153" i="47"/>
  <c r="I147" i="47" s="1"/>
  <c r="H37" i="42"/>
  <c r="H36" i="42"/>
  <c r="H35" i="42"/>
  <c r="H154" i="47"/>
  <c r="H53" i="42"/>
  <c r="H164" i="47"/>
  <c r="I158" i="47" s="1"/>
  <c r="H165" i="47"/>
  <c r="AQ95" i="5"/>
  <c r="AQ114" i="47"/>
  <c r="V94" i="29"/>
  <c r="AQ113" i="47"/>
  <c r="G62" i="42" l="1"/>
  <c r="G63" i="42"/>
  <c r="I136" i="47"/>
  <c r="H129" i="47"/>
  <c r="H18" i="42"/>
  <c r="H130" i="47"/>
  <c r="H131" i="47"/>
  <c r="H114" i="5" s="1"/>
  <c r="G79" i="42"/>
  <c r="AQ139" i="5"/>
  <c r="V80" i="29"/>
  <c r="I160" i="47"/>
  <c r="G44" i="42"/>
  <c r="G81" i="42"/>
  <c r="G61" i="42"/>
  <c r="AQ25" i="7"/>
  <c r="V93" i="29"/>
  <c r="AR107" i="47"/>
  <c r="G80" i="42"/>
  <c r="G45" i="42"/>
  <c r="I149" i="47"/>
  <c r="G43" i="42"/>
  <c r="H19" i="42"/>
  <c r="H109" i="42" s="1"/>
  <c r="I161" i="47" l="1"/>
  <c r="I150" i="47"/>
  <c r="H116" i="5"/>
  <c r="H118" i="5"/>
  <c r="H17" i="42"/>
  <c r="G25" i="42"/>
  <c r="G108" i="42" s="1"/>
  <c r="I135" i="47"/>
  <c r="I146" i="47"/>
  <c r="I157" i="47"/>
  <c r="H24" i="7"/>
  <c r="I123" i="47"/>
  <c r="I138" i="47"/>
  <c r="AR110" i="47"/>
  <c r="G26" i="42"/>
  <c r="G24" i="42" l="1"/>
  <c r="AR26" i="6"/>
  <c r="AR111" i="47"/>
  <c r="AR112" i="47" s="1"/>
  <c r="H121" i="5"/>
  <c r="H123" i="5"/>
  <c r="I125" i="47"/>
  <c r="I139" i="47"/>
  <c r="I126" i="47" s="1"/>
  <c r="H125" i="5" l="1"/>
  <c r="AR109" i="47"/>
  <c r="I27" i="6"/>
  <c r="I59" i="6" s="1"/>
  <c r="I113" i="5"/>
  <c r="I12" i="6" l="1"/>
  <c r="I14" i="6" s="1"/>
  <c r="I16" i="6" s="1"/>
  <c r="I136" i="5" s="1"/>
  <c r="I167" i="5" s="1"/>
  <c r="AR95" i="5"/>
  <c r="AR114" i="47"/>
  <c r="AR113" i="47"/>
  <c r="H50" i="6"/>
  <c r="H128" i="5"/>
  <c r="H129" i="5" s="1"/>
  <c r="H126" i="5"/>
  <c r="H15" i="42" l="1"/>
  <c r="H20" i="42" s="1"/>
  <c r="H130" i="5"/>
  <c r="AR25" i="7"/>
  <c r="AS107" i="47"/>
  <c r="AR139" i="5"/>
  <c r="AS110" i="47" l="1"/>
  <c r="H56" i="42"/>
  <c r="H14" i="42"/>
  <c r="H155" i="5"/>
  <c r="H132" i="5"/>
  <c r="G27" i="42"/>
  <c r="G110" i="42" s="1"/>
  <c r="H21" i="42"/>
  <c r="G28" i="42" l="1"/>
  <c r="H144" i="5"/>
  <c r="H49" i="6"/>
  <c r="H52" i="6" s="1"/>
  <c r="H154" i="5"/>
  <c r="H157" i="5"/>
  <c r="H74" i="42"/>
  <c r="H75" i="42"/>
  <c r="H57" i="42"/>
  <c r="H38" i="42"/>
  <c r="H39" i="42"/>
  <c r="G64" i="42"/>
  <c r="G66" i="42" s="1"/>
  <c r="H58" i="42"/>
  <c r="AS26" i="6"/>
  <c r="AS111" i="47"/>
  <c r="AS112" i="47" s="1"/>
  <c r="G29" i="42" l="1"/>
  <c r="G111" i="42"/>
  <c r="AS109" i="47"/>
  <c r="W95" i="29"/>
  <c r="H23" i="7"/>
  <c r="H20" i="7" s="1"/>
  <c r="G46" i="42"/>
  <c r="G48" i="42" s="1"/>
  <c r="H40" i="42"/>
  <c r="G47" i="42"/>
  <c r="G49" i="42" s="1"/>
  <c r="G83" i="42"/>
  <c r="G65" i="42"/>
  <c r="G67" i="42" s="1"/>
  <c r="G82" i="42"/>
  <c r="G84" i="42" s="1"/>
  <c r="H76" i="42"/>
  <c r="H15" i="7"/>
  <c r="H17" i="7" s="1"/>
  <c r="H29" i="7"/>
  <c r="I20" i="6"/>
  <c r="I28" i="6"/>
  <c r="H145" i="5"/>
  <c r="B121" i="42" l="1"/>
  <c r="G113" i="42"/>
  <c r="G85" i="42"/>
  <c r="I21" i="6"/>
  <c r="I76" i="5" s="1"/>
  <c r="H31" i="7"/>
  <c r="H36" i="7" s="1"/>
  <c r="H38" i="7" s="1"/>
  <c r="H39" i="7"/>
  <c r="H41" i="7"/>
  <c r="H44" i="7"/>
  <c r="H45" i="7" s="1"/>
  <c r="H56" i="6" s="1"/>
  <c r="AS114" i="47"/>
  <c r="AS95" i="5"/>
  <c r="W94" i="29"/>
  <c r="AS113" i="47"/>
  <c r="B122" i="42" l="1"/>
  <c r="I30" i="6"/>
  <c r="I135" i="5"/>
  <c r="I79" i="5"/>
  <c r="E76" i="29"/>
  <c r="E77" i="29"/>
  <c r="AS25" i="7"/>
  <c r="AT107" i="47"/>
  <c r="W93" i="29"/>
  <c r="H33" i="7"/>
  <c r="H58" i="6"/>
  <c r="H57" i="6"/>
  <c r="AS139" i="5"/>
  <c r="W80" i="29"/>
  <c r="I32" i="6" l="1"/>
  <c r="I46" i="6" s="1"/>
  <c r="I117" i="5" s="1"/>
  <c r="I153" i="5" s="1"/>
  <c r="AT110" i="47"/>
  <c r="I49" i="54"/>
  <c r="I141" i="5"/>
  <c r="I142" i="5"/>
  <c r="I81" i="5"/>
  <c r="I82" i="5" s="1"/>
  <c r="I90" i="5" s="1"/>
  <c r="H54" i="6"/>
  <c r="H34" i="6" s="1"/>
  <c r="H35" i="6" s="1"/>
  <c r="I120" i="5" l="1"/>
  <c r="I147" i="5"/>
  <c r="E86" i="29"/>
  <c r="I138" i="5"/>
  <c r="I48" i="6"/>
  <c r="I152" i="5"/>
  <c r="AT26" i="6"/>
  <c r="AT111" i="47"/>
  <c r="AT112" i="47" s="1"/>
  <c r="I36" i="6"/>
  <c r="I37" i="6" s="1"/>
  <c r="H41" i="6"/>
  <c r="I91" i="5"/>
  <c r="I92" i="5"/>
  <c r="AT109" i="47" l="1"/>
  <c r="I12" i="7"/>
  <c r="J151" i="5"/>
  <c r="I22" i="7"/>
  <c r="I38" i="6"/>
  <c r="I39" i="6" s="1"/>
  <c r="I159" i="5"/>
  <c r="I94" i="5"/>
  <c r="H43" i="6"/>
  <c r="H37" i="54" l="1"/>
  <c r="J149" i="5"/>
  <c r="AT95" i="5"/>
  <c r="AT114" i="47"/>
  <c r="AT113" i="47"/>
  <c r="I96" i="5"/>
  <c r="I97" i="5" s="1"/>
  <c r="I104" i="5" s="1"/>
  <c r="I105" i="5" l="1"/>
  <c r="I106" i="5"/>
  <c r="AT25" i="7"/>
  <c r="AU107" i="47"/>
  <c r="AT139" i="5"/>
  <c r="AU110" i="47" l="1"/>
  <c r="E81" i="29"/>
  <c r="I108" i="5"/>
  <c r="J101" i="5"/>
  <c r="I13" i="7"/>
  <c r="J19" i="6"/>
  <c r="J103" i="5" l="1"/>
  <c r="I109" i="5"/>
  <c r="I112" i="5" s="1"/>
  <c r="AU111" i="47"/>
  <c r="AU112" i="47" s="1"/>
  <c r="AU26" i="6"/>
  <c r="AU109" i="47" l="1"/>
  <c r="X95" i="29"/>
  <c r="I118" i="47"/>
  <c r="I110" i="5"/>
  <c r="I14" i="7" s="1"/>
  <c r="I120" i="47" l="1"/>
  <c r="I119" i="47"/>
  <c r="AU95" i="5"/>
  <c r="AU114" i="47"/>
  <c r="X94" i="29"/>
  <c r="AU113" i="47"/>
  <c r="AU25" i="7" l="1"/>
  <c r="AV107" i="47"/>
  <c r="X93" i="29"/>
  <c r="AU139" i="5"/>
  <c r="X80" i="29"/>
  <c r="I163" i="47"/>
  <c r="I152" i="47"/>
  <c r="I141" i="47"/>
  <c r="I162" i="47"/>
  <c r="I151" i="47"/>
  <c r="I140" i="47"/>
  <c r="I53" i="42" l="1"/>
  <c r="I164" i="47"/>
  <c r="J158" i="47" s="1"/>
  <c r="I165" i="47"/>
  <c r="I153" i="47"/>
  <c r="J147" i="47" s="1"/>
  <c r="I37" i="42"/>
  <c r="I36" i="42"/>
  <c r="I55" i="42"/>
  <c r="I54" i="42"/>
  <c r="I128" i="47"/>
  <c r="I73" i="42"/>
  <c r="I72" i="42"/>
  <c r="AV110" i="47"/>
  <c r="I35" i="42"/>
  <c r="I154" i="47"/>
  <c r="I71" i="42"/>
  <c r="I127" i="47"/>
  <c r="I142" i="47"/>
  <c r="I143" i="47"/>
  <c r="E100" i="29" l="1"/>
  <c r="I19" i="42"/>
  <c r="I109" i="42" s="1"/>
  <c r="H79" i="42"/>
  <c r="H44" i="42"/>
  <c r="I129" i="47"/>
  <c r="J136" i="47"/>
  <c r="H63" i="42"/>
  <c r="J149" i="47"/>
  <c r="J160" i="47"/>
  <c r="H45" i="42"/>
  <c r="H62" i="42"/>
  <c r="I18" i="42"/>
  <c r="E98" i="29"/>
  <c r="I130" i="47"/>
  <c r="I131" i="47"/>
  <c r="I114" i="5" s="1"/>
  <c r="H43" i="42"/>
  <c r="AV111" i="47"/>
  <c r="AV112" i="47" s="1"/>
  <c r="AV26" i="6"/>
  <c r="H80" i="42"/>
  <c r="H81" i="42"/>
  <c r="H61" i="42"/>
  <c r="E99" i="29" l="1"/>
  <c r="AV109" i="47"/>
  <c r="J123" i="47"/>
  <c r="J138" i="47"/>
  <c r="I17" i="42"/>
  <c r="H25" i="42"/>
  <c r="H108" i="42" s="1"/>
  <c r="I24" i="7"/>
  <c r="J135" i="47"/>
  <c r="J157" i="47"/>
  <c r="E97" i="29"/>
  <c r="J146" i="47"/>
  <c r="J161" i="47"/>
  <c r="H26" i="42"/>
  <c r="J150" i="47"/>
  <c r="E82" i="29"/>
  <c r="I116" i="5"/>
  <c r="I118" i="5"/>
  <c r="H24" i="42" l="1"/>
  <c r="I121" i="5"/>
  <c r="I123" i="5"/>
  <c r="J125" i="47"/>
  <c r="J139" i="47"/>
  <c r="J126" i="47" s="1"/>
  <c r="AV95" i="5"/>
  <c r="AV114" i="47"/>
  <c r="AV113" i="47"/>
  <c r="I125" i="5" l="1"/>
  <c r="I126" i="5" s="1"/>
  <c r="J27" i="6"/>
  <c r="J59" i="6" s="1"/>
  <c r="AV139" i="5"/>
  <c r="AV25" i="7"/>
  <c r="AW107" i="47"/>
  <c r="J113" i="5"/>
  <c r="I50" i="6" l="1"/>
  <c r="I128" i="5"/>
  <c r="I129" i="5" s="1"/>
  <c r="I130" i="5" s="1"/>
  <c r="J12" i="6"/>
  <c r="J14" i="6" s="1"/>
  <c r="J16" i="6" s="1"/>
  <c r="J136" i="5" s="1"/>
  <c r="J167" i="5" s="1"/>
  <c r="AW110" i="47"/>
  <c r="I15" i="42" l="1"/>
  <c r="I20" i="42" s="1"/>
  <c r="AW111" i="47"/>
  <c r="AW112" i="47" s="1"/>
  <c r="AW26" i="6"/>
  <c r="I14" i="42"/>
  <c r="I56" i="42"/>
  <c r="E83" i="29"/>
  <c r="I155" i="5"/>
  <c r="I132" i="5"/>
  <c r="H27" i="42" l="1"/>
  <c r="I21" i="42"/>
  <c r="E84" i="29"/>
  <c r="I144" i="5"/>
  <c r="I49" i="6"/>
  <c r="I52" i="6" s="1"/>
  <c r="I154" i="5"/>
  <c r="I157" i="5"/>
  <c r="H64" i="42"/>
  <c r="H66" i="42" s="1"/>
  <c r="I58" i="42"/>
  <c r="I39" i="42"/>
  <c r="I74" i="42"/>
  <c r="I75" i="42"/>
  <c r="I57" i="42"/>
  <c r="I38" i="42"/>
  <c r="AW109" i="47"/>
  <c r="Y95" i="29"/>
  <c r="H28" i="42" l="1"/>
  <c r="H110" i="42"/>
  <c r="H83" i="42"/>
  <c r="H82" i="42"/>
  <c r="H84" i="42" s="1"/>
  <c r="I76" i="42"/>
  <c r="H47" i="42"/>
  <c r="H49" i="42" s="1"/>
  <c r="H65" i="42"/>
  <c r="H67" i="42" s="1"/>
  <c r="I23" i="7"/>
  <c r="I20" i="7" s="1"/>
  <c r="J28" i="6"/>
  <c r="J20" i="6"/>
  <c r="I145" i="5"/>
  <c r="I15" i="7"/>
  <c r="I17" i="7" s="1"/>
  <c r="I29" i="7"/>
  <c r="AW114" i="47"/>
  <c r="AW95" i="5"/>
  <c r="Y94" i="29"/>
  <c r="AW113" i="47"/>
  <c r="H46" i="42"/>
  <c r="H48" i="42" s="1"/>
  <c r="I40" i="42"/>
  <c r="H111" i="42" l="1"/>
  <c r="H29" i="42"/>
  <c r="AW139" i="5"/>
  <c r="Y80" i="29"/>
  <c r="I31" i="7"/>
  <c r="I33" i="7" s="1"/>
  <c r="I41" i="7"/>
  <c r="I39" i="7"/>
  <c r="I44" i="7"/>
  <c r="I45" i="7" s="1"/>
  <c r="I56" i="6" s="1"/>
  <c r="J21" i="6"/>
  <c r="J30" i="6" s="1"/>
  <c r="H85" i="42"/>
  <c r="AW25" i="7"/>
  <c r="Y93" i="29"/>
  <c r="AX107" i="47"/>
  <c r="J32" i="6" l="1"/>
  <c r="J46" i="6" s="1"/>
  <c r="J117" i="5" s="1"/>
  <c r="H113" i="42"/>
  <c r="I36" i="7"/>
  <c r="I38" i="7" s="1"/>
  <c r="J76" i="5"/>
  <c r="I58" i="6"/>
  <c r="I57" i="6"/>
  <c r="AX110" i="47"/>
  <c r="J147" i="5" l="1"/>
  <c r="I54" i="6"/>
  <c r="I34" i="6" s="1"/>
  <c r="I35" i="6" s="1"/>
  <c r="J36" i="6" s="1"/>
  <c r="J37" i="6" s="1"/>
  <c r="J79" i="5"/>
  <c r="J135" i="5"/>
  <c r="J153" i="5"/>
  <c r="J120" i="5"/>
  <c r="AX26" i="6"/>
  <c r="AX111" i="47"/>
  <c r="AX112" i="47" s="1"/>
  <c r="I41" i="6" l="1"/>
  <c r="I43" i="6" s="1"/>
  <c r="J141" i="5"/>
  <c r="J142" i="5"/>
  <c r="J49" i="54"/>
  <c r="J81" i="5"/>
  <c r="J82" i="5" s="1"/>
  <c r="J90" i="5" s="1"/>
  <c r="AX109" i="47"/>
  <c r="J38" i="6"/>
  <c r="J39" i="6" s="1"/>
  <c r="J48" i="6"/>
  <c r="J152" i="5"/>
  <c r="I37" i="54" l="1"/>
  <c r="AX95" i="5"/>
  <c r="AX114" i="47"/>
  <c r="AX113" i="47"/>
  <c r="J22" i="7"/>
  <c r="K151" i="5"/>
  <c r="J91" i="5"/>
  <c r="J92" i="5"/>
  <c r="J138" i="5"/>
  <c r="J159" i="5" l="1"/>
  <c r="J12" i="7"/>
  <c r="J94" i="5"/>
  <c r="K149" i="5"/>
  <c r="AX25" i="7"/>
  <c r="AY107" i="47"/>
  <c r="AX139" i="5"/>
  <c r="AY110" i="47" l="1"/>
  <c r="J96" i="5"/>
  <c r="J97" i="5" s="1"/>
  <c r="J104" i="5" s="1"/>
  <c r="J105" i="5" l="1"/>
  <c r="J106" i="5"/>
  <c r="AY111" i="47"/>
  <c r="AY112" i="47" s="1"/>
  <c r="AY26" i="6"/>
  <c r="AY109" i="47" l="1"/>
  <c r="Z95" i="29"/>
  <c r="J108" i="5"/>
  <c r="K101" i="5"/>
  <c r="K19" i="6"/>
  <c r="J13" i="7"/>
  <c r="J109" i="5" l="1"/>
  <c r="J112" i="5" s="1"/>
  <c r="K103" i="5"/>
  <c r="AY95" i="5"/>
  <c r="AY114" i="47"/>
  <c r="Z94" i="29"/>
  <c r="AY113" i="47"/>
  <c r="J118" i="47" l="1"/>
  <c r="AY139" i="5"/>
  <c r="Z80" i="29"/>
  <c r="J110" i="5"/>
  <c r="J14" i="7" s="1"/>
  <c r="AY25" i="7"/>
  <c r="AZ107" i="47"/>
  <c r="Z93" i="29"/>
  <c r="AZ110" i="47" l="1"/>
  <c r="J119" i="47"/>
  <c r="J120" i="47"/>
  <c r="J151" i="47" l="1"/>
  <c r="J140" i="47"/>
  <c r="J162" i="47"/>
  <c r="J152" i="47"/>
  <c r="J163" i="47"/>
  <c r="J141" i="47"/>
  <c r="AZ111" i="47"/>
  <c r="AZ112" i="47" s="1"/>
  <c r="AZ26" i="6"/>
  <c r="AZ109" i="47" l="1"/>
  <c r="J55" i="42"/>
  <c r="J54" i="42"/>
  <c r="J128" i="47"/>
  <c r="J73" i="42"/>
  <c r="J72" i="42"/>
  <c r="J153" i="47"/>
  <c r="K147" i="47" s="1"/>
  <c r="J37" i="42"/>
  <c r="J36" i="42"/>
  <c r="J53" i="42"/>
  <c r="J164" i="47"/>
  <c r="K158" i="47" s="1"/>
  <c r="J165" i="47"/>
  <c r="J71" i="42"/>
  <c r="J127" i="47"/>
  <c r="J142" i="47"/>
  <c r="J143" i="47"/>
  <c r="J35" i="42"/>
  <c r="J154" i="47"/>
  <c r="I80" i="42" l="1"/>
  <c r="I45" i="42"/>
  <c r="I43" i="42"/>
  <c r="I81" i="42"/>
  <c r="I79" i="42"/>
  <c r="I62" i="42"/>
  <c r="I63" i="42"/>
  <c r="I61" i="42"/>
  <c r="AZ114" i="47"/>
  <c r="AZ95" i="5"/>
  <c r="AZ113" i="47"/>
  <c r="K149" i="47"/>
  <c r="K136" i="47"/>
  <c r="J129" i="47"/>
  <c r="J18" i="42"/>
  <c r="J131" i="47"/>
  <c r="J114" i="5" s="1"/>
  <c r="J130" i="47"/>
  <c r="J19" i="42"/>
  <c r="J109" i="42" s="1"/>
  <c r="K160" i="47"/>
  <c r="I44" i="42"/>
  <c r="AZ25" i="7" l="1"/>
  <c r="BA107" i="47"/>
  <c r="J17" i="42"/>
  <c r="I25" i="42"/>
  <c r="I108" i="42" s="1"/>
  <c r="K157" i="47"/>
  <c r="K135" i="47"/>
  <c r="K146" i="47"/>
  <c r="J24" i="7"/>
  <c r="J116" i="5"/>
  <c r="J118" i="5"/>
  <c r="AZ139" i="5"/>
  <c r="K161" i="47"/>
  <c r="K138" i="47"/>
  <c r="K123" i="47"/>
  <c r="I26" i="42"/>
  <c r="K150" i="47"/>
  <c r="I24" i="42" l="1"/>
  <c r="BA110" i="47"/>
  <c r="K139" i="47"/>
  <c r="K126" i="47" s="1"/>
  <c r="K125" i="47"/>
  <c r="J121" i="5"/>
  <c r="J123" i="5"/>
  <c r="J125" i="5" l="1"/>
  <c r="J50" i="6" s="1"/>
  <c r="K113" i="5"/>
  <c r="BA111" i="47"/>
  <c r="BA112" i="47" s="1"/>
  <c r="BA26" i="6"/>
  <c r="K27" i="6"/>
  <c r="K59" i="6" s="1"/>
  <c r="J128" i="5" l="1"/>
  <c r="J129" i="5" s="1"/>
  <c r="J130" i="5" s="1"/>
  <c r="J126" i="5"/>
  <c r="BA109" i="47"/>
  <c r="AA95" i="29"/>
  <c r="K12" i="6"/>
  <c r="K14" i="6" s="1"/>
  <c r="K16" i="6" s="1"/>
  <c r="K136" i="5" s="1"/>
  <c r="K167" i="5" s="1"/>
  <c r="J15" i="42" l="1"/>
  <c r="J20" i="42" s="1"/>
  <c r="J14" i="42"/>
  <c r="J56" i="42"/>
  <c r="J155" i="5"/>
  <c r="J132" i="5"/>
  <c r="BA95" i="5"/>
  <c r="BA114" i="47"/>
  <c r="AA94" i="29"/>
  <c r="BA113" i="47"/>
  <c r="I27" i="42" l="1"/>
  <c r="J21" i="42"/>
  <c r="BA139" i="5"/>
  <c r="AA80" i="29"/>
  <c r="J144" i="5"/>
  <c r="J49" i="6"/>
  <c r="J52" i="6" s="1"/>
  <c r="J154" i="5"/>
  <c r="J157" i="5"/>
  <c r="I64" i="42"/>
  <c r="I66" i="42" s="1"/>
  <c r="J58" i="42"/>
  <c r="J38" i="42"/>
  <c r="J39" i="42"/>
  <c r="J74" i="42"/>
  <c r="J75" i="42"/>
  <c r="J57" i="42"/>
  <c r="BA25" i="7"/>
  <c r="AA93" i="29"/>
  <c r="BB107" i="47"/>
  <c r="I28" i="42" l="1"/>
  <c r="I110" i="42"/>
  <c r="I46" i="42"/>
  <c r="I48" i="42" s="1"/>
  <c r="J40" i="42"/>
  <c r="I47" i="42"/>
  <c r="I49" i="42" s="1"/>
  <c r="J23" i="7"/>
  <c r="J20" i="7" s="1"/>
  <c r="J145" i="5"/>
  <c r="K20" i="6"/>
  <c r="J29" i="7"/>
  <c r="J15" i="7"/>
  <c r="J17" i="7" s="1"/>
  <c r="K28" i="6"/>
  <c r="I82" i="42"/>
  <c r="I84" i="42" s="1"/>
  <c r="J76" i="42"/>
  <c r="BB110" i="47"/>
  <c r="I65" i="42"/>
  <c r="I67" i="42" s="1"/>
  <c r="I83" i="42"/>
  <c r="I29" i="42" l="1"/>
  <c r="I111" i="42"/>
  <c r="K21" i="6"/>
  <c r="K76" i="5" s="1"/>
  <c r="J39" i="7"/>
  <c r="J41" i="7"/>
  <c r="J31" i="7"/>
  <c r="J33" i="7" s="1"/>
  <c r="J44" i="7"/>
  <c r="J45" i="7" s="1"/>
  <c r="J56" i="6" s="1"/>
  <c r="BB111" i="47"/>
  <c r="BB112" i="47" s="1"/>
  <c r="BB26" i="6"/>
  <c r="I85" i="42"/>
  <c r="I113" i="42" l="1"/>
  <c r="K79" i="5"/>
  <c r="K135" i="5"/>
  <c r="F77" i="29"/>
  <c r="F76" i="29"/>
  <c r="BB109" i="47"/>
  <c r="J58" i="6"/>
  <c r="J57" i="6"/>
  <c r="K30" i="6"/>
  <c r="K32" i="6" s="1"/>
  <c r="K46" i="6" s="1"/>
  <c r="J36" i="7"/>
  <c r="J38" i="7" s="1"/>
  <c r="J54" i="6" l="1"/>
  <c r="J34" i="6" s="1"/>
  <c r="J35" i="6" s="1"/>
  <c r="K36" i="6" s="1"/>
  <c r="K37" i="6" s="1"/>
  <c r="K117" i="5"/>
  <c r="K147" i="5"/>
  <c r="BB114" i="47"/>
  <c r="BB95" i="5"/>
  <c r="BB113" i="47"/>
  <c r="K141" i="5"/>
  <c r="K49" i="54"/>
  <c r="K142" i="5"/>
  <c r="K81" i="5"/>
  <c r="K82" i="5" s="1"/>
  <c r="K90" i="5" s="1"/>
  <c r="J41" i="6" l="1"/>
  <c r="J43" i="6" s="1"/>
  <c r="K92" i="5"/>
  <c r="K91" i="5"/>
  <c r="K38" i="6"/>
  <c r="K39" i="6" s="1"/>
  <c r="BB25" i="7"/>
  <c r="BC107" i="47"/>
  <c r="F86" i="29"/>
  <c r="K138" i="5"/>
  <c r="K120" i="5"/>
  <c r="K153" i="5"/>
  <c r="BB139" i="5"/>
  <c r="J37" i="54" l="1"/>
  <c r="K159" i="5"/>
  <c r="K48" i="6"/>
  <c r="K152" i="5"/>
  <c r="BC110" i="47"/>
  <c r="K12" i="7"/>
  <c r="K94" i="5"/>
  <c r="BC111" i="47" l="1"/>
  <c r="BC112" i="47" s="1"/>
  <c r="BC26" i="6"/>
  <c r="K96" i="5"/>
  <c r="K97" i="5" s="1"/>
  <c r="K104" i="5" s="1"/>
  <c r="K22" i="7"/>
  <c r="L151" i="5"/>
  <c r="L149" i="5" l="1"/>
  <c r="K106" i="5"/>
  <c r="K105" i="5"/>
  <c r="BC109" i="47"/>
  <c r="AB95" i="29"/>
  <c r="K13" i="7" l="1"/>
  <c r="L101" i="5"/>
  <c r="L19" i="6"/>
  <c r="F81" i="29"/>
  <c r="K108" i="5"/>
  <c r="BC95" i="5"/>
  <c r="BC114" i="47"/>
  <c r="AB94" i="29"/>
  <c r="BC113" i="47"/>
  <c r="L103" i="5" l="1"/>
  <c r="BC25" i="7"/>
  <c r="AB93" i="29"/>
  <c r="BD107" i="47"/>
  <c r="BC139" i="5"/>
  <c r="AB80" i="29"/>
  <c r="K109" i="5"/>
  <c r="K112" i="5" s="1"/>
  <c r="K110" i="5" l="1"/>
  <c r="K14" i="7" s="1"/>
  <c r="BD110" i="47"/>
  <c r="K118" i="47"/>
  <c r="K120" i="47" l="1"/>
  <c r="K119" i="47"/>
  <c r="BD111" i="47"/>
  <c r="BD112" i="47" s="1"/>
  <c r="BD26" i="6"/>
  <c r="BD109" i="47" l="1"/>
  <c r="K163" i="47"/>
  <c r="K152" i="47"/>
  <c r="K141" i="47"/>
  <c r="K140" i="47"/>
  <c r="K151" i="47"/>
  <c r="K162" i="47"/>
  <c r="K153" i="47" l="1"/>
  <c r="L147" i="47" s="1"/>
  <c r="K37" i="42"/>
  <c r="K36" i="42"/>
  <c r="BD95" i="5"/>
  <c r="BD114" i="47"/>
  <c r="BD113" i="47"/>
  <c r="K53" i="42"/>
  <c r="K164" i="47"/>
  <c r="L158" i="47" s="1"/>
  <c r="K165" i="47"/>
  <c r="K35" i="42"/>
  <c r="K154" i="47"/>
  <c r="K71" i="42"/>
  <c r="K127" i="47"/>
  <c r="K142" i="47"/>
  <c r="K143" i="47"/>
  <c r="K128" i="47"/>
  <c r="K73" i="42"/>
  <c r="K72" i="42"/>
  <c r="K55" i="42"/>
  <c r="K54" i="42"/>
  <c r="L160" i="47" l="1"/>
  <c r="K129" i="47"/>
  <c r="L136" i="47"/>
  <c r="BD25" i="7"/>
  <c r="BE107" i="47"/>
  <c r="K18" i="42"/>
  <c r="F98" i="29"/>
  <c r="K130" i="47"/>
  <c r="K131" i="47"/>
  <c r="K114" i="5" s="1"/>
  <c r="J81" i="42"/>
  <c r="J61" i="42"/>
  <c r="J44" i="42"/>
  <c r="F100" i="29"/>
  <c r="F99" i="29" s="1"/>
  <c r="K19" i="42"/>
  <c r="K109" i="42" s="1"/>
  <c r="J45" i="42"/>
  <c r="L149" i="47"/>
  <c r="J80" i="42"/>
  <c r="BD139" i="5"/>
  <c r="J79" i="42"/>
  <c r="J62" i="42"/>
  <c r="J63" i="42"/>
  <c r="J43" i="42"/>
  <c r="J26" i="42" l="1"/>
  <c r="F82" i="29"/>
  <c r="K116" i="5"/>
  <c r="K118" i="5"/>
  <c r="K17" i="42"/>
  <c r="J25" i="42"/>
  <c r="J108" i="42" s="1"/>
  <c r="BE110" i="47"/>
  <c r="L138" i="47"/>
  <c r="L123" i="47"/>
  <c r="F97" i="29"/>
  <c r="K24" i="7"/>
  <c r="L146" i="47"/>
  <c r="L157" i="47"/>
  <c r="L135" i="47"/>
  <c r="L150" i="47"/>
  <c r="L161" i="47"/>
  <c r="J24" i="42" l="1"/>
  <c r="BE111" i="47"/>
  <c r="BE112" i="47" s="1"/>
  <c r="BE26" i="6"/>
  <c r="K121" i="5"/>
  <c r="K123" i="5"/>
  <c r="L125" i="47"/>
  <c r="L139" i="47"/>
  <c r="L126" i="47" s="1"/>
  <c r="L113" i="5" s="1"/>
  <c r="BE109" i="47" l="1"/>
  <c r="AC95" i="29"/>
  <c r="L27" i="6"/>
  <c r="L59" i="6" s="1"/>
  <c r="K125" i="5"/>
  <c r="L12" i="6"/>
  <c r="L14" i="6" s="1"/>
  <c r="L16" i="6" s="1"/>
  <c r="L136" i="5" s="1"/>
  <c r="L167" i="5" s="1"/>
  <c r="K50" i="6" l="1"/>
  <c r="K126" i="5"/>
  <c r="K128" i="5"/>
  <c r="K129" i="5" s="1"/>
  <c r="BE114" i="47"/>
  <c r="BE95" i="5"/>
  <c r="AC94" i="29"/>
  <c r="BE113" i="47"/>
  <c r="K15" i="42" l="1"/>
  <c r="K20" i="42" s="1"/>
  <c r="K130" i="5"/>
  <c r="BE25" i="7"/>
  <c r="BF107" i="47"/>
  <c r="AC93" i="29"/>
  <c r="BE139" i="5"/>
  <c r="AC80" i="29"/>
  <c r="BF110" i="47" l="1"/>
  <c r="K14" i="42"/>
  <c r="K56" i="42"/>
  <c r="F83" i="29"/>
  <c r="K155" i="5"/>
  <c r="K132" i="5"/>
  <c r="J27" i="42"/>
  <c r="K21" i="42"/>
  <c r="J28" i="42" l="1"/>
  <c r="J110" i="42"/>
  <c r="F84" i="29"/>
  <c r="K144" i="5"/>
  <c r="K49" i="6"/>
  <c r="K52" i="6" s="1"/>
  <c r="K154" i="5"/>
  <c r="K157" i="5"/>
  <c r="J64" i="42"/>
  <c r="J66" i="42" s="1"/>
  <c r="K58" i="42"/>
  <c r="K75" i="42"/>
  <c r="K74" i="42"/>
  <c r="K38" i="42"/>
  <c r="K57" i="42"/>
  <c r="K39" i="42"/>
  <c r="BF111" i="47"/>
  <c r="BF112" i="47" s="1"/>
  <c r="BF109" i="47" s="1"/>
  <c r="BF26" i="6"/>
  <c r="J29" i="42" l="1"/>
  <c r="J111" i="42"/>
  <c r="J82" i="42"/>
  <c r="J84" i="42" s="1"/>
  <c r="K76" i="42"/>
  <c r="J47" i="42"/>
  <c r="J49" i="42" s="1"/>
  <c r="J65" i="42"/>
  <c r="J67" i="42" s="1"/>
  <c r="J46" i="42"/>
  <c r="J48" i="42" s="1"/>
  <c r="K40" i="42"/>
  <c r="J83" i="42"/>
  <c r="K23" i="7"/>
  <c r="K20" i="7" s="1"/>
  <c r="BF114" i="47"/>
  <c r="BF95" i="5"/>
  <c r="BF113" i="47"/>
  <c r="K29" i="7"/>
  <c r="K145" i="5"/>
  <c r="L20" i="6"/>
  <c r="L28" i="6"/>
  <c r="K15" i="7"/>
  <c r="K17" i="7" s="1"/>
  <c r="J113" i="42" l="1"/>
  <c r="J85" i="42"/>
  <c r="L21" i="6"/>
  <c r="L76" i="5" s="1"/>
  <c r="BF25" i="7"/>
  <c r="BG107" i="47"/>
  <c r="BF139" i="5"/>
  <c r="K39" i="7"/>
  <c r="K41" i="7"/>
  <c r="K31" i="7"/>
  <c r="K36" i="7" s="1"/>
  <c r="K38" i="7" s="1"/>
  <c r="K44" i="7"/>
  <c r="K45" i="7" s="1"/>
  <c r="K56" i="6" s="1"/>
  <c r="K33" i="7" l="1"/>
  <c r="L30" i="6"/>
  <c r="L32" i="6" s="1"/>
  <c r="L46" i="6" s="1"/>
  <c r="L117" i="5" s="1"/>
  <c r="L135" i="5"/>
  <c r="L79" i="5"/>
  <c r="BG110" i="47"/>
  <c r="K57" i="6"/>
  <c r="K58" i="6"/>
  <c r="L147" i="5" l="1"/>
  <c r="L141" i="5"/>
  <c r="L142" i="5"/>
  <c r="L49" i="54"/>
  <c r="L81" i="5"/>
  <c r="L82" i="5" s="1"/>
  <c r="L90" i="5" s="1"/>
  <c r="L120" i="5"/>
  <c r="L153" i="5"/>
  <c r="BG111" i="47"/>
  <c r="BG112" i="47" s="1"/>
  <c r="BG109" i="47" s="1"/>
  <c r="BG26" i="6"/>
  <c r="K54" i="6"/>
  <c r="K34" i="6" s="1"/>
  <c r="K35" i="6" s="1"/>
  <c r="BG114" i="47" l="1"/>
  <c r="BG95" i="5"/>
  <c r="BG113" i="47"/>
  <c r="L92" i="5"/>
  <c r="L91" i="5"/>
  <c r="L48" i="6"/>
  <c r="L152" i="5"/>
  <c r="L36" i="6"/>
  <c r="L37" i="6" s="1"/>
  <c r="K41" i="6"/>
  <c r="L138" i="5"/>
  <c r="L12" i="7" l="1"/>
  <c r="L94" i="5"/>
  <c r="L22" i="7"/>
  <c r="M151" i="5"/>
  <c r="K43" i="6"/>
  <c r="BG25" i="7"/>
  <c r="BH107" i="47"/>
  <c r="BG139" i="5"/>
  <c r="L159" i="5"/>
  <c r="L38" i="6"/>
  <c r="L39" i="6" s="1"/>
  <c r="K37" i="54" l="1"/>
  <c r="BH110" i="47"/>
  <c r="L96" i="5"/>
  <c r="L97" i="5" s="1"/>
  <c r="L104" i="5" s="1"/>
  <c r="M149" i="5"/>
  <c r="L106" i="5" l="1"/>
  <c r="L108" i="5" s="1"/>
  <c r="L105" i="5"/>
  <c r="BH26" i="6"/>
  <c r="BH111" i="47"/>
  <c r="BH112" i="47" s="1"/>
  <c r="BH109" i="47" s="1"/>
  <c r="BH95" i="5" l="1"/>
  <c r="BH114" i="47"/>
  <c r="BH113" i="47"/>
  <c r="L13" i="7"/>
  <c r="M101" i="5"/>
  <c r="M19" i="6"/>
  <c r="L109" i="5"/>
  <c r="L112" i="5" s="1"/>
  <c r="L110" i="5" l="1"/>
  <c r="L14" i="7" s="1"/>
  <c r="BH25" i="7"/>
  <c r="BI107" i="47"/>
  <c r="L118" i="47"/>
  <c r="M103" i="5"/>
  <c r="BH139" i="5"/>
  <c r="L120" i="47" l="1"/>
  <c r="L119" i="47"/>
  <c r="BI110" i="47"/>
  <c r="BI26" i="6" l="1"/>
  <c r="BI111" i="47"/>
  <c r="BI112" i="47" s="1"/>
  <c r="BI109" i="47" s="1"/>
  <c r="L163" i="47"/>
  <c r="L152" i="47"/>
  <c r="L141" i="47"/>
  <c r="L140" i="47"/>
  <c r="L162" i="47"/>
  <c r="L151" i="47"/>
  <c r="BI114" i="47" l="1"/>
  <c r="BI95" i="5"/>
  <c r="BI113" i="47"/>
  <c r="L128" i="47"/>
  <c r="L72" i="42"/>
  <c r="L73" i="42"/>
  <c r="L53" i="42"/>
  <c r="L164" i="47"/>
  <c r="M158" i="47" s="1"/>
  <c r="L165" i="47"/>
  <c r="L127" i="47"/>
  <c r="L71" i="42"/>
  <c r="L142" i="47"/>
  <c r="L143" i="47"/>
  <c r="L55" i="42"/>
  <c r="L54" i="42"/>
  <c r="L35" i="42"/>
  <c r="L154" i="47"/>
  <c r="L153" i="47"/>
  <c r="M147" i="47" s="1"/>
  <c r="L37" i="42"/>
  <c r="L36" i="42"/>
  <c r="L129" i="47" l="1"/>
  <c r="M136" i="47"/>
  <c r="K79" i="42"/>
  <c r="M149" i="47"/>
  <c r="K80" i="42"/>
  <c r="K61" i="42"/>
  <c r="K63" i="42"/>
  <c r="L18" i="42"/>
  <c r="L131" i="47"/>
  <c r="L114" i="5" s="1"/>
  <c r="L130" i="47"/>
  <c r="K44" i="42"/>
  <c r="M160" i="47"/>
  <c r="K45" i="42"/>
  <c r="K81" i="42"/>
  <c r="K43" i="42"/>
  <c r="L19" i="42"/>
  <c r="L109" i="42" s="1"/>
  <c r="K62" i="42"/>
  <c r="BI25" i="7"/>
  <c r="BJ107" i="47"/>
  <c r="BI139" i="5"/>
  <c r="K26" i="42" l="1"/>
  <c r="M150" i="47"/>
  <c r="M161" i="47"/>
  <c r="L17" i="42"/>
  <c r="K25" i="42"/>
  <c r="K108" i="42" s="1"/>
  <c r="M138" i="47"/>
  <c r="M123" i="47"/>
  <c r="L118" i="5"/>
  <c r="L116" i="5"/>
  <c r="BJ110" i="47"/>
  <c r="M146" i="47"/>
  <c r="M157" i="47"/>
  <c r="L24" i="7"/>
  <c r="M135" i="47"/>
  <c r="K24" i="42" l="1"/>
  <c r="L121" i="5"/>
  <c r="L123" i="5"/>
  <c r="M125" i="47"/>
  <c r="M139" i="47"/>
  <c r="M126" i="47" s="1"/>
  <c r="M113" i="5" s="1"/>
  <c r="BJ111" i="47"/>
  <c r="BJ112" i="47" s="1"/>
  <c r="BJ109" i="47" s="1"/>
  <c r="BJ26" i="6"/>
  <c r="M27" i="6" l="1"/>
  <c r="M59" i="6" s="1"/>
  <c r="M12" i="6"/>
  <c r="M14" i="6" s="1"/>
  <c r="M16" i="6" s="1"/>
  <c r="M136" i="5" s="1"/>
  <c r="M167" i="5" s="1"/>
  <c r="BJ95" i="5"/>
  <c r="BJ114" i="47"/>
  <c r="BJ113" i="47"/>
  <c r="L125" i="5"/>
  <c r="L50" i="6" l="1"/>
  <c r="L128" i="5"/>
  <c r="L129" i="5" s="1"/>
  <c r="L126" i="5"/>
  <c r="BJ25" i="7"/>
  <c r="BK107" i="47"/>
  <c r="BJ139" i="5"/>
  <c r="L15" i="42" l="1"/>
  <c r="L20" i="42" s="1"/>
  <c r="L130" i="5"/>
  <c r="BK110" i="47"/>
  <c r="BK26" i="6" l="1"/>
  <c r="BK111" i="47"/>
  <c r="BK112" i="47" s="1"/>
  <c r="BK109" i="47" s="1"/>
  <c r="L56" i="42"/>
  <c r="L14" i="42"/>
  <c r="L155" i="5"/>
  <c r="L132" i="5"/>
  <c r="K27" i="42"/>
  <c r="L21" i="42"/>
  <c r="K28" i="42" l="1"/>
  <c r="K29" i="42" s="1"/>
  <c r="K110" i="42"/>
  <c r="BK114" i="47"/>
  <c r="BK95" i="5"/>
  <c r="BK113" i="47"/>
  <c r="L144" i="5"/>
  <c r="L49" i="6"/>
  <c r="L52" i="6" s="1"/>
  <c r="L154" i="5"/>
  <c r="L157" i="5"/>
  <c r="L75" i="42"/>
  <c r="L57" i="42"/>
  <c r="L74" i="42"/>
  <c r="L39" i="42"/>
  <c r="L38" i="42"/>
  <c r="K64" i="42"/>
  <c r="K66" i="42" s="1"/>
  <c r="L58" i="42"/>
  <c r="K111" i="42" l="1"/>
  <c r="K47" i="42"/>
  <c r="K49" i="42" s="1"/>
  <c r="K65" i="42"/>
  <c r="K67" i="42" s="1"/>
  <c r="L23" i="7"/>
  <c r="L20" i="7" s="1"/>
  <c r="K82" i="42"/>
  <c r="K84" i="42" s="1"/>
  <c r="L76" i="42"/>
  <c r="K83" i="42"/>
  <c r="L15" i="7"/>
  <c r="L17" i="7" s="1"/>
  <c r="L145" i="5"/>
  <c r="M28" i="6"/>
  <c r="L29" i="7"/>
  <c r="M20" i="6"/>
  <c r="BK25" i="7"/>
  <c r="BL107" i="47"/>
  <c r="BK139" i="5"/>
  <c r="K46" i="42"/>
  <c r="K48" i="42" s="1"/>
  <c r="L40" i="42"/>
  <c r="K113" i="42" l="1"/>
  <c r="K85" i="42"/>
  <c r="L31" i="7"/>
  <c r="L36" i="7" s="1"/>
  <c r="L38" i="7" s="1"/>
  <c r="L41" i="7"/>
  <c r="L39" i="7"/>
  <c r="L44" i="7"/>
  <c r="L45" i="7" s="1"/>
  <c r="L56" i="6" s="1"/>
  <c r="M21" i="6"/>
  <c r="M30" i="6" s="1"/>
  <c r="M32" i="6" s="1"/>
  <c r="M46" i="6" s="1"/>
  <c r="BL110" i="47"/>
  <c r="L33" i="7" l="1"/>
  <c r="M117" i="5"/>
  <c r="M147" i="5"/>
  <c r="M76" i="5"/>
  <c r="L58" i="6"/>
  <c r="L57" i="6"/>
  <c r="BL111" i="47"/>
  <c r="BL112" i="47" s="1"/>
  <c r="BL109" i="47" s="1"/>
  <c r="BL26" i="6"/>
  <c r="L54" i="6" l="1"/>
  <c r="L34" i="6" s="1"/>
  <c r="L35" i="6" s="1"/>
  <c r="L41" i="6" s="1"/>
  <c r="BL95" i="5"/>
  <c r="BL114" i="47"/>
  <c r="BL113" i="47"/>
  <c r="M135" i="5"/>
  <c r="M79" i="5"/>
  <c r="G76" i="29"/>
  <c r="G77" i="29"/>
  <c r="M120" i="5"/>
  <c r="M153" i="5"/>
  <c r="M36" i="6" l="1"/>
  <c r="M37" i="6" s="1"/>
  <c r="M38" i="6" s="1"/>
  <c r="M39" i="6" s="1"/>
  <c r="L43" i="6"/>
  <c r="L37" i="54" s="1"/>
  <c r="M142" i="5"/>
  <c r="M49" i="54"/>
  <c r="M141" i="5"/>
  <c r="M81" i="5"/>
  <c r="M82" i="5" s="1"/>
  <c r="M90" i="5" s="1"/>
  <c r="BL25" i="7"/>
  <c r="BM107" i="47"/>
  <c r="M48" i="6"/>
  <c r="M152" i="5"/>
  <c r="BL139" i="5"/>
  <c r="BM110" i="47" l="1"/>
  <c r="N151" i="5"/>
  <c r="M22" i="7"/>
  <c r="M92" i="5"/>
  <c r="M91" i="5"/>
  <c r="G86" i="29"/>
  <c r="M138" i="5"/>
  <c r="G79" i="29" l="1"/>
  <c r="M94" i="5"/>
  <c r="M159" i="5"/>
  <c r="M12" i="7"/>
  <c r="N149" i="5"/>
  <c r="BM26" i="6"/>
  <c r="BM111" i="47"/>
  <c r="BM112" i="47" s="1"/>
  <c r="BM109" i="47" s="1"/>
  <c r="BM95" i="5" l="1"/>
  <c r="BM114" i="47"/>
  <c r="BM113" i="47"/>
  <c r="M96" i="5"/>
  <c r="M97" i="5" s="1"/>
  <c r="M104" i="5" s="1"/>
  <c r="M106" i="5" l="1"/>
  <c r="M105" i="5"/>
  <c r="BM25" i="7"/>
  <c r="BN107" i="47"/>
  <c r="BM139" i="5"/>
  <c r="BN110" i="47" l="1"/>
  <c r="M13" i="7"/>
  <c r="N19" i="6"/>
  <c r="N101" i="5"/>
  <c r="G81" i="29"/>
  <c r="M108" i="5"/>
  <c r="M109" i="5" l="1"/>
  <c r="M112" i="5" s="1"/>
  <c r="N103" i="5"/>
  <c r="BN26" i="6"/>
  <c r="BN111" i="47"/>
  <c r="BN112" i="47" s="1"/>
  <c r="BN109" i="47" s="1"/>
  <c r="BN95" i="5" l="1"/>
  <c r="BN114" i="47"/>
  <c r="BN113" i="47"/>
  <c r="M118" i="47"/>
  <c r="M110" i="5"/>
  <c r="M14" i="7" s="1"/>
  <c r="M120" i="47" l="1"/>
  <c r="M119" i="47"/>
  <c r="BN25" i="7"/>
  <c r="BO107" i="47"/>
  <c r="BN139" i="5"/>
  <c r="BO110" i="47" l="1"/>
  <c r="M163" i="47"/>
  <c r="M152" i="47"/>
  <c r="M141" i="47"/>
  <c r="M151" i="47"/>
  <c r="M162" i="47"/>
  <c r="M140" i="47"/>
  <c r="M53" i="42" l="1"/>
  <c r="M164" i="47"/>
  <c r="N158" i="47" s="1"/>
  <c r="M165" i="47"/>
  <c r="M153" i="47"/>
  <c r="N147" i="47" s="1"/>
  <c r="M37" i="42"/>
  <c r="M36" i="42"/>
  <c r="M127" i="47"/>
  <c r="M71" i="42"/>
  <c r="M142" i="47"/>
  <c r="M143" i="47"/>
  <c r="M35" i="42"/>
  <c r="M154" i="47"/>
  <c r="M128" i="47"/>
  <c r="M73" i="42"/>
  <c r="M72" i="42"/>
  <c r="M55" i="42"/>
  <c r="M54" i="42"/>
  <c r="BO26" i="6"/>
  <c r="BO111" i="47"/>
  <c r="BO112" i="47" s="1"/>
  <c r="BO109" i="47" s="1"/>
  <c r="M129" i="47" l="1"/>
  <c r="N136" i="47"/>
  <c r="L79" i="42"/>
  <c r="L44" i="42"/>
  <c r="L62" i="42"/>
  <c r="L63" i="42"/>
  <c r="L43" i="42"/>
  <c r="M18" i="42"/>
  <c r="G98" i="29"/>
  <c r="M130" i="47"/>
  <c r="M131" i="47"/>
  <c r="M114" i="5" s="1"/>
  <c r="L81" i="42"/>
  <c r="BO95" i="5"/>
  <c r="BO114" i="47"/>
  <c r="BO113" i="47"/>
  <c r="L45" i="42"/>
  <c r="N149" i="47"/>
  <c r="L80" i="42"/>
  <c r="N160" i="47"/>
  <c r="G100" i="29"/>
  <c r="G99" i="29" s="1"/>
  <c r="M19" i="42"/>
  <c r="M109" i="42" s="1"/>
  <c r="L61" i="42"/>
  <c r="BO25" i="7" l="1"/>
  <c r="BO139" i="5"/>
  <c r="D139" i="5" s="1"/>
  <c r="L26" i="42"/>
  <c r="N161" i="47"/>
  <c r="G82" i="29"/>
  <c r="M116" i="5"/>
  <c r="M118" i="5"/>
  <c r="N138" i="47"/>
  <c r="N123" i="47"/>
  <c r="M17" i="42"/>
  <c r="L25" i="42"/>
  <c r="L108" i="42" s="1"/>
  <c r="N150" i="47"/>
  <c r="M24" i="7"/>
  <c r="N135" i="47"/>
  <c r="N157" i="47"/>
  <c r="N146" i="47"/>
  <c r="G97" i="29"/>
  <c r="L24" i="42" l="1"/>
  <c r="M121" i="5"/>
  <c r="M123" i="5"/>
  <c r="N125" i="47"/>
  <c r="N139" i="47"/>
  <c r="N126" i="47" s="1"/>
  <c r="N113" i="5" s="1"/>
  <c r="N27" i="6" l="1"/>
  <c r="N59" i="6" s="1"/>
  <c r="N12" i="6"/>
  <c r="N14" i="6" s="1"/>
  <c r="N16" i="6" s="1"/>
  <c r="N136" i="5" s="1"/>
  <c r="N167" i="5" s="1"/>
  <c r="M125" i="5"/>
  <c r="M128" i="5" l="1"/>
  <c r="M129" i="5" s="1"/>
  <c r="M126" i="5"/>
  <c r="M50" i="6"/>
  <c r="M15" i="42" l="1"/>
  <c r="M20" i="42" s="1"/>
  <c r="M130" i="5"/>
  <c r="M14" i="42" l="1"/>
  <c r="M56" i="42"/>
  <c r="G83" i="29"/>
  <c r="M155" i="5"/>
  <c r="M132" i="5"/>
  <c r="L27" i="42"/>
  <c r="M21" i="42"/>
  <c r="L28" i="42" l="1"/>
  <c r="L29" i="42" s="1"/>
  <c r="L110" i="42"/>
  <c r="G84" i="29"/>
  <c r="M144" i="5"/>
  <c r="M49" i="6"/>
  <c r="M52" i="6" s="1"/>
  <c r="M154" i="5"/>
  <c r="M157" i="5"/>
  <c r="L64" i="42"/>
  <c r="L66" i="42" s="1"/>
  <c r="M58" i="42"/>
  <c r="M38" i="42"/>
  <c r="M39" i="42"/>
  <c r="M74" i="42"/>
  <c r="M75" i="42"/>
  <c r="M57" i="42"/>
  <c r="L111" i="42" l="1"/>
  <c r="L113" i="42" s="1"/>
  <c r="L46" i="42"/>
  <c r="L48" i="42" s="1"/>
  <c r="M40" i="42"/>
  <c r="L47" i="42"/>
  <c r="L49" i="42" s="1"/>
  <c r="L65" i="42"/>
  <c r="L67" i="42" s="1"/>
  <c r="M29" i="7"/>
  <c r="M15" i="7"/>
  <c r="M17" i="7" s="1"/>
  <c r="M145" i="5"/>
  <c r="N28" i="6"/>
  <c r="N20" i="6"/>
  <c r="L83" i="42"/>
  <c r="M23" i="7"/>
  <c r="M20" i="7" s="1"/>
  <c r="L82" i="42"/>
  <c r="L84" i="42" s="1"/>
  <c r="M76" i="42"/>
  <c r="N21" i="6" l="1"/>
  <c r="N30" i="6" s="1"/>
  <c r="N32" i="6" s="1"/>
  <c r="N46" i="6" s="1"/>
  <c r="M31" i="7"/>
  <c r="M33" i="7" s="1"/>
  <c r="M41" i="7"/>
  <c r="M39" i="7"/>
  <c r="M44" i="7"/>
  <c r="M45" i="7" s="1"/>
  <c r="M56" i="6" s="1"/>
  <c r="L85" i="42"/>
  <c r="N76" i="5" l="1"/>
  <c r="M58" i="6"/>
  <c r="M57" i="6"/>
  <c r="N117" i="5"/>
  <c r="N147" i="5"/>
  <c r="M36" i="7"/>
  <c r="M38" i="7" s="1"/>
  <c r="N79" i="5" l="1"/>
  <c r="N49" i="54" s="1"/>
  <c r="M54" i="6"/>
  <c r="M34" i="6" s="1"/>
  <c r="M35" i="6" s="1"/>
  <c r="M41" i="6" s="1"/>
  <c r="N135" i="5"/>
  <c r="N120" i="5"/>
  <c r="N153" i="5"/>
  <c r="N142" i="5" l="1"/>
  <c r="N81" i="5"/>
  <c r="N82" i="5" s="1"/>
  <c r="N90" i="5" s="1"/>
  <c r="N92" i="5" s="1"/>
  <c r="N141" i="5"/>
  <c r="N138" i="5" s="1"/>
  <c r="N36" i="6"/>
  <c r="N37" i="6" s="1"/>
  <c r="N38" i="6" s="1"/>
  <c r="N39" i="6" s="1"/>
  <c r="N48" i="6"/>
  <c r="N152" i="5"/>
  <c r="M43" i="6"/>
  <c r="M37" i="54" s="1"/>
  <c r="N91" i="5" l="1"/>
  <c r="N12" i="7" s="1"/>
  <c r="O151" i="5"/>
  <c r="N22" i="7"/>
  <c r="N159" i="5"/>
  <c r="N94" i="5"/>
  <c r="N96" i="5" l="1"/>
  <c r="N97" i="5" s="1"/>
  <c r="N104" i="5" s="1"/>
  <c r="O149" i="5"/>
  <c r="N105" i="5" l="1"/>
  <c r="N106" i="5"/>
  <c r="N108" i="5" s="1"/>
  <c r="N109" i="5" l="1"/>
  <c r="N112" i="5" s="1"/>
  <c r="O19" i="6"/>
  <c r="N13" i="7"/>
  <c r="O101" i="5"/>
  <c r="O103" i="5" l="1"/>
  <c r="N118" i="47"/>
  <c r="N110" i="5"/>
  <c r="N14" i="7" s="1"/>
  <c r="N120" i="47" l="1"/>
  <c r="N119" i="47"/>
  <c r="N163" i="47" l="1"/>
  <c r="N152" i="47"/>
  <c r="N141" i="47"/>
  <c r="N140" i="47"/>
  <c r="N151" i="47"/>
  <c r="N162" i="47"/>
  <c r="N53" i="42" l="1"/>
  <c r="N164" i="47"/>
  <c r="O158" i="47" s="1"/>
  <c r="N165" i="47"/>
  <c r="N35" i="42"/>
  <c r="N154" i="47"/>
  <c r="N127" i="47"/>
  <c r="N71" i="42"/>
  <c r="N142" i="47"/>
  <c r="N143" i="47"/>
  <c r="N128" i="47"/>
  <c r="N73" i="42"/>
  <c r="N72" i="42"/>
  <c r="N153" i="47"/>
  <c r="O147" i="47" s="1"/>
  <c r="N37" i="42"/>
  <c r="N36" i="42"/>
  <c r="N55" i="42"/>
  <c r="N54" i="42"/>
  <c r="M80" i="42" l="1"/>
  <c r="N129" i="47"/>
  <c r="O136" i="47"/>
  <c r="M62" i="42"/>
  <c r="M63" i="42"/>
  <c r="M81" i="42"/>
  <c r="M44" i="42"/>
  <c r="O160" i="47"/>
  <c r="N19" i="42"/>
  <c r="N109" i="42" s="1"/>
  <c r="M79" i="42"/>
  <c r="N18" i="42"/>
  <c r="N131" i="47"/>
  <c r="N114" i="5" s="1"/>
  <c r="N130" i="47"/>
  <c r="M43" i="42"/>
  <c r="M45" i="42"/>
  <c r="O149" i="47"/>
  <c r="M61" i="42"/>
  <c r="N17" i="42" l="1"/>
  <c r="M25" i="42"/>
  <c r="M108" i="42" s="1"/>
  <c r="M26" i="42"/>
  <c r="O138" i="47"/>
  <c r="O123" i="47"/>
  <c r="O146" i="47"/>
  <c r="O135" i="47"/>
  <c r="N24" i="7"/>
  <c r="O157" i="47"/>
  <c r="N118" i="5"/>
  <c r="N116" i="5"/>
  <c r="O150" i="47"/>
  <c r="O161" i="47"/>
  <c r="M24" i="42" l="1"/>
  <c r="O125" i="47"/>
  <c r="O139" i="47"/>
  <c r="O126" i="47" s="1"/>
  <c r="O113" i="5" s="1"/>
  <c r="N121" i="5"/>
  <c r="N123" i="5"/>
  <c r="O12" i="6" l="1"/>
  <c r="O14" i="6" s="1"/>
  <c r="O16" i="6" s="1"/>
  <c r="O136" i="5" s="1"/>
  <c r="O167" i="5" s="1"/>
  <c r="O27" i="6"/>
  <c r="O59" i="6" s="1"/>
  <c r="N125" i="5"/>
  <c r="N50" i="6" l="1"/>
  <c r="N128" i="5"/>
  <c r="N129" i="5" s="1"/>
  <c r="N126" i="5"/>
  <c r="N15" i="42" l="1"/>
  <c r="N20" i="42" s="1"/>
  <c r="N130" i="5"/>
  <c r="N14" i="42" l="1"/>
  <c r="N56" i="42"/>
  <c r="N155" i="5"/>
  <c r="N132" i="5"/>
  <c r="M27" i="42"/>
  <c r="N21" i="42"/>
  <c r="M28" i="42" l="1"/>
  <c r="M110" i="42"/>
  <c r="N49" i="6"/>
  <c r="N52" i="6" s="1"/>
  <c r="N154" i="5"/>
  <c r="N157" i="5"/>
  <c r="N144" i="5"/>
  <c r="M64" i="42"/>
  <c r="M66" i="42" s="1"/>
  <c r="N58" i="42"/>
  <c r="N57" i="42"/>
  <c r="N75" i="42"/>
  <c r="N39" i="42"/>
  <c r="N74" i="42"/>
  <c r="N38" i="42"/>
  <c r="M111" i="42" l="1"/>
  <c r="M113" i="42" s="1"/>
  <c r="M29" i="42"/>
  <c r="N15" i="7"/>
  <c r="N17" i="7" s="1"/>
  <c r="O28" i="6"/>
  <c r="N29" i="7"/>
  <c r="O20" i="6"/>
  <c r="N145" i="5"/>
  <c r="M46" i="42"/>
  <c r="M48" i="42" s="1"/>
  <c r="N40" i="42"/>
  <c r="M83" i="42"/>
  <c r="M82" i="42"/>
  <c r="M84" i="42" s="1"/>
  <c r="N76" i="42"/>
  <c r="M65" i="42"/>
  <c r="M67" i="42" s="1"/>
  <c r="N23" i="7"/>
  <c r="N20" i="7" s="1"/>
  <c r="M47" i="42"/>
  <c r="M49" i="42" s="1"/>
  <c r="M85" i="42" l="1"/>
  <c r="O21" i="6"/>
  <c r="O30" i="6" s="1"/>
  <c r="O32" i="6" s="1"/>
  <c r="O46" i="6" s="1"/>
  <c r="N31" i="7"/>
  <c r="N33" i="7" s="1"/>
  <c r="N39" i="7"/>
  <c r="N41" i="7"/>
  <c r="N44" i="7"/>
  <c r="N45" i="7" s="1"/>
  <c r="N56" i="6" s="1"/>
  <c r="N36" i="7" l="1"/>
  <c r="N38" i="7" s="1"/>
  <c r="O117" i="5"/>
  <c r="O147" i="5"/>
  <c r="O76" i="5"/>
  <c r="N57" i="6"/>
  <c r="N58" i="6"/>
  <c r="H77" i="29" l="1"/>
  <c r="H76" i="29"/>
  <c r="N54" i="6"/>
  <c r="N34" i="6" s="1"/>
  <c r="N35" i="6" s="1"/>
  <c r="O135" i="5"/>
  <c r="O79" i="5"/>
  <c r="O120" i="5"/>
  <c r="O153" i="5"/>
  <c r="O48" i="6" l="1"/>
  <c r="O152" i="5"/>
  <c r="O141" i="5"/>
  <c r="H86" i="29" s="1"/>
  <c r="O142" i="5"/>
  <c r="O49" i="54"/>
  <c r="O81" i="5"/>
  <c r="O82" i="5" s="1"/>
  <c r="O90" i="5" s="1"/>
  <c r="O36" i="6"/>
  <c r="O37" i="6" s="1"/>
  <c r="N41" i="6"/>
  <c r="O138" i="5" l="1"/>
  <c r="O92" i="5"/>
  <c r="O91" i="5"/>
  <c r="P151" i="5"/>
  <c r="O22" i="7"/>
  <c r="N43" i="6"/>
  <c r="N37" i="54" s="1"/>
  <c r="O38" i="6"/>
  <c r="O39" i="6" s="1"/>
  <c r="P149" i="5" l="1"/>
  <c r="O12" i="7"/>
  <c r="O94" i="5"/>
  <c r="O159" i="5"/>
  <c r="O96" i="5" l="1"/>
  <c r="O97" i="5" s="1"/>
  <c r="O104" i="5" s="1"/>
  <c r="O106" i="5" l="1"/>
  <c r="H81" i="29" s="1"/>
  <c r="O105" i="5"/>
  <c r="P101" i="5" l="1"/>
  <c r="P19" i="6"/>
  <c r="O13" i="7"/>
  <c r="O108" i="5"/>
  <c r="O109" i="5" l="1"/>
  <c r="O112" i="5" s="1"/>
  <c r="P103" i="5"/>
  <c r="O118" i="47" l="1"/>
  <c r="O110" i="5"/>
  <c r="O14" i="7" s="1"/>
  <c r="O120" i="47" l="1"/>
  <c r="O119" i="47"/>
  <c r="O163" i="47" l="1"/>
  <c r="O152" i="47"/>
  <c r="O141" i="47"/>
  <c r="O140" i="47"/>
  <c r="O151" i="47"/>
  <c r="O162" i="47"/>
  <c r="O53" i="42" l="1"/>
  <c r="O164" i="47"/>
  <c r="P158" i="47" s="1"/>
  <c r="O165" i="47"/>
  <c r="O35" i="42"/>
  <c r="O154" i="47"/>
  <c r="O127" i="47"/>
  <c r="H98" i="29" s="1"/>
  <c r="O71" i="42"/>
  <c r="O142" i="47"/>
  <c r="O143" i="47"/>
  <c r="O128" i="47"/>
  <c r="H100" i="29" s="1"/>
  <c r="H99" i="29" s="1"/>
  <c r="O73" i="42"/>
  <c r="O72" i="42"/>
  <c r="O153" i="47"/>
  <c r="P147" i="47" s="1"/>
  <c r="O37" i="42"/>
  <c r="O36" i="42"/>
  <c r="O55" i="42"/>
  <c r="O54" i="42"/>
  <c r="O18" i="42" l="1"/>
  <c r="O130" i="47"/>
  <c r="O131" i="47"/>
  <c r="O114" i="5" s="1"/>
  <c r="H82" i="29" s="1"/>
  <c r="N62" i="42"/>
  <c r="P136" i="47"/>
  <c r="O129" i="47"/>
  <c r="H97" i="29" s="1"/>
  <c r="N45" i="42"/>
  <c r="P160" i="47"/>
  <c r="O19" i="42"/>
  <c r="O109" i="42" s="1"/>
  <c r="N79" i="42"/>
  <c r="N63" i="42"/>
  <c r="N43" i="42"/>
  <c r="N44" i="42"/>
  <c r="P149" i="47"/>
  <c r="N61" i="42"/>
  <c r="N80" i="42"/>
  <c r="N81" i="42"/>
  <c r="P161" i="47" l="1"/>
  <c r="O24" i="7"/>
  <c r="P146" i="47"/>
  <c r="P157" i="47"/>
  <c r="P135" i="47"/>
  <c r="P138" i="47"/>
  <c r="P123" i="47"/>
  <c r="O116" i="5"/>
  <c r="O118" i="5"/>
  <c r="P150" i="47"/>
  <c r="N26" i="42"/>
  <c r="O17" i="42"/>
  <c r="N25" i="42"/>
  <c r="N108" i="42" s="1"/>
  <c r="N24" i="42" l="1"/>
  <c r="O121" i="5"/>
  <c r="O123" i="5"/>
  <c r="P125" i="47"/>
  <c r="P139" i="47"/>
  <c r="P126" i="47" s="1"/>
  <c r="P113" i="5" s="1"/>
  <c r="O125" i="5" l="1"/>
  <c r="O50" i="6" s="1"/>
  <c r="P12" i="6"/>
  <c r="P14" i="6" s="1"/>
  <c r="P16" i="6" s="1"/>
  <c r="P136" i="5" s="1"/>
  <c r="P167" i="5" s="1"/>
  <c r="P27" i="6"/>
  <c r="P59" i="6" s="1"/>
  <c r="O126" i="5" l="1"/>
  <c r="O128" i="5"/>
  <c r="O129" i="5" s="1"/>
  <c r="O15" i="42" s="1"/>
  <c r="O20" i="42" s="1"/>
  <c r="O130" i="5" l="1"/>
  <c r="N27" i="42"/>
  <c r="O21" i="42"/>
  <c r="N28" i="42" l="1"/>
  <c r="N29" i="42" s="1"/>
  <c r="N110" i="42"/>
  <c r="O14" i="42"/>
  <c r="O39" i="42" s="1"/>
  <c r="H83" i="29"/>
  <c r="O132" i="5"/>
  <c r="O155" i="5"/>
  <c r="O49" i="6" s="1"/>
  <c r="O52" i="6" s="1"/>
  <c r="O56" i="42"/>
  <c r="N64" i="42" s="1"/>
  <c r="N66" i="42" s="1"/>
  <c r="N111" i="42" l="1"/>
  <c r="N113" i="42" s="1"/>
  <c r="O75" i="42"/>
  <c r="N83" i="42" s="1"/>
  <c r="O74" i="42"/>
  <c r="O76" i="42" s="1"/>
  <c r="O57" i="42"/>
  <c r="N65" i="42" s="1"/>
  <c r="N67" i="42" s="1"/>
  <c r="O38" i="42"/>
  <c r="O40" i="42" s="1"/>
  <c r="O144" i="5"/>
  <c r="P28" i="6" s="1"/>
  <c r="H84" i="29"/>
  <c r="O154" i="5"/>
  <c r="O23" i="7" s="1"/>
  <c r="O20" i="7" s="1"/>
  <c r="O157" i="5"/>
  <c r="O58" i="42"/>
  <c r="N47" i="42"/>
  <c r="N49" i="42" s="1"/>
  <c r="N82" i="42" l="1"/>
  <c r="N84" i="42" s="1"/>
  <c r="N46" i="42"/>
  <c r="N48" i="42" s="1"/>
  <c r="O145" i="5"/>
  <c r="O29" i="7"/>
  <c r="O31" i="7" s="1"/>
  <c r="O36" i="7" s="1"/>
  <c r="O38" i="7" s="1"/>
  <c r="P20" i="6"/>
  <c r="P21" i="6" s="1"/>
  <c r="P76" i="5" s="1"/>
  <c r="O15" i="7"/>
  <c r="O17" i="7" s="1"/>
  <c r="N85" i="42"/>
  <c r="O41" i="7"/>
  <c r="O39" i="7"/>
  <c r="O44" i="7"/>
  <c r="O45" i="7" s="1"/>
  <c r="O56" i="6" s="1"/>
  <c r="P79" i="5" l="1"/>
  <c r="P135" i="5"/>
  <c r="P30" i="6"/>
  <c r="P32" i="6" s="1"/>
  <c r="P46" i="6" s="1"/>
  <c r="O57" i="6"/>
  <c r="O58" i="6"/>
  <c r="O33" i="7"/>
  <c r="P147" i="5" l="1"/>
  <c r="P117" i="5"/>
  <c r="O54" i="6"/>
  <c r="O34" i="6" s="1"/>
  <c r="O35" i="6" s="1"/>
  <c r="P141" i="5"/>
  <c r="P142" i="5"/>
  <c r="P49" i="54"/>
  <c r="P81" i="5"/>
  <c r="P82" i="5" s="1"/>
  <c r="P90" i="5" s="1"/>
  <c r="P36" i="6" l="1"/>
  <c r="P37" i="6" s="1"/>
  <c r="O41" i="6"/>
  <c r="P92" i="5"/>
  <c r="P91" i="5"/>
  <c r="P138" i="5"/>
  <c r="P120" i="5"/>
  <c r="P153" i="5"/>
  <c r="P159" i="5" l="1"/>
  <c r="P12" i="7"/>
  <c r="P48" i="6"/>
  <c r="P152" i="5"/>
  <c r="P94" i="5"/>
  <c r="O43" i="6"/>
  <c r="O37" i="54" s="1"/>
  <c r="P38" i="6"/>
  <c r="P39" i="6" s="1"/>
  <c r="P96" i="5" l="1"/>
  <c r="P97" i="5" s="1"/>
  <c r="P104" i="5" s="1"/>
  <c r="Q151" i="5"/>
  <c r="P22" i="7"/>
  <c r="Q149" i="5" l="1"/>
  <c r="P105" i="5"/>
  <c r="P106" i="5"/>
  <c r="P108" i="5" s="1"/>
  <c r="Q19" i="6" l="1"/>
  <c r="P13" i="7"/>
  <c r="Q101" i="5"/>
  <c r="P109" i="5"/>
  <c r="P112" i="5" s="1"/>
  <c r="P110" i="5" l="1"/>
  <c r="P14" i="7" s="1"/>
  <c r="P118" i="47"/>
  <c r="Q103" i="5"/>
  <c r="P120" i="47" l="1"/>
  <c r="P119" i="47"/>
  <c r="P152" i="47" l="1"/>
  <c r="P163" i="47"/>
  <c r="P141" i="47"/>
  <c r="P151" i="47"/>
  <c r="P162" i="47"/>
  <c r="P140" i="47"/>
  <c r="P71" i="42" l="1"/>
  <c r="P127" i="47"/>
  <c r="P142" i="47"/>
  <c r="P143" i="47"/>
  <c r="P53" i="42"/>
  <c r="P164" i="47"/>
  <c r="Q158" i="47" s="1"/>
  <c r="P165" i="47"/>
  <c r="P35" i="42"/>
  <c r="P154" i="47"/>
  <c r="P128" i="47"/>
  <c r="P72" i="42"/>
  <c r="P73" i="42"/>
  <c r="P55" i="42"/>
  <c r="P54" i="42"/>
  <c r="P153" i="47"/>
  <c r="Q147" i="47" s="1"/>
  <c r="P37" i="42"/>
  <c r="P36" i="42"/>
  <c r="Q160" i="47" l="1"/>
  <c r="P19" i="42"/>
  <c r="P109" i="42" s="1"/>
  <c r="O62" i="42"/>
  <c r="O43" i="42"/>
  <c r="O81" i="42"/>
  <c r="O44" i="42"/>
  <c r="O61" i="42"/>
  <c r="O45" i="42"/>
  <c r="Q149" i="47"/>
  <c r="P129" i="47"/>
  <c r="Q136" i="47"/>
  <c r="P18" i="42"/>
  <c r="P130" i="47"/>
  <c r="P131" i="47"/>
  <c r="P114" i="5" s="1"/>
  <c r="O63" i="42"/>
  <c r="O79" i="42"/>
  <c r="O80" i="42"/>
  <c r="Q123" i="47" l="1"/>
  <c r="Q138" i="47"/>
  <c r="P17" i="42"/>
  <c r="O25" i="42"/>
  <c r="O108" i="42" s="1"/>
  <c r="P24" i="7"/>
  <c r="Q146" i="47"/>
  <c r="Q157" i="47"/>
  <c r="Q135" i="47"/>
  <c r="O26" i="42"/>
  <c r="Q150" i="47"/>
  <c r="P116" i="5"/>
  <c r="P118" i="5"/>
  <c r="Q161" i="47"/>
  <c r="O24" i="42" l="1"/>
  <c r="Q125" i="47"/>
  <c r="Q139" i="47"/>
  <c r="Q126" i="47" s="1"/>
  <c r="Q113" i="5" s="1"/>
  <c r="P121" i="5"/>
  <c r="P123" i="5"/>
  <c r="P125" i="5" l="1"/>
  <c r="Q27" i="6"/>
  <c r="Q59" i="6" s="1"/>
  <c r="Q12" i="6"/>
  <c r="Q14" i="6" s="1"/>
  <c r="Q16" i="6" s="1"/>
  <c r="Q136" i="5" s="1"/>
  <c r="Q167" i="5" s="1"/>
  <c r="P126" i="5" l="1"/>
  <c r="P128" i="5"/>
  <c r="P129" i="5" s="1"/>
  <c r="P50" i="6"/>
  <c r="P15" i="42" l="1"/>
  <c r="P20" i="42" s="1"/>
  <c r="P130" i="5"/>
  <c r="P14" i="42" l="1"/>
  <c r="P56" i="42"/>
  <c r="P155" i="5"/>
  <c r="P132" i="5"/>
  <c r="O27" i="42"/>
  <c r="P21" i="42"/>
  <c r="O28" i="42" l="1"/>
  <c r="O29" i="42" s="1"/>
  <c r="O110" i="42"/>
  <c r="P144" i="5"/>
  <c r="O64" i="42"/>
  <c r="O66" i="42" s="1"/>
  <c r="P58" i="42"/>
  <c r="P49" i="6"/>
  <c r="P52" i="6" s="1"/>
  <c r="P154" i="5"/>
  <c r="P157" i="5"/>
  <c r="P38" i="42"/>
  <c r="P57" i="42"/>
  <c r="P74" i="42"/>
  <c r="P75" i="42"/>
  <c r="P39" i="42"/>
  <c r="O111" i="42" l="1"/>
  <c r="O113" i="42" s="1"/>
  <c r="O46" i="42"/>
  <c r="O48" i="42" s="1"/>
  <c r="P40" i="42"/>
  <c r="P23" i="7"/>
  <c r="P20" i="7" s="1"/>
  <c r="O83" i="42"/>
  <c r="P29" i="7"/>
  <c r="P15" i="7"/>
  <c r="P17" i="7" s="1"/>
  <c r="Q28" i="6"/>
  <c r="Q20" i="6"/>
  <c r="P145" i="5"/>
  <c r="O82" i="42"/>
  <c r="O84" i="42" s="1"/>
  <c r="P76" i="42"/>
  <c r="O65" i="42"/>
  <c r="O67" i="42" s="1"/>
  <c r="O47" i="42"/>
  <c r="O49" i="42" s="1"/>
  <c r="P39" i="7" l="1"/>
  <c r="P31" i="7"/>
  <c r="P33" i="7" s="1"/>
  <c r="P41" i="7"/>
  <c r="P44" i="7"/>
  <c r="P45" i="7" s="1"/>
  <c r="P56" i="6" s="1"/>
  <c r="O85" i="42"/>
  <c r="Q21" i="6"/>
  <c r="Q76" i="5" s="1"/>
  <c r="Q79" i="5" l="1"/>
  <c r="Q135" i="5"/>
  <c r="I76" i="29"/>
  <c r="I77" i="29"/>
  <c r="P57" i="6"/>
  <c r="P58" i="6"/>
  <c r="Q30" i="6"/>
  <c r="Q32" i="6" s="1"/>
  <c r="Q46" i="6" s="1"/>
  <c r="P36" i="7"/>
  <c r="P38" i="7" s="1"/>
  <c r="P54" i="6" l="1"/>
  <c r="P34" i="6" s="1"/>
  <c r="P35" i="6" s="1"/>
  <c r="Q147" i="5"/>
  <c r="Q117" i="5"/>
  <c r="Q142" i="5"/>
  <c r="Q49" i="54"/>
  <c r="Q141" i="5"/>
  <c r="Q81" i="5"/>
  <c r="Q82" i="5" s="1"/>
  <c r="Q90" i="5" s="1"/>
  <c r="Q92" i="5" l="1"/>
  <c r="Q91" i="5"/>
  <c r="I86" i="29"/>
  <c r="Q138" i="5"/>
  <c r="Q120" i="5"/>
  <c r="Q153" i="5"/>
  <c r="Q36" i="6"/>
  <c r="Q37" i="6" s="1"/>
  <c r="P41" i="6"/>
  <c r="P43" i="6" l="1"/>
  <c r="P37" i="54" s="1"/>
  <c r="Q48" i="6"/>
  <c r="Q152" i="5"/>
  <c r="Q38" i="6"/>
  <c r="Q39" i="6" s="1"/>
  <c r="Q159" i="5"/>
  <c r="Q12" i="7"/>
  <c r="I79" i="29"/>
  <c r="Q94" i="5"/>
  <c r="Q96" i="5" l="1"/>
  <c r="Q97" i="5" s="1"/>
  <c r="Q104" i="5" s="1"/>
  <c r="R151" i="5"/>
  <c r="Q22" i="7"/>
  <c r="R149" i="5" l="1"/>
  <c r="Q106" i="5"/>
  <c r="Q105" i="5"/>
  <c r="R19" i="6" l="1"/>
  <c r="Q13" i="7"/>
  <c r="R101" i="5"/>
  <c r="I81" i="29"/>
  <c r="Q108" i="5"/>
  <c r="Q109" i="5" l="1"/>
  <c r="Q112" i="5" s="1"/>
  <c r="R103" i="5"/>
  <c r="Q118" i="47" l="1"/>
  <c r="Q110" i="5"/>
  <c r="Q14" i="7" s="1"/>
  <c r="Q120" i="47" l="1"/>
  <c r="Q119" i="47"/>
  <c r="Q163" i="47" l="1"/>
  <c r="Q152" i="47"/>
  <c r="Q141" i="47"/>
  <c r="Q162" i="47"/>
  <c r="Q151" i="47"/>
  <c r="Q140" i="47"/>
  <c r="Q71" i="42" l="1"/>
  <c r="Q127" i="47"/>
  <c r="Q142" i="47"/>
  <c r="Q143" i="47"/>
  <c r="Q35" i="42"/>
  <c r="Q154" i="47"/>
  <c r="Q53" i="42"/>
  <c r="Q164" i="47"/>
  <c r="R158" i="47" s="1"/>
  <c r="Q165" i="47"/>
  <c r="Q128" i="47"/>
  <c r="I100" i="29" s="1"/>
  <c r="Q73" i="42"/>
  <c r="Q72" i="42"/>
  <c r="Q153" i="47"/>
  <c r="R147" i="47" s="1"/>
  <c r="Q37" i="42"/>
  <c r="Q36" i="42"/>
  <c r="Q55" i="42"/>
  <c r="Q54" i="42"/>
  <c r="R160" i="47" l="1"/>
  <c r="P62" i="42"/>
  <c r="P63" i="42"/>
  <c r="I99" i="29"/>
  <c r="Q19" i="42"/>
  <c r="Q109" i="42" s="1"/>
  <c r="R136" i="47"/>
  <c r="Q129" i="47"/>
  <c r="P80" i="42"/>
  <c r="P61" i="42"/>
  <c r="P43" i="42"/>
  <c r="P44" i="42"/>
  <c r="P45" i="42"/>
  <c r="Q18" i="42"/>
  <c r="I98" i="29"/>
  <c r="Q131" i="47"/>
  <c r="Q114" i="5" s="1"/>
  <c r="Q130" i="47"/>
  <c r="R149" i="47"/>
  <c r="P79" i="42"/>
  <c r="P81" i="42"/>
  <c r="Q24" i="7" l="1"/>
  <c r="I97" i="29"/>
  <c r="R146" i="47"/>
  <c r="R157" i="47"/>
  <c r="R135" i="47"/>
  <c r="P26" i="42"/>
  <c r="R150" i="47"/>
  <c r="R123" i="47"/>
  <c r="R138" i="47"/>
  <c r="Q17" i="42"/>
  <c r="P25" i="42"/>
  <c r="P108" i="42" s="1"/>
  <c r="I82" i="29"/>
  <c r="Q116" i="5"/>
  <c r="Q118" i="5"/>
  <c r="R161" i="47"/>
  <c r="P24" i="42" l="1"/>
  <c r="R139" i="47"/>
  <c r="R126" i="47" s="1"/>
  <c r="R113" i="5" s="1"/>
  <c r="R125" i="47"/>
  <c r="Q121" i="5"/>
  <c r="Q123" i="5"/>
  <c r="Q125" i="5" l="1"/>
  <c r="Q126" i="5" s="1"/>
  <c r="R27" i="6"/>
  <c r="R59" i="6" s="1"/>
  <c r="R12" i="6"/>
  <c r="R14" i="6" s="1"/>
  <c r="R16" i="6" s="1"/>
  <c r="R136" i="5" s="1"/>
  <c r="R167" i="5" s="1"/>
  <c r="Q50" i="6" l="1"/>
  <c r="Q128" i="5"/>
  <c r="Q129" i="5" s="1"/>
  <c r="Q15" i="42" s="1"/>
  <c r="Q20" i="42" s="1"/>
  <c r="Q130" i="5" l="1"/>
  <c r="Q155" i="5" s="1"/>
  <c r="P27" i="42"/>
  <c r="Q21" i="42"/>
  <c r="P28" i="42" l="1"/>
  <c r="P29" i="42" s="1"/>
  <c r="P110" i="42"/>
  <c r="I83" i="29"/>
  <c r="Q14" i="42"/>
  <c r="Q38" i="42" s="1"/>
  <c r="Q56" i="42"/>
  <c r="P64" i="42" s="1"/>
  <c r="P66" i="42" s="1"/>
  <c r="Q132" i="5"/>
  <c r="Q144" i="5" s="1"/>
  <c r="Q49" i="6"/>
  <c r="Q52" i="6" s="1"/>
  <c r="Q154" i="5"/>
  <c r="Q157" i="5"/>
  <c r="P111" i="42" l="1"/>
  <c r="P113" i="42" s="1"/>
  <c r="Q57" i="42"/>
  <c r="P65" i="42" s="1"/>
  <c r="P67" i="42" s="1"/>
  <c r="Q39" i="42"/>
  <c r="P47" i="42" s="1"/>
  <c r="P49" i="42" s="1"/>
  <c r="Q74" i="42"/>
  <c r="P82" i="42" s="1"/>
  <c r="P84" i="42" s="1"/>
  <c r="Q75" i="42"/>
  <c r="P83" i="42" s="1"/>
  <c r="Q58" i="42"/>
  <c r="I84" i="29"/>
  <c r="P46" i="42"/>
  <c r="P48" i="42" s="1"/>
  <c r="Q40" i="42"/>
  <c r="Q23" i="7"/>
  <c r="Q20" i="7" s="1"/>
  <c r="Q29" i="7"/>
  <c r="R20" i="6"/>
  <c r="Q15" i="7"/>
  <c r="Q17" i="7" s="1"/>
  <c r="Q145" i="5"/>
  <c r="R28" i="6"/>
  <c r="Q76" i="42" l="1"/>
  <c r="Q39" i="7"/>
  <c r="Q31" i="7"/>
  <c r="Q33" i="7" s="1"/>
  <c r="Q41" i="7"/>
  <c r="Q44" i="7"/>
  <c r="Q45" i="7" s="1"/>
  <c r="Q56" i="6" s="1"/>
  <c r="P85" i="42"/>
  <c r="R21" i="6"/>
  <c r="R76" i="5" s="1"/>
  <c r="R30" i="6" l="1"/>
  <c r="R32" i="6" s="1"/>
  <c r="R46" i="6" s="1"/>
  <c r="R147" i="5" s="1"/>
  <c r="R79" i="5"/>
  <c r="R135" i="5"/>
  <c r="Q57" i="6"/>
  <c r="Q58" i="6"/>
  <c r="Q36" i="7"/>
  <c r="Q38" i="7" s="1"/>
  <c r="R117" i="5" l="1"/>
  <c r="R120" i="5" s="1"/>
  <c r="Q54" i="6"/>
  <c r="Q34" i="6" s="1"/>
  <c r="Q35" i="6" s="1"/>
  <c r="R142" i="5"/>
  <c r="R141" i="5"/>
  <c r="R49" i="54"/>
  <c r="R81" i="5"/>
  <c r="R82" i="5" s="1"/>
  <c r="R90" i="5" s="1"/>
  <c r="R153" i="5" l="1"/>
  <c r="R152" i="5" s="1"/>
  <c r="R92" i="5"/>
  <c r="R91" i="5"/>
  <c r="R138" i="5"/>
  <c r="R36" i="6"/>
  <c r="R37" i="6" s="1"/>
  <c r="Q41" i="6"/>
  <c r="R48" i="6" l="1"/>
  <c r="R22" i="7"/>
  <c r="S151" i="5"/>
  <c r="Q43" i="6"/>
  <c r="Q37" i="54" s="1"/>
  <c r="R38" i="6"/>
  <c r="R39" i="6" s="1"/>
  <c r="R94" i="5"/>
  <c r="R159" i="5"/>
  <c r="R12" i="7"/>
  <c r="R96" i="5" l="1"/>
  <c r="R97" i="5" s="1"/>
  <c r="R104" i="5" s="1"/>
  <c r="S149" i="5"/>
  <c r="R106" i="5" l="1"/>
  <c r="R108" i="5" s="1"/>
  <c r="R105" i="5"/>
  <c r="R13" i="7" l="1"/>
  <c r="S19" i="6"/>
  <c r="S101" i="5"/>
  <c r="R109" i="5"/>
  <c r="R112" i="5" s="1"/>
  <c r="S103" i="5" l="1"/>
  <c r="R118" i="47"/>
  <c r="R110" i="5"/>
  <c r="R14" i="7" s="1"/>
  <c r="R119" i="47" l="1"/>
  <c r="R120" i="47"/>
  <c r="R140" i="47" l="1"/>
  <c r="R162" i="47"/>
  <c r="R151" i="47"/>
  <c r="R163" i="47"/>
  <c r="R152" i="47"/>
  <c r="R141" i="47"/>
  <c r="R128" i="47" l="1"/>
  <c r="R73" i="42"/>
  <c r="R72" i="42"/>
  <c r="R153" i="47"/>
  <c r="S147" i="47" s="1"/>
  <c r="R37" i="42"/>
  <c r="R36" i="42"/>
  <c r="R55" i="42"/>
  <c r="R54" i="42"/>
  <c r="R35" i="42"/>
  <c r="R154" i="47"/>
  <c r="R53" i="42"/>
  <c r="R164" i="47"/>
  <c r="S158" i="47" s="1"/>
  <c r="R165" i="47"/>
  <c r="R71" i="42"/>
  <c r="R127" i="47"/>
  <c r="R142" i="47"/>
  <c r="R143" i="47"/>
  <c r="Q43" i="42" l="1"/>
  <c r="Q45" i="42"/>
  <c r="Q80" i="42"/>
  <c r="Q63" i="42"/>
  <c r="R129" i="47"/>
  <c r="S136" i="47"/>
  <c r="S160" i="47"/>
  <c r="Q62" i="42"/>
  <c r="Q44" i="42"/>
  <c r="S149" i="47"/>
  <c r="R18" i="42"/>
  <c r="R131" i="47"/>
  <c r="R114" i="5" s="1"/>
  <c r="R130" i="47"/>
  <c r="Q79" i="42"/>
  <c r="Q81" i="42"/>
  <c r="R19" i="42"/>
  <c r="R109" i="42" s="1"/>
  <c r="Q61" i="42"/>
  <c r="R24" i="7" l="1"/>
  <c r="S135" i="47"/>
  <c r="S146" i="47"/>
  <c r="S157" i="47"/>
  <c r="R17" i="42"/>
  <c r="Q25" i="42"/>
  <c r="Q108" i="42" s="1"/>
  <c r="S150" i="47"/>
  <c r="R116" i="5"/>
  <c r="R118" i="5"/>
  <c r="Q26" i="42"/>
  <c r="S161" i="47"/>
  <c r="S138" i="47"/>
  <c r="S123" i="47"/>
  <c r="Q24" i="42" l="1"/>
  <c r="S139" i="47"/>
  <c r="S126" i="47" s="1"/>
  <c r="S113" i="5" s="1"/>
  <c r="S125" i="47"/>
  <c r="R121" i="5"/>
  <c r="R123" i="5"/>
  <c r="R125" i="5" l="1"/>
  <c r="R50" i="6" s="1"/>
  <c r="S27" i="6"/>
  <c r="S59" i="6" s="1"/>
  <c r="S12" i="6"/>
  <c r="S14" i="6" s="1"/>
  <c r="S16" i="6" s="1"/>
  <c r="S136" i="5" s="1"/>
  <c r="S167" i="5" s="1"/>
  <c r="R128" i="5" l="1"/>
  <c r="R129" i="5" s="1"/>
  <c r="R15" i="42" s="1"/>
  <c r="R20" i="42" s="1"/>
  <c r="R126" i="5"/>
  <c r="R130" i="5" l="1"/>
  <c r="R14" i="42" s="1"/>
  <c r="Q27" i="42"/>
  <c r="R21" i="42"/>
  <c r="Q28" i="42" l="1"/>
  <c r="Q29" i="42" s="1"/>
  <c r="Q110" i="42"/>
  <c r="R132" i="5"/>
  <c r="R144" i="5" s="1"/>
  <c r="R155" i="5"/>
  <c r="R154" i="5" s="1"/>
  <c r="R56" i="42"/>
  <c r="Q64" i="42" s="1"/>
  <c r="Q66" i="42" s="1"/>
  <c r="R39" i="42"/>
  <c r="R74" i="42"/>
  <c r="R38" i="42"/>
  <c r="R57" i="42"/>
  <c r="R75" i="42"/>
  <c r="Q111" i="42" l="1"/>
  <c r="Q113" i="42" s="1"/>
  <c r="R49" i="6"/>
  <c r="R52" i="6" s="1"/>
  <c r="R58" i="42"/>
  <c r="R157" i="5"/>
  <c r="R23" i="7"/>
  <c r="R20" i="7" s="1"/>
  <c r="Q46" i="42"/>
  <c r="Q48" i="42" s="1"/>
  <c r="R40" i="42"/>
  <c r="Q83" i="42"/>
  <c r="Q65" i="42"/>
  <c r="Q67" i="42" s="1"/>
  <c r="Q82" i="42"/>
  <c r="Q84" i="42" s="1"/>
  <c r="R76" i="42"/>
  <c r="Q47" i="42"/>
  <c r="Q49" i="42" s="1"/>
  <c r="R15" i="7"/>
  <c r="R17" i="7" s="1"/>
  <c r="R29" i="7"/>
  <c r="S20" i="6"/>
  <c r="R145" i="5"/>
  <c r="S28" i="6"/>
  <c r="Q85" i="42" l="1"/>
  <c r="S21" i="6"/>
  <c r="S30" i="6" s="1"/>
  <c r="S32" i="6" s="1"/>
  <c r="S46" i="6" s="1"/>
  <c r="R39" i="7"/>
  <c r="R31" i="7"/>
  <c r="R33" i="7" s="1"/>
  <c r="R41" i="7"/>
  <c r="R44" i="7"/>
  <c r="R45" i="7" s="1"/>
  <c r="R56" i="6" s="1"/>
  <c r="S117" i="5" l="1"/>
  <c r="S147" i="5"/>
  <c r="S76" i="5"/>
  <c r="R36" i="7"/>
  <c r="R38" i="7" s="1"/>
  <c r="R57" i="6"/>
  <c r="R58" i="6"/>
  <c r="R54" i="6" l="1"/>
  <c r="R34" i="6" s="1"/>
  <c r="R35" i="6" s="1"/>
  <c r="S36" i="6" s="1"/>
  <c r="S37" i="6" s="1"/>
  <c r="S135" i="5"/>
  <c r="S79" i="5"/>
  <c r="J76" i="29"/>
  <c r="J77" i="29"/>
  <c r="S120" i="5"/>
  <c r="S153" i="5"/>
  <c r="R41" i="6" l="1"/>
  <c r="R43" i="6" s="1"/>
  <c r="R37" i="54" s="1"/>
  <c r="S49" i="54"/>
  <c r="S141" i="5"/>
  <c r="S142" i="5"/>
  <c r="S81" i="5"/>
  <c r="S82" i="5" s="1"/>
  <c r="S90" i="5" s="1"/>
  <c r="S38" i="6"/>
  <c r="S39" i="6" s="1"/>
  <c r="S48" i="6"/>
  <c r="S152" i="5"/>
  <c r="S92" i="5" l="1"/>
  <c r="S91" i="5"/>
  <c r="T151" i="5"/>
  <c r="S22" i="7"/>
  <c r="J86" i="29"/>
  <c r="S138" i="5"/>
  <c r="S159" i="5" l="1"/>
  <c r="T149" i="5"/>
  <c r="S12" i="7"/>
  <c r="J79" i="29"/>
  <c r="S94" i="5"/>
  <c r="S96" i="5" l="1"/>
  <c r="S97" i="5" s="1"/>
  <c r="S104" i="5" s="1"/>
  <c r="S106" i="5" l="1"/>
  <c r="S105" i="5"/>
  <c r="S13" i="7" l="1"/>
  <c r="T101" i="5"/>
  <c r="T19" i="6"/>
  <c r="J81" i="29"/>
  <c r="S108" i="5"/>
  <c r="S109" i="5" l="1"/>
  <c r="S112" i="5" s="1"/>
  <c r="T103" i="5"/>
  <c r="S118" i="47" l="1"/>
  <c r="S110" i="5"/>
  <c r="S14" i="7" s="1"/>
  <c r="S119" i="47" l="1"/>
  <c r="S120" i="47"/>
  <c r="S162" i="47" l="1"/>
  <c r="S151" i="47"/>
  <c r="S140" i="47"/>
  <c r="S163" i="47"/>
  <c r="S152" i="47"/>
  <c r="S141" i="47"/>
  <c r="S128" i="47" l="1"/>
  <c r="J100" i="29" s="1"/>
  <c r="S73" i="42"/>
  <c r="S72" i="42"/>
  <c r="S153" i="47"/>
  <c r="T147" i="47" s="1"/>
  <c r="S37" i="42"/>
  <c r="S36" i="42"/>
  <c r="S55" i="42"/>
  <c r="S54" i="42"/>
  <c r="S127" i="47"/>
  <c r="S71" i="42"/>
  <c r="S142" i="47"/>
  <c r="S143" i="47"/>
  <c r="S35" i="42"/>
  <c r="S154" i="47"/>
  <c r="S53" i="42"/>
  <c r="S164" i="47"/>
  <c r="T158" i="47" s="1"/>
  <c r="S165" i="47"/>
  <c r="S18" i="42" l="1"/>
  <c r="J98" i="29"/>
  <c r="S131" i="47"/>
  <c r="S114" i="5" s="1"/>
  <c r="S130" i="47"/>
  <c r="R62" i="42"/>
  <c r="R45" i="42"/>
  <c r="T136" i="47"/>
  <c r="S129" i="47"/>
  <c r="T160" i="47"/>
  <c r="R79" i="42"/>
  <c r="R63" i="42"/>
  <c r="R44" i="42"/>
  <c r="T149" i="47"/>
  <c r="R61" i="42"/>
  <c r="R80" i="42"/>
  <c r="R81" i="42"/>
  <c r="R43" i="42"/>
  <c r="J99" i="29"/>
  <c r="S19" i="42"/>
  <c r="S109" i="42" s="1"/>
  <c r="T161" i="47" l="1"/>
  <c r="S24" i="7"/>
  <c r="T157" i="47"/>
  <c r="T146" i="47"/>
  <c r="J97" i="29"/>
  <c r="T135" i="47"/>
  <c r="T123" i="47"/>
  <c r="T138" i="47"/>
  <c r="T150" i="47"/>
  <c r="J82" i="29"/>
  <c r="S116" i="5"/>
  <c r="S118" i="5"/>
  <c r="R26" i="42"/>
  <c r="S17" i="42"/>
  <c r="R25" i="42"/>
  <c r="R108" i="42" s="1"/>
  <c r="R24" i="42" l="1"/>
  <c r="T139" i="47"/>
  <c r="T126" i="47" s="1"/>
  <c r="T113" i="5" s="1"/>
  <c r="T125" i="47"/>
  <c r="S121" i="5"/>
  <c r="S123" i="5"/>
  <c r="T27" i="6" l="1"/>
  <c r="T59" i="6" s="1"/>
  <c r="T12" i="6"/>
  <c r="T14" i="6" s="1"/>
  <c r="T16" i="6" s="1"/>
  <c r="T136" i="5" s="1"/>
  <c r="T167" i="5" s="1"/>
  <c r="S125" i="5"/>
  <c r="S50" i="6" l="1"/>
  <c r="S126" i="5"/>
  <c r="S128" i="5"/>
  <c r="S129" i="5" s="1"/>
  <c r="S130" i="5" l="1"/>
  <c r="S15" i="42"/>
  <c r="S20" i="42" s="1"/>
  <c r="R27" i="42" l="1"/>
  <c r="S21" i="42"/>
  <c r="S56" i="42"/>
  <c r="S14" i="42"/>
  <c r="J83" i="29"/>
  <c r="S155" i="5"/>
  <c r="S132" i="5"/>
  <c r="R28" i="42" l="1"/>
  <c r="R29" i="42" s="1"/>
  <c r="R110" i="42"/>
  <c r="S49" i="6"/>
  <c r="S52" i="6" s="1"/>
  <c r="S154" i="5"/>
  <c r="S157" i="5"/>
  <c r="S57" i="42"/>
  <c r="S74" i="42"/>
  <c r="S39" i="42"/>
  <c r="S75" i="42"/>
  <c r="S38" i="42"/>
  <c r="J84" i="29"/>
  <c r="S144" i="5"/>
  <c r="R64" i="42"/>
  <c r="R66" i="42" s="1"/>
  <c r="S58" i="42"/>
  <c r="R111" i="42" l="1"/>
  <c r="R113" i="42" s="1"/>
  <c r="S15" i="7"/>
  <c r="S17" i="7" s="1"/>
  <c r="S29" i="7"/>
  <c r="T28" i="6"/>
  <c r="T20" i="6"/>
  <c r="S145" i="5"/>
  <c r="R83" i="42"/>
  <c r="R46" i="42"/>
  <c r="R48" i="42" s="1"/>
  <c r="S40" i="42"/>
  <c r="R47" i="42"/>
  <c r="R49" i="42" s="1"/>
  <c r="R82" i="42"/>
  <c r="R84" i="42" s="1"/>
  <c r="S76" i="42"/>
  <c r="R65" i="42"/>
  <c r="R67" i="42" s="1"/>
  <c r="S23" i="7"/>
  <c r="S20" i="7" s="1"/>
  <c r="R85" i="42" l="1"/>
  <c r="T21" i="6"/>
  <c r="T76" i="5" s="1"/>
  <c r="S39" i="7"/>
  <c r="S31" i="7"/>
  <c r="S36" i="7" s="1"/>
  <c r="S38" i="7" s="1"/>
  <c r="S41" i="7"/>
  <c r="S44" i="7"/>
  <c r="S45" i="7" s="1"/>
  <c r="S56" i="6" s="1"/>
  <c r="S33" i="7" l="1"/>
  <c r="T79" i="5"/>
  <c r="T135" i="5"/>
  <c r="S58" i="6"/>
  <c r="S57" i="6"/>
  <c r="T30" i="6"/>
  <c r="T32" i="6" s="1"/>
  <c r="T46" i="6" s="1"/>
  <c r="S54" i="6" l="1"/>
  <c r="S34" i="6" s="1"/>
  <c r="S35" i="6" s="1"/>
  <c r="S41" i="6" s="1"/>
  <c r="T117" i="5"/>
  <c r="T147" i="5"/>
  <c r="T142" i="5"/>
  <c r="T141" i="5"/>
  <c r="T49" i="54"/>
  <c r="T81" i="5"/>
  <c r="T82" i="5" s="1"/>
  <c r="T90" i="5" s="1"/>
  <c r="T36" i="6" l="1"/>
  <c r="T37" i="6" s="1"/>
  <c r="T38" i="6" s="1"/>
  <c r="T39" i="6" s="1"/>
  <c r="T92" i="5"/>
  <c r="T91" i="5"/>
  <c r="S43" i="6"/>
  <c r="S37" i="54" s="1"/>
  <c r="T138" i="5"/>
  <c r="T120" i="5"/>
  <c r="T153" i="5"/>
  <c r="T48" i="6" l="1"/>
  <c r="T152" i="5"/>
  <c r="T159" i="5"/>
  <c r="T12" i="7"/>
  <c r="T94" i="5"/>
  <c r="U151" i="5" l="1"/>
  <c r="T22" i="7"/>
  <c r="T96" i="5"/>
  <c r="T97" i="5" s="1"/>
  <c r="T104" i="5" s="1"/>
  <c r="T106" i="5" l="1"/>
  <c r="T108" i="5" s="1"/>
  <c r="T105" i="5"/>
  <c r="U149" i="5"/>
  <c r="T13" i="7" l="1"/>
  <c r="U19" i="6"/>
  <c r="U101" i="5"/>
  <c r="T109" i="5"/>
  <c r="T112" i="5" s="1"/>
  <c r="T118" i="47" l="1"/>
  <c r="U103" i="5"/>
  <c r="T110" i="5"/>
  <c r="T14" i="7" s="1"/>
  <c r="T120" i="47" l="1"/>
  <c r="T119" i="47"/>
  <c r="T163" i="47" l="1"/>
  <c r="T152" i="47"/>
  <c r="T141" i="47"/>
  <c r="T140" i="47"/>
  <c r="T162" i="47"/>
  <c r="T151" i="47"/>
  <c r="T35" i="42" l="1"/>
  <c r="T154" i="47"/>
  <c r="T53" i="42"/>
  <c r="T164" i="47"/>
  <c r="U158" i="47" s="1"/>
  <c r="T165" i="47"/>
  <c r="T127" i="47"/>
  <c r="T71" i="42"/>
  <c r="T142" i="47"/>
  <c r="T143" i="47"/>
  <c r="T128" i="47"/>
  <c r="T72" i="42"/>
  <c r="T73" i="42"/>
  <c r="T153" i="47"/>
  <c r="U147" i="47" s="1"/>
  <c r="T37" i="42"/>
  <c r="T36" i="42"/>
  <c r="T55" i="42"/>
  <c r="T54" i="42"/>
  <c r="T18" i="42" l="1"/>
  <c r="T131" i="47"/>
  <c r="T114" i="5" s="1"/>
  <c r="T130" i="47"/>
  <c r="T19" i="42"/>
  <c r="T109" i="42" s="1"/>
  <c r="S79" i="42"/>
  <c r="S63" i="42"/>
  <c r="S44" i="42"/>
  <c r="S45" i="42"/>
  <c r="U136" i="47"/>
  <c r="T129" i="47"/>
  <c r="S62" i="42"/>
  <c r="U160" i="47"/>
  <c r="S61" i="42"/>
  <c r="U149" i="47"/>
  <c r="S43" i="42"/>
  <c r="S81" i="42"/>
  <c r="S80" i="42"/>
  <c r="S26" i="42" l="1"/>
  <c r="U123" i="47"/>
  <c r="U138" i="47"/>
  <c r="T116" i="5"/>
  <c r="T118" i="5"/>
  <c r="U161" i="47"/>
  <c r="U146" i="47"/>
  <c r="U135" i="47"/>
  <c r="T24" i="7"/>
  <c r="U157" i="47"/>
  <c r="U150" i="47"/>
  <c r="T17" i="42"/>
  <c r="S25" i="42"/>
  <c r="S108" i="42" s="1"/>
  <c r="S24" i="42" l="1"/>
  <c r="U125" i="47"/>
  <c r="U139" i="47"/>
  <c r="U126" i="47" s="1"/>
  <c r="U113" i="5" s="1"/>
  <c r="T121" i="5"/>
  <c r="T123" i="5"/>
  <c r="T125" i="5" l="1"/>
  <c r="U12" i="6"/>
  <c r="U14" i="6" s="1"/>
  <c r="U16" i="6" s="1"/>
  <c r="U136" i="5" s="1"/>
  <c r="U167" i="5" s="1"/>
  <c r="U27" i="6"/>
  <c r="U59" i="6" s="1"/>
  <c r="T50" i="6" l="1"/>
  <c r="T128" i="5"/>
  <c r="T129" i="5" s="1"/>
  <c r="T126" i="5"/>
  <c r="T15" i="42" l="1"/>
  <c r="T20" i="42" s="1"/>
  <c r="T130" i="5"/>
  <c r="T56" i="42" l="1"/>
  <c r="T14" i="42"/>
  <c r="T155" i="5"/>
  <c r="T132" i="5"/>
  <c r="S27" i="42"/>
  <c r="T21" i="42"/>
  <c r="S28" i="42" l="1"/>
  <c r="S29" i="42" s="1"/>
  <c r="S110" i="42"/>
  <c r="T144" i="5"/>
  <c r="T38" i="42"/>
  <c r="T57" i="42"/>
  <c r="T39" i="42"/>
  <c r="T75" i="42"/>
  <c r="T74" i="42"/>
  <c r="T49" i="6"/>
  <c r="T52" i="6" s="1"/>
  <c r="T154" i="5"/>
  <c r="T157" i="5"/>
  <c r="S64" i="42"/>
  <c r="S66" i="42" s="1"/>
  <c r="T58" i="42"/>
  <c r="S111" i="42" l="1"/>
  <c r="S113" i="42" s="1"/>
  <c r="S46" i="42"/>
  <c r="S48" i="42" s="1"/>
  <c r="T40" i="42"/>
  <c r="T29" i="7"/>
  <c r="T145" i="5"/>
  <c r="U20" i="6"/>
  <c r="T15" i="7"/>
  <c r="T17" i="7" s="1"/>
  <c r="U28" i="6"/>
  <c r="T23" i="7"/>
  <c r="T20" i="7" s="1"/>
  <c r="S82" i="42"/>
  <c r="S84" i="42" s="1"/>
  <c r="T76" i="42"/>
  <c r="S83" i="42"/>
  <c r="S47" i="42"/>
  <c r="S49" i="42" s="1"/>
  <c r="S65" i="42"/>
  <c r="S67" i="42" s="1"/>
  <c r="U21" i="6" l="1"/>
  <c r="U76" i="5" s="1"/>
  <c r="T41" i="7"/>
  <c r="T39" i="7"/>
  <c r="T31" i="7"/>
  <c r="T33" i="7" s="1"/>
  <c r="T44" i="7"/>
  <c r="T45" i="7" s="1"/>
  <c r="T56" i="6" s="1"/>
  <c r="S85" i="42"/>
  <c r="U79" i="5" l="1"/>
  <c r="U135" i="5"/>
  <c r="K76" i="29"/>
  <c r="K77" i="29"/>
  <c r="T58" i="6"/>
  <c r="T57" i="6"/>
  <c r="U30" i="6"/>
  <c r="U32" i="6" s="1"/>
  <c r="U46" i="6" s="1"/>
  <c r="T36" i="7"/>
  <c r="T38" i="7" s="1"/>
  <c r="T54" i="6" l="1"/>
  <c r="T34" i="6" s="1"/>
  <c r="T35" i="6" s="1"/>
  <c r="U36" i="6" s="1"/>
  <c r="U37" i="6" s="1"/>
  <c r="U147" i="5"/>
  <c r="U117" i="5"/>
  <c r="U49" i="54"/>
  <c r="U141" i="5"/>
  <c r="U142" i="5"/>
  <c r="U81" i="5"/>
  <c r="U82" i="5" s="1"/>
  <c r="U90" i="5" s="1"/>
  <c r="T41" i="6" l="1"/>
  <c r="T43" i="6" s="1"/>
  <c r="T37" i="54" s="1"/>
  <c r="U38" i="6"/>
  <c r="U39" i="6" s="1"/>
  <c r="U153" i="5"/>
  <c r="U120" i="5"/>
  <c r="U92" i="5"/>
  <c r="U91" i="5"/>
  <c r="K86" i="29"/>
  <c r="U138" i="5"/>
  <c r="K79" i="29" l="1"/>
  <c r="U94" i="5"/>
  <c r="U12" i="7"/>
  <c r="U48" i="6"/>
  <c r="U152" i="5"/>
  <c r="U159" i="5"/>
  <c r="U96" i="5" l="1"/>
  <c r="U97" i="5" s="1"/>
  <c r="U104" i="5" s="1"/>
  <c r="V151" i="5"/>
  <c r="U22" i="7"/>
  <c r="V149" i="5" l="1"/>
  <c r="U106" i="5"/>
  <c r="U105" i="5"/>
  <c r="V19" i="6" l="1"/>
  <c r="V101" i="5"/>
  <c r="U13" i="7"/>
  <c r="K81" i="29"/>
  <c r="U108" i="5"/>
  <c r="U109" i="5" l="1"/>
  <c r="U112" i="5" s="1"/>
  <c r="V103" i="5"/>
  <c r="U118" i="47" l="1"/>
  <c r="U110" i="5"/>
  <c r="U14" i="7" s="1"/>
  <c r="U120" i="47" l="1"/>
  <c r="U119" i="47"/>
  <c r="U152" i="47" l="1"/>
  <c r="U163" i="47"/>
  <c r="U141" i="47"/>
  <c r="U151" i="47"/>
  <c r="U162" i="47"/>
  <c r="U140" i="47"/>
  <c r="U71" i="42" l="1"/>
  <c r="U127" i="47"/>
  <c r="U142" i="47"/>
  <c r="U143" i="47"/>
  <c r="U53" i="42"/>
  <c r="U164" i="47"/>
  <c r="V158" i="47" s="1"/>
  <c r="U165" i="47"/>
  <c r="U35" i="42"/>
  <c r="U154" i="47"/>
  <c r="U128" i="47"/>
  <c r="K100" i="29" s="1"/>
  <c r="U73" i="42"/>
  <c r="U72" i="42"/>
  <c r="U55" i="42"/>
  <c r="U54" i="42"/>
  <c r="U153" i="47"/>
  <c r="V147" i="47" s="1"/>
  <c r="U37" i="42"/>
  <c r="U36" i="42"/>
  <c r="T80" i="42" l="1"/>
  <c r="K99" i="29"/>
  <c r="U19" i="42"/>
  <c r="U109" i="42" s="1"/>
  <c r="T61" i="42"/>
  <c r="T43" i="42"/>
  <c r="U18" i="42"/>
  <c r="K98" i="29"/>
  <c r="U130" i="47"/>
  <c r="U131" i="47"/>
  <c r="U114" i="5" s="1"/>
  <c r="T81" i="42"/>
  <c r="V160" i="47"/>
  <c r="T44" i="42"/>
  <c r="T45" i="42"/>
  <c r="V149" i="47"/>
  <c r="U129" i="47"/>
  <c r="V136" i="47"/>
  <c r="T62" i="42"/>
  <c r="T63" i="42"/>
  <c r="T79" i="42"/>
  <c r="U17" i="42" l="1"/>
  <c r="T25" i="42"/>
  <c r="T108" i="42" s="1"/>
  <c r="T26" i="42"/>
  <c r="V138" i="47"/>
  <c r="V123" i="47"/>
  <c r="V161" i="47"/>
  <c r="V157" i="47"/>
  <c r="V135" i="47"/>
  <c r="K97" i="29"/>
  <c r="V146" i="47"/>
  <c r="U24" i="7"/>
  <c r="K82" i="29"/>
  <c r="U116" i="5"/>
  <c r="U118" i="5"/>
  <c r="V150" i="47"/>
  <c r="T24" i="42" l="1"/>
  <c r="V139" i="47"/>
  <c r="V126" i="47" s="1"/>
  <c r="V113" i="5" s="1"/>
  <c r="V125" i="47"/>
  <c r="U121" i="5"/>
  <c r="U123" i="5"/>
  <c r="U125" i="5" l="1"/>
  <c r="U126" i="5" s="1"/>
  <c r="V27" i="6"/>
  <c r="V59" i="6" s="1"/>
  <c r="V12" i="6"/>
  <c r="V14" i="6" s="1"/>
  <c r="V16" i="6" s="1"/>
  <c r="V136" i="5" s="1"/>
  <c r="V167" i="5" s="1"/>
  <c r="U128" i="5" l="1"/>
  <c r="U129" i="5" s="1"/>
  <c r="U130" i="5" s="1"/>
  <c r="U50" i="6"/>
  <c r="U15" i="42" l="1"/>
  <c r="U20" i="42" s="1"/>
  <c r="U56" i="42"/>
  <c r="U14" i="42"/>
  <c r="K83" i="29"/>
  <c r="U155" i="5"/>
  <c r="U132" i="5"/>
  <c r="T27" i="42" l="1"/>
  <c r="U21" i="42"/>
  <c r="K84" i="29"/>
  <c r="U144" i="5"/>
  <c r="U49" i="6"/>
  <c r="U52" i="6" s="1"/>
  <c r="U154" i="5"/>
  <c r="U157" i="5"/>
  <c r="T64" i="42"/>
  <c r="T66" i="42" s="1"/>
  <c r="U58" i="42"/>
  <c r="U39" i="42"/>
  <c r="U38" i="42"/>
  <c r="U57" i="42"/>
  <c r="U74" i="42"/>
  <c r="U75" i="42"/>
  <c r="T28" i="42" l="1"/>
  <c r="T29" i="42" s="1"/>
  <c r="T110" i="42"/>
  <c r="T47" i="42"/>
  <c r="T49" i="42" s="1"/>
  <c r="T82" i="42"/>
  <c r="T84" i="42" s="1"/>
  <c r="U76" i="42"/>
  <c r="U23" i="7"/>
  <c r="U20" i="7" s="1"/>
  <c r="U29" i="7"/>
  <c r="U145" i="5"/>
  <c r="V20" i="6"/>
  <c r="U15" i="7"/>
  <c r="U17" i="7" s="1"/>
  <c r="V28" i="6"/>
  <c r="T65" i="42"/>
  <c r="T67" i="42" s="1"/>
  <c r="T46" i="42"/>
  <c r="T48" i="42" s="1"/>
  <c r="U40" i="42"/>
  <c r="T83" i="42"/>
  <c r="T111" i="42" l="1"/>
  <c r="T113" i="42" s="1"/>
  <c r="U41" i="7"/>
  <c r="U31" i="7"/>
  <c r="U36" i="7" s="1"/>
  <c r="U38" i="7" s="1"/>
  <c r="U39" i="7"/>
  <c r="U44" i="7"/>
  <c r="U45" i="7" s="1"/>
  <c r="U56" i="6" s="1"/>
  <c r="V21" i="6"/>
  <c r="V30" i="6" s="1"/>
  <c r="V32" i="6" s="1"/>
  <c r="V46" i="6" s="1"/>
  <c r="T85" i="42"/>
  <c r="V76" i="5" l="1"/>
  <c r="V79" i="5" s="1"/>
  <c r="D111" i="47"/>
  <c r="D110" i="47"/>
  <c r="V147" i="5"/>
  <c r="V117" i="5"/>
  <c r="U58" i="6"/>
  <c r="U57" i="6"/>
  <c r="U33" i="7"/>
  <c r="V135" i="5" l="1"/>
  <c r="V49" i="54"/>
  <c r="V141" i="5"/>
  <c r="V142" i="5"/>
  <c r="V81" i="5"/>
  <c r="V82" i="5" s="1"/>
  <c r="V90" i="5" s="1"/>
  <c r="V153" i="5"/>
  <c r="V120" i="5"/>
  <c r="U54" i="6"/>
  <c r="U34" i="6" s="1"/>
  <c r="U35" i="6" s="1"/>
  <c r="D112" i="47" l="1"/>
  <c r="V36" i="6"/>
  <c r="V37" i="6" s="1"/>
  <c r="U41" i="6"/>
  <c r="V48" i="6"/>
  <c r="V152" i="5"/>
  <c r="E115" i="47"/>
  <c r="E71" i="29" s="1"/>
  <c r="D71" i="29" s="1"/>
  <c r="C71" i="29" s="1"/>
  <c r="D109" i="47"/>
  <c r="V92" i="5"/>
  <c r="V91" i="5"/>
  <c r="V138" i="5"/>
  <c r="W151" i="5" l="1"/>
  <c r="V22" i="7"/>
  <c r="V159" i="5"/>
  <c r="U43" i="6"/>
  <c r="U37" i="54" s="1"/>
  <c r="V12" i="7"/>
  <c r="V94" i="5"/>
  <c r="V38" i="6"/>
  <c r="V39" i="6" s="1"/>
  <c r="E109" i="47"/>
  <c r="H70" i="29" s="1"/>
  <c r="H154" i="29" s="1"/>
  <c r="E108" i="47"/>
  <c r="G70" i="29" s="1"/>
  <c r="D70" i="29" l="1"/>
  <c r="C70" i="29" s="1"/>
  <c r="V96" i="5"/>
  <c r="V97" i="5" s="1"/>
  <c r="V104" i="5" s="1"/>
  <c r="W149" i="5"/>
  <c r="V105" i="5" l="1"/>
  <c r="V106" i="5"/>
  <c r="V108" i="5" s="1"/>
  <c r="V109" i="5" l="1"/>
  <c r="V112" i="5" s="1"/>
  <c r="W101" i="5"/>
  <c r="V13" i="7"/>
  <c r="W19" i="6"/>
  <c r="W103" i="5" l="1"/>
  <c r="V118" i="47"/>
  <c r="V110" i="5"/>
  <c r="V14" i="7" s="1"/>
  <c r="V119" i="47" l="1"/>
  <c r="V120" i="47"/>
  <c r="V162" i="47" l="1"/>
  <c r="V140" i="47"/>
  <c r="V151" i="47"/>
  <c r="V152" i="47"/>
  <c r="V163" i="47"/>
  <c r="V141" i="47"/>
  <c r="V153" i="47" l="1"/>
  <c r="W147" i="47" s="1"/>
  <c r="V37" i="42"/>
  <c r="V36" i="42"/>
  <c r="V128" i="47"/>
  <c r="V73" i="42"/>
  <c r="V72" i="42"/>
  <c r="V55" i="42"/>
  <c r="V54" i="42"/>
  <c r="V35" i="42"/>
  <c r="V154" i="47"/>
  <c r="V71" i="42"/>
  <c r="V127" i="47"/>
  <c r="V142" i="47"/>
  <c r="V143" i="47"/>
  <c r="V53" i="42"/>
  <c r="V164" i="47"/>
  <c r="W158" i="47" s="1"/>
  <c r="V165" i="47"/>
  <c r="V18" i="42" l="1"/>
  <c r="V130" i="47"/>
  <c r="V131" i="47"/>
  <c r="V114" i="5" s="1"/>
  <c r="U43" i="42"/>
  <c r="U81" i="42"/>
  <c r="U63" i="42"/>
  <c r="U79" i="42"/>
  <c r="U62" i="42"/>
  <c r="U80" i="42"/>
  <c r="W160" i="47"/>
  <c r="V19" i="42"/>
  <c r="V109" i="42" s="1"/>
  <c r="U61" i="42"/>
  <c r="U44" i="42"/>
  <c r="U45" i="42"/>
  <c r="W136" i="47"/>
  <c r="V129" i="47"/>
  <c r="W149" i="47"/>
  <c r="W150" i="47" l="1"/>
  <c r="W161" i="47"/>
  <c r="U26" i="42"/>
  <c r="V24" i="7"/>
  <c r="W157" i="47"/>
  <c r="W146" i="47"/>
  <c r="W135" i="47"/>
  <c r="V116" i="5"/>
  <c r="V118" i="5"/>
  <c r="V17" i="42"/>
  <c r="U25" i="42"/>
  <c r="U108" i="42" s="1"/>
  <c r="W123" i="47"/>
  <c r="W138" i="47"/>
  <c r="U24" i="42" l="1"/>
  <c r="W139" i="47"/>
  <c r="W126" i="47" s="1"/>
  <c r="W113" i="5" s="1"/>
  <c r="W125" i="47"/>
  <c r="V121" i="5"/>
  <c r="V123" i="5"/>
  <c r="V125" i="5" l="1"/>
  <c r="V128" i="5" s="1"/>
  <c r="V129" i="5" s="1"/>
  <c r="W27" i="6"/>
  <c r="W59" i="6" s="1"/>
  <c r="W12" i="6"/>
  <c r="W14" i="6" s="1"/>
  <c r="W16" i="6" s="1"/>
  <c r="W136" i="5" s="1"/>
  <c r="W167" i="5" s="1"/>
  <c r="V50" i="6" l="1"/>
  <c r="V126" i="5"/>
  <c r="V15" i="42"/>
  <c r="V20" i="42" s="1"/>
  <c r="V130" i="5"/>
  <c r="V56" i="42" l="1"/>
  <c r="V14" i="42"/>
  <c r="V155" i="5"/>
  <c r="V132" i="5"/>
  <c r="U27" i="42"/>
  <c r="V21" i="42"/>
  <c r="U28" i="42" l="1"/>
  <c r="U29" i="42" s="1"/>
  <c r="U110" i="42"/>
  <c r="V49" i="6"/>
  <c r="V52" i="6" s="1"/>
  <c r="V154" i="5"/>
  <c r="V157" i="5"/>
  <c r="V144" i="5"/>
  <c r="V39" i="42"/>
  <c r="V57" i="42"/>
  <c r="V38" i="42"/>
  <c r="V75" i="42"/>
  <c r="V74" i="42"/>
  <c r="U64" i="42"/>
  <c r="U66" i="42" s="1"/>
  <c r="V58" i="42"/>
  <c r="U111" i="42" l="1"/>
  <c r="U113" i="42" s="1"/>
  <c r="U82" i="42"/>
  <c r="U84" i="42" s="1"/>
  <c r="V76" i="42"/>
  <c r="U65" i="42"/>
  <c r="U67" i="42" s="1"/>
  <c r="W20" i="6"/>
  <c r="V29" i="7"/>
  <c r="V15" i="7"/>
  <c r="V17" i="7" s="1"/>
  <c r="V145" i="5"/>
  <c r="W28" i="6"/>
  <c r="U46" i="42"/>
  <c r="U48" i="42" s="1"/>
  <c r="V40" i="42"/>
  <c r="V23" i="7"/>
  <c r="V20" i="7" s="1"/>
  <c r="U83" i="42"/>
  <c r="U47" i="42"/>
  <c r="U49" i="42" s="1"/>
  <c r="W21" i="6" l="1"/>
  <c r="W30" i="6" s="1"/>
  <c r="W32" i="6" s="1"/>
  <c r="W46" i="6" s="1"/>
  <c r="U85" i="42"/>
  <c r="V39" i="7"/>
  <c r="V41" i="7"/>
  <c r="V31" i="7"/>
  <c r="V33" i="7" s="1"/>
  <c r="V44" i="7"/>
  <c r="V45" i="7" s="1"/>
  <c r="V56" i="6" s="1"/>
  <c r="W76" i="5" l="1"/>
  <c r="W79" i="5" s="1"/>
  <c r="W147" i="5"/>
  <c r="W117" i="5"/>
  <c r="V57" i="6"/>
  <c r="V58" i="6"/>
  <c r="V36" i="7"/>
  <c r="V38" i="7" s="1"/>
  <c r="L76" i="29" l="1"/>
  <c r="L77" i="29"/>
  <c r="W135" i="5"/>
  <c r="W49" i="54"/>
  <c r="W141" i="5"/>
  <c r="W142" i="5"/>
  <c r="W81" i="5"/>
  <c r="W82" i="5" s="1"/>
  <c r="W90" i="5" s="1"/>
  <c r="V54" i="6"/>
  <c r="V34" i="6" s="1"/>
  <c r="V35" i="6" s="1"/>
  <c r="W120" i="5"/>
  <c r="W153" i="5"/>
  <c r="W48" i="6" l="1"/>
  <c r="W152" i="5"/>
  <c r="W36" i="6"/>
  <c r="W37" i="6" s="1"/>
  <c r="V41" i="6"/>
  <c r="W92" i="5"/>
  <c r="W91" i="5"/>
  <c r="L86" i="29"/>
  <c r="W138" i="5"/>
  <c r="V43" i="6" l="1"/>
  <c r="V37" i="54" s="1"/>
  <c r="W38" i="6"/>
  <c r="W39" i="6" s="1"/>
  <c r="X151" i="5"/>
  <c r="W22" i="7"/>
  <c r="W159" i="5"/>
  <c r="W12" i="7"/>
  <c r="L79" i="29"/>
  <c r="W94" i="5"/>
  <c r="X149" i="5" l="1"/>
  <c r="W96" i="5"/>
  <c r="W97" i="5" s="1"/>
  <c r="W104" i="5" s="1"/>
  <c r="W106" i="5" l="1"/>
  <c r="W105" i="5"/>
  <c r="X19" i="6" l="1"/>
  <c r="X101" i="5"/>
  <c r="W13" i="7"/>
  <c r="L81" i="29"/>
  <c r="W108" i="5"/>
  <c r="W109" i="5" l="1"/>
  <c r="W112" i="5" s="1"/>
  <c r="X103" i="5"/>
  <c r="W118" i="47" l="1"/>
  <c r="W110" i="5"/>
  <c r="W14" i="7" s="1"/>
  <c r="W119" i="47" l="1"/>
  <c r="W120" i="47"/>
  <c r="W162" i="47" l="1"/>
  <c r="W151" i="47"/>
  <c r="W140" i="47"/>
  <c r="W152" i="47"/>
  <c r="W163" i="47"/>
  <c r="W141" i="47"/>
  <c r="W128" i="47" l="1"/>
  <c r="W73" i="42"/>
  <c r="W72" i="42"/>
  <c r="W55" i="42"/>
  <c r="W54" i="42"/>
  <c r="W153" i="47"/>
  <c r="X147" i="47" s="1"/>
  <c r="W37" i="42"/>
  <c r="W36" i="42"/>
  <c r="W127" i="47"/>
  <c r="W71" i="42"/>
  <c r="W142" i="47"/>
  <c r="W143" i="47"/>
  <c r="W35" i="42"/>
  <c r="W154" i="47"/>
  <c r="W53" i="42"/>
  <c r="W164" i="47"/>
  <c r="X158" i="47" s="1"/>
  <c r="W165" i="47"/>
  <c r="X136" i="47" l="1"/>
  <c r="W129" i="47"/>
  <c r="W18" i="42"/>
  <c r="L98" i="29"/>
  <c r="W130" i="47"/>
  <c r="W131" i="47"/>
  <c r="W114" i="5" s="1"/>
  <c r="V44" i="42"/>
  <c r="V45" i="42"/>
  <c r="V62" i="42"/>
  <c r="V81" i="42"/>
  <c r="V79" i="42"/>
  <c r="X149" i="47"/>
  <c r="X160" i="47"/>
  <c r="V63" i="42"/>
  <c r="V61" i="42"/>
  <c r="V80" i="42"/>
  <c r="V43" i="42"/>
  <c r="L100" i="29"/>
  <c r="L99" i="29" s="1"/>
  <c r="W19" i="42"/>
  <c r="W109" i="42" s="1"/>
  <c r="V26" i="42" l="1"/>
  <c r="X161" i="47"/>
  <c r="L82" i="29"/>
  <c r="W116" i="5"/>
  <c r="W118" i="5"/>
  <c r="W17" i="42"/>
  <c r="V25" i="42"/>
  <c r="V108" i="42" s="1"/>
  <c r="X150" i="47"/>
  <c r="X146" i="47"/>
  <c r="X135" i="47"/>
  <c r="X157" i="47"/>
  <c r="W24" i="7"/>
  <c r="L97" i="29"/>
  <c r="X138" i="47"/>
  <c r="X123" i="47"/>
  <c r="V24" i="42" l="1"/>
  <c r="W121" i="5"/>
  <c r="W123" i="5"/>
  <c r="X125" i="47"/>
  <c r="X139" i="47"/>
  <c r="X126" i="47" s="1"/>
  <c r="X113" i="5" s="1"/>
  <c r="X12" i="6" l="1"/>
  <c r="X14" i="6" s="1"/>
  <c r="X16" i="6" s="1"/>
  <c r="X136" i="5" s="1"/>
  <c r="X167" i="5" s="1"/>
  <c r="X27" i="6"/>
  <c r="X59" i="6" s="1"/>
  <c r="W125" i="5"/>
  <c r="W126" i="5" l="1"/>
  <c r="W128" i="5"/>
  <c r="W129" i="5" s="1"/>
  <c r="W50" i="6"/>
  <c r="W130" i="5" l="1"/>
  <c r="W15" i="42"/>
  <c r="W20" i="42" s="1"/>
  <c r="V27" i="42" l="1"/>
  <c r="W21" i="42"/>
  <c r="W56" i="42"/>
  <c r="W14" i="42"/>
  <c r="L83" i="29"/>
  <c r="W155" i="5"/>
  <c r="W132" i="5"/>
  <c r="V28" i="42" l="1"/>
  <c r="V29" i="42" s="1"/>
  <c r="V110" i="42"/>
  <c r="L84" i="29"/>
  <c r="W144" i="5"/>
  <c r="W49" i="6"/>
  <c r="W52" i="6" s="1"/>
  <c r="W154" i="5"/>
  <c r="W157" i="5"/>
  <c r="W38" i="42"/>
  <c r="W39" i="42"/>
  <c r="W57" i="42"/>
  <c r="W74" i="42"/>
  <c r="W75" i="42"/>
  <c r="V64" i="42"/>
  <c r="V66" i="42" s="1"/>
  <c r="W58" i="42"/>
  <c r="V111" i="42" l="1"/>
  <c r="V113" i="42" s="1"/>
  <c r="V83" i="42"/>
  <c r="V47" i="42"/>
  <c r="V49" i="42" s="1"/>
  <c r="W23" i="7"/>
  <c r="W20" i="7" s="1"/>
  <c r="V82" i="42"/>
  <c r="V84" i="42" s="1"/>
  <c r="W76" i="42"/>
  <c r="V46" i="42"/>
  <c r="V48" i="42" s="1"/>
  <c r="W40" i="42"/>
  <c r="W29" i="7"/>
  <c r="X20" i="6"/>
  <c r="W15" i="7"/>
  <c r="W17" i="7" s="1"/>
  <c r="W145" i="5"/>
  <c r="X28" i="6"/>
  <c r="V65" i="42"/>
  <c r="V67" i="42" s="1"/>
  <c r="W39" i="7" l="1"/>
  <c r="W41" i="7"/>
  <c r="W31" i="7"/>
  <c r="W33" i="7" s="1"/>
  <c r="W44" i="7"/>
  <c r="W45" i="7" s="1"/>
  <c r="W56" i="6" s="1"/>
  <c r="X21" i="6"/>
  <c r="X76" i="5" s="1"/>
  <c r="V85" i="42"/>
  <c r="W36" i="7" l="1"/>
  <c r="W38" i="7" s="1"/>
  <c r="X30" i="6"/>
  <c r="X32" i="6" s="1"/>
  <c r="X46" i="6" s="1"/>
  <c r="X117" i="5" s="1"/>
  <c r="X135" i="5"/>
  <c r="X79" i="5"/>
  <c r="W57" i="6"/>
  <c r="W58" i="6"/>
  <c r="X147" i="5" l="1"/>
  <c r="W54" i="6"/>
  <c r="W34" i="6" s="1"/>
  <c r="W35" i="6" s="1"/>
  <c r="X120" i="5"/>
  <c r="X153" i="5"/>
  <c r="X142" i="5"/>
  <c r="X141" i="5"/>
  <c r="X49" i="54"/>
  <c r="X81" i="5"/>
  <c r="X82" i="5" s="1"/>
  <c r="X90" i="5" s="1"/>
  <c r="X92" i="5" l="1"/>
  <c r="X91" i="5"/>
  <c r="X48" i="6"/>
  <c r="X152" i="5"/>
  <c r="X138" i="5"/>
  <c r="X36" i="6"/>
  <c r="X37" i="6" s="1"/>
  <c r="W41" i="6"/>
  <c r="W43" i="6" l="1"/>
  <c r="W37" i="54" s="1"/>
  <c r="X159" i="5"/>
  <c r="X38" i="6"/>
  <c r="X39" i="6" s="1"/>
  <c r="Y151" i="5"/>
  <c r="X22" i="7"/>
  <c r="X12" i="7"/>
  <c r="X94" i="5"/>
  <c r="Y149" i="5" l="1"/>
  <c r="X96" i="5"/>
  <c r="X97" i="5" s="1"/>
  <c r="X104" i="5" s="1"/>
  <c r="X105" i="5" l="1"/>
  <c r="X106" i="5"/>
  <c r="X108" i="5" s="1"/>
  <c r="X109" i="5" l="1"/>
  <c r="X112" i="5" s="1"/>
  <c r="Y19" i="6"/>
  <c r="Y101" i="5"/>
  <c r="X13" i="7"/>
  <c r="Y103" i="5" l="1"/>
  <c r="X118" i="47"/>
  <c r="X110" i="5"/>
  <c r="X14" i="7" s="1"/>
  <c r="X119" i="47" l="1"/>
  <c r="X120" i="47"/>
  <c r="X151" i="47" l="1"/>
  <c r="X162" i="47"/>
  <c r="X140" i="47"/>
  <c r="X152" i="47"/>
  <c r="X163" i="47"/>
  <c r="X141" i="47"/>
  <c r="X128" i="47" l="1"/>
  <c r="X72" i="42"/>
  <c r="X73" i="42"/>
  <c r="X55" i="42"/>
  <c r="X54" i="42"/>
  <c r="X153" i="47"/>
  <c r="Y147" i="47" s="1"/>
  <c r="X36" i="42"/>
  <c r="X37" i="42"/>
  <c r="X71" i="42"/>
  <c r="X127" i="47"/>
  <c r="X142" i="47"/>
  <c r="X143" i="47"/>
  <c r="X53" i="42"/>
  <c r="X164" i="47"/>
  <c r="Y158" i="47" s="1"/>
  <c r="X165" i="47"/>
  <c r="X35" i="42"/>
  <c r="X154" i="47"/>
  <c r="X129" i="47" l="1"/>
  <c r="Y136" i="47"/>
  <c r="W45" i="42"/>
  <c r="W62" i="42"/>
  <c r="W63" i="42"/>
  <c r="X18" i="42"/>
  <c r="X130" i="47"/>
  <c r="X131" i="47"/>
  <c r="X114" i="5" s="1"/>
  <c r="W79" i="42"/>
  <c r="W44" i="42"/>
  <c r="Y149" i="47"/>
  <c r="W43" i="42"/>
  <c r="W81" i="42"/>
  <c r="Y160" i="47"/>
  <c r="W80" i="42"/>
  <c r="W61" i="42"/>
  <c r="X19" i="42"/>
  <c r="X109" i="42" s="1"/>
  <c r="X116" i="5" l="1"/>
  <c r="X118" i="5"/>
  <c r="X17" i="42"/>
  <c r="W25" i="42"/>
  <c r="W108" i="42" s="1"/>
  <c r="W26" i="42"/>
  <c r="Y150" i="47"/>
  <c r="Y138" i="47"/>
  <c r="Y123" i="47"/>
  <c r="Y161" i="47"/>
  <c r="Y135" i="47"/>
  <c r="Y146" i="47"/>
  <c r="Y157" i="47"/>
  <c r="X24" i="7"/>
  <c r="Y139" i="47" l="1"/>
  <c r="Y126" i="47" s="1"/>
  <c r="Y113" i="5" s="1"/>
  <c r="Y125" i="47"/>
  <c r="W24" i="42"/>
  <c r="X121" i="5"/>
  <c r="X123" i="5"/>
  <c r="X125" i="5" l="1"/>
  <c r="X128" i="5" s="1"/>
  <c r="Y27" i="6"/>
  <c r="Y59" i="6" s="1"/>
  <c r="Y12" i="6"/>
  <c r="Y14" i="6" s="1"/>
  <c r="Y16" i="6" s="1"/>
  <c r="Y136" i="5" s="1"/>
  <c r="Y167" i="5" s="1"/>
  <c r="X50" i="6" l="1"/>
  <c r="X129" i="5"/>
  <c r="X130" i="5" s="1"/>
  <c r="X126" i="5"/>
  <c r="X15" i="42" l="1"/>
  <c r="X20" i="42" s="1"/>
  <c r="X14" i="42"/>
  <c r="X56" i="42"/>
  <c r="X155" i="5"/>
  <c r="X132" i="5"/>
  <c r="X21" i="42" l="1"/>
  <c r="W27" i="42"/>
  <c r="X49" i="6"/>
  <c r="X52" i="6" s="1"/>
  <c r="X154" i="5"/>
  <c r="X157" i="5"/>
  <c r="X144" i="5"/>
  <c r="W64" i="42"/>
  <c r="W66" i="42" s="1"/>
  <c r="X58" i="42"/>
  <c r="X75" i="42"/>
  <c r="X57" i="42"/>
  <c r="X38" i="42"/>
  <c r="X39" i="42"/>
  <c r="X74" i="42"/>
  <c r="W28" i="42" l="1"/>
  <c r="W29" i="42" s="1"/>
  <c r="W110" i="42"/>
  <c r="W83" i="42"/>
  <c r="W46" i="42"/>
  <c r="W48" i="42" s="1"/>
  <c r="X40" i="42"/>
  <c r="X29" i="7"/>
  <c r="Y20" i="6"/>
  <c r="X145" i="5"/>
  <c r="Y28" i="6"/>
  <c r="X15" i="7"/>
  <c r="X17" i="7" s="1"/>
  <c r="X23" i="7"/>
  <c r="X20" i="7" s="1"/>
  <c r="W47" i="42"/>
  <c r="W49" i="42" s="1"/>
  <c r="W65" i="42"/>
  <c r="W67" i="42" s="1"/>
  <c r="W82" i="42"/>
  <c r="W84" i="42" s="1"/>
  <c r="X76" i="42"/>
  <c r="W111" i="42" l="1"/>
  <c r="W113" i="42" s="1"/>
  <c r="Y21" i="6"/>
  <c r="Y76" i="5" s="1"/>
  <c r="W85" i="42"/>
  <c r="X41" i="7"/>
  <c r="X31" i="7"/>
  <c r="X33" i="7" s="1"/>
  <c r="X39" i="7"/>
  <c r="X44" i="7"/>
  <c r="X45" i="7" s="1"/>
  <c r="X56" i="6" s="1"/>
  <c r="Y135" i="5" l="1"/>
  <c r="Y79" i="5"/>
  <c r="M76" i="29"/>
  <c r="M77" i="29"/>
  <c r="X57" i="6"/>
  <c r="X58" i="6"/>
  <c r="X36" i="7"/>
  <c r="X38" i="7" s="1"/>
  <c r="Y30" i="6"/>
  <c r="Y32" i="6" s="1"/>
  <c r="Y46" i="6" s="1"/>
  <c r="X54" i="6" l="1"/>
  <c r="X34" i="6" s="1"/>
  <c r="X35" i="6" s="1"/>
  <c r="Y36" i="6" s="1"/>
  <c r="Y37" i="6" s="1"/>
  <c r="Y117" i="5"/>
  <c r="Y147" i="5"/>
  <c r="Y141" i="5"/>
  <c r="Y49" i="54"/>
  <c r="Y142" i="5"/>
  <c r="Y81" i="5"/>
  <c r="Y82" i="5" s="1"/>
  <c r="Y90" i="5" s="1"/>
  <c r="X41" i="6" l="1"/>
  <c r="X43" i="6" s="1"/>
  <c r="X37" i="54" s="1"/>
  <c r="M86" i="29"/>
  <c r="Y138" i="5"/>
  <c r="Y38" i="6"/>
  <c r="Y39" i="6" s="1"/>
  <c r="Y92" i="5"/>
  <c r="Y91" i="5"/>
  <c r="Y153" i="5"/>
  <c r="Y120" i="5"/>
  <c r="Y12" i="7" l="1"/>
  <c r="M79" i="29"/>
  <c r="Y94" i="5"/>
  <c r="Y48" i="6"/>
  <c r="Y152" i="5"/>
  <c r="Y159" i="5"/>
  <c r="Z151" i="5" l="1"/>
  <c r="Y22" i="7"/>
  <c r="Y96" i="5"/>
  <c r="Y97" i="5" s="1"/>
  <c r="Y104" i="5" s="1"/>
  <c r="Y105" i="5" l="1"/>
  <c r="Y106" i="5"/>
  <c r="Z149" i="5"/>
  <c r="M81" i="29" l="1"/>
  <c r="Y108" i="5"/>
  <c r="Z101" i="5"/>
  <c r="Y13" i="7"/>
  <c r="Z19" i="6"/>
  <c r="Z103" i="5" l="1"/>
  <c r="Y109" i="5"/>
  <c r="Y112" i="5" s="1"/>
  <c r="Y110" i="5" l="1"/>
  <c r="Y14" i="7" s="1"/>
  <c r="Y118" i="47"/>
  <c r="Y119" i="47" l="1"/>
  <c r="Y120" i="47"/>
  <c r="Y151" i="47" l="1"/>
  <c r="Y162" i="47"/>
  <c r="Y140" i="47"/>
  <c r="Y152" i="47"/>
  <c r="Y163" i="47"/>
  <c r="Y141" i="47"/>
  <c r="Y128" i="47" l="1"/>
  <c r="Y72" i="42"/>
  <c r="Y73" i="42"/>
  <c r="Y55" i="42"/>
  <c r="Y54" i="42"/>
  <c r="Y153" i="47"/>
  <c r="Z147" i="47" s="1"/>
  <c r="Y36" i="42"/>
  <c r="Y37" i="42"/>
  <c r="Y71" i="42"/>
  <c r="Y127" i="47"/>
  <c r="Y142" i="47"/>
  <c r="Y143" i="47"/>
  <c r="Y53" i="42"/>
  <c r="Y164" i="47"/>
  <c r="Z158" i="47" s="1"/>
  <c r="Y165" i="47"/>
  <c r="Y35" i="42"/>
  <c r="Y154" i="47"/>
  <c r="Y18" i="42" l="1"/>
  <c r="M98" i="29"/>
  <c r="Y131" i="47"/>
  <c r="Y114" i="5" s="1"/>
  <c r="Y130" i="47"/>
  <c r="X45" i="42"/>
  <c r="Z149" i="47"/>
  <c r="X43" i="42"/>
  <c r="Y129" i="47"/>
  <c r="Z136" i="47"/>
  <c r="X79" i="42"/>
  <c r="X44" i="42"/>
  <c r="X62" i="42"/>
  <c r="X63" i="42"/>
  <c r="X81" i="42"/>
  <c r="Z160" i="47"/>
  <c r="X80" i="42"/>
  <c r="X61" i="42"/>
  <c r="M100" i="29"/>
  <c r="M99" i="29" s="1"/>
  <c r="Y19" i="42"/>
  <c r="Y109" i="42" s="1"/>
  <c r="Y24" i="7" l="1"/>
  <c r="M97" i="29"/>
  <c r="Z135" i="47"/>
  <c r="Z146" i="47"/>
  <c r="Z157" i="47"/>
  <c r="X26" i="42"/>
  <c r="Z150" i="47"/>
  <c r="M82" i="29"/>
  <c r="Y116" i="5"/>
  <c r="Y118" i="5"/>
  <c r="Z161" i="47"/>
  <c r="Z138" i="47"/>
  <c r="Z123" i="47"/>
  <c r="Y17" i="42"/>
  <c r="X25" i="42"/>
  <c r="X108" i="42" s="1"/>
  <c r="Y121" i="5" l="1"/>
  <c r="Y123" i="5"/>
  <c r="X24" i="42"/>
  <c r="Z139" i="47"/>
  <c r="Z126" i="47" s="1"/>
  <c r="Z113" i="5" s="1"/>
  <c r="Z125" i="47"/>
  <c r="Z12" i="6" l="1"/>
  <c r="Z14" i="6" s="1"/>
  <c r="Z16" i="6" s="1"/>
  <c r="Z136" i="5" s="1"/>
  <c r="Z167" i="5" s="1"/>
  <c r="Y125" i="5"/>
  <c r="Z27" i="6"/>
  <c r="Z59" i="6" s="1"/>
  <c r="Y128" i="5" l="1"/>
  <c r="Y129" i="5" s="1"/>
  <c r="Y126" i="5"/>
  <c r="Y50" i="6"/>
  <c r="Y130" i="5" l="1"/>
  <c r="Y15" i="42"/>
  <c r="Y20" i="42" s="1"/>
  <c r="X27" i="42" l="1"/>
  <c r="Y21" i="42"/>
  <c r="Y14" i="42"/>
  <c r="Y56" i="42"/>
  <c r="M83" i="29"/>
  <c r="Y155" i="5"/>
  <c r="Y132" i="5"/>
  <c r="X28" i="42" l="1"/>
  <c r="X29" i="42" s="1"/>
  <c r="X110" i="42"/>
  <c r="M84" i="29"/>
  <c r="Y144" i="5"/>
  <c r="Y49" i="6"/>
  <c r="Y52" i="6" s="1"/>
  <c r="Y154" i="5"/>
  <c r="Y157" i="5"/>
  <c r="X64" i="42"/>
  <c r="X66" i="42" s="1"/>
  <c r="Y58" i="42"/>
  <c r="Y75" i="42"/>
  <c r="Y38" i="42"/>
  <c r="Y57" i="42"/>
  <c r="Y74" i="42"/>
  <c r="Y39" i="42"/>
  <c r="X111" i="42" l="1"/>
  <c r="X113" i="42" s="1"/>
  <c r="X82" i="42"/>
  <c r="X84" i="42" s="1"/>
  <c r="Y76" i="42"/>
  <c r="X83" i="42"/>
  <c r="X47" i="42"/>
  <c r="X49" i="42" s="1"/>
  <c r="X46" i="42"/>
  <c r="X48" i="42" s="1"/>
  <c r="Y40" i="42"/>
  <c r="Y23" i="7"/>
  <c r="Y20" i="7" s="1"/>
  <c r="X65" i="42"/>
  <c r="X67" i="42" s="1"/>
  <c r="Y29" i="7"/>
  <c r="Z28" i="6"/>
  <c r="Y145" i="5"/>
  <c r="Z20" i="6"/>
  <c r="Y15" i="7"/>
  <c r="Y17" i="7" s="1"/>
  <c r="Y41" i="7" l="1"/>
  <c r="Y31" i="7"/>
  <c r="Y36" i="7" s="1"/>
  <c r="Y38" i="7" s="1"/>
  <c r="Y39" i="7"/>
  <c r="Y44" i="7"/>
  <c r="Y45" i="7" s="1"/>
  <c r="Y56" i="6" s="1"/>
  <c r="Z21" i="6"/>
  <c r="Z30" i="6" s="1"/>
  <c r="Z32" i="6" s="1"/>
  <c r="Z46" i="6" s="1"/>
  <c r="X85" i="42"/>
  <c r="Y33" i="7" l="1"/>
  <c r="Z76" i="5"/>
  <c r="Z79" i="5" s="1"/>
  <c r="Z147" i="5"/>
  <c r="Z117" i="5"/>
  <c r="Y57" i="6"/>
  <c r="Y58" i="6"/>
  <c r="Z135" i="5" l="1"/>
  <c r="Y54" i="6"/>
  <c r="Y34" i="6" s="1"/>
  <c r="Y35" i="6" s="1"/>
  <c r="Z142" i="5"/>
  <c r="Z141" i="5"/>
  <c r="Z49" i="54"/>
  <c r="Z81" i="5"/>
  <c r="Z82" i="5" s="1"/>
  <c r="Z90" i="5" s="1"/>
  <c r="Z120" i="5"/>
  <c r="Z153" i="5"/>
  <c r="Z48" i="6" l="1"/>
  <c r="Z152" i="5"/>
  <c r="Z138" i="5"/>
  <c r="Z92" i="5"/>
  <c r="Z91" i="5"/>
  <c r="Z36" i="6"/>
  <c r="Z37" i="6" s="1"/>
  <c r="Y41" i="6"/>
  <c r="Z38" i="6" l="1"/>
  <c r="Z39" i="6" s="1"/>
  <c r="Z94" i="5"/>
  <c r="Z159" i="5"/>
  <c r="Z12" i="7"/>
  <c r="Z22" i="7"/>
  <c r="AA151" i="5"/>
  <c r="Y43" i="6"/>
  <c r="Y37" i="54" s="1"/>
  <c r="AA149" i="5" l="1"/>
  <c r="Z96" i="5"/>
  <c r="Z97" i="5" s="1"/>
  <c r="Z104" i="5" s="1"/>
  <c r="Z105" i="5" l="1"/>
  <c r="Z106" i="5"/>
  <c r="Z108" i="5" s="1"/>
  <c r="Z109" i="5" l="1"/>
  <c r="Z112" i="5" s="1"/>
  <c r="AA101" i="5"/>
  <c r="AA19" i="6"/>
  <c r="Z13" i="7"/>
  <c r="AA103" i="5" l="1"/>
  <c r="Z118" i="47"/>
  <c r="Z110" i="5"/>
  <c r="Z14" i="7" s="1"/>
  <c r="Z120" i="47" l="1"/>
  <c r="Z119" i="47"/>
  <c r="Z163" i="47" l="1"/>
  <c r="Z152" i="47"/>
  <c r="Z141" i="47"/>
  <c r="Z162" i="47"/>
  <c r="Z140" i="47"/>
  <c r="Z151" i="47"/>
  <c r="Z71" i="42" l="1"/>
  <c r="Z127" i="47"/>
  <c r="Z142" i="47"/>
  <c r="Z143" i="47"/>
  <c r="Z35" i="42"/>
  <c r="Z154" i="47"/>
  <c r="Z53" i="42"/>
  <c r="Z164" i="47"/>
  <c r="AA158" i="47" s="1"/>
  <c r="Z165" i="47"/>
  <c r="Z128" i="47"/>
  <c r="Z73" i="42"/>
  <c r="Z72" i="42"/>
  <c r="Z153" i="47"/>
  <c r="AA147" i="47" s="1"/>
  <c r="Z36" i="42"/>
  <c r="Z37" i="42"/>
  <c r="Z55" i="42"/>
  <c r="Z54" i="42"/>
  <c r="Y80" i="42" l="1"/>
  <c r="Z19" i="42"/>
  <c r="Z109" i="42" s="1"/>
  <c r="Y61" i="42"/>
  <c r="Y62" i="42"/>
  <c r="Y44" i="42"/>
  <c r="Z18" i="42"/>
  <c r="Z131" i="47"/>
  <c r="Z114" i="5" s="1"/>
  <c r="Z130" i="47"/>
  <c r="Y81" i="42"/>
  <c r="AA160" i="47"/>
  <c r="Y43" i="42"/>
  <c r="Y63" i="42"/>
  <c r="Y45" i="42"/>
  <c r="AA136" i="47"/>
  <c r="Z129" i="47"/>
  <c r="AA149" i="47"/>
  <c r="Y79" i="42"/>
  <c r="AA161" i="47" l="1"/>
  <c r="Y26" i="42"/>
  <c r="AA146" i="47"/>
  <c r="AA157" i="47"/>
  <c r="AA135" i="47"/>
  <c r="Z24" i="7"/>
  <c r="Z116" i="5"/>
  <c r="Z118" i="5"/>
  <c r="AA150" i="47"/>
  <c r="AA123" i="47"/>
  <c r="AA138" i="47"/>
  <c r="Z17" i="42"/>
  <c r="Y25" i="42"/>
  <c r="Y108" i="42" s="1"/>
  <c r="AA125" i="47" l="1"/>
  <c r="AA139" i="47"/>
  <c r="AA126" i="47" s="1"/>
  <c r="AA113" i="5" s="1"/>
  <c r="Y24" i="42"/>
  <c r="Z121" i="5"/>
  <c r="Z123" i="5"/>
  <c r="Z125" i="5" l="1"/>
  <c r="Z128" i="5" s="1"/>
  <c r="Z129" i="5" s="1"/>
  <c r="AA12" i="6"/>
  <c r="AA14" i="6" s="1"/>
  <c r="AA16" i="6" s="1"/>
  <c r="AA136" i="5" s="1"/>
  <c r="AA167" i="5" s="1"/>
  <c r="AA27" i="6"/>
  <c r="AA59" i="6" s="1"/>
  <c r="Z50" i="6" l="1"/>
  <c r="Z126" i="5"/>
  <c r="Z130" i="5"/>
  <c r="Z15" i="42"/>
  <c r="Z20" i="42" s="1"/>
  <c r="Y27" i="42" l="1"/>
  <c r="Z21" i="42"/>
  <c r="Z14" i="42"/>
  <c r="Z56" i="42"/>
  <c r="Z155" i="5"/>
  <c r="Z132" i="5"/>
  <c r="Y28" i="42" l="1"/>
  <c r="Y29" i="42" s="1"/>
  <c r="Y110" i="42"/>
  <c r="Z49" i="6"/>
  <c r="Z52" i="6" s="1"/>
  <c r="Z154" i="5"/>
  <c r="Z157" i="5"/>
  <c r="Z74" i="42"/>
  <c r="Z75" i="42"/>
  <c r="Z57" i="42"/>
  <c r="Z38" i="42"/>
  <c r="Z39" i="42"/>
  <c r="Z144" i="5"/>
  <c r="Y64" i="42"/>
  <c r="Y66" i="42" s="1"/>
  <c r="Z58" i="42"/>
  <c r="Y111" i="42" l="1"/>
  <c r="Y113" i="42" s="1"/>
  <c r="Z145" i="5"/>
  <c r="Z29" i="7"/>
  <c r="AA20" i="6"/>
  <c r="AA28" i="6"/>
  <c r="Z15" i="7"/>
  <c r="Z17" i="7" s="1"/>
  <c r="Y83" i="42"/>
  <c r="Y82" i="42"/>
  <c r="Y84" i="42" s="1"/>
  <c r="Z76" i="42"/>
  <c r="Y47" i="42"/>
  <c r="Y49" i="42" s="1"/>
  <c r="Y46" i="42"/>
  <c r="Y48" i="42" s="1"/>
  <c r="Z40" i="42"/>
  <c r="Y65" i="42"/>
  <c r="Y67" i="42" s="1"/>
  <c r="Z23" i="7"/>
  <c r="Z20" i="7" s="1"/>
  <c r="Z41" i="7" l="1"/>
  <c r="Z31" i="7"/>
  <c r="Z36" i="7" s="1"/>
  <c r="Z38" i="7" s="1"/>
  <c r="Z39" i="7"/>
  <c r="Z44" i="7"/>
  <c r="Z45" i="7" s="1"/>
  <c r="Z56" i="6" s="1"/>
  <c r="AA21" i="6"/>
  <c r="AA30" i="6" s="1"/>
  <c r="AA32" i="6" s="1"/>
  <c r="AA46" i="6" s="1"/>
  <c r="Y85" i="42"/>
  <c r="Z33" i="7" l="1"/>
  <c r="AA76" i="5"/>
  <c r="AA79" i="5" s="1"/>
  <c r="AA147" i="5"/>
  <c r="AA117" i="5"/>
  <c r="Z58" i="6"/>
  <c r="Z57" i="6"/>
  <c r="N77" i="29" l="1"/>
  <c r="N76" i="29"/>
  <c r="AA135" i="5"/>
  <c r="AA153" i="5"/>
  <c r="AA120" i="5"/>
  <c r="Z54" i="6"/>
  <c r="Z34" i="6" s="1"/>
  <c r="Z35" i="6" s="1"/>
  <c r="AA142" i="5"/>
  <c r="AA141" i="5"/>
  <c r="AA49" i="54"/>
  <c r="AA81" i="5"/>
  <c r="AA82" i="5" s="1"/>
  <c r="AA90" i="5" s="1"/>
  <c r="AA92" i="5" l="1"/>
  <c r="AA91" i="5"/>
  <c r="N86" i="29"/>
  <c r="AA138" i="5"/>
  <c r="AA36" i="6"/>
  <c r="AA37" i="6" s="1"/>
  <c r="Z41" i="6"/>
  <c r="AA48" i="6"/>
  <c r="AA152" i="5"/>
  <c r="AB151" i="5" l="1"/>
  <c r="AA22" i="7"/>
  <c r="AA12" i="7"/>
  <c r="AA159" i="5"/>
  <c r="Z43" i="6"/>
  <c r="Z37" i="54" s="1"/>
  <c r="AA38" i="6"/>
  <c r="AA39" i="6" s="1"/>
  <c r="N79" i="29"/>
  <c r="AA94" i="5"/>
  <c r="AA96" i="5" l="1"/>
  <c r="AA97" i="5" s="1"/>
  <c r="AA104" i="5" s="1"/>
  <c r="AB149" i="5"/>
  <c r="AA106" i="5" l="1"/>
  <c r="AA105" i="5"/>
  <c r="AB101" i="5" l="1"/>
  <c r="AB19" i="6"/>
  <c r="AA13" i="7"/>
  <c r="N81" i="29"/>
  <c r="AA108" i="5"/>
  <c r="AA109" i="5" l="1"/>
  <c r="AA112" i="5" s="1"/>
  <c r="AB103" i="5"/>
  <c r="AA118" i="47" l="1"/>
  <c r="AA110" i="5"/>
  <c r="AA14" i="7" s="1"/>
  <c r="AA120" i="47" l="1"/>
  <c r="AA119" i="47"/>
  <c r="AA163" i="47" l="1"/>
  <c r="AA152" i="47"/>
  <c r="AA141" i="47"/>
  <c r="AA162" i="47"/>
  <c r="AA151" i="47"/>
  <c r="AA140" i="47"/>
  <c r="AA127" i="47" l="1"/>
  <c r="AA71" i="42"/>
  <c r="AA142" i="47"/>
  <c r="AA143" i="47"/>
  <c r="AA35" i="42"/>
  <c r="AA154" i="47"/>
  <c r="AA53" i="42"/>
  <c r="AA164" i="47"/>
  <c r="AB158" i="47" s="1"/>
  <c r="AA165" i="47"/>
  <c r="AA128" i="47"/>
  <c r="AA73" i="42"/>
  <c r="AA72" i="42"/>
  <c r="AA153" i="47"/>
  <c r="AB147" i="47" s="1"/>
  <c r="AA37" i="42"/>
  <c r="AA36" i="42"/>
  <c r="AA55" i="42"/>
  <c r="AA54" i="42"/>
  <c r="Z81" i="42" l="1"/>
  <c r="AB160" i="47"/>
  <c r="Z61" i="42"/>
  <c r="Z43" i="42"/>
  <c r="Z45" i="42"/>
  <c r="Z80" i="42"/>
  <c r="N100" i="29"/>
  <c r="N99" i="29" s="1"/>
  <c r="AA19" i="42"/>
  <c r="AA109" i="42" s="1"/>
  <c r="Z62" i="42"/>
  <c r="Z63" i="42"/>
  <c r="Z44" i="42"/>
  <c r="AB136" i="47"/>
  <c r="AA129" i="47"/>
  <c r="Z79" i="42"/>
  <c r="AB149" i="47"/>
  <c r="AA18" i="42"/>
  <c r="N98" i="29"/>
  <c r="AA130" i="47"/>
  <c r="AA131" i="47"/>
  <c r="AA114" i="5" s="1"/>
  <c r="AB123" i="47" l="1"/>
  <c r="AB138" i="47"/>
  <c r="N82" i="29"/>
  <c r="AA116" i="5"/>
  <c r="AA118" i="5"/>
  <c r="AB135" i="47"/>
  <c r="AB146" i="47"/>
  <c r="AB157" i="47"/>
  <c r="N97" i="29"/>
  <c r="AA24" i="7"/>
  <c r="AB161" i="47"/>
  <c r="AA17" i="42"/>
  <c r="Z25" i="42"/>
  <c r="Z108" i="42" s="1"/>
  <c r="Z26" i="42"/>
  <c r="AB150" i="47"/>
  <c r="AA121" i="5" l="1"/>
  <c r="AA123" i="5"/>
  <c r="AB139" i="47"/>
  <c r="AB126" i="47" s="1"/>
  <c r="AB113" i="5" s="1"/>
  <c r="AB125" i="47"/>
  <c r="Z24" i="42"/>
  <c r="AB12" i="6" l="1"/>
  <c r="AB14" i="6" s="1"/>
  <c r="AB16" i="6" s="1"/>
  <c r="AB136" i="5" s="1"/>
  <c r="AB167" i="5" s="1"/>
  <c r="AB27" i="6"/>
  <c r="AB59" i="6" s="1"/>
  <c r="AA125" i="5"/>
  <c r="AA50" i="6" l="1"/>
  <c r="AA128" i="5"/>
  <c r="AA129" i="5" s="1"/>
  <c r="AA126" i="5"/>
  <c r="AA130" i="5" l="1"/>
  <c r="AA15" i="42"/>
  <c r="AA20" i="42" s="1"/>
  <c r="Z27" i="42" l="1"/>
  <c r="AA21" i="42"/>
  <c r="AA14" i="42"/>
  <c r="AA56" i="42"/>
  <c r="N83" i="29"/>
  <c r="AA155" i="5"/>
  <c r="AA132" i="5"/>
  <c r="Z28" i="42" l="1"/>
  <c r="Z29" i="42" s="1"/>
  <c r="Z110" i="42"/>
  <c r="N84" i="29"/>
  <c r="AA144" i="5"/>
  <c r="AA49" i="6"/>
  <c r="AA52" i="6" s="1"/>
  <c r="AA154" i="5"/>
  <c r="AA157" i="5"/>
  <c r="Z64" i="42"/>
  <c r="Z66" i="42" s="1"/>
  <c r="AA58" i="42"/>
  <c r="AA75" i="42"/>
  <c r="AA38" i="42"/>
  <c r="AA39" i="42"/>
  <c r="AA74" i="42"/>
  <c r="AA57" i="42"/>
  <c r="Z111" i="42" l="1"/>
  <c r="Z113" i="42" s="1"/>
  <c r="Z82" i="42"/>
  <c r="Z84" i="42" s="1"/>
  <c r="AA76" i="42"/>
  <c r="AA23" i="7"/>
  <c r="AA20" i="7" s="1"/>
  <c r="Z83" i="42"/>
  <c r="Z47" i="42"/>
  <c r="Z49" i="42" s="1"/>
  <c r="AB28" i="6"/>
  <c r="AB20" i="6"/>
  <c r="AA15" i="7"/>
  <c r="AA17" i="7" s="1"/>
  <c r="AA29" i="7"/>
  <c r="AA145" i="5"/>
  <c r="Z46" i="42"/>
  <c r="Z48" i="42" s="1"/>
  <c r="AA40" i="42"/>
  <c r="Z65" i="42"/>
  <c r="Z67" i="42" s="1"/>
  <c r="AB21" i="6" l="1"/>
  <c r="AB76" i="5" s="1"/>
  <c r="Z85" i="42"/>
  <c r="AA39" i="7"/>
  <c r="AA31" i="7"/>
  <c r="AA36" i="7" s="1"/>
  <c r="AA38" i="7" s="1"/>
  <c r="AA41" i="7"/>
  <c r="AA44" i="7"/>
  <c r="AA45" i="7" s="1"/>
  <c r="AA56" i="6" s="1"/>
  <c r="AA33" i="7" l="1"/>
  <c r="AB79" i="5"/>
  <c r="AB135" i="5"/>
  <c r="AA57" i="6"/>
  <c r="AA58" i="6"/>
  <c r="AB30" i="6"/>
  <c r="AB32" i="6" s="1"/>
  <c r="AB46" i="6" s="1"/>
  <c r="AA54" i="6" l="1"/>
  <c r="AA34" i="6" s="1"/>
  <c r="AA35" i="6" s="1"/>
  <c r="AB36" i="6" s="1"/>
  <c r="AB37" i="6" s="1"/>
  <c r="AB117" i="5"/>
  <c r="AB147" i="5"/>
  <c r="AB142" i="5"/>
  <c r="AB49" i="54"/>
  <c r="AB141" i="5"/>
  <c r="AB81" i="5"/>
  <c r="AB82" i="5" s="1"/>
  <c r="AB90" i="5" s="1"/>
  <c r="AA41" i="6" l="1"/>
  <c r="AA43" i="6" s="1"/>
  <c r="AA37" i="54" s="1"/>
  <c r="AB92" i="5"/>
  <c r="AB91" i="5"/>
  <c r="AB38" i="6"/>
  <c r="AB39" i="6" s="1"/>
  <c r="AB138" i="5"/>
  <c r="AB153" i="5"/>
  <c r="AB120" i="5"/>
  <c r="AB159" i="5" l="1"/>
  <c r="AB48" i="6"/>
  <c r="AB152" i="5"/>
  <c r="AB12" i="7"/>
  <c r="AB94" i="5"/>
  <c r="AB96" i="5" l="1"/>
  <c r="AB97" i="5" s="1"/>
  <c r="AB104" i="5" s="1"/>
  <c r="AC151" i="5"/>
  <c r="AB22" i="7"/>
  <c r="AC149" i="5" l="1"/>
  <c r="AB106" i="5"/>
  <c r="AB108" i="5" s="1"/>
  <c r="AB105" i="5"/>
  <c r="AB109" i="5" l="1"/>
  <c r="AB112" i="5" s="1"/>
  <c r="AB13" i="7"/>
  <c r="AC101" i="5"/>
  <c r="AC19" i="6"/>
  <c r="AC103" i="5" l="1"/>
  <c r="AB118" i="47"/>
  <c r="AB110" i="5"/>
  <c r="AB14" i="7" s="1"/>
  <c r="AB120" i="47" l="1"/>
  <c r="AB119" i="47"/>
  <c r="AB152" i="47" l="1"/>
  <c r="AB163" i="47"/>
  <c r="AB141" i="47"/>
  <c r="AB140" i="47"/>
  <c r="AB151" i="47"/>
  <c r="AB162" i="47"/>
  <c r="AB53" i="42" l="1"/>
  <c r="AB164" i="47"/>
  <c r="AC158" i="47" s="1"/>
  <c r="AB165" i="47"/>
  <c r="AB35" i="42"/>
  <c r="AB154" i="47"/>
  <c r="AB127" i="47"/>
  <c r="AB71" i="42"/>
  <c r="AB142" i="47"/>
  <c r="AB143" i="47"/>
  <c r="AB128" i="47"/>
  <c r="AB73" i="42"/>
  <c r="AB72" i="42"/>
  <c r="AB55" i="42"/>
  <c r="AB54" i="42"/>
  <c r="AB153" i="47"/>
  <c r="AC147" i="47" s="1"/>
  <c r="AB37" i="42"/>
  <c r="AB36" i="42"/>
  <c r="AB19" i="42" l="1"/>
  <c r="AB109" i="42" s="1"/>
  <c r="AB129" i="47"/>
  <c r="AC136" i="47"/>
  <c r="AA44" i="42"/>
  <c r="AA80" i="42"/>
  <c r="AA62" i="42"/>
  <c r="AA81" i="42"/>
  <c r="AA79" i="42"/>
  <c r="AB18" i="42"/>
  <c r="AB131" i="47"/>
  <c r="AB114" i="5" s="1"/>
  <c r="AB130" i="47"/>
  <c r="AA45" i="42"/>
  <c r="AA43" i="42"/>
  <c r="AC149" i="47"/>
  <c r="AC160" i="47"/>
  <c r="AA63" i="42"/>
  <c r="AA61" i="42"/>
  <c r="AC138" i="47" l="1"/>
  <c r="AC123" i="47"/>
  <c r="AB17" i="42"/>
  <c r="AA25" i="42"/>
  <c r="AA108" i="42" s="1"/>
  <c r="AC135" i="47"/>
  <c r="AC157" i="47"/>
  <c r="AB24" i="7"/>
  <c r="AC146" i="47"/>
  <c r="AA26" i="42"/>
  <c r="AB118" i="5"/>
  <c r="AB116" i="5"/>
  <c r="AC161" i="47"/>
  <c r="AC150" i="47"/>
  <c r="AA24" i="42" l="1"/>
  <c r="AC139" i="47"/>
  <c r="AC126" i="47" s="1"/>
  <c r="AC113" i="5" s="1"/>
  <c r="AC125" i="47"/>
  <c r="AB121" i="5"/>
  <c r="AB123" i="5"/>
  <c r="AB125" i="5" l="1"/>
  <c r="AB50" i="6" s="1"/>
  <c r="AC12" i="6"/>
  <c r="AC14" i="6" s="1"/>
  <c r="AC16" i="6" s="1"/>
  <c r="AC136" i="5" s="1"/>
  <c r="AC167" i="5" s="1"/>
  <c r="AC27" i="6"/>
  <c r="AC59" i="6" s="1"/>
  <c r="AB126" i="5" l="1"/>
  <c r="AB128" i="5"/>
  <c r="AB129" i="5" s="1"/>
  <c r="AB15" i="42" s="1"/>
  <c r="AB20" i="42" s="1"/>
  <c r="AB130" i="5" l="1"/>
  <c r="AB14" i="42" s="1"/>
  <c r="AA27" i="42"/>
  <c r="AB21" i="42"/>
  <c r="AA28" i="42" l="1"/>
  <c r="AA29" i="42" s="1"/>
  <c r="AA110" i="42"/>
  <c r="AB132" i="5"/>
  <c r="AB144" i="5" s="1"/>
  <c r="AB56" i="42"/>
  <c r="AA64" i="42" s="1"/>
  <c r="AA66" i="42" s="1"/>
  <c r="AB155" i="5"/>
  <c r="AB49" i="6" s="1"/>
  <c r="AB52" i="6" s="1"/>
  <c r="AB74" i="42"/>
  <c r="AB38" i="42"/>
  <c r="AB57" i="42"/>
  <c r="AB39" i="42"/>
  <c r="AB75" i="42"/>
  <c r="AA111" i="42" l="1"/>
  <c r="AA113" i="42" s="1"/>
  <c r="AB157" i="5"/>
  <c r="AB58" i="42"/>
  <c r="AB154" i="5"/>
  <c r="AB23" i="7" s="1"/>
  <c r="AB20" i="7" s="1"/>
  <c r="AA47" i="42"/>
  <c r="AA49" i="42" s="1"/>
  <c r="AA46" i="42"/>
  <c r="AA48" i="42" s="1"/>
  <c r="AB40" i="42"/>
  <c r="AA82" i="42"/>
  <c r="AA84" i="42" s="1"/>
  <c r="AB76" i="42"/>
  <c r="AC20" i="6"/>
  <c r="AB15" i="7"/>
  <c r="AB17" i="7" s="1"/>
  <c r="AB29" i="7"/>
  <c r="AB145" i="5"/>
  <c r="AC28" i="6"/>
  <c r="AA65" i="42"/>
  <c r="AA67" i="42" s="1"/>
  <c r="AA83" i="42"/>
  <c r="AC21" i="6" l="1"/>
  <c r="AC76" i="5" s="1"/>
  <c r="AA85" i="42"/>
  <c r="AB41" i="7"/>
  <c r="AB31" i="7"/>
  <c r="AB36" i="7" s="1"/>
  <c r="AB38" i="7" s="1"/>
  <c r="AB39" i="7"/>
  <c r="AB44" i="7"/>
  <c r="AB45" i="7" s="1"/>
  <c r="AB56" i="6" s="1"/>
  <c r="AC30" i="6" l="1"/>
  <c r="AC32" i="6" s="1"/>
  <c r="AC46" i="6" s="1"/>
  <c r="AC117" i="5" s="1"/>
  <c r="AB33" i="7"/>
  <c r="AB58" i="6"/>
  <c r="AB57" i="6"/>
  <c r="AC135" i="5"/>
  <c r="AC79" i="5"/>
  <c r="O76" i="29"/>
  <c r="O77" i="29"/>
  <c r="AC147" i="5" l="1"/>
  <c r="AB54" i="6"/>
  <c r="AB34" i="6" s="1"/>
  <c r="AB35" i="6" s="1"/>
  <c r="AB41" i="6" s="1"/>
  <c r="AC141" i="5"/>
  <c r="AC142" i="5"/>
  <c r="AC49" i="54"/>
  <c r="AC81" i="5"/>
  <c r="AC82" i="5" s="1"/>
  <c r="AC90" i="5" s="1"/>
  <c r="AC153" i="5"/>
  <c r="AC120" i="5"/>
  <c r="AC36" i="6" l="1"/>
  <c r="AC37" i="6" s="1"/>
  <c r="AC38" i="6" s="1"/>
  <c r="AC39" i="6" s="1"/>
  <c r="AC48" i="6"/>
  <c r="AC152" i="5"/>
  <c r="AC92" i="5"/>
  <c r="AC91" i="5"/>
  <c r="AB43" i="6"/>
  <c r="AB37" i="54" s="1"/>
  <c r="O86" i="29"/>
  <c r="AC138" i="5"/>
  <c r="AC159" i="5" l="1"/>
  <c r="O79" i="29"/>
  <c r="AC94" i="5"/>
  <c r="AC12" i="7"/>
  <c r="AC22" i="7"/>
  <c r="AD151" i="5"/>
  <c r="AC96" i="5" l="1"/>
  <c r="AC97" i="5" s="1"/>
  <c r="AC104" i="5" s="1"/>
  <c r="AD149" i="5"/>
  <c r="AC106" i="5" l="1"/>
  <c r="AC105" i="5"/>
  <c r="AC13" i="7" l="1"/>
  <c r="AD101" i="5"/>
  <c r="AD19" i="6"/>
  <c r="O81" i="29"/>
  <c r="AC108" i="5"/>
  <c r="AC109" i="5" l="1"/>
  <c r="AC112" i="5" s="1"/>
  <c r="AD103" i="5"/>
  <c r="AC118" i="47" l="1"/>
  <c r="AC110" i="5"/>
  <c r="AC14" i="7" s="1"/>
  <c r="AC120" i="47" l="1"/>
  <c r="AC119" i="47"/>
  <c r="AC152" i="47" l="1"/>
  <c r="AC163" i="47"/>
  <c r="AC141" i="47"/>
  <c r="AC162" i="47"/>
  <c r="AC140" i="47"/>
  <c r="AC151" i="47"/>
  <c r="AC35" i="42" l="1"/>
  <c r="AC154" i="47"/>
  <c r="AC71" i="42"/>
  <c r="AC127" i="47"/>
  <c r="AC142" i="47"/>
  <c r="AC143" i="47"/>
  <c r="AC53" i="42"/>
  <c r="AC164" i="47"/>
  <c r="AD158" i="47" s="1"/>
  <c r="AC165" i="47"/>
  <c r="AC128" i="47"/>
  <c r="AC73" i="42"/>
  <c r="AC72" i="42"/>
  <c r="AC55" i="42"/>
  <c r="AC54" i="42"/>
  <c r="AC153" i="47"/>
  <c r="AD147" i="47" s="1"/>
  <c r="AC37" i="42"/>
  <c r="AC36" i="42"/>
  <c r="AB81" i="42" l="1"/>
  <c r="AB45" i="42"/>
  <c r="AB44" i="42"/>
  <c r="AC18" i="42"/>
  <c r="O98" i="29"/>
  <c r="AC130" i="47"/>
  <c r="AC131" i="47"/>
  <c r="AC114" i="5" s="1"/>
  <c r="AB80" i="42"/>
  <c r="O100" i="29"/>
  <c r="O99" i="29" s="1"/>
  <c r="AC19" i="42"/>
  <c r="AC109" i="42" s="1"/>
  <c r="AD160" i="47"/>
  <c r="AB61" i="42"/>
  <c r="AC129" i="47"/>
  <c r="AD136" i="47"/>
  <c r="AD149" i="47"/>
  <c r="AB79" i="42"/>
  <c r="AB62" i="42"/>
  <c r="AB63" i="42"/>
  <c r="AB43" i="42"/>
  <c r="O82" i="29" l="1"/>
  <c r="AC116" i="5"/>
  <c r="AC118" i="5"/>
  <c r="AC17" i="42"/>
  <c r="AB25" i="42"/>
  <c r="AB108" i="42" s="1"/>
  <c r="AD123" i="47"/>
  <c r="AD138" i="47"/>
  <c r="AD161" i="47"/>
  <c r="AD150" i="47"/>
  <c r="AB26" i="42"/>
  <c r="AD135" i="47"/>
  <c r="O97" i="29"/>
  <c r="AD146" i="47"/>
  <c r="AD157" i="47"/>
  <c r="AC24" i="7"/>
  <c r="AD125" i="47" l="1"/>
  <c r="AD139" i="47"/>
  <c r="AD126" i="47" s="1"/>
  <c r="AD113" i="5" s="1"/>
  <c r="AB24" i="42"/>
  <c r="AC121" i="5"/>
  <c r="AC123" i="5"/>
  <c r="AD12" i="6" l="1"/>
  <c r="AD14" i="6" s="1"/>
  <c r="AD16" i="6" s="1"/>
  <c r="AD136" i="5" s="1"/>
  <c r="AD167" i="5" s="1"/>
  <c r="AD27" i="6"/>
  <c r="AD59" i="6" s="1"/>
  <c r="AC125" i="5"/>
  <c r="AC50" i="6" l="1"/>
  <c r="AC128" i="5"/>
  <c r="AC129" i="5" s="1"/>
  <c r="AC126" i="5"/>
  <c r="AC15" i="42" l="1"/>
  <c r="AC20" i="42" s="1"/>
  <c r="AC130" i="5"/>
  <c r="AC56" i="42" l="1"/>
  <c r="AC14" i="42"/>
  <c r="O83" i="29"/>
  <c r="AC155" i="5"/>
  <c r="AC132" i="5"/>
  <c r="AB27" i="42"/>
  <c r="AC21" i="42"/>
  <c r="AB28" i="42" l="1"/>
  <c r="AB29" i="42" s="1"/>
  <c r="AB110" i="42"/>
  <c r="O84" i="29"/>
  <c r="AC144" i="5"/>
  <c r="AC49" i="6"/>
  <c r="AC52" i="6" s="1"/>
  <c r="AC154" i="5"/>
  <c r="AC157" i="5"/>
  <c r="AC74" i="42"/>
  <c r="AC75" i="42"/>
  <c r="AC57" i="42"/>
  <c r="AC38" i="42"/>
  <c r="AC39" i="42"/>
  <c r="AB64" i="42"/>
  <c r="AB66" i="42" s="1"/>
  <c r="AC58" i="42"/>
  <c r="AB111" i="42" l="1"/>
  <c r="AB113" i="42" s="1"/>
  <c r="AB47" i="42"/>
  <c r="AB49" i="42" s="1"/>
  <c r="AB46" i="42"/>
  <c r="AB48" i="42" s="1"/>
  <c r="AC40" i="42"/>
  <c r="AB82" i="42"/>
  <c r="AB84" i="42" s="1"/>
  <c r="AC76" i="42"/>
  <c r="AB65" i="42"/>
  <c r="AB67" i="42" s="1"/>
  <c r="AC23" i="7"/>
  <c r="AC20" i="7" s="1"/>
  <c r="AC29" i="7"/>
  <c r="AD28" i="6"/>
  <c r="AC145" i="5"/>
  <c r="AD20" i="6"/>
  <c r="AC15" i="7"/>
  <c r="AC17" i="7" s="1"/>
  <c r="AB83" i="42"/>
  <c r="AC31" i="7" l="1"/>
  <c r="AC36" i="7" s="1"/>
  <c r="AC38" i="7" s="1"/>
  <c r="AC39" i="7"/>
  <c r="AC41" i="7"/>
  <c r="AC44" i="7"/>
  <c r="AC45" i="7" s="1"/>
  <c r="AC56" i="6" s="1"/>
  <c r="AB85" i="42"/>
  <c r="AD21" i="6"/>
  <c r="AD30" i="6" s="1"/>
  <c r="AD32" i="6" s="1"/>
  <c r="AD46" i="6" s="1"/>
  <c r="AC33" i="7" l="1"/>
  <c r="AD76" i="5"/>
  <c r="AD79" i="5" s="1"/>
  <c r="AD117" i="5"/>
  <c r="AD147" i="5"/>
  <c r="AC57" i="6"/>
  <c r="AC58" i="6"/>
  <c r="AD135" i="5" l="1"/>
  <c r="AC54" i="6"/>
  <c r="AC34" i="6" s="1"/>
  <c r="AC35" i="6" s="1"/>
  <c r="AD141" i="5"/>
  <c r="AD142" i="5"/>
  <c r="AD49" i="54"/>
  <c r="AD81" i="5"/>
  <c r="AD82" i="5" s="1"/>
  <c r="AD90" i="5" s="1"/>
  <c r="AD153" i="5"/>
  <c r="AD120" i="5"/>
  <c r="AD48" i="6" l="1"/>
  <c r="AD152" i="5"/>
  <c r="AD92" i="5"/>
  <c r="AD91" i="5"/>
  <c r="AD138" i="5"/>
  <c r="AD36" i="6"/>
  <c r="AD37" i="6" s="1"/>
  <c r="AC41" i="6"/>
  <c r="AD159" i="5" l="1"/>
  <c r="AD12" i="7"/>
  <c r="AC43" i="6"/>
  <c r="AC37" i="54" s="1"/>
  <c r="AD94" i="5"/>
  <c r="AD38" i="6"/>
  <c r="AD39" i="6" s="1"/>
  <c r="AE151" i="5"/>
  <c r="AD22" i="7"/>
  <c r="AD96" i="5" l="1"/>
  <c r="AD97" i="5" s="1"/>
  <c r="AD104" i="5" s="1"/>
  <c r="AE149" i="5"/>
  <c r="AD106" i="5" l="1"/>
  <c r="AD108" i="5" s="1"/>
  <c r="AD105" i="5"/>
  <c r="AD13" i="7" l="1"/>
  <c r="AE101" i="5"/>
  <c r="AE19" i="6"/>
  <c r="AD109" i="5"/>
  <c r="AD112" i="5" s="1"/>
  <c r="AD118" i="47" l="1"/>
  <c r="AD110" i="5"/>
  <c r="AD14" i="7" s="1"/>
  <c r="AE103" i="5"/>
  <c r="AD120" i="47" l="1"/>
  <c r="AD119" i="47"/>
  <c r="AD163" i="47" l="1"/>
  <c r="AD152" i="47"/>
  <c r="AD141" i="47"/>
  <c r="AD162" i="47"/>
  <c r="AD151" i="47"/>
  <c r="AD140" i="47"/>
  <c r="AD127" i="47" l="1"/>
  <c r="AD71" i="42"/>
  <c r="AD142" i="47"/>
  <c r="AD143" i="47"/>
  <c r="AD35" i="42"/>
  <c r="AD154" i="47"/>
  <c r="AD53" i="42"/>
  <c r="AD164" i="47"/>
  <c r="AE158" i="47" s="1"/>
  <c r="AD165" i="47"/>
  <c r="AD128" i="47"/>
  <c r="AD73" i="42"/>
  <c r="AD72" i="42"/>
  <c r="AD153" i="47"/>
  <c r="AE147" i="47" s="1"/>
  <c r="AD37" i="42"/>
  <c r="AD36" i="42"/>
  <c r="AD55" i="42"/>
  <c r="AD54" i="42"/>
  <c r="AC80" i="42" l="1"/>
  <c r="AE160" i="47"/>
  <c r="AC61" i="42"/>
  <c r="AC62" i="42"/>
  <c r="AC43" i="42"/>
  <c r="AC81" i="42"/>
  <c r="AC45" i="42"/>
  <c r="AD19" i="42"/>
  <c r="AD109" i="42" s="1"/>
  <c r="AC63" i="42"/>
  <c r="AC44" i="42"/>
  <c r="AE136" i="47"/>
  <c r="AD129" i="47"/>
  <c r="AC79" i="42"/>
  <c r="AE149" i="47"/>
  <c r="AD18" i="42"/>
  <c r="AD130" i="47"/>
  <c r="AD131" i="47"/>
  <c r="AD114" i="5" s="1"/>
  <c r="AE123" i="47" l="1"/>
  <c r="AE138" i="47"/>
  <c r="AE146" i="47"/>
  <c r="AE157" i="47"/>
  <c r="AD24" i="7"/>
  <c r="AE135" i="47"/>
  <c r="AC26" i="42"/>
  <c r="AD116" i="5"/>
  <c r="AD118" i="5"/>
  <c r="AE161" i="47"/>
  <c r="AD17" i="42"/>
  <c r="AC25" i="42"/>
  <c r="AC108" i="42" s="1"/>
  <c r="AE150" i="47"/>
  <c r="AC24" i="42" l="1"/>
  <c r="AE139" i="47"/>
  <c r="AE126" i="47" s="1"/>
  <c r="AE113" i="5" s="1"/>
  <c r="AE125" i="47"/>
  <c r="AD121" i="5"/>
  <c r="AD123" i="5"/>
  <c r="AE12" i="6" l="1"/>
  <c r="AE14" i="6" s="1"/>
  <c r="AE16" i="6" s="1"/>
  <c r="AE136" i="5" s="1"/>
  <c r="AE167" i="5" s="1"/>
  <c r="G170" i="5" s="1"/>
  <c r="AD125" i="5"/>
  <c r="AE27" i="6"/>
  <c r="AE59" i="6" s="1"/>
  <c r="AD128" i="5" l="1"/>
  <c r="AD129" i="5" s="1"/>
  <c r="AD50" i="6"/>
  <c r="AD126" i="5"/>
  <c r="AD15" i="42" l="1"/>
  <c r="AD20" i="42" s="1"/>
  <c r="AD130" i="5"/>
  <c r="AD56" i="42" l="1"/>
  <c r="AD14" i="42"/>
  <c r="AD155" i="5"/>
  <c r="AD132" i="5"/>
  <c r="AC27" i="42"/>
  <c r="AD21" i="42"/>
  <c r="AC28" i="42" l="1"/>
  <c r="AC29" i="42" s="1"/>
  <c r="AC110" i="42"/>
  <c r="AD49" i="6"/>
  <c r="AD52" i="6" s="1"/>
  <c r="AD154" i="5"/>
  <c r="AD157" i="5"/>
  <c r="AD144" i="5"/>
  <c r="AD74" i="42"/>
  <c r="AD75" i="42"/>
  <c r="AD57" i="42"/>
  <c r="AD38" i="42"/>
  <c r="AD39" i="42"/>
  <c r="AC64" i="42"/>
  <c r="AC66" i="42" s="1"/>
  <c r="AD58" i="42"/>
  <c r="AC111" i="42" l="1"/>
  <c r="AC113" i="42" s="1"/>
  <c r="AC65" i="42"/>
  <c r="AC67" i="42" s="1"/>
  <c r="AE28" i="6"/>
  <c r="AD29" i="7"/>
  <c r="AD15" i="7"/>
  <c r="AD17" i="7" s="1"/>
  <c r="AD145" i="5"/>
  <c r="AE20" i="6"/>
  <c r="AC82" i="42"/>
  <c r="AC84" i="42" s="1"/>
  <c r="AD76" i="42"/>
  <c r="AD23" i="7"/>
  <c r="AD20" i="7" s="1"/>
  <c r="AC47" i="42"/>
  <c r="AC49" i="42" s="1"/>
  <c r="AC46" i="42"/>
  <c r="AC48" i="42" s="1"/>
  <c r="AD40" i="42"/>
  <c r="AC83" i="42"/>
  <c r="AE21" i="6" l="1"/>
  <c r="AE76" i="5" s="1"/>
  <c r="AC85" i="42"/>
  <c r="AD41" i="7"/>
  <c r="AD31" i="7"/>
  <c r="AD33" i="7" s="1"/>
  <c r="AD39" i="7"/>
  <c r="AD44" i="7"/>
  <c r="AD45" i="7" s="1"/>
  <c r="AD56" i="6" s="1"/>
  <c r="AE30" i="6" l="1"/>
  <c r="AE32" i="6" s="1"/>
  <c r="AE46" i="6" s="1"/>
  <c r="AE117" i="5" s="1"/>
  <c r="AD36" i="7"/>
  <c r="AD38" i="7" s="1"/>
  <c r="AE79" i="5"/>
  <c r="AE135" i="5"/>
  <c r="P77" i="29"/>
  <c r="P76" i="29"/>
  <c r="AD58" i="6"/>
  <c r="AD57" i="6"/>
  <c r="AE147" i="5" l="1"/>
  <c r="AE153" i="5"/>
  <c r="AE120" i="5"/>
  <c r="AD54" i="6"/>
  <c r="AD34" i="6" s="1"/>
  <c r="AD35" i="6" s="1"/>
  <c r="AE141" i="5"/>
  <c r="AE49" i="54"/>
  <c r="AE142" i="5"/>
  <c r="AE81" i="5"/>
  <c r="AE82" i="5" s="1"/>
  <c r="AE90" i="5" s="1"/>
  <c r="AE92" i="5" l="1"/>
  <c r="AE91" i="5"/>
  <c r="P86" i="29"/>
  <c r="AE138" i="5"/>
  <c r="AE36" i="6"/>
  <c r="AE37" i="6" s="1"/>
  <c r="AD41" i="6"/>
  <c r="AE48" i="6"/>
  <c r="AE152" i="5"/>
  <c r="AE159" i="5" l="1"/>
  <c r="AE12" i="7"/>
  <c r="AE22" i="7"/>
  <c r="AF151" i="5"/>
  <c r="AD43" i="6"/>
  <c r="AD37" i="54" s="1"/>
  <c r="AE38" i="6"/>
  <c r="AE39" i="6" s="1"/>
  <c r="P79" i="29"/>
  <c r="AE94" i="5"/>
  <c r="AF149" i="5" l="1"/>
  <c r="AE96" i="5"/>
  <c r="AE97" i="5" s="1"/>
  <c r="AE104" i="5" s="1"/>
  <c r="AE106" i="5" l="1"/>
  <c r="AE105" i="5"/>
  <c r="AF19" i="6" l="1"/>
  <c r="AF101" i="5"/>
  <c r="AE13" i="7"/>
  <c r="P81" i="29"/>
  <c r="AE108" i="5"/>
  <c r="AE109" i="5" l="1"/>
  <c r="AE112" i="5" s="1"/>
  <c r="AF103" i="5"/>
  <c r="AE118" i="47" l="1"/>
  <c r="AE110" i="5"/>
  <c r="AE14" i="7" s="1"/>
  <c r="AE120" i="47" l="1"/>
  <c r="AE119" i="47"/>
  <c r="AE152" i="47" l="1"/>
  <c r="AE163" i="47"/>
  <c r="AE141" i="47"/>
  <c r="AE162" i="47"/>
  <c r="AE151" i="47"/>
  <c r="AE140" i="47"/>
  <c r="AE71" i="42" l="1"/>
  <c r="AE127" i="47"/>
  <c r="AE142" i="47"/>
  <c r="AE143" i="47"/>
  <c r="AE35" i="42"/>
  <c r="AE154" i="47"/>
  <c r="AE53" i="42"/>
  <c r="AE164" i="47"/>
  <c r="AF158" i="47" s="1"/>
  <c r="AE165" i="47"/>
  <c r="AE128" i="47"/>
  <c r="AE73" i="42"/>
  <c r="AE72" i="42"/>
  <c r="AE55" i="42"/>
  <c r="AE54" i="42"/>
  <c r="AE153" i="47"/>
  <c r="AF147" i="47" s="1"/>
  <c r="AE37" i="42"/>
  <c r="AE36" i="42"/>
  <c r="AD45" i="42" l="1"/>
  <c r="AD80" i="42"/>
  <c r="AE18" i="42"/>
  <c r="P98" i="29"/>
  <c r="AE131" i="47"/>
  <c r="AE114" i="5" s="1"/>
  <c r="AE130" i="47"/>
  <c r="AD81" i="42"/>
  <c r="P100" i="29"/>
  <c r="P99" i="29" s="1"/>
  <c r="AE19" i="42"/>
  <c r="AE109" i="42" s="1"/>
  <c r="AF160" i="47"/>
  <c r="AD61" i="42"/>
  <c r="AD44" i="42"/>
  <c r="AD43" i="42"/>
  <c r="AF149" i="47"/>
  <c r="AE129" i="47"/>
  <c r="AF136" i="47"/>
  <c r="AD62" i="42"/>
  <c r="AD63" i="42"/>
  <c r="AD79" i="42"/>
  <c r="AD26" i="42" l="1"/>
  <c r="AE17" i="42"/>
  <c r="AD25" i="42"/>
  <c r="AD108" i="42" s="1"/>
  <c r="P82" i="29"/>
  <c r="AE116" i="5"/>
  <c r="AE118" i="5"/>
  <c r="AF150" i="47"/>
  <c r="AF138" i="47"/>
  <c r="AF123" i="47"/>
  <c r="AF161" i="47"/>
  <c r="AE24" i="7"/>
  <c r="P97" i="29"/>
  <c r="AF135" i="47"/>
  <c r="AF146" i="47"/>
  <c r="AF157" i="47"/>
  <c r="AD24" i="42" l="1"/>
  <c r="AE121" i="5"/>
  <c r="AE123" i="5"/>
  <c r="AF139" i="47"/>
  <c r="AF126" i="47" s="1"/>
  <c r="AF113" i="5" s="1"/>
  <c r="AF125" i="47"/>
  <c r="AF27" i="6" l="1"/>
  <c r="AF59" i="6" s="1"/>
  <c r="AF12" i="6"/>
  <c r="AF14" i="6" s="1"/>
  <c r="AF16" i="6" s="1"/>
  <c r="AF136" i="5" s="1"/>
  <c r="AF167" i="5" s="1"/>
  <c r="AE125" i="5"/>
  <c r="AE126" i="5" l="1"/>
  <c r="AE128" i="5"/>
  <c r="AE129" i="5" s="1"/>
  <c r="AE50" i="6"/>
  <c r="AE130" i="5" l="1"/>
  <c r="AE15" i="42"/>
  <c r="AE20" i="42" s="1"/>
  <c r="AD27" i="42" l="1"/>
  <c r="AE21" i="42"/>
  <c r="AE14" i="42"/>
  <c r="AE56" i="42"/>
  <c r="P83" i="29"/>
  <c r="AE155" i="5"/>
  <c r="AE132" i="5"/>
  <c r="AD28" i="42" l="1"/>
  <c r="AD29" i="42" s="1"/>
  <c r="AD110" i="42"/>
  <c r="P84" i="29"/>
  <c r="AE144" i="5"/>
  <c r="AE49" i="6"/>
  <c r="AE52" i="6" s="1"/>
  <c r="AE154" i="5"/>
  <c r="AE157" i="5"/>
  <c r="AD64" i="42"/>
  <c r="AD66" i="42" s="1"/>
  <c r="AE58" i="42"/>
  <c r="AE74" i="42"/>
  <c r="AE75" i="42"/>
  <c r="AE38" i="42"/>
  <c r="AE39" i="42"/>
  <c r="AE57" i="42"/>
  <c r="AD111" i="42" l="1"/>
  <c r="AD113" i="42" s="1"/>
  <c r="AD83" i="42"/>
  <c r="AE23" i="7"/>
  <c r="AE20" i="7" s="1"/>
  <c r="AD46" i="42"/>
  <c r="AD48" i="42" s="1"/>
  <c r="AE40" i="42"/>
  <c r="AE15" i="7"/>
  <c r="AE17" i="7" s="1"/>
  <c r="AF28" i="6"/>
  <c r="AE29" i="7"/>
  <c r="AE145" i="5"/>
  <c r="AF20" i="6"/>
  <c r="AD47" i="42"/>
  <c r="AD49" i="42" s="1"/>
  <c r="AD82" i="42"/>
  <c r="AD84" i="42" s="1"/>
  <c r="AE76" i="42"/>
  <c r="AD65" i="42"/>
  <c r="AD67" i="42" s="1"/>
  <c r="AD85" i="42" l="1"/>
  <c r="AE31" i="7"/>
  <c r="AE33" i="7" s="1"/>
  <c r="AE41" i="7"/>
  <c r="AE39" i="7"/>
  <c r="AE44" i="7"/>
  <c r="AE45" i="7" s="1"/>
  <c r="AE56" i="6" s="1"/>
  <c r="AF21" i="6"/>
  <c r="AF30" i="6" s="1"/>
  <c r="AF32" i="6" s="1"/>
  <c r="AF46" i="6" s="1"/>
  <c r="AF76" i="5" l="1"/>
  <c r="AF135" i="5" s="1"/>
  <c r="AE57" i="6"/>
  <c r="AE58" i="6"/>
  <c r="AF147" i="5"/>
  <c r="AF117" i="5"/>
  <c r="AE36" i="7"/>
  <c r="AE38" i="7" s="1"/>
  <c r="AF79" i="5" l="1"/>
  <c r="AF142" i="5" s="1"/>
  <c r="AF153" i="5"/>
  <c r="AF120" i="5"/>
  <c r="AE54" i="6"/>
  <c r="AE34" i="6" s="1"/>
  <c r="AE35" i="6" s="1"/>
  <c r="AF81" i="5" l="1"/>
  <c r="AF82" i="5" s="1"/>
  <c r="AF90" i="5" s="1"/>
  <c r="AF92" i="5" s="1"/>
  <c r="AF141" i="5"/>
  <c r="AF49" i="54"/>
  <c r="AF36" i="6"/>
  <c r="AF37" i="6" s="1"/>
  <c r="AE41" i="6"/>
  <c r="AF48" i="6"/>
  <c r="AF152" i="5"/>
  <c r="AF138" i="5" l="1"/>
  <c r="AF159" i="5" s="1"/>
  <c r="AF91" i="5"/>
  <c r="AF38" i="6"/>
  <c r="AF39" i="6" s="1"/>
  <c r="AE43" i="6"/>
  <c r="AE37" i="54" s="1"/>
  <c r="AG151" i="5"/>
  <c r="AF22" i="7"/>
  <c r="AF94" i="5"/>
  <c r="AF12" i="7" l="1"/>
  <c r="AG149" i="5"/>
  <c r="AF96" i="5"/>
  <c r="AF97" i="5" s="1"/>
  <c r="AF104" i="5" s="1"/>
  <c r="AF105" i="5" l="1"/>
  <c r="AF106" i="5"/>
  <c r="AF108" i="5" s="1"/>
  <c r="AF109" i="5" l="1"/>
  <c r="AF112" i="5" s="1"/>
  <c r="AG101" i="5"/>
  <c r="AG19" i="6"/>
  <c r="AF13" i="7"/>
  <c r="AG103" i="5" l="1"/>
  <c r="AF118" i="47"/>
  <c r="AF110" i="5"/>
  <c r="AF14" i="7" s="1"/>
  <c r="AF119" i="47" l="1"/>
  <c r="AF120" i="47"/>
  <c r="AF162" i="47" l="1"/>
  <c r="AF151" i="47"/>
  <c r="AF140" i="47"/>
  <c r="AF152" i="47"/>
  <c r="AF163" i="47"/>
  <c r="AF141" i="47"/>
  <c r="AF128" i="47" l="1"/>
  <c r="AF73" i="42"/>
  <c r="AF72" i="42"/>
  <c r="AF55" i="42"/>
  <c r="AF54" i="42"/>
  <c r="AF153" i="47"/>
  <c r="AG147" i="47" s="1"/>
  <c r="AF37" i="42"/>
  <c r="AF36" i="42"/>
  <c r="AF71" i="42"/>
  <c r="AF127" i="47"/>
  <c r="AF142" i="47"/>
  <c r="AF143" i="47"/>
  <c r="AF35" i="42"/>
  <c r="AF154" i="47"/>
  <c r="AF53" i="42"/>
  <c r="AF164" i="47"/>
  <c r="AG158" i="47" s="1"/>
  <c r="AF165" i="47"/>
  <c r="AF129" i="47" l="1"/>
  <c r="AG136" i="47"/>
  <c r="AE79" i="42"/>
  <c r="AE45" i="42"/>
  <c r="AE62" i="42"/>
  <c r="AE81" i="42"/>
  <c r="AF18" i="42"/>
  <c r="AF131" i="47"/>
  <c r="AF114" i="5" s="1"/>
  <c r="AF130" i="47"/>
  <c r="AE44" i="42"/>
  <c r="AG149" i="47"/>
  <c r="AG160" i="47"/>
  <c r="AE63" i="42"/>
  <c r="AE61" i="42"/>
  <c r="AE80" i="42"/>
  <c r="AE43" i="42"/>
  <c r="AF19" i="42"/>
  <c r="AF109" i="42" s="1"/>
  <c r="AG161" i="47" l="1"/>
  <c r="AE26" i="42"/>
  <c r="AG138" i="47"/>
  <c r="AG123" i="47"/>
  <c r="AG150" i="47"/>
  <c r="AF116" i="5"/>
  <c r="AF118" i="5"/>
  <c r="AF17" i="42"/>
  <c r="AE25" i="42"/>
  <c r="AE108" i="42" s="1"/>
  <c r="AG135" i="47"/>
  <c r="AG146" i="47"/>
  <c r="AG157" i="47"/>
  <c r="AF24" i="7"/>
  <c r="AE24" i="42" l="1"/>
  <c r="AG125" i="47"/>
  <c r="AG139" i="47"/>
  <c r="AG126" i="47" s="1"/>
  <c r="AG113" i="5" s="1"/>
  <c r="AF121" i="5"/>
  <c r="AF123" i="5"/>
  <c r="AF125" i="5" l="1"/>
  <c r="AF126" i="5" s="1"/>
  <c r="AG12" i="6"/>
  <c r="AG14" i="6" s="1"/>
  <c r="AG16" i="6" s="1"/>
  <c r="AG136" i="5" s="1"/>
  <c r="AG167" i="5" s="1"/>
  <c r="AG27" i="6"/>
  <c r="AG59" i="6" s="1"/>
  <c r="AF128" i="5" l="1"/>
  <c r="AF129" i="5" s="1"/>
  <c r="AF130" i="5" s="1"/>
  <c r="AF50" i="6"/>
  <c r="AF15" i="42" l="1"/>
  <c r="AF20" i="42" s="1"/>
  <c r="AF56" i="42"/>
  <c r="AF14" i="42"/>
  <c r="AF155" i="5"/>
  <c r="AF132" i="5"/>
  <c r="AE27" i="42" l="1"/>
  <c r="AF21" i="42"/>
  <c r="AF74" i="42"/>
  <c r="AF39" i="42"/>
  <c r="AF75" i="42"/>
  <c r="AF38" i="42"/>
  <c r="AF57" i="42"/>
  <c r="AE64" i="42"/>
  <c r="AE66" i="42" s="1"/>
  <c r="AF58" i="42"/>
  <c r="AF144" i="5"/>
  <c r="AF49" i="6"/>
  <c r="AF52" i="6" s="1"/>
  <c r="AF154" i="5"/>
  <c r="AF157" i="5"/>
  <c r="AE28" i="42" l="1"/>
  <c r="AE29" i="42" s="1"/>
  <c r="AE110" i="42"/>
  <c r="AF23" i="7"/>
  <c r="AF20" i="7" s="1"/>
  <c r="AG28" i="6"/>
  <c r="AG20" i="6"/>
  <c r="AF145" i="5"/>
  <c r="AF15" i="7"/>
  <c r="AF17" i="7" s="1"/>
  <c r="AF29" i="7"/>
  <c r="AE47" i="42"/>
  <c r="AE49" i="42" s="1"/>
  <c r="AE65" i="42"/>
  <c r="AE67" i="42" s="1"/>
  <c r="AE46" i="42"/>
  <c r="AE48" i="42" s="1"/>
  <c r="AF40" i="42"/>
  <c r="AE83" i="42"/>
  <c r="AE82" i="42"/>
  <c r="AE84" i="42" s="1"/>
  <c r="AF76" i="42"/>
  <c r="AE111" i="42" l="1"/>
  <c r="AE113" i="42" s="1"/>
  <c r="AE85" i="42"/>
  <c r="AF31" i="7"/>
  <c r="AF36" i="7" s="1"/>
  <c r="AF38" i="7" s="1"/>
  <c r="AF41" i="7"/>
  <c r="AF39" i="7"/>
  <c r="AF44" i="7"/>
  <c r="AF45" i="7" s="1"/>
  <c r="AF56" i="6" s="1"/>
  <c r="AG21" i="6"/>
  <c r="AG76" i="5" s="1"/>
  <c r="AG79" i="5" l="1"/>
  <c r="AG135" i="5"/>
  <c r="Q76" i="29"/>
  <c r="Q77" i="29"/>
  <c r="AG30" i="6"/>
  <c r="AG32" i="6" s="1"/>
  <c r="AG46" i="6" s="1"/>
  <c r="AF58" i="6"/>
  <c r="AF57" i="6"/>
  <c r="AF33" i="7"/>
  <c r="AF54" i="6" l="1"/>
  <c r="AF34" i="6" s="1"/>
  <c r="AF35" i="6" s="1"/>
  <c r="AG147" i="5"/>
  <c r="AG117" i="5"/>
  <c r="AG141" i="5"/>
  <c r="AG142" i="5"/>
  <c r="AG49" i="54"/>
  <c r="AG81" i="5"/>
  <c r="AG82" i="5" s="1"/>
  <c r="AG90" i="5" s="1"/>
  <c r="AG92" i="5" l="1"/>
  <c r="AG91" i="5"/>
  <c r="AG120" i="5"/>
  <c r="AG153" i="5"/>
  <c r="Q86" i="29"/>
  <c r="AG138" i="5"/>
  <c r="AG36" i="6"/>
  <c r="AG37" i="6" s="1"/>
  <c r="AF41" i="6"/>
  <c r="AG12" i="7" l="1"/>
  <c r="AG159" i="5"/>
  <c r="AG48" i="6"/>
  <c r="AG152" i="5"/>
  <c r="AF43" i="6"/>
  <c r="AF37" i="54" s="1"/>
  <c r="AG38" i="6"/>
  <c r="AG39" i="6" s="1"/>
  <c r="Q79" i="29"/>
  <c r="AG94" i="5"/>
  <c r="AH151" i="5" l="1"/>
  <c r="AG22" i="7"/>
  <c r="AG96" i="5"/>
  <c r="AG97" i="5" s="1"/>
  <c r="AG104" i="5" s="1"/>
  <c r="AG106" i="5" l="1"/>
  <c r="AG105" i="5"/>
  <c r="AH149" i="5"/>
  <c r="AH19" i="6" l="1"/>
  <c r="AH101" i="5"/>
  <c r="AG13" i="7"/>
  <c r="Q81" i="29"/>
  <c r="AG108" i="5"/>
  <c r="AG109" i="5" l="1"/>
  <c r="AG112" i="5" s="1"/>
  <c r="AH103" i="5"/>
  <c r="AG118" i="47" l="1"/>
  <c r="AG110" i="5"/>
  <c r="AG14" i="7" s="1"/>
  <c r="AG120" i="47" l="1"/>
  <c r="AG119" i="47"/>
  <c r="AG152" i="47" l="1"/>
  <c r="AG163" i="47"/>
  <c r="AG141" i="47"/>
  <c r="AG140" i="47"/>
  <c r="AG162" i="47"/>
  <c r="AG151" i="47"/>
  <c r="AG35" i="42" l="1"/>
  <c r="AG154" i="47"/>
  <c r="AG53" i="42"/>
  <c r="AG164" i="47"/>
  <c r="AH158" i="47" s="1"/>
  <c r="AG165" i="47"/>
  <c r="AG127" i="47"/>
  <c r="AG71" i="42"/>
  <c r="AG142" i="47"/>
  <c r="AG143" i="47"/>
  <c r="AG128" i="47"/>
  <c r="AG73" i="42"/>
  <c r="AG72" i="42"/>
  <c r="AG55" i="42"/>
  <c r="AG54" i="42"/>
  <c r="AG153" i="47"/>
  <c r="AH147" i="47" s="1"/>
  <c r="AG36" i="42"/>
  <c r="AG37" i="42"/>
  <c r="AF80" i="42" l="1"/>
  <c r="AF79" i="42"/>
  <c r="AH160" i="47"/>
  <c r="AF81" i="42"/>
  <c r="Q100" i="29"/>
  <c r="Q99" i="29" s="1"/>
  <c r="AG19" i="42"/>
  <c r="AG109" i="42" s="1"/>
  <c r="AH136" i="47"/>
  <c r="AG129" i="47"/>
  <c r="AG18" i="42"/>
  <c r="Q98" i="29"/>
  <c r="AG130" i="47"/>
  <c r="AG131" i="47"/>
  <c r="AG114" i="5" s="1"/>
  <c r="AF45" i="42"/>
  <c r="AF44" i="42"/>
  <c r="AH149" i="47"/>
  <c r="AF61" i="42"/>
  <c r="AF62" i="42"/>
  <c r="AF63" i="42"/>
  <c r="AF43" i="42"/>
  <c r="AH123" i="47" l="1"/>
  <c r="AH138" i="47"/>
  <c r="AF26" i="42"/>
  <c r="AH161" i="47"/>
  <c r="Q82" i="29"/>
  <c r="AG116" i="5"/>
  <c r="AG118" i="5"/>
  <c r="AH150" i="47"/>
  <c r="AG17" i="42"/>
  <c r="AF25" i="42"/>
  <c r="AF108" i="42" s="1"/>
  <c r="AH157" i="47"/>
  <c r="Q97" i="29"/>
  <c r="AH146" i="47"/>
  <c r="AG24" i="7"/>
  <c r="AH135" i="47"/>
  <c r="AF24" i="42" l="1"/>
  <c r="AH125" i="47"/>
  <c r="AH139" i="47"/>
  <c r="AH126" i="47" s="1"/>
  <c r="AH113" i="5" s="1"/>
  <c r="AG121" i="5"/>
  <c r="AG123" i="5"/>
  <c r="AH12" i="6" l="1"/>
  <c r="AH14" i="6" s="1"/>
  <c r="AH16" i="6" s="1"/>
  <c r="AH136" i="5" s="1"/>
  <c r="AH167" i="5" s="1"/>
  <c r="AH27" i="6"/>
  <c r="AH59" i="6" s="1"/>
  <c r="AG125" i="5"/>
  <c r="AG126" i="5" l="1"/>
  <c r="AG128" i="5"/>
  <c r="AG129" i="5" s="1"/>
  <c r="AG50" i="6"/>
  <c r="AG15" i="42" l="1"/>
  <c r="AG20" i="42" s="1"/>
  <c r="AG130" i="5"/>
  <c r="AG56" i="42" l="1"/>
  <c r="AG14" i="42"/>
  <c r="Q83" i="29"/>
  <c r="AG155" i="5"/>
  <c r="AG132" i="5"/>
  <c r="AF27" i="42"/>
  <c r="AG21" i="42"/>
  <c r="AF28" i="42" l="1"/>
  <c r="AF29" i="42" s="1"/>
  <c r="AF110" i="42"/>
  <c r="Q84" i="29"/>
  <c r="AG144" i="5"/>
  <c r="AG49" i="6"/>
  <c r="AG52" i="6" s="1"/>
  <c r="AG154" i="5"/>
  <c r="AG157" i="5"/>
  <c r="AG39" i="42"/>
  <c r="AG38" i="42"/>
  <c r="AG75" i="42"/>
  <c r="AG74" i="42"/>
  <c r="AG57" i="42"/>
  <c r="AF64" i="42"/>
  <c r="AF66" i="42" s="1"/>
  <c r="AG58" i="42"/>
  <c r="AF111" i="42" l="1"/>
  <c r="AF113" i="42" s="1"/>
  <c r="AF46" i="42"/>
  <c r="AF48" i="42" s="1"/>
  <c r="AG40" i="42"/>
  <c r="AG23" i="7"/>
  <c r="AG20" i="7" s="1"/>
  <c r="AF82" i="42"/>
  <c r="AF84" i="42" s="1"/>
  <c r="AG76" i="42"/>
  <c r="AG15" i="7"/>
  <c r="AG17" i="7" s="1"/>
  <c r="AG29" i="7"/>
  <c r="AH20" i="6"/>
  <c r="AH28" i="6"/>
  <c r="AG145" i="5"/>
  <c r="AF65" i="42"/>
  <c r="AF67" i="42" s="1"/>
  <c r="AF83" i="42"/>
  <c r="AF85" i="42" s="1"/>
  <c r="AF47" i="42"/>
  <c r="AF49" i="42" s="1"/>
  <c r="AH21" i="6" l="1"/>
  <c r="AH30" i="6" s="1"/>
  <c r="AH32" i="6" s="1"/>
  <c r="AH46" i="6" s="1"/>
  <c r="AG31" i="7"/>
  <c r="AG33" i="7" s="1"/>
  <c r="AG41" i="7"/>
  <c r="AG39" i="7"/>
  <c r="AG44" i="7"/>
  <c r="AG45" i="7" s="1"/>
  <c r="AG56" i="6" s="1"/>
  <c r="AH76" i="5" l="1"/>
  <c r="AH79" i="5" s="1"/>
  <c r="AH147" i="5"/>
  <c r="AH117" i="5"/>
  <c r="AG57" i="6"/>
  <c r="AG58" i="6"/>
  <c r="AG36" i="7"/>
  <c r="AG38" i="7" s="1"/>
  <c r="AH135" i="5" l="1"/>
  <c r="AH49" i="54"/>
  <c r="AH141" i="5"/>
  <c r="AH142" i="5"/>
  <c r="AH81" i="5"/>
  <c r="AH82" i="5" s="1"/>
  <c r="AH90" i="5" s="1"/>
  <c r="AG54" i="6"/>
  <c r="AG34" i="6" s="1"/>
  <c r="AG35" i="6" s="1"/>
  <c r="AH120" i="5"/>
  <c r="AH153" i="5"/>
  <c r="AH138" i="5" l="1"/>
  <c r="AH36" i="6"/>
  <c r="AH37" i="6" s="1"/>
  <c r="AG41" i="6"/>
  <c r="AH48" i="6"/>
  <c r="AH152" i="5"/>
  <c r="AH92" i="5"/>
  <c r="AH91" i="5"/>
  <c r="AH12" i="7" l="1"/>
  <c r="AH159" i="5"/>
  <c r="AG43" i="6"/>
  <c r="AG37" i="54" s="1"/>
  <c r="AH38" i="6"/>
  <c r="AH39" i="6" s="1"/>
  <c r="AH94" i="5"/>
  <c r="AH22" i="7"/>
  <c r="AI151" i="5"/>
  <c r="AI149" i="5" l="1"/>
  <c r="AH96" i="5"/>
  <c r="AH97" i="5" s="1"/>
  <c r="AH104" i="5" s="1"/>
  <c r="AH106" i="5" l="1"/>
  <c r="AH108" i="5" s="1"/>
  <c r="AH105" i="5"/>
  <c r="AH109" i="5" l="1"/>
  <c r="AH112" i="5" s="1"/>
  <c r="AI19" i="6"/>
  <c r="AI101" i="5"/>
  <c r="AH13" i="7"/>
  <c r="AI103" i="5" l="1"/>
  <c r="AH118" i="47"/>
  <c r="AH110" i="5"/>
  <c r="AH14" i="7" s="1"/>
  <c r="AH119" i="47" l="1"/>
  <c r="AH120" i="47"/>
  <c r="AH162" i="47" l="1"/>
  <c r="AH151" i="47"/>
  <c r="AH140" i="47"/>
  <c r="AH152" i="47"/>
  <c r="AH163" i="47"/>
  <c r="AH141" i="47"/>
  <c r="AH55" i="42" l="1"/>
  <c r="AH54" i="42"/>
  <c r="AH128" i="47"/>
  <c r="AH72" i="42"/>
  <c r="AH73" i="42"/>
  <c r="AH153" i="47"/>
  <c r="AI147" i="47" s="1"/>
  <c r="AH37" i="42"/>
  <c r="AH36" i="42"/>
  <c r="AH71" i="42"/>
  <c r="AH127" i="47"/>
  <c r="AH142" i="47"/>
  <c r="AH143" i="47"/>
  <c r="AH35" i="42"/>
  <c r="AH154" i="47"/>
  <c r="AH53" i="42"/>
  <c r="AH164" i="47"/>
  <c r="AI158" i="47" s="1"/>
  <c r="AH165" i="47"/>
  <c r="AI136" i="47" l="1"/>
  <c r="AH129" i="47"/>
  <c r="AG79" i="42"/>
  <c r="AG45" i="42"/>
  <c r="AG81" i="42"/>
  <c r="AG80" i="42"/>
  <c r="AH18" i="42"/>
  <c r="AH131" i="47"/>
  <c r="AH114" i="5" s="1"/>
  <c r="AH130" i="47"/>
  <c r="AG44" i="42"/>
  <c r="AI149" i="47"/>
  <c r="AI160" i="47"/>
  <c r="AG61" i="42"/>
  <c r="AH19" i="42"/>
  <c r="AH109" i="42" s="1"/>
  <c r="AG62" i="42"/>
  <c r="AG43" i="42"/>
  <c r="AG63" i="42"/>
  <c r="AH17" i="42" l="1"/>
  <c r="AG25" i="42"/>
  <c r="AG108" i="42" s="1"/>
  <c r="AI150" i="47"/>
  <c r="AI161" i="47"/>
  <c r="AH116" i="5"/>
  <c r="AH118" i="5"/>
  <c r="AI135" i="47"/>
  <c r="AI146" i="47"/>
  <c r="AI157" i="47"/>
  <c r="AH24" i="7"/>
  <c r="AG26" i="42"/>
  <c r="AI138" i="47"/>
  <c r="AI123" i="47"/>
  <c r="AH121" i="5" l="1"/>
  <c r="AH123" i="5"/>
  <c r="AG24" i="42"/>
  <c r="AI125" i="47"/>
  <c r="AI139" i="47"/>
  <c r="AI126" i="47" s="1"/>
  <c r="AI113" i="5" s="1"/>
  <c r="AI27" i="6" l="1"/>
  <c r="AI59" i="6" s="1"/>
  <c r="AI12" i="6"/>
  <c r="AI14" i="6" s="1"/>
  <c r="AI16" i="6" s="1"/>
  <c r="AI136" i="5" s="1"/>
  <c r="AI167" i="5" s="1"/>
  <c r="AH125" i="5"/>
  <c r="AH128" i="5" l="1"/>
  <c r="AH129" i="5" s="1"/>
  <c r="AH50" i="6"/>
  <c r="AH126" i="5"/>
  <c r="AH15" i="42" l="1"/>
  <c r="AH20" i="42" s="1"/>
  <c r="AH130" i="5"/>
  <c r="AH56" i="42" l="1"/>
  <c r="AH14" i="42"/>
  <c r="AH155" i="5"/>
  <c r="AH132" i="5"/>
  <c r="AG27" i="42"/>
  <c r="AH21" i="42"/>
  <c r="AG28" i="42" l="1"/>
  <c r="AG29" i="42" s="1"/>
  <c r="AG110" i="42"/>
  <c r="AH49" i="6"/>
  <c r="AH52" i="6" s="1"/>
  <c r="AH154" i="5"/>
  <c r="AH157" i="5"/>
  <c r="AH144" i="5"/>
  <c r="AH74" i="42"/>
  <c r="AH38" i="42"/>
  <c r="AH39" i="42"/>
  <c r="AH75" i="42"/>
  <c r="AH57" i="42"/>
  <c r="AG64" i="42"/>
  <c r="AG66" i="42" s="1"/>
  <c r="AH58" i="42"/>
  <c r="AG111" i="42" l="1"/>
  <c r="AG113" i="42" s="1"/>
  <c r="AG83" i="42"/>
  <c r="AG85" i="42" s="1"/>
  <c r="AG82" i="42"/>
  <c r="AG84" i="42" s="1"/>
  <c r="AH76" i="42"/>
  <c r="AG65" i="42"/>
  <c r="AG67" i="42" s="1"/>
  <c r="AI20" i="6"/>
  <c r="AH15" i="7"/>
  <c r="AH17" i="7" s="1"/>
  <c r="AH145" i="5"/>
  <c r="AI28" i="6"/>
  <c r="AH29" i="7"/>
  <c r="AG47" i="42"/>
  <c r="AG49" i="42" s="1"/>
  <c r="AH23" i="7"/>
  <c r="AH20" i="7" s="1"/>
  <c r="AG46" i="42"/>
  <c r="AG48" i="42" s="1"/>
  <c r="AH40" i="42"/>
  <c r="AH41" i="7" l="1"/>
  <c r="AH31" i="7"/>
  <c r="AH33" i="7" s="1"/>
  <c r="AH39" i="7"/>
  <c r="AH44" i="7"/>
  <c r="AH45" i="7" s="1"/>
  <c r="AH56" i="6" s="1"/>
  <c r="AI21" i="6"/>
  <c r="AI30" i="6" s="1"/>
  <c r="AI32" i="6" s="1"/>
  <c r="AI46" i="6" s="1"/>
  <c r="AH36" i="7" l="1"/>
  <c r="AH38" i="7" s="1"/>
  <c r="AI147" i="5"/>
  <c r="AI117" i="5"/>
  <c r="AI76" i="5"/>
  <c r="AH57" i="6"/>
  <c r="AH58" i="6"/>
  <c r="AH54" i="6" l="1"/>
  <c r="AH34" i="6" s="1"/>
  <c r="AH35" i="6" s="1"/>
  <c r="AI79" i="5"/>
  <c r="AI135" i="5"/>
  <c r="R77" i="29"/>
  <c r="R76" i="29"/>
  <c r="AI153" i="5"/>
  <c r="AI120" i="5"/>
  <c r="AI48" i="6" l="1"/>
  <c r="AI152" i="5"/>
  <c r="AI141" i="5"/>
  <c r="AI142" i="5"/>
  <c r="AI49" i="54"/>
  <c r="AI81" i="5"/>
  <c r="AI82" i="5" s="1"/>
  <c r="AI90" i="5" s="1"/>
  <c r="AI36" i="6"/>
  <c r="AI37" i="6" s="1"/>
  <c r="AH41" i="6"/>
  <c r="R86" i="29" l="1"/>
  <c r="AI138" i="5"/>
  <c r="AH43" i="6"/>
  <c r="AH37" i="54" s="1"/>
  <c r="AJ151" i="5"/>
  <c r="AI22" i="7"/>
  <c r="AI92" i="5"/>
  <c r="AI91" i="5"/>
  <c r="AI38" i="6"/>
  <c r="AI39" i="6" s="1"/>
  <c r="AI12" i="7" l="1"/>
  <c r="AI159" i="5"/>
  <c r="R79" i="29"/>
  <c r="AI94" i="5"/>
  <c r="AJ149" i="5"/>
  <c r="AI96" i="5" l="1"/>
  <c r="AI97" i="5" s="1"/>
  <c r="AI104" i="5" s="1"/>
  <c r="AI106" i="5" l="1"/>
  <c r="AI105" i="5"/>
  <c r="AJ19" i="6" l="1"/>
  <c r="AI13" i="7"/>
  <c r="AJ101" i="5"/>
  <c r="R81" i="29"/>
  <c r="AI108" i="5"/>
  <c r="AI109" i="5" l="1"/>
  <c r="AI112" i="5" s="1"/>
  <c r="AJ103" i="5"/>
  <c r="AI110" i="5" l="1"/>
  <c r="AI14" i="7" s="1"/>
  <c r="AI118" i="47"/>
  <c r="AI120" i="47" l="1"/>
  <c r="AI119" i="47"/>
  <c r="AI152" i="47" l="1"/>
  <c r="AI163" i="47"/>
  <c r="AI141" i="47"/>
  <c r="AI162" i="47"/>
  <c r="AI140" i="47"/>
  <c r="AI151" i="47"/>
  <c r="AI35" i="42" l="1"/>
  <c r="AI154" i="47"/>
  <c r="AI71" i="42"/>
  <c r="AI127" i="47"/>
  <c r="AI142" i="47"/>
  <c r="AI143" i="47"/>
  <c r="AI53" i="42"/>
  <c r="AI164" i="47"/>
  <c r="AJ158" i="47" s="1"/>
  <c r="AI165" i="47"/>
  <c r="AI128" i="47"/>
  <c r="AI73" i="42"/>
  <c r="AI72" i="42"/>
  <c r="AI55" i="42"/>
  <c r="AI54" i="42"/>
  <c r="AI153" i="47"/>
  <c r="AJ147" i="47" s="1"/>
  <c r="AI37" i="42"/>
  <c r="AI36" i="42"/>
  <c r="AH61" i="42" l="1"/>
  <c r="AI129" i="47"/>
  <c r="AJ136" i="47"/>
  <c r="AH80" i="42"/>
  <c r="AH62" i="42"/>
  <c r="AH81" i="42"/>
  <c r="R100" i="29"/>
  <c r="R99" i="29" s="1"/>
  <c r="AI19" i="42"/>
  <c r="AI109" i="42" s="1"/>
  <c r="AJ160" i="47"/>
  <c r="AH44" i="42"/>
  <c r="AH45" i="42"/>
  <c r="AI18" i="42"/>
  <c r="R98" i="29"/>
  <c r="AI131" i="47"/>
  <c r="AI114" i="5" s="1"/>
  <c r="AI130" i="47"/>
  <c r="AJ149" i="47"/>
  <c r="AH79" i="42"/>
  <c r="AH63" i="42"/>
  <c r="AH43" i="42"/>
  <c r="R82" i="29" l="1"/>
  <c r="AI116" i="5"/>
  <c r="AI118" i="5"/>
  <c r="AJ138" i="47"/>
  <c r="AJ123" i="47"/>
  <c r="AJ135" i="47"/>
  <c r="AI24" i="7"/>
  <c r="R97" i="29"/>
  <c r="AJ146" i="47"/>
  <c r="AJ157" i="47"/>
  <c r="AI17" i="42"/>
  <c r="AH25" i="42"/>
  <c r="AH108" i="42" s="1"/>
  <c r="AJ161" i="47"/>
  <c r="AJ150" i="47"/>
  <c r="AH26" i="42"/>
  <c r="AJ139" i="47" l="1"/>
  <c r="AJ126" i="47" s="1"/>
  <c r="AJ113" i="5" s="1"/>
  <c r="AJ125" i="47"/>
  <c r="AH24" i="42"/>
  <c r="AI121" i="5"/>
  <c r="AI123" i="5"/>
  <c r="AI125" i="5" l="1"/>
  <c r="AI128" i="5" s="1"/>
  <c r="AI129" i="5" s="1"/>
  <c r="AJ27" i="6"/>
  <c r="AJ59" i="6" s="1"/>
  <c r="AJ12" i="6"/>
  <c r="AJ14" i="6" s="1"/>
  <c r="AJ16" i="6" s="1"/>
  <c r="AJ136" i="5" s="1"/>
  <c r="AJ167" i="5" s="1"/>
  <c r="AI126" i="5" l="1"/>
  <c r="AI50" i="6"/>
  <c r="AI15" i="42"/>
  <c r="AI20" i="42" s="1"/>
  <c r="AI130" i="5"/>
  <c r="AI56" i="42" l="1"/>
  <c r="AI14" i="42"/>
  <c r="R83" i="29"/>
  <c r="AI155" i="5"/>
  <c r="AI132" i="5"/>
  <c r="AH27" i="42"/>
  <c r="AI21" i="42"/>
  <c r="AH28" i="42" l="1"/>
  <c r="AH29" i="42" s="1"/>
  <c r="AH110" i="42"/>
  <c r="R84" i="29"/>
  <c r="AI144" i="5"/>
  <c r="AI49" i="6"/>
  <c r="AI52" i="6" s="1"/>
  <c r="AI154" i="5"/>
  <c r="AI157" i="5"/>
  <c r="AI39" i="42"/>
  <c r="AI57" i="42"/>
  <c r="AI38" i="42"/>
  <c r="AI74" i="42"/>
  <c r="AI75" i="42"/>
  <c r="AH64" i="42"/>
  <c r="AH66" i="42" s="1"/>
  <c r="AI58" i="42"/>
  <c r="AH111" i="42" l="1"/>
  <c r="AH113" i="42" s="1"/>
  <c r="AH65" i="42"/>
  <c r="AH67" i="42" s="1"/>
  <c r="AI23" i="7"/>
  <c r="AI20" i="7" s="1"/>
  <c r="AH82" i="42"/>
  <c r="AH84" i="42" s="1"/>
  <c r="AI76" i="42"/>
  <c r="AI29" i="7"/>
  <c r="AJ28" i="6"/>
  <c r="AJ20" i="6"/>
  <c r="AI15" i="7"/>
  <c r="AI17" i="7" s="1"/>
  <c r="AI145" i="5"/>
  <c r="AH83" i="42"/>
  <c r="AH85" i="42" s="1"/>
  <c r="AH46" i="42"/>
  <c r="AH48" i="42" s="1"/>
  <c r="AI40" i="42"/>
  <c r="AH47" i="42"/>
  <c r="AH49" i="42" s="1"/>
  <c r="AJ21" i="6" l="1"/>
  <c r="AJ30" i="6" s="1"/>
  <c r="AJ32" i="6" s="1"/>
  <c r="AJ46" i="6" s="1"/>
  <c r="AI31" i="7"/>
  <c r="AI36" i="7" s="1"/>
  <c r="AI38" i="7" s="1"/>
  <c r="AI41" i="7"/>
  <c r="AI39" i="7"/>
  <c r="AI44" i="7"/>
  <c r="AI45" i="7" s="1"/>
  <c r="AI56" i="6" s="1"/>
  <c r="AJ117" i="5" l="1"/>
  <c r="AJ147" i="5"/>
  <c r="AI33" i="7"/>
  <c r="AI57" i="6"/>
  <c r="AI58" i="6"/>
  <c r="AJ76" i="5"/>
  <c r="AJ135" i="5" l="1"/>
  <c r="AJ79" i="5"/>
  <c r="AI54" i="6"/>
  <c r="AI34" i="6" s="1"/>
  <c r="AI35" i="6" s="1"/>
  <c r="AJ153" i="5"/>
  <c r="AJ120" i="5"/>
  <c r="AJ48" i="6" l="1"/>
  <c r="AJ152" i="5"/>
  <c r="AJ36" i="6"/>
  <c r="AJ37" i="6" s="1"/>
  <c r="AI41" i="6"/>
  <c r="AJ142" i="5"/>
  <c r="AJ141" i="5"/>
  <c r="AJ49" i="54"/>
  <c r="AJ81" i="5"/>
  <c r="AJ82" i="5" s="1"/>
  <c r="AJ90" i="5" s="1"/>
  <c r="AJ138" i="5" l="1"/>
  <c r="AI43" i="6"/>
  <c r="AI37" i="54" s="1"/>
  <c r="AJ38" i="6"/>
  <c r="AJ39" i="6" s="1"/>
  <c r="AJ92" i="5"/>
  <c r="AJ91" i="5"/>
  <c r="AJ12" i="7" s="1"/>
  <c r="AJ22" i="7"/>
  <c r="AK151" i="5"/>
  <c r="AJ159" i="5" l="1"/>
  <c r="AK149" i="5"/>
  <c r="AJ94" i="5"/>
  <c r="AJ96" i="5" l="1"/>
  <c r="AJ97" i="5" s="1"/>
  <c r="AJ104" i="5" s="1"/>
  <c r="AJ105" i="5" l="1"/>
  <c r="AJ106" i="5"/>
  <c r="AJ108" i="5" s="1"/>
  <c r="AJ109" i="5" l="1"/>
  <c r="AJ112" i="5" s="1"/>
  <c r="AK101" i="5"/>
  <c r="AK19" i="6"/>
  <c r="AJ13" i="7"/>
  <c r="AK103" i="5" l="1"/>
  <c r="AJ118" i="47"/>
  <c r="AJ110" i="5"/>
  <c r="AJ14" i="7" s="1"/>
  <c r="AJ119" i="47" l="1"/>
  <c r="AJ120" i="47"/>
  <c r="AJ162" i="47" l="1"/>
  <c r="AJ151" i="47"/>
  <c r="AJ140" i="47"/>
  <c r="AJ163" i="47"/>
  <c r="AJ152" i="47"/>
  <c r="AJ141" i="47"/>
  <c r="AJ128" i="47" l="1"/>
  <c r="AJ73" i="42"/>
  <c r="AJ72" i="42"/>
  <c r="AJ153" i="47"/>
  <c r="AK147" i="47" s="1"/>
  <c r="AJ37" i="42"/>
  <c r="AJ36" i="42"/>
  <c r="AJ55" i="42"/>
  <c r="AJ54" i="42"/>
  <c r="AJ71" i="42"/>
  <c r="AJ127" i="47"/>
  <c r="AJ142" i="47"/>
  <c r="AJ143" i="47"/>
  <c r="AJ35" i="42"/>
  <c r="AJ154" i="47"/>
  <c r="AJ53" i="42"/>
  <c r="AJ164" i="47"/>
  <c r="AK158" i="47" s="1"/>
  <c r="AJ165" i="47"/>
  <c r="AI62" i="42" l="1"/>
  <c r="AI45" i="42"/>
  <c r="AI63" i="42"/>
  <c r="AK160" i="47"/>
  <c r="AJ129" i="47"/>
  <c r="AK136" i="47"/>
  <c r="AJ18" i="42"/>
  <c r="AJ130" i="47"/>
  <c r="AJ131" i="47"/>
  <c r="AJ114" i="5" s="1"/>
  <c r="AI79" i="42"/>
  <c r="AI44" i="42"/>
  <c r="AK149" i="47"/>
  <c r="AI61" i="42"/>
  <c r="AI80" i="42"/>
  <c r="AI81" i="42"/>
  <c r="AI43" i="42"/>
  <c r="AJ19" i="42"/>
  <c r="AJ109" i="42" s="1"/>
  <c r="AJ17" i="42" l="1"/>
  <c r="AI25" i="42"/>
  <c r="AI108" i="42" s="1"/>
  <c r="AK138" i="47"/>
  <c r="AK123" i="47"/>
  <c r="AK150" i="47"/>
  <c r="AK161" i="47"/>
  <c r="AI26" i="42"/>
  <c r="AK135" i="47"/>
  <c r="AJ24" i="7"/>
  <c r="AK157" i="47"/>
  <c r="AK146" i="47"/>
  <c r="AJ116" i="5"/>
  <c r="AJ118" i="5"/>
  <c r="AI24" i="42" l="1"/>
  <c r="AK125" i="47"/>
  <c r="AK139" i="47"/>
  <c r="AK126" i="47" s="1"/>
  <c r="AK113" i="5" s="1"/>
  <c r="AJ121" i="5"/>
  <c r="AJ123" i="5"/>
  <c r="AJ125" i="5" l="1"/>
  <c r="AJ126" i="5" s="1"/>
  <c r="AK12" i="6"/>
  <c r="AK14" i="6" s="1"/>
  <c r="AK16" i="6" s="1"/>
  <c r="AK136" i="5" s="1"/>
  <c r="AK167" i="5" s="1"/>
  <c r="AK27" i="6"/>
  <c r="AK59" i="6" s="1"/>
  <c r="AJ50" i="6" l="1"/>
  <c r="AJ128" i="5"/>
  <c r="AJ129" i="5" s="1"/>
  <c r="AJ130" i="5" s="1"/>
  <c r="AJ15" i="42" l="1"/>
  <c r="AJ20" i="42" s="1"/>
  <c r="AJ56" i="42"/>
  <c r="AJ14" i="42"/>
  <c r="AJ155" i="5"/>
  <c r="AJ132" i="5"/>
  <c r="AI27" i="42" l="1"/>
  <c r="AJ21" i="42"/>
  <c r="AJ49" i="6"/>
  <c r="AJ52" i="6" s="1"/>
  <c r="AJ154" i="5"/>
  <c r="AJ157" i="5"/>
  <c r="AJ144" i="5"/>
  <c r="AJ57" i="42"/>
  <c r="AJ74" i="42"/>
  <c r="AJ38" i="42"/>
  <c r="AJ75" i="42"/>
  <c r="AJ39" i="42"/>
  <c r="AI64" i="42"/>
  <c r="AI66" i="42" s="1"/>
  <c r="AJ58" i="42"/>
  <c r="AI28" i="42" l="1"/>
  <c r="AI29" i="42" s="1"/>
  <c r="AI110" i="42"/>
  <c r="AI47" i="42"/>
  <c r="AI49" i="42" s="1"/>
  <c r="AI83" i="42"/>
  <c r="AI85" i="42" s="1"/>
  <c r="AI82" i="42"/>
  <c r="AI84" i="42" s="1"/>
  <c r="AJ76" i="42"/>
  <c r="AJ145" i="5"/>
  <c r="AK20" i="6"/>
  <c r="AJ29" i="7"/>
  <c r="AJ15" i="7"/>
  <c r="AJ17" i="7" s="1"/>
  <c r="AK28" i="6"/>
  <c r="AI65" i="42"/>
  <c r="AI67" i="42" s="1"/>
  <c r="AJ23" i="7"/>
  <c r="AJ20" i="7" s="1"/>
  <c r="AI46" i="42"/>
  <c r="AI48" i="42" s="1"/>
  <c r="AJ40" i="42"/>
  <c r="AI111" i="42" l="1"/>
  <c r="AI113" i="42" s="1"/>
  <c r="AJ31" i="7"/>
  <c r="AJ33" i="7" s="1"/>
  <c r="AJ41" i="7"/>
  <c r="AJ39" i="7"/>
  <c r="AJ44" i="7"/>
  <c r="AJ45" i="7" s="1"/>
  <c r="AJ56" i="6" s="1"/>
  <c r="AK21" i="6"/>
  <c r="AK30" i="6" s="1"/>
  <c r="AK32" i="6" s="1"/>
  <c r="AK46" i="6" s="1"/>
  <c r="AK76" i="5" l="1"/>
  <c r="AK135" i="5" s="1"/>
  <c r="AK117" i="5"/>
  <c r="AK147" i="5"/>
  <c r="AJ57" i="6"/>
  <c r="AJ58" i="6"/>
  <c r="AJ36" i="7"/>
  <c r="AJ38" i="7" s="1"/>
  <c r="S77" i="29" l="1"/>
  <c r="S76" i="29"/>
  <c r="AK79" i="5"/>
  <c r="AK49" i="54" s="1"/>
  <c r="AJ54" i="6"/>
  <c r="AJ34" i="6" s="1"/>
  <c r="AJ35" i="6" s="1"/>
  <c r="AK153" i="5"/>
  <c r="AK120" i="5"/>
  <c r="AK81" i="5" l="1"/>
  <c r="AK82" i="5" s="1"/>
  <c r="AK90" i="5" s="1"/>
  <c r="AK91" i="5" s="1"/>
  <c r="AK12" i="7" s="1"/>
  <c r="AK142" i="5"/>
  <c r="AK141" i="5"/>
  <c r="AK48" i="6"/>
  <c r="AK152" i="5"/>
  <c r="AK36" i="6"/>
  <c r="AK37" i="6" s="1"/>
  <c r="AJ41" i="6"/>
  <c r="S86" i="29" l="1"/>
  <c r="AK138" i="5"/>
  <c r="AK92" i="5"/>
  <c r="AK94" i="5" s="1"/>
  <c r="AK38" i="6"/>
  <c r="AK39" i="6" s="1"/>
  <c r="AL151" i="5"/>
  <c r="AK22" i="7"/>
  <c r="AJ43" i="6"/>
  <c r="AJ37" i="54" s="1"/>
  <c r="S79" i="29" l="1"/>
  <c r="AK159" i="5"/>
  <c r="D159" i="5" s="1"/>
  <c r="E177" i="32" s="1"/>
  <c r="D138" i="5"/>
  <c r="AK96" i="5"/>
  <c r="AK97" i="5" s="1"/>
  <c r="AK104" i="5" s="1"/>
  <c r="AL149" i="5"/>
  <c r="AK105" i="5" l="1"/>
  <c r="AK106" i="5"/>
  <c r="S81" i="29" l="1"/>
  <c r="AK108" i="5"/>
  <c r="AL19" i="6"/>
  <c r="AK13" i="7"/>
  <c r="AL101" i="5"/>
  <c r="AL103" i="5" l="1"/>
  <c r="AK109" i="5"/>
  <c r="AK112" i="5" s="1"/>
  <c r="AK110" i="5" l="1"/>
  <c r="AK14" i="7" s="1"/>
  <c r="AK118" i="47"/>
  <c r="AK120" i="47" l="1"/>
  <c r="AK119" i="47"/>
  <c r="AK163" i="47" l="1"/>
  <c r="AK152" i="47"/>
  <c r="AK141" i="47"/>
  <c r="AK162" i="47"/>
  <c r="AK151" i="47"/>
  <c r="AK140" i="47"/>
  <c r="AK71" i="42" l="1"/>
  <c r="AK127" i="47"/>
  <c r="AK142" i="47"/>
  <c r="AK143" i="47"/>
  <c r="AK35" i="42"/>
  <c r="AK154" i="47"/>
  <c r="AK53" i="42"/>
  <c r="AK164" i="47"/>
  <c r="AL158" i="47" s="1"/>
  <c r="AK165" i="47"/>
  <c r="AK128" i="47"/>
  <c r="AK73" i="42"/>
  <c r="AK72" i="42"/>
  <c r="AK153" i="47"/>
  <c r="AL147" i="47" s="1"/>
  <c r="AK37" i="42"/>
  <c r="AK36" i="42"/>
  <c r="AK55" i="42"/>
  <c r="AK54" i="42"/>
  <c r="AJ80" i="42" l="1"/>
  <c r="AJ62" i="42"/>
  <c r="AJ81" i="42"/>
  <c r="AL160" i="47"/>
  <c r="AK18" i="42"/>
  <c r="S98" i="29"/>
  <c r="AK131" i="47"/>
  <c r="AK114" i="5" s="1"/>
  <c r="AK130" i="47"/>
  <c r="S100" i="29"/>
  <c r="S99" i="29" s="1"/>
  <c r="AK19" i="42"/>
  <c r="AK109" i="42" s="1"/>
  <c r="AJ61" i="42"/>
  <c r="AJ43" i="42"/>
  <c r="AJ63" i="42"/>
  <c r="AJ44" i="42"/>
  <c r="AK129" i="47"/>
  <c r="AL136" i="47"/>
  <c r="AJ45" i="42"/>
  <c r="AL149" i="47"/>
  <c r="AJ79" i="42"/>
  <c r="S82" i="29" l="1"/>
  <c r="AK116" i="5"/>
  <c r="AK118" i="5"/>
  <c r="AK17" i="42"/>
  <c r="AJ25" i="42"/>
  <c r="AJ108" i="42" s="1"/>
  <c r="AL161" i="47"/>
  <c r="AL150" i="47"/>
  <c r="AL138" i="47"/>
  <c r="AL123" i="47"/>
  <c r="AJ26" i="42"/>
  <c r="AL146" i="47"/>
  <c r="S97" i="29"/>
  <c r="AL157" i="47"/>
  <c r="AL135" i="47"/>
  <c r="AK24" i="7"/>
  <c r="AJ24" i="42" l="1"/>
  <c r="AL125" i="47"/>
  <c r="AL139" i="47"/>
  <c r="AL126" i="47" s="1"/>
  <c r="AL113" i="5" s="1"/>
  <c r="AK121" i="5"/>
  <c r="AK123" i="5"/>
  <c r="AK125" i="5" l="1"/>
  <c r="AK126" i="5" s="1"/>
  <c r="AL12" i="6"/>
  <c r="AL14" i="6" s="1"/>
  <c r="AL16" i="6" s="1"/>
  <c r="AL136" i="5" s="1"/>
  <c r="AL167" i="5" s="1"/>
  <c r="AL27" i="6"/>
  <c r="AL59" i="6" s="1"/>
  <c r="AK50" i="6" l="1"/>
  <c r="AK128" i="5"/>
  <c r="AK129" i="5" s="1"/>
  <c r="AK130" i="5" s="1"/>
  <c r="AK15" i="42" l="1"/>
  <c r="AK20" i="42" s="1"/>
  <c r="AK56" i="42"/>
  <c r="AK14" i="42"/>
  <c r="S83" i="29"/>
  <c r="AK155" i="5"/>
  <c r="AK132" i="5"/>
  <c r="AK21" i="42" l="1"/>
  <c r="AJ27" i="42"/>
  <c r="S84" i="29"/>
  <c r="AK144" i="5"/>
  <c r="AK49" i="6"/>
  <c r="AK52" i="6" s="1"/>
  <c r="AK154" i="5"/>
  <c r="AK157" i="5"/>
  <c r="AK57" i="42"/>
  <c r="AK38" i="42"/>
  <c r="AK74" i="42"/>
  <c r="AK39" i="42"/>
  <c r="AK75" i="42"/>
  <c r="AJ64" i="42"/>
  <c r="AJ66" i="42" s="1"/>
  <c r="AK58" i="42"/>
  <c r="AJ28" i="42" l="1"/>
  <c r="AJ29" i="42" s="1"/>
  <c r="AJ110" i="42"/>
  <c r="AK23" i="7"/>
  <c r="AK20" i="7" s="1"/>
  <c r="AJ83" i="42"/>
  <c r="AJ85" i="42" s="1"/>
  <c r="AJ82" i="42"/>
  <c r="AJ84" i="42" s="1"/>
  <c r="AK76" i="42"/>
  <c r="AJ65" i="42"/>
  <c r="AJ67" i="42" s="1"/>
  <c r="AK15" i="7"/>
  <c r="AK17" i="7" s="1"/>
  <c r="AK29" i="7"/>
  <c r="AL20" i="6"/>
  <c r="AL28" i="6"/>
  <c r="AK145" i="5"/>
  <c r="AJ47" i="42"/>
  <c r="AJ49" i="42" s="1"/>
  <c r="AJ46" i="42"/>
  <c r="AJ48" i="42" s="1"/>
  <c r="AK40" i="42"/>
  <c r="AJ111" i="42" l="1"/>
  <c r="AJ113" i="42" s="1"/>
  <c r="AL21" i="6"/>
  <c r="AL30" i="6" s="1"/>
  <c r="AL32" i="6" s="1"/>
  <c r="AL46" i="6" s="1"/>
  <c r="AK41" i="7"/>
  <c r="AK39" i="7"/>
  <c r="AK31" i="7"/>
  <c r="AK33" i="7" s="1"/>
  <c r="AK44" i="7"/>
  <c r="AK45" i="7" s="1"/>
  <c r="AK56" i="6" s="1"/>
  <c r="AL147" i="5" l="1"/>
  <c r="AL117" i="5"/>
  <c r="AK58" i="6"/>
  <c r="AK57" i="6"/>
  <c r="AK36" i="7"/>
  <c r="AK38" i="7" s="1"/>
  <c r="AL76" i="5"/>
  <c r="AK54" i="6" l="1"/>
  <c r="AK34" i="6" s="1"/>
  <c r="AK35" i="6" s="1"/>
  <c r="AK41" i="6" s="1"/>
  <c r="AL120" i="5"/>
  <c r="AL153" i="5"/>
  <c r="AL79" i="5"/>
  <c r="AL135" i="5"/>
  <c r="AL36" i="6" l="1"/>
  <c r="AL37" i="6" s="1"/>
  <c r="AL38" i="6" s="1"/>
  <c r="AL39" i="6" s="1"/>
  <c r="AK43" i="6"/>
  <c r="AK37" i="54" s="1"/>
  <c r="AL48" i="6"/>
  <c r="AL152" i="5"/>
  <c r="AL142" i="5"/>
  <c r="AL49" i="54"/>
  <c r="AL141" i="5"/>
  <c r="AL81" i="5"/>
  <c r="AL82" i="5" s="1"/>
  <c r="AL90" i="5" s="1"/>
  <c r="AL91" i="5" l="1"/>
  <c r="AL12" i="7" s="1"/>
  <c r="AL92" i="5"/>
  <c r="AM151" i="5"/>
  <c r="AL22" i="7"/>
  <c r="AM149" i="5" l="1"/>
  <c r="AL94" i="5"/>
  <c r="AL96" i="5" l="1"/>
  <c r="AL97" i="5" s="1"/>
  <c r="AL104" i="5" s="1"/>
  <c r="AL105" i="5" l="1"/>
  <c r="AL106" i="5"/>
  <c r="AL108" i="5" s="1"/>
  <c r="AL109" i="5" l="1"/>
  <c r="AL112" i="5" s="1"/>
  <c r="AM19" i="6"/>
  <c r="AL13" i="7"/>
  <c r="AM101" i="5"/>
  <c r="AM103" i="5" l="1"/>
  <c r="AL118" i="47"/>
  <c r="AL110" i="5"/>
  <c r="AL14" i="7" s="1"/>
  <c r="AL119" i="47" l="1"/>
  <c r="AL120" i="47"/>
  <c r="AL140" i="47" l="1"/>
  <c r="AL162" i="47"/>
  <c r="AL151" i="47"/>
  <c r="AL152" i="47"/>
  <c r="AL163" i="47"/>
  <c r="AL141" i="47"/>
  <c r="AL128" i="47" l="1"/>
  <c r="AL73" i="42"/>
  <c r="AL72" i="42"/>
  <c r="AL55" i="42"/>
  <c r="AL54" i="42"/>
  <c r="AL153" i="47"/>
  <c r="AM147" i="47" s="1"/>
  <c r="AL37" i="42"/>
  <c r="AL36" i="42"/>
  <c r="AL35" i="42"/>
  <c r="AL154" i="47"/>
  <c r="AL53" i="42"/>
  <c r="AL164" i="47"/>
  <c r="AM158" i="47" s="1"/>
  <c r="AL165" i="47"/>
  <c r="AL127" i="47"/>
  <c r="AL71" i="42"/>
  <c r="AL142" i="47"/>
  <c r="AL143" i="47"/>
  <c r="AK61" i="42" l="1"/>
  <c r="AK43" i="42"/>
  <c r="AK45" i="42"/>
  <c r="AK62" i="42"/>
  <c r="AL18" i="42"/>
  <c r="AL130" i="47"/>
  <c r="AL131" i="47"/>
  <c r="AL114" i="5" s="1"/>
  <c r="AM160" i="47"/>
  <c r="AK44" i="42"/>
  <c r="AM149" i="47"/>
  <c r="AM136" i="47"/>
  <c r="AL129" i="47"/>
  <c r="AK63" i="42"/>
  <c r="AK79" i="42"/>
  <c r="AK80" i="42"/>
  <c r="AK81" i="42"/>
  <c r="AL19" i="42"/>
  <c r="AL109" i="42" s="1"/>
  <c r="AL17" i="42" l="1"/>
  <c r="AK25" i="42"/>
  <c r="AK108" i="42" s="1"/>
  <c r="AM123" i="47"/>
  <c r="AM138" i="47"/>
  <c r="AK26" i="42"/>
  <c r="AM150" i="47"/>
  <c r="AL24" i="7"/>
  <c r="AM157" i="47"/>
  <c r="AM146" i="47"/>
  <c r="AM135" i="47"/>
  <c r="AM161" i="47"/>
  <c r="AL116" i="5"/>
  <c r="AL118" i="5"/>
  <c r="AM139" i="47" l="1"/>
  <c r="AM126" i="47" s="1"/>
  <c r="AM113" i="5" s="1"/>
  <c r="AM125" i="47"/>
  <c r="AK24" i="42"/>
  <c r="AL121" i="5"/>
  <c r="AL123" i="5"/>
  <c r="AL125" i="5" l="1"/>
  <c r="AL126" i="5" s="1"/>
  <c r="AM27" i="6"/>
  <c r="AM59" i="6" s="1"/>
  <c r="AM12" i="6"/>
  <c r="AM14" i="6" s="1"/>
  <c r="AM16" i="6" s="1"/>
  <c r="AM136" i="5" s="1"/>
  <c r="AM167" i="5" s="1"/>
  <c r="AL128" i="5" l="1"/>
  <c r="AL129" i="5" s="1"/>
  <c r="AL130" i="5" s="1"/>
  <c r="AL50" i="6"/>
  <c r="AL15" i="42" l="1"/>
  <c r="AL20" i="42" s="1"/>
  <c r="AL14" i="42"/>
  <c r="AL56" i="42"/>
  <c r="AL155" i="5"/>
  <c r="AL132" i="5"/>
  <c r="AL21" i="42" l="1"/>
  <c r="AK27" i="42"/>
  <c r="AL144" i="5"/>
  <c r="AL49" i="6"/>
  <c r="AL52" i="6" s="1"/>
  <c r="AL154" i="5"/>
  <c r="AL157" i="5"/>
  <c r="AK64" i="42"/>
  <c r="AK66" i="42" s="1"/>
  <c r="AL58" i="42"/>
  <c r="AL57" i="42"/>
  <c r="AL38" i="42"/>
  <c r="AL39" i="42"/>
  <c r="AL75" i="42"/>
  <c r="AL74" i="42"/>
  <c r="AK28" i="42" l="1"/>
  <c r="AK29" i="42" s="1"/>
  <c r="AK110" i="42"/>
  <c r="AK47" i="42"/>
  <c r="AK49" i="42" s="1"/>
  <c r="AK65" i="42"/>
  <c r="AK67" i="42" s="1"/>
  <c r="AL15" i="7"/>
  <c r="AL17" i="7" s="1"/>
  <c r="AL29" i="7"/>
  <c r="AL145" i="5"/>
  <c r="AM28" i="6"/>
  <c r="AM20" i="6"/>
  <c r="AK83" i="42"/>
  <c r="AK85" i="42" s="1"/>
  <c r="AK46" i="42"/>
  <c r="AK48" i="42" s="1"/>
  <c r="AL40" i="42"/>
  <c r="AL23" i="7"/>
  <c r="AL20" i="7" s="1"/>
  <c r="AK82" i="42"/>
  <c r="AK84" i="42" s="1"/>
  <c r="AL76" i="42"/>
  <c r="AK111" i="42" l="1"/>
  <c r="AK113" i="42" s="1"/>
  <c r="AL41" i="7"/>
  <c r="AL31" i="7"/>
  <c r="AL36" i="7" s="1"/>
  <c r="AL38" i="7" s="1"/>
  <c r="AL39" i="7"/>
  <c r="AL44" i="7"/>
  <c r="AL45" i="7" s="1"/>
  <c r="AL56" i="6" s="1"/>
  <c r="AM21" i="6"/>
  <c r="AM76" i="5" s="1"/>
  <c r="AL33" i="7" l="1"/>
  <c r="AM79" i="5"/>
  <c r="AM135" i="5"/>
  <c r="T77" i="29"/>
  <c r="T76" i="29"/>
  <c r="AM30" i="6"/>
  <c r="AM32" i="6" s="1"/>
  <c r="AM46" i="6" s="1"/>
  <c r="AL58" i="6"/>
  <c r="AL57" i="6"/>
  <c r="AL54" i="6" l="1"/>
  <c r="AL34" i="6" s="1"/>
  <c r="AL35" i="6" s="1"/>
  <c r="AL41" i="6" s="1"/>
  <c r="AM147" i="5"/>
  <c r="AM117" i="5"/>
  <c r="AM141" i="5"/>
  <c r="T86" i="29" s="1"/>
  <c r="AM49" i="54"/>
  <c r="AM142" i="5"/>
  <c r="AM81" i="5"/>
  <c r="AM82" i="5" s="1"/>
  <c r="AM90" i="5" s="1"/>
  <c r="AM36" i="6" l="1"/>
  <c r="AM37" i="6" s="1"/>
  <c r="AM38" i="6" s="1"/>
  <c r="AM39" i="6" s="1"/>
  <c r="AM120" i="5"/>
  <c r="AM153" i="5"/>
  <c r="AL43" i="6"/>
  <c r="AL37" i="54" s="1"/>
  <c r="AM92" i="5"/>
  <c r="AM91" i="5"/>
  <c r="AM12" i="7" s="1"/>
  <c r="AM94" i="5" l="1"/>
  <c r="AM48" i="6"/>
  <c r="AM152" i="5"/>
  <c r="AN151" i="5" l="1"/>
  <c r="AM22" i="7"/>
  <c r="AM96" i="5"/>
  <c r="AM97" i="5" s="1"/>
  <c r="AM104" i="5" s="1"/>
  <c r="AM106" i="5" l="1"/>
  <c r="AM105" i="5"/>
  <c r="AN149" i="5"/>
  <c r="AN101" i="5" l="1"/>
  <c r="AN19" i="6"/>
  <c r="AM13" i="7"/>
  <c r="T81" i="29"/>
  <c r="AM108" i="5"/>
  <c r="AM109" i="5" l="1"/>
  <c r="AM112" i="5" s="1"/>
  <c r="AN103" i="5"/>
  <c r="AM118" i="47" l="1"/>
  <c r="AM110" i="5"/>
  <c r="AM14" i="7" s="1"/>
  <c r="AM120" i="47" l="1"/>
  <c r="AM119" i="47"/>
  <c r="AM163" i="47" l="1"/>
  <c r="AM152" i="47"/>
  <c r="AM141" i="47"/>
  <c r="AM140" i="47"/>
  <c r="AM162" i="47"/>
  <c r="AM151" i="47"/>
  <c r="AM35" i="42" l="1"/>
  <c r="AM154" i="47"/>
  <c r="AM53" i="42"/>
  <c r="AM164" i="47"/>
  <c r="AN158" i="47" s="1"/>
  <c r="AM165" i="47"/>
  <c r="AM127" i="47"/>
  <c r="AM71" i="42"/>
  <c r="AM142" i="47"/>
  <c r="AM143" i="47"/>
  <c r="AM128" i="47"/>
  <c r="AM72" i="42"/>
  <c r="AM73" i="42"/>
  <c r="AM153" i="47"/>
  <c r="AN147" i="47" s="1"/>
  <c r="AM37" i="42"/>
  <c r="AM36" i="42"/>
  <c r="AM55" i="42"/>
  <c r="AM54" i="42"/>
  <c r="AN136" i="47" l="1"/>
  <c r="AM129" i="47"/>
  <c r="AL80" i="42"/>
  <c r="AL79" i="42"/>
  <c r="AL62" i="42"/>
  <c r="AL63" i="42"/>
  <c r="AL45" i="42"/>
  <c r="AL81" i="42"/>
  <c r="T100" i="29"/>
  <c r="T99" i="29" s="1"/>
  <c r="AM19" i="42"/>
  <c r="AM109" i="42" s="1"/>
  <c r="AM18" i="42"/>
  <c r="T98" i="29"/>
  <c r="AM130" i="47"/>
  <c r="AM131" i="47"/>
  <c r="AM114" i="5" s="1"/>
  <c r="AN160" i="47"/>
  <c r="AL44" i="42"/>
  <c r="AL61" i="42"/>
  <c r="AN149" i="47"/>
  <c r="AL43" i="42"/>
  <c r="AN161" i="47" l="1"/>
  <c r="T82" i="29"/>
  <c r="AM116" i="5"/>
  <c r="AM118" i="5"/>
  <c r="AN150" i="47"/>
  <c r="AL26" i="42"/>
  <c r="AM17" i="42"/>
  <c r="AL25" i="42"/>
  <c r="AL108" i="42" s="1"/>
  <c r="AN146" i="47"/>
  <c r="T97" i="29"/>
  <c r="AN135" i="47"/>
  <c r="AN157" i="47"/>
  <c r="AM24" i="7"/>
  <c r="AN123" i="47"/>
  <c r="AN138" i="47"/>
  <c r="AL24" i="42" l="1"/>
  <c r="AM121" i="5"/>
  <c r="AM123" i="5"/>
  <c r="AN125" i="47"/>
  <c r="AN139" i="47"/>
  <c r="AN126" i="47" s="1"/>
  <c r="AN113" i="5" s="1"/>
  <c r="AM125" i="5" l="1"/>
  <c r="AM128" i="5" s="1"/>
  <c r="AM129" i="5" s="1"/>
  <c r="AN27" i="6"/>
  <c r="AN59" i="6" s="1"/>
  <c r="AN12" i="6"/>
  <c r="AN14" i="6" s="1"/>
  <c r="AN16" i="6" s="1"/>
  <c r="AN136" i="5" s="1"/>
  <c r="AN167" i="5" s="1"/>
  <c r="AM50" i="6" l="1"/>
  <c r="AM126" i="5"/>
  <c r="AM130" i="5"/>
  <c r="AM15" i="42"/>
  <c r="AM20" i="42" s="1"/>
  <c r="AL27" i="42" l="1"/>
  <c r="AM21" i="42"/>
  <c r="AM56" i="42"/>
  <c r="AM14" i="42"/>
  <c r="T83" i="29"/>
  <c r="AM155" i="5"/>
  <c r="AM132" i="5"/>
  <c r="AL28" i="42" l="1"/>
  <c r="AL29" i="42" s="1"/>
  <c r="AL110" i="42"/>
  <c r="AM49" i="6"/>
  <c r="AM52" i="6" s="1"/>
  <c r="AM154" i="5"/>
  <c r="AM157" i="5"/>
  <c r="AM39" i="42"/>
  <c r="AM74" i="42"/>
  <c r="AM38" i="42"/>
  <c r="AM57" i="42"/>
  <c r="AM75" i="42"/>
  <c r="T84" i="29"/>
  <c r="AM144" i="5"/>
  <c r="AL64" i="42"/>
  <c r="AL66" i="42" s="1"/>
  <c r="AM58" i="42"/>
  <c r="AL111" i="42" l="1"/>
  <c r="AL113" i="42" s="1"/>
  <c r="AL46" i="42"/>
  <c r="AL48" i="42" s="1"/>
  <c r="AM40" i="42"/>
  <c r="AL82" i="42"/>
  <c r="AL84" i="42" s="1"/>
  <c r="AM76" i="42"/>
  <c r="AM23" i="7"/>
  <c r="AM20" i="7" s="1"/>
  <c r="AM29" i="7"/>
  <c r="AM145" i="5"/>
  <c r="AN28" i="6"/>
  <c r="AN20" i="6"/>
  <c r="AM15" i="7"/>
  <c r="AM17" i="7" s="1"/>
  <c r="AL83" i="42"/>
  <c r="AL85" i="42" s="1"/>
  <c r="AL65" i="42"/>
  <c r="AL67" i="42" s="1"/>
  <c r="AL47" i="42"/>
  <c r="AL49" i="42" s="1"/>
  <c r="AM39" i="7" l="1"/>
  <c r="AM31" i="7"/>
  <c r="AM36" i="7" s="1"/>
  <c r="AM38" i="7" s="1"/>
  <c r="AM41" i="7"/>
  <c r="AM44" i="7"/>
  <c r="AM45" i="7" s="1"/>
  <c r="AM56" i="6" s="1"/>
  <c r="AN21" i="6"/>
  <c r="AN76" i="5" s="1"/>
  <c r="AM33" i="7" l="1"/>
  <c r="AN79" i="5"/>
  <c r="AN135" i="5"/>
  <c r="AN30" i="6"/>
  <c r="AN32" i="6" s="1"/>
  <c r="AN46" i="6" s="1"/>
  <c r="AM58" i="6"/>
  <c r="AM57" i="6"/>
  <c r="AN49" i="54" l="1"/>
  <c r="AN142" i="5"/>
  <c r="AN141" i="5"/>
  <c r="AN81" i="5"/>
  <c r="AN82" i="5" s="1"/>
  <c r="AN90" i="5" s="1"/>
  <c r="AM54" i="6"/>
  <c r="AM34" i="6" s="1"/>
  <c r="AM35" i="6" s="1"/>
  <c r="AN147" i="5"/>
  <c r="AN117" i="5"/>
  <c r="AN36" i="6" l="1"/>
  <c r="AN37" i="6" s="1"/>
  <c r="AM41" i="6"/>
  <c r="AN120" i="5"/>
  <c r="AN153" i="5"/>
  <c r="AN92" i="5"/>
  <c r="AN91" i="5"/>
  <c r="AN12" i="7" s="1"/>
  <c r="AN38" i="6" l="1"/>
  <c r="AN39" i="6" s="1"/>
  <c r="AM43" i="6"/>
  <c r="AM37" i="54" s="1"/>
  <c r="AN48" i="6"/>
  <c r="AN152" i="5"/>
  <c r="AN94" i="5"/>
  <c r="AN22" i="7" l="1"/>
  <c r="AO151" i="5"/>
  <c r="AN96" i="5"/>
  <c r="AN97" i="5" s="1"/>
  <c r="AN104" i="5" s="1"/>
  <c r="AN106" i="5" l="1"/>
  <c r="AN108" i="5" s="1"/>
  <c r="AN105" i="5"/>
  <c r="AO149" i="5"/>
  <c r="AO19" i="6" l="1"/>
  <c r="AO101" i="5"/>
  <c r="AN13" i="7"/>
  <c r="AN109" i="5"/>
  <c r="AN112" i="5" s="1"/>
  <c r="AN118" i="47" l="1"/>
  <c r="AN110" i="5"/>
  <c r="AN14" i="7" s="1"/>
  <c r="AO103" i="5"/>
  <c r="AN120" i="47" l="1"/>
  <c r="AN119" i="47"/>
  <c r="AN163" i="47" l="1"/>
  <c r="AN152" i="47"/>
  <c r="AN141" i="47"/>
  <c r="AN140" i="47"/>
  <c r="AN151" i="47"/>
  <c r="AN162" i="47"/>
  <c r="AN53" i="42" l="1"/>
  <c r="AN164" i="47"/>
  <c r="AO158" i="47" s="1"/>
  <c r="AN165" i="47"/>
  <c r="AN35" i="42"/>
  <c r="AN154" i="47"/>
  <c r="AN127" i="47"/>
  <c r="AN71" i="42"/>
  <c r="AN142" i="47"/>
  <c r="AN143" i="47"/>
  <c r="AN128" i="47"/>
  <c r="AN73" i="42"/>
  <c r="AN72" i="42"/>
  <c r="AN153" i="47"/>
  <c r="AO147" i="47" s="1"/>
  <c r="AN37" i="42"/>
  <c r="AN36" i="42"/>
  <c r="AN55" i="42"/>
  <c r="AN54" i="42"/>
  <c r="AN19" i="42" l="1"/>
  <c r="AN109" i="42" s="1"/>
  <c r="AO136" i="47"/>
  <c r="AN129" i="47"/>
  <c r="AM63" i="42"/>
  <c r="AM44" i="42"/>
  <c r="AM80" i="42"/>
  <c r="AM79" i="42"/>
  <c r="AO160" i="47"/>
  <c r="AM81" i="42"/>
  <c r="AN18" i="42"/>
  <c r="AN130" i="47"/>
  <c r="AN131" i="47"/>
  <c r="AN114" i="5" s="1"/>
  <c r="AM62" i="42"/>
  <c r="AM43" i="42"/>
  <c r="AM45" i="42"/>
  <c r="AO149" i="47"/>
  <c r="AM61" i="42"/>
  <c r="AN17" i="42" l="1"/>
  <c r="AM25" i="42"/>
  <c r="AM108" i="42" s="1"/>
  <c r="AN24" i="7"/>
  <c r="AO157" i="47"/>
  <c r="AO135" i="47"/>
  <c r="AO146" i="47"/>
  <c r="AO150" i="47"/>
  <c r="AO161" i="47"/>
  <c r="AO123" i="47"/>
  <c r="AO138" i="47"/>
  <c r="AN116" i="5"/>
  <c r="AN118" i="5"/>
  <c r="AM26" i="42"/>
  <c r="AN121" i="5" l="1"/>
  <c r="AN123" i="5"/>
  <c r="AO125" i="47"/>
  <c r="AO139" i="47"/>
  <c r="AO126" i="47" s="1"/>
  <c r="AO113" i="5" s="1"/>
  <c r="AM24" i="42"/>
  <c r="AN125" i="5" l="1"/>
  <c r="AN128" i="5" s="1"/>
  <c r="AN129" i="5" s="1"/>
  <c r="AO27" i="6"/>
  <c r="AO59" i="6" s="1"/>
  <c r="AO12" i="6"/>
  <c r="AO14" i="6" s="1"/>
  <c r="AO16" i="6" s="1"/>
  <c r="AO136" i="5" s="1"/>
  <c r="AO167" i="5" s="1"/>
  <c r="AN50" i="6" l="1"/>
  <c r="AN126" i="5"/>
  <c r="AN130" i="5"/>
  <c r="AN15" i="42"/>
  <c r="AN20" i="42" s="1"/>
  <c r="AM27" i="42" l="1"/>
  <c r="AN21" i="42"/>
  <c r="AN56" i="42"/>
  <c r="AN14" i="42"/>
  <c r="AN155" i="5"/>
  <c r="AN132" i="5"/>
  <c r="AM28" i="42" l="1"/>
  <c r="AM29" i="42" s="1"/>
  <c r="AM110" i="42"/>
  <c r="AN144" i="5"/>
  <c r="AN49" i="6"/>
  <c r="AN52" i="6" s="1"/>
  <c r="AN154" i="5"/>
  <c r="AN157" i="5"/>
  <c r="AN38" i="42"/>
  <c r="AN57" i="42"/>
  <c r="AN75" i="42"/>
  <c r="AN39" i="42"/>
  <c r="AN74" i="42"/>
  <c r="AM64" i="42"/>
  <c r="AM66" i="42" s="1"/>
  <c r="AN58" i="42"/>
  <c r="AM111" i="42" l="1"/>
  <c r="AM47" i="42"/>
  <c r="AM49" i="42" s="1"/>
  <c r="AM65" i="42"/>
  <c r="AM67" i="42" s="1"/>
  <c r="AN23" i="7"/>
  <c r="AN20" i="7" s="1"/>
  <c r="AM82" i="42"/>
  <c r="AM84" i="42" s="1"/>
  <c r="AN76" i="42"/>
  <c r="AM46" i="42"/>
  <c r="AM48" i="42" s="1"/>
  <c r="AN40" i="42"/>
  <c r="AN15" i="7"/>
  <c r="AN17" i="7" s="1"/>
  <c r="AN29" i="7"/>
  <c r="AO28" i="6"/>
  <c r="AN145" i="5"/>
  <c r="AO20" i="6"/>
  <c r="AM83" i="42"/>
  <c r="AM85" i="42" s="1"/>
  <c r="AM113" i="42" l="1"/>
  <c r="AO21" i="6"/>
  <c r="AO30" i="6" s="1"/>
  <c r="AO32" i="6" s="1"/>
  <c r="AO46" i="6" s="1"/>
  <c r="AN39" i="7"/>
  <c r="AN41" i="7"/>
  <c r="AN31" i="7"/>
  <c r="AN33" i="7" s="1"/>
  <c r="AN44" i="7"/>
  <c r="AN45" i="7" s="1"/>
  <c r="AN56" i="6" s="1"/>
  <c r="AN36" i="7" l="1"/>
  <c r="AN38" i="7" s="1"/>
  <c r="AO117" i="5"/>
  <c r="AO147" i="5"/>
  <c r="AN57" i="6"/>
  <c r="AN58" i="6"/>
  <c r="AO76" i="5"/>
  <c r="AO79" i="5" l="1"/>
  <c r="AO135" i="5"/>
  <c r="U76" i="29"/>
  <c r="U77" i="29"/>
  <c r="AN54" i="6"/>
  <c r="AN34" i="6" s="1"/>
  <c r="AN35" i="6" s="1"/>
  <c r="AO120" i="5"/>
  <c r="AO153" i="5"/>
  <c r="AO48" i="6" l="1"/>
  <c r="AO152" i="5"/>
  <c r="AO36" i="6"/>
  <c r="AO37" i="6" s="1"/>
  <c r="AN41" i="6"/>
  <c r="AO141" i="5"/>
  <c r="U86" i="29" s="1"/>
  <c r="AO142" i="5"/>
  <c r="AO49" i="54"/>
  <c r="AO81" i="5"/>
  <c r="AO82" i="5" s="1"/>
  <c r="AO90" i="5" s="1"/>
  <c r="AN43" i="6" l="1"/>
  <c r="AN37" i="54" s="1"/>
  <c r="AO38" i="6"/>
  <c r="AO39" i="6" s="1"/>
  <c r="AP151" i="5"/>
  <c r="AO22" i="7"/>
  <c r="AO92" i="5"/>
  <c r="AO91" i="5"/>
  <c r="AO12" i="7" s="1"/>
  <c r="AP149" i="5" l="1"/>
  <c r="U79" i="29"/>
  <c r="AO94" i="5"/>
  <c r="AO96" i="5" l="1"/>
  <c r="AO97" i="5" s="1"/>
  <c r="AO104" i="5" s="1"/>
  <c r="AO105" i="5" l="1"/>
  <c r="AO106" i="5"/>
  <c r="U81" i="29" l="1"/>
  <c r="AO108" i="5"/>
  <c r="AP19" i="6"/>
  <c r="AO13" i="7"/>
  <c r="AP101" i="5"/>
  <c r="AP103" i="5" l="1"/>
  <c r="AO109" i="5"/>
  <c r="AO112" i="5" s="1"/>
  <c r="AO110" i="5" l="1"/>
  <c r="AO14" i="7" s="1"/>
  <c r="AO118" i="47"/>
  <c r="AO120" i="47" l="1"/>
  <c r="AO119" i="47"/>
  <c r="AO152" i="47" l="1"/>
  <c r="AO163" i="47"/>
  <c r="AO141" i="47"/>
  <c r="AO151" i="47"/>
  <c r="AO140" i="47"/>
  <c r="AO162" i="47"/>
  <c r="AO53" i="42" l="1"/>
  <c r="AO164" i="47"/>
  <c r="AP158" i="47" s="1"/>
  <c r="AO165" i="47"/>
  <c r="AO127" i="47"/>
  <c r="AO71" i="42"/>
  <c r="AO142" i="47"/>
  <c r="AO143" i="47"/>
  <c r="AO35" i="42"/>
  <c r="AO154" i="47"/>
  <c r="AO128" i="47"/>
  <c r="AO73" i="42"/>
  <c r="AO72" i="42"/>
  <c r="AO55" i="42"/>
  <c r="AO54" i="42"/>
  <c r="AO153" i="47"/>
  <c r="AP147" i="47" s="1"/>
  <c r="AO37" i="42"/>
  <c r="AO36" i="42"/>
  <c r="AN80" i="42" l="1"/>
  <c r="AO129" i="47"/>
  <c r="AP136" i="47"/>
  <c r="AN79" i="42"/>
  <c r="U100" i="29"/>
  <c r="U99" i="29" s="1"/>
  <c r="AO19" i="42"/>
  <c r="AO109" i="42" s="1"/>
  <c r="AN62" i="42"/>
  <c r="AN81" i="42"/>
  <c r="AN43" i="42"/>
  <c r="AN44" i="42"/>
  <c r="AN45" i="42"/>
  <c r="AO18" i="42"/>
  <c r="U98" i="29"/>
  <c r="AO130" i="47"/>
  <c r="AO131" i="47"/>
  <c r="AO114" i="5" s="1"/>
  <c r="AP149" i="47"/>
  <c r="AP160" i="47"/>
  <c r="AN63" i="42"/>
  <c r="AN61" i="42"/>
  <c r="U82" i="29" l="1"/>
  <c r="AO116" i="5"/>
  <c r="AO118" i="5"/>
  <c r="AN26" i="42"/>
  <c r="AO17" i="42"/>
  <c r="AN25" i="42"/>
  <c r="AN108" i="42" s="1"/>
  <c r="AP138" i="47"/>
  <c r="AP123" i="47"/>
  <c r="AP157" i="47"/>
  <c r="AP135" i="47"/>
  <c r="AP146" i="47"/>
  <c r="AO24" i="7"/>
  <c r="U97" i="29"/>
  <c r="AP161" i="47"/>
  <c r="AP150" i="47"/>
  <c r="AN24" i="42" l="1"/>
  <c r="AP125" i="47"/>
  <c r="AP139" i="47"/>
  <c r="AP126" i="47" s="1"/>
  <c r="AP113" i="5" s="1"/>
  <c r="AO121" i="5"/>
  <c r="AO123" i="5"/>
  <c r="AO125" i="5" l="1"/>
  <c r="AO50" i="6" s="1"/>
  <c r="AP12" i="6"/>
  <c r="AP14" i="6" s="1"/>
  <c r="AP16" i="6" s="1"/>
  <c r="AP136" i="5" s="1"/>
  <c r="AP167" i="5" s="1"/>
  <c r="AP27" i="6"/>
  <c r="AP59" i="6" s="1"/>
  <c r="AO128" i="5" l="1"/>
  <c r="AO129" i="5" s="1"/>
  <c r="AO130" i="5" s="1"/>
  <c r="AO126" i="5"/>
  <c r="AO15" i="42" l="1"/>
  <c r="AO20" i="42" s="1"/>
  <c r="AN27" i="42" s="1"/>
  <c r="AO14" i="42"/>
  <c r="AO56" i="42"/>
  <c r="U83" i="29"/>
  <c r="AO155" i="5"/>
  <c r="AO132" i="5"/>
  <c r="AN28" i="42" l="1"/>
  <c r="AN29" i="42" s="1"/>
  <c r="AN110" i="42"/>
  <c r="AN111" i="42" s="1"/>
  <c r="AN113" i="42" s="1"/>
  <c r="AO21" i="42"/>
  <c r="U84" i="29"/>
  <c r="AO144" i="5"/>
  <c r="AO49" i="6"/>
  <c r="AO52" i="6" s="1"/>
  <c r="AO154" i="5"/>
  <c r="AO157" i="5"/>
  <c r="AN64" i="42"/>
  <c r="AN66" i="42" s="1"/>
  <c r="AO58" i="42"/>
  <c r="AO75" i="42"/>
  <c r="AO39" i="42"/>
  <c r="AO74" i="42"/>
  <c r="AO57" i="42"/>
  <c r="AO38" i="42"/>
  <c r="AN47" i="42" l="1"/>
  <c r="AN49" i="42" s="1"/>
  <c r="AO23" i="7"/>
  <c r="AO20" i="7" s="1"/>
  <c r="AN82" i="42"/>
  <c r="AN84" i="42" s="1"/>
  <c r="AO76" i="42"/>
  <c r="AP28" i="6"/>
  <c r="AO145" i="5"/>
  <c r="AO29" i="7"/>
  <c r="AO15" i="7"/>
  <c r="AO17" i="7" s="1"/>
  <c r="AP20" i="6"/>
  <c r="AN65" i="42"/>
  <c r="AN67" i="42" s="1"/>
  <c r="AN83" i="42"/>
  <c r="AN85" i="42" s="1"/>
  <c r="AN46" i="42"/>
  <c r="AN48" i="42" s="1"/>
  <c r="AO40" i="42"/>
  <c r="AO31" i="7" l="1"/>
  <c r="AO36" i="7" s="1"/>
  <c r="AO38" i="7" s="1"/>
  <c r="AO39" i="7"/>
  <c r="AO41" i="7"/>
  <c r="AO44" i="7"/>
  <c r="AO45" i="7" s="1"/>
  <c r="AO56" i="6" s="1"/>
  <c r="AP21" i="6"/>
  <c r="AP30" i="6" s="1"/>
  <c r="AP32" i="6" s="1"/>
  <c r="AP46" i="6" s="1"/>
  <c r="AP76" i="5" l="1"/>
  <c r="AP135" i="5" s="1"/>
  <c r="AO33" i="7"/>
  <c r="AP147" i="5"/>
  <c r="AP117" i="5"/>
  <c r="AO57" i="6"/>
  <c r="AO58" i="6"/>
  <c r="AP79" i="5" l="1"/>
  <c r="AP142" i="5" s="1"/>
  <c r="AO54" i="6"/>
  <c r="AO34" i="6" s="1"/>
  <c r="AO35" i="6" s="1"/>
  <c r="AP36" i="6" s="1"/>
  <c r="AP37" i="6" s="1"/>
  <c r="AP153" i="5"/>
  <c r="AP120" i="5"/>
  <c r="AO41" i="6" l="1"/>
  <c r="AO43" i="6" s="1"/>
  <c r="AO37" i="54" s="1"/>
  <c r="AP81" i="5"/>
  <c r="AP82" i="5" s="1"/>
  <c r="AP90" i="5" s="1"/>
  <c r="AP92" i="5" s="1"/>
  <c r="AP141" i="5"/>
  <c r="AP49" i="54"/>
  <c r="AP38" i="6"/>
  <c r="AP39" i="6" s="1"/>
  <c r="AP48" i="6"/>
  <c r="AP152" i="5"/>
  <c r="AP91" i="5" l="1"/>
  <c r="AP12" i="7" s="1"/>
  <c r="AQ151" i="5"/>
  <c r="AP22" i="7"/>
  <c r="AP94" i="5"/>
  <c r="AP96" i="5" l="1"/>
  <c r="AP97" i="5" s="1"/>
  <c r="AP104" i="5" s="1"/>
  <c r="AQ149" i="5"/>
  <c r="AP105" i="5" l="1"/>
  <c r="AP106" i="5"/>
  <c r="AP108" i="5" s="1"/>
  <c r="AP109" i="5" l="1"/>
  <c r="AP112" i="5" s="1"/>
  <c r="AQ101" i="5"/>
  <c r="AQ19" i="6"/>
  <c r="AP13" i="7"/>
  <c r="AQ103" i="5" l="1"/>
  <c r="AP118" i="47"/>
  <c r="AP110" i="5"/>
  <c r="AP14" i="7" s="1"/>
  <c r="AP119" i="47" l="1"/>
  <c r="AP120" i="47"/>
  <c r="AP162" i="47" l="1"/>
  <c r="AP140" i="47"/>
  <c r="AP151" i="47"/>
  <c r="AP152" i="47"/>
  <c r="AP163" i="47"/>
  <c r="AP141" i="47"/>
  <c r="AP128" i="47" l="1"/>
  <c r="AP73" i="42"/>
  <c r="AP72" i="42"/>
  <c r="AP55" i="42"/>
  <c r="AP54" i="42"/>
  <c r="AP153" i="47"/>
  <c r="AQ147" i="47" s="1"/>
  <c r="AP36" i="42"/>
  <c r="AP37" i="42"/>
  <c r="AP35" i="42"/>
  <c r="AP154" i="47"/>
  <c r="AP71" i="42"/>
  <c r="AP127" i="47"/>
  <c r="AP142" i="47"/>
  <c r="AP143" i="47"/>
  <c r="AP53" i="42"/>
  <c r="AP164" i="47"/>
  <c r="AQ158" i="47" s="1"/>
  <c r="AP165" i="47"/>
  <c r="AP18" i="42" l="1"/>
  <c r="AP130" i="47"/>
  <c r="AP131" i="47"/>
  <c r="AP114" i="5" s="1"/>
  <c r="AO44" i="42"/>
  <c r="AO62" i="42"/>
  <c r="AO79" i="42"/>
  <c r="AO43" i="42"/>
  <c r="AO45" i="42"/>
  <c r="AQ149" i="47"/>
  <c r="AQ160" i="47"/>
  <c r="AO63" i="42"/>
  <c r="AO61" i="42"/>
  <c r="AO80" i="42"/>
  <c r="AO81" i="42"/>
  <c r="AQ136" i="47"/>
  <c r="AP129" i="47"/>
  <c r="AP19" i="42"/>
  <c r="AP109" i="42" s="1"/>
  <c r="AO26" i="42" l="1"/>
  <c r="AQ161" i="47"/>
  <c r="AQ146" i="47"/>
  <c r="AQ135" i="47"/>
  <c r="AP24" i="7"/>
  <c r="AQ157" i="47"/>
  <c r="AQ123" i="47"/>
  <c r="AQ138" i="47"/>
  <c r="AP118" i="5"/>
  <c r="AP116" i="5"/>
  <c r="AQ150" i="47"/>
  <c r="AP17" i="42"/>
  <c r="AO25" i="42"/>
  <c r="AO108" i="42" s="1"/>
  <c r="AQ139" i="47" l="1"/>
  <c r="AQ126" i="47" s="1"/>
  <c r="AQ113" i="5" s="1"/>
  <c r="AQ125" i="47"/>
  <c r="AP121" i="5"/>
  <c r="AP123" i="5"/>
  <c r="AO24" i="42"/>
  <c r="AP125" i="5" l="1"/>
  <c r="AP128" i="5" s="1"/>
  <c r="AP129" i="5" s="1"/>
  <c r="AQ12" i="6"/>
  <c r="AQ14" i="6" s="1"/>
  <c r="AQ16" i="6" s="1"/>
  <c r="AQ136" i="5" s="1"/>
  <c r="AQ167" i="5" s="1"/>
  <c r="AQ27" i="6"/>
  <c r="AQ59" i="6" s="1"/>
  <c r="AP50" i="6" l="1"/>
  <c r="AP126" i="5"/>
  <c r="AP15" i="42"/>
  <c r="AP20" i="42" s="1"/>
  <c r="AP130" i="5"/>
  <c r="AP56" i="42" l="1"/>
  <c r="AP14" i="42"/>
  <c r="AP155" i="5"/>
  <c r="AP132" i="5"/>
  <c r="AO27" i="42"/>
  <c r="AP21" i="42"/>
  <c r="AO28" i="42" l="1"/>
  <c r="AO29" i="42" s="1"/>
  <c r="AO110" i="42"/>
  <c r="AO111" i="42" s="1"/>
  <c r="AO113" i="42" s="1"/>
  <c r="AP49" i="6"/>
  <c r="AP52" i="6" s="1"/>
  <c r="AP154" i="5"/>
  <c r="AP157" i="5"/>
  <c r="AP144" i="5"/>
  <c r="AP74" i="42"/>
  <c r="AP38" i="42"/>
  <c r="AP39" i="42"/>
  <c r="AP57" i="42"/>
  <c r="AP75" i="42"/>
  <c r="AO64" i="42"/>
  <c r="AO66" i="42" s="1"/>
  <c r="AP58" i="42"/>
  <c r="AO47" i="42" l="1"/>
  <c r="AO49" i="42" s="1"/>
  <c r="AO82" i="42"/>
  <c r="AO84" i="42" s="1"/>
  <c r="AP76" i="42"/>
  <c r="AO46" i="42"/>
  <c r="AO48" i="42" s="1"/>
  <c r="AP40" i="42"/>
  <c r="AP15" i="7"/>
  <c r="AP17" i="7" s="1"/>
  <c r="AQ20" i="6"/>
  <c r="AP29" i="7"/>
  <c r="AQ28" i="6"/>
  <c r="AP145" i="5"/>
  <c r="AP23" i="7"/>
  <c r="AP20" i="7" s="1"/>
  <c r="AO83" i="42"/>
  <c r="AO85" i="42" s="1"/>
  <c r="AO65" i="42"/>
  <c r="AO67" i="42" s="1"/>
  <c r="AQ21" i="6" l="1"/>
  <c r="AQ76" i="5" s="1"/>
  <c r="AP31" i="7"/>
  <c r="AP33" i="7" s="1"/>
  <c r="AP39" i="7"/>
  <c r="AP41" i="7"/>
  <c r="AP44" i="7"/>
  <c r="AP45" i="7" s="1"/>
  <c r="AP56" i="6" s="1"/>
  <c r="AQ30" i="6" l="1"/>
  <c r="AQ32" i="6" s="1"/>
  <c r="AQ46" i="6" s="1"/>
  <c r="AQ117" i="5" s="1"/>
  <c r="AP36" i="7"/>
  <c r="AP38" i="7" s="1"/>
  <c r="AP57" i="6"/>
  <c r="AP58" i="6"/>
  <c r="AQ135" i="5"/>
  <c r="AQ79" i="5"/>
  <c r="V77" i="29"/>
  <c r="V76" i="29"/>
  <c r="AQ147" i="5" l="1"/>
  <c r="AQ153" i="5"/>
  <c r="AQ120" i="5"/>
  <c r="AQ49" i="54"/>
  <c r="AQ142" i="5"/>
  <c r="AQ141" i="5"/>
  <c r="V86" i="29" s="1"/>
  <c r="AQ81" i="5"/>
  <c r="AQ82" i="5" s="1"/>
  <c r="AQ90" i="5" s="1"/>
  <c r="AP54" i="6"/>
  <c r="AP34" i="6" s="1"/>
  <c r="AP35" i="6" s="1"/>
  <c r="AQ92" i="5" l="1"/>
  <c r="AQ91" i="5"/>
  <c r="AQ12" i="7" s="1"/>
  <c r="AQ36" i="6"/>
  <c r="AQ37" i="6" s="1"/>
  <c r="AP41" i="6"/>
  <c r="AQ48" i="6"/>
  <c r="AQ152" i="5"/>
  <c r="AR151" i="5" l="1"/>
  <c r="AQ22" i="7"/>
  <c r="AP43" i="6"/>
  <c r="AP37" i="54" s="1"/>
  <c r="AQ38" i="6"/>
  <c r="AQ39" i="6" s="1"/>
  <c r="V79" i="29"/>
  <c r="AQ94" i="5"/>
  <c r="AQ96" i="5" l="1"/>
  <c r="AQ97" i="5" s="1"/>
  <c r="AQ104" i="5" s="1"/>
  <c r="AR149" i="5"/>
  <c r="AQ105" i="5" l="1"/>
  <c r="AQ106" i="5"/>
  <c r="V81" i="29" l="1"/>
  <c r="AQ108" i="5"/>
  <c r="AR19" i="6"/>
  <c r="AQ13" i="7"/>
  <c r="AR101" i="5"/>
  <c r="AR103" i="5" l="1"/>
  <c r="AQ109" i="5"/>
  <c r="AQ112" i="5" s="1"/>
  <c r="AQ110" i="5" l="1"/>
  <c r="AQ14" i="7" s="1"/>
  <c r="AQ118" i="47"/>
  <c r="AQ120" i="47" l="1"/>
  <c r="AQ119" i="47"/>
  <c r="AQ163" i="47" l="1"/>
  <c r="AQ152" i="47"/>
  <c r="AQ141" i="47"/>
  <c r="AQ162" i="47"/>
  <c r="AQ140" i="47"/>
  <c r="AQ151" i="47"/>
  <c r="AQ35" i="42" l="1"/>
  <c r="AQ154" i="47"/>
  <c r="AQ71" i="42"/>
  <c r="AQ127" i="47"/>
  <c r="AQ142" i="47"/>
  <c r="AQ143" i="47"/>
  <c r="AQ53" i="42"/>
  <c r="AQ164" i="47"/>
  <c r="AR158" i="47" s="1"/>
  <c r="AQ165" i="47"/>
  <c r="AQ128" i="47"/>
  <c r="AQ73" i="42"/>
  <c r="AQ72" i="42"/>
  <c r="AQ153" i="47"/>
  <c r="AR147" i="47" s="1"/>
  <c r="AQ37" i="42"/>
  <c r="AQ36" i="42"/>
  <c r="AQ55" i="42"/>
  <c r="AQ54" i="42"/>
  <c r="AP61" i="42" l="1"/>
  <c r="AR136" i="47"/>
  <c r="AQ129" i="47"/>
  <c r="AP80" i="42"/>
  <c r="AP81" i="42"/>
  <c r="V100" i="29"/>
  <c r="V99" i="29" s="1"/>
  <c r="AQ19" i="42"/>
  <c r="AQ109" i="42" s="1"/>
  <c r="AR160" i="47"/>
  <c r="AP62" i="42"/>
  <c r="AP63" i="42"/>
  <c r="AQ18" i="42"/>
  <c r="V98" i="29"/>
  <c r="AQ131" i="47"/>
  <c r="AQ114" i="5" s="1"/>
  <c r="AQ130" i="47"/>
  <c r="AP44" i="42"/>
  <c r="AP79" i="42"/>
  <c r="AP45" i="42"/>
  <c r="AR149" i="47"/>
  <c r="AP43" i="42"/>
  <c r="AP26" i="42" l="1"/>
  <c r="V97" i="29"/>
  <c r="AQ24" i="7"/>
  <c r="AR157" i="47"/>
  <c r="AR146" i="47"/>
  <c r="AR135" i="47"/>
  <c r="AR150" i="47"/>
  <c r="AR138" i="47"/>
  <c r="AR123" i="47"/>
  <c r="V82" i="29"/>
  <c r="AQ116" i="5"/>
  <c r="AQ118" i="5"/>
  <c r="AQ17" i="42"/>
  <c r="AP25" i="42"/>
  <c r="AP108" i="42" s="1"/>
  <c r="AR161" i="47"/>
  <c r="AP24" i="42" l="1"/>
  <c r="AQ121" i="5"/>
  <c r="AQ123" i="5"/>
  <c r="AR139" i="47"/>
  <c r="AR126" i="47" s="1"/>
  <c r="AR113" i="5" s="1"/>
  <c r="AR125" i="47"/>
  <c r="AQ125" i="5" l="1"/>
  <c r="AQ128" i="5" s="1"/>
  <c r="AQ129" i="5" s="1"/>
  <c r="AR12" i="6"/>
  <c r="AR14" i="6" s="1"/>
  <c r="AR16" i="6" s="1"/>
  <c r="AR136" i="5" s="1"/>
  <c r="AR167" i="5" s="1"/>
  <c r="AR27" i="6"/>
  <c r="AR59" i="6" s="1"/>
  <c r="AQ50" i="6" l="1"/>
  <c r="AQ126" i="5"/>
  <c r="AQ130" i="5"/>
  <c r="AQ15" i="42"/>
  <c r="AQ20" i="42" s="1"/>
  <c r="AP27" i="42" l="1"/>
  <c r="AQ21" i="42"/>
  <c r="AQ56" i="42"/>
  <c r="AQ14" i="42"/>
  <c r="V83" i="29"/>
  <c r="AQ155" i="5"/>
  <c r="AQ132" i="5"/>
  <c r="AP28" i="42" l="1"/>
  <c r="AP29" i="42" s="1"/>
  <c r="AP110" i="42"/>
  <c r="AP111" i="42" s="1"/>
  <c r="AP113" i="42" s="1"/>
  <c r="AQ49" i="6"/>
  <c r="AQ52" i="6" s="1"/>
  <c r="AQ154" i="5"/>
  <c r="AQ157" i="5"/>
  <c r="AQ39" i="42"/>
  <c r="AQ75" i="42"/>
  <c r="AQ74" i="42"/>
  <c r="AQ38" i="42"/>
  <c r="AQ57" i="42"/>
  <c r="V84" i="29"/>
  <c r="AQ144" i="5"/>
  <c r="AP64" i="42"/>
  <c r="AP66" i="42" s="1"/>
  <c r="AQ58" i="42"/>
  <c r="AQ15" i="7" l="1"/>
  <c r="AQ17" i="7" s="1"/>
  <c r="AQ29" i="7"/>
  <c r="AR28" i="6"/>
  <c r="AQ145" i="5"/>
  <c r="AR20" i="6"/>
  <c r="AP46" i="42"/>
  <c r="AP48" i="42" s="1"/>
  <c r="AQ40" i="42"/>
  <c r="AP82" i="42"/>
  <c r="AP84" i="42" s="1"/>
  <c r="AQ76" i="42"/>
  <c r="AQ23" i="7"/>
  <c r="AQ20" i="7" s="1"/>
  <c r="AP65" i="42"/>
  <c r="AP67" i="42" s="1"/>
  <c r="AP83" i="42"/>
  <c r="AP85" i="42" s="1"/>
  <c r="AP47" i="42"/>
  <c r="AP49" i="42" s="1"/>
  <c r="AR21" i="6" l="1"/>
  <c r="AR30" i="6" s="1"/>
  <c r="AR32" i="6" s="1"/>
  <c r="AR46" i="6" s="1"/>
  <c r="AQ39" i="7"/>
  <c r="AQ41" i="7"/>
  <c r="AQ31" i="7"/>
  <c r="AQ36" i="7" s="1"/>
  <c r="AQ38" i="7" s="1"/>
  <c r="AQ44" i="7"/>
  <c r="AQ45" i="7" s="1"/>
  <c r="AQ56" i="6" s="1"/>
  <c r="AR76" i="5" l="1"/>
  <c r="AR79" i="5" s="1"/>
  <c r="AQ33" i="7"/>
  <c r="AQ57" i="6"/>
  <c r="AQ58" i="6"/>
  <c r="AR117" i="5"/>
  <c r="AR147" i="5"/>
  <c r="AR135" i="5" l="1"/>
  <c r="AR141" i="5"/>
  <c r="AR49" i="54"/>
  <c r="AR142" i="5"/>
  <c r="AR81" i="5"/>
  <c r="AR82" i="5" s="1"/>
  <c r="AR90" i="5" s="1"/>
  <c r="AQ54" i="6"/>
  <c r="AQ34" i="6" s="1"/>
  <c r="AQ35" i="6" s="1"/>
  <c r="AR153" i="5"/>
  <c r="AR120" i="5"/>
  <c r="AR48" i="6" l="1"/>
  <c r="AR152" i="5"/>
  <c r="AR92" i="5"/>
  <c r="AR91" i="5"/>
  <c r="AR12" i="7" s="1"/>
  <c r="AR36" i="6"/>
  <c r="AR37" i="6" s="1"/>
  <c r="AQ41" i="6"/>
  <c r="AR38" i="6" l="1"/>
  <c r="AR39" i="6" s="1"/>
  <c r="AR94" i="5"/>
  <c r="AR22" i="7"/>
  <c r="AS151" i="5"/>
  <c r="AQ43" i="6"/>
  <c r="AQ37" i="54" s="1"/>
  <c r="AR96" i="5" l="1"/>
  <c r="AR97" i="5" s="1"/>
  <c r="AR104" i="5" s="1"/>
  <c r="AS149" i="5"/>
  <c r="AR106" i="5" l="1"/>
  <c r="AR108" i="5" s="1"/>
  <c r="AR105" i="5"/>
  <c r="AS19" i="6" l="1"/>
  <c r="AR13" i="7"/>
  <c r="AS101" i="5"/>
  <c r="AR109" i="5"/>
  <c r="AR112" i="5" s="1"/>
  <c r="AR110" i="5" l="1"/>
  <c r="AR14" i="7" s="1"/>
  <c r="AR118" i="47"/>
  <c r="AS103" i="5"/>
  <c r="AR119" i="47" l="1"/>
  <c r="AR120" i="47"/>
  <c r="AR162" i="47" l="1"/>
  <c r="AR151" i="47"/>
  <c r="AR140" i="47"/>
  <c r="AR163" i="47"/>
  <c r="AR152" i="47"/>
  <c r="AR141" i="47"/>
  <c r="AR128" i="47" l="1"/>
  <c r="AR73" i="42"/>
  <c r="AR72" i="42"/>
  <c r="AR153" i="47"/>
  <c r="AS147" i="47" s="1"/>
  <c r="AR37" i="42"/>
  <c r="AR36" i="42"/>
  <c r="AR55" i="42"/>
  <c r="AR54" i="42"/>
  <c r="AR71" i="42"/>
  <c r="AR127" i="47"/>
  <c r="AR142" i="47"/>
  <c r="AR143" i="47"/>
  <c r="AR35" i="42"/>
  <c r="AR154" i="47"/>
  <c r="AR53" i="42"/>
  <c r="AR164" i="47"/>
  <c r="AS158" i="47" s="1"/>
  <c r="AR165" i="47"/>
  <c r="AQ79" i="42" l="1"/>
  <c r="AR129" i="47"/>
  <c r="AS136" i="47"/>
  <c r="AQ63" i="42"/>
  <c r="AQ45" i="42"/>
  <c r="AQ81" i="42"/>
  <c r="AR18" i="42"/>
  <c r="AR130" i="47"/>
  <c r="AR131" i="47"/>
  <c r="AR114" i="5" s="1"/>
  <c r="AQ62" i="42"/>
  <c r="AQ44" i="42"/>
  <c r="AS160" i="47"/>
  <c r="AS149" i="47"/>
  <c r="AQ61" i="42"/>
  <c r="AQ80" i="42"/>
  <c r="AQ43" i="42"/>
  <c r="AR19" i="42"/>
  <c r="AR109" i="42" s="1"/>
  <c r="AS150" i="47" l="1"/>
  <c r="AS123" i="47"/>
  <c r="AS138" i="47"/>
  <c r="AS135" i="47"/>
  <c r="AS157" i="47"/>
  <c r="AR24" i="7"/>
  <c r="AS146" i="47"/>
  <c r="AS161" i="47"/>
  <c r="AQ26" i="42"/>
  <c r="AR116" i="5"/>
  <c r="AR118" i="5"/>
  <c r="AR17" i="42"/>
  <c r="AQ25" i="42"/>
  <c r="AQ108" i="42" s="1"/>
  <c r="AR121" i="5" l="1"/>
  <c r="AR123" i="5"/>
  <c r="AS125" i="47"/>
  <c r="AS139" i="47"/>
  <c r="AS126" i="47" s="1"/>
  <c r="AS113" i="5" s="1"/>
  <c r="AQ24" i="42"/>
  <c r="AR125" i="5" l="1"/>
  <c r="AR126" i="5" s="1"/>
  <c r="AS27" i="6"/>
  <c r="AS59" i="6" s="1"/>
  <c r="AS12" i="6"/>
  <c r="AS14" i="6" s="1"/>
  <c r="AS16" i="6" s="1"/>
  <c r="AS136" i="5" s="1"/>
  <c r="AS167" i="5" s="1"/>
  <c r="AR128" i="5" l="1"/>
  <c r="AR129" i="5" s="1"/>
  <c r="AR15" i="42" s="1"/>
  <c r="AR20" i="42" s="1"/>
  <c r="AR50" i="6"/>
  <c r="AR130" i="5" l="1"/>
  <c r="AR56" i="42" s="1"/>
  <c r="AQ27" i="42"/>
  <c r="AR21" i="42"/>
  <c r="AQ28" i="42" l="1"/>
  <c r="AQ29" i="42" s="1"/>
  <c r="AQ110" i="42"/>
  <c r="AQ111" i="42" s="1"/>
  <c r="AQ113" i="42" s="1"/>
  <c r="AR132" i="5"/>
  <c r="AR144" i="5" s="1"/>
  <c r="AR155" i="5"/>
  <c r="AR49" i="6" s="1"/>
  <c r="AR52" i="6" s="1"/>
  <c r="AR14" i="42"/>
  <c r="AR38" i="42" s="1"/>
  <c r="AQ64" i="42"/>
  <c r="AQ66" i="42" s="1"/>
  <c r="AR58" i="42"/>
  <c r="AR74" i="42" l="1"/>
  <c r="AR76" i="42" s="1"/>
  <c r="AR75" i="42"/>
  <c r="AQ83" i="42" s="1"/>
  <c r="AQ85" i="42" s="1"/>
  <c r="AR39" i="42"/>
  <c r="AQ47" i="42" s="1"/>
  <c r="AQ49" i="42" s="1"/>
  <c r="AR57" i="42"/>
  <c r="AQ65" i="42" s="1"/>
  <c r="AQ67" i="42" s="1"/>
  <c r="AR157" i="5"/>
  <c r="AR154" i="5"/>
  <c r="AR23" i="7" s="1"/>
  <c r="AR20" i="7" s="1"/>
  <c r="AQ46" i="42"/>
  <c r="AQ48" i="42" s="1"/>
  <c r="AR40" i="42"/>
  <c r="AR145" i="5"/>
  <c r="AS20" i="6"/>
  <c r="AR29" i="7"/>
  <c r="AR15" i="7"/>
  <c r="AR17" i="7" s="1"/>
  <c r="AS28" i="6"/>
  <c r="AQ82" i="42" l="1"/>
  <c r="AQ84" i="42" s="1"/>
  <c r="AR31" i="7"/>
  <c r="AR33" i="7" s="1"/>
  <c r="AR39" i="7"/>
  <c r="AR41" i="7"/>
  <c r="AR44" i="7"/>
  <c r="AR45" i="7" s="1"/>
  <c r="AR56" i="6" s="1"/>
  <c r="AS21" i="6"/>
  <c r="AS76" i="5" s="1"/>
  <c r="AS30" i="6" l="1"/>
  <c r="AS32" i="6" s="1"/>
  <c r="AS46" i="6" s="1"/>
  <c r="AS147" i="5" s="1"/>
  <c r="AS79" i="5"/>
  <c r="AS135" i="5"/>
  <c r="W77" i="29"/>
  <c r="W76" i="29"/>
  <c r="AR57" i="6"/>
  <c r="AR58" i="6"/>
  <c r="AR36" i="7"/>
  <c r="AR38" i="7" s="1"/>
  <c r="AS117" i="5" l="1"/>
  <c r="AS153" i="5" s="1"/>
  <c r="AR54" i="6"/>
  <c r="AR34" i="6" s="1"/>
  <c r="AR35" i="6" s="1"/>
  <c r="AS49" i="54"/>
  <c r="AS142" i="5"/>
  <c r="AS141" i="5"/>
  <c r="W86" i="29" s="1"/>
  <c r="AS81" i="5"/>
  <c r="AS82" i="5" s="1"/>
  <c r="AS90" i="5" s="1"/>
  <c r="AS120" i="5" l="1"/>
  <c r="AS48" i="6"/>
  <c r="AS152" i="5"/>
  <c r="AS92" i="5"/>
  <c r="AS91" i="5"/>
  <c r="AS12" i="7" s="1"/>
  <c r="AS36" i="6"/>
  <c r="AS37" i="6" s="1"/>
  <c r="AR41" i="6"/>
  <c r="W79" i="29" l="1"/>
  <c r="AS94" i="5"/>
  <c r="AT151" i="5"/>
  <c r="AS22" i="7"/>
  <c r="AR43" i="6"/>
  <c r="AR37" i="54" s="1"/>
  <c r="AS38" i="6"/>
  <c r="AS39" i="6" s="1"/>
  <c r="AS96" i="5" l="1"/>
  <c r="AS97" i="5" s="1"/>
  <c r="AS104" i="5" s="1"/>
  <c r="AT149" i="5"/>
  <c r="AS105" i="5" l="1"/>
  <c r="AS106" i="5"/>
  <c r="W81" i="29" l="1"/>
  <c r="AS108" i="5"/>
  <c r="AT19" i="6"/>
  <c r="AS13" i="7"/>
  <c r="AT101" i="5"/>
  <c r="AT103" i="5" l="1"/>
  <c r="AS109" i="5"/>
  <c r="AS112" i="5" s="1"/>
  <c r="AS118" i="47" l="1"/>
  <c r="AS110" i="5"/>
  <c r="AS14" i="7" s="1"/>
  <c r="AS120" i="47" l="1"/>
  <c r="AS119" i="47"/>
  <c r="AS163" i="47" l="1"/>
  <c r="AS152" i="47"/>
  <c r="AS141" i="47"/>
  <c r="AS162" i="47"/>
  <c r="AS140" i="47"/>
  <c r="AS151" i="47"/>
  <c r="AS35" i="42" l="1"/>
  <c r="AS154" i="47"/>
  <c r="AS71" i="42"/>
  <c r="AS127" i="47"/>
  <c r="AS142" i="47"/>
  <c r="AS143" i="47"/>
  <c r="AS53" i="42"/>
  <c r="AS164" i="47"/>
  <c r="AT158" i="47" s="1"/>
  <c r="AS165" i="47"/>
  <c r="AS128" i="47"/>
  <c r="AS73" i="42"/>
  <c r="AS72" i="42"/>
  <c r="AS153" i="47"/>
  <c r="AT147" i="47" s="1"/>
  <c r="AS37" i="42"/>
  <c r="AS36" i="42"/>
  <c r="AS55" i="42"/>
  <c r="AS54" i="42"/>
  <c r="AR80" i="42" l="1"/>
  <c r="W100" i="29"/>
  <c r="W99" i="29" s="1"/>
  <c r="AS19" i="42"/>
  <c r="AS109" i="42" s="1"/>
  <c r="AR62" i="42"/>
  <c r="AR44" i="42"/>
  <c r="AR81" i="42"/>
  <c r="AT160" i="47"/>
  <c r="AR61" i="42"/>
  <c r="AT136" i="47"/>
  <c r="AS129" i="47"/>
  <c r="AR63" i="42"/>
  <c r="AS18" i="42"/>
  <c r="W98" i="29"/>
  <c r="AS131" i="47"/>
  <c r="AS114" i="5" s="1"/>
  <c r="AS130" i="47"/>
  <c r="AR79" i="42"/>
  <c r="AR45" i="42"/>
  <c r="AT149" i="47"/>
  <c r="AR43" i="42"/>
  <c r="AT161" i="47" l="1"/>
  <c r="AS17" i="42"/>
  <c r="AR25" i="42"/>
  <c r="AR108" i="42" s="1"/>
  <c r="W82" i="29"/>
  <c r="AS116" i="5"/>
  <c r="AS118" i="5"/>
  <c r="AR26" i="42"/>
  <c r="AT150" i="47"/>
  <c r="AT135" i="47"/>
  <c r="AS24" i="7"/>
  <c r="W97" i="29"/>
  <c r="AT146" i="47"/>
  <c r="AT157" i="47"/>
  <c r="AT138" i="47"/>
  <c r="AT123" i="47"/>
  <c r="AR24" i="42" l="1"/>
  <c r="AT139" i="47"/>
  <c r="AT126" i="47" s="1"/>
  <c r="AT113" i="5" s="1"/>
  <c r="AT125" i="47"/>
  <c r="AS121" i="5"/>
  <c r="AS123" i="5"/>
  <c r="AS125" i="5" l="1"/>
  <c r="AS126" i="5" s="1"/>
  <c r="AT27" i="6"/>
  <c r="AT59" i="6" s="1"/>
  <c r="AT12" i="6"/>
  <c r="AT14" i="6" s="1"/>
  <c r="AT16" i="6" s="1"/>
  <c r="AT136" i="5" s="1"/>
  <c r="AT167" i="5" s="1"/>
  <c r="AS50" i="6" l="1"/>
  <c r="AS128" i="5"/>
  <c r="AS129" i="5" s="1"/>
  <c r="AS130" i="5" s="1"/>
  <c r="AS15" i="42" l="1"/>
  <c r="AS20" i="42" s="1"/>
  <c r="AR27" i="42" s="1"/>
  <c r="AS14" i="42"/>
  <c r="AS56" i="42"/>
  <c r="W83" i="29"/>
  <c r="AS155" i="5"/>
  <c r="AS132" i="5"/>
  <c r="AR28" i="42" l="1"/>
  <c r="AR29" i="42" s="1"/>
  <c r="AR110" i="42"/>
  <c r="AR111" i="42" s="1"/>
  <c r="AR113" i="42" s="1"/>
  <c r="AS21" i="42"/>
  <c r="W84" i="29"/>
  <c r="AS144" i="5"/>
  <c r="AS49" i="6"/>
  <c r="AS52" i="6" s="1"/>
  <c r="AS154" i="5"/>
  <c r="AS157" i="5"/>
  <c r="AR64" i="42"/>
  <c r="AR66" i="42" s="1"/>
  <c r="AS58" i="42"/>
  <c r="AS74" i="42"/>
  <c r="AS39" i="42"/>
  <c r="AS75" i="42"/>
  <c r="AS57" i="42"/>
  <c r="AS38" i="42"/>
  <c r="AR47" i="42" l="1"/>
  <c r="AR49" i="42" s="1"/>
  <c r="AS23" i="7"/>
  <c r="AS20" i="7" s="1"/>
  <c r="AS145" i="5"/>
  <c r="AT20" i="6"/>
  <c r="AS15" i="7"/>
  <c r="AS17" i="7" s="1"/>
  <c r="AS29" i="7"/>
  <c r="AT28" i="6"/>
  <c r="AR65" i="42"/>
  <c r="AR67" i="42" s="1"/>
  <c r="AR83" i="42"/>
  <c r="AR85" i="42" s="1"/>
  <c r="AR82" i="42"/>
  <c r="AR84" i="42" s="1"/>
  <c r="AS76" i="42"/>
  <c r="AR46" i="42"/>
  <c r="AR48" i="42" s="1"/>
  <c r="AS40" i="42"/>
  <c r="AT21" i="6" l="1"/>
  <c r="AT30" i="6" s="1"/>
  <c r="AT32" i="6" s="1"/>
  <c r="AT46" i="6" s="1"/>
  <c r="AS41" i="7"/>
  <c r="AS31" i="7"/>
  <c r="AS36" i="7" s="1"/>
  <c r="AS38" i="7" s="1"/>
  <c r="AS39" i="7"/>
  <c r="AS44" i="7"/>
  <c r="AS45" i="7" s="1"/>
  <c r="AS56" i="6" s="1"/>
  <c r="AT76" i="5" l="1"/>
  <c r="AT79" i="5" s="1"/>
  <c r="AS58" i="6"/>
  <c r="AS57" i="6"/>
  <c r="AT147" i="5"/>
  <c r="AT117" i="5"/>
  <c r="AS33" i="7"/>
  <c r="AT135" i="5" l="1"/>
  <c r="AS54" i="6"/>
  <c r="AS34" i="6" s="1"/>
  <c r="AS35" i="6" s="1"/>
  <c r="AS41" i="6" s="1"/>
  <c r="AT120" i="5"/>
  <c r="AT153" i="5"/>
  <c r="AT49" i="54"/>
  <c r="AT141" i="5"/>
  <c r="AT142" i="5"/>
  <c r="AT81" i="5"/>
  <c r="AT82" i="5" s="1"/>
  <c r="AT90" i="5" s="1"/>
  <c r="AT36" i="6" l="1"/>
  <c r="AT37" i="6" s="1"/>
  <c r="AT38" i="6" s="1"/>
  <c r="AT39" i="6" s="1"/>
  <c r="AT92" i="5"/>
  <c r="AT91" i="5"/>
  <c r="AT12" i="7" s="1"/>
  <c r="AT48" i="6"/>
  <c r="AT152" i="5"/>
  <c r="AS43" i="6"/>
  <c r="AS37" i="54" s="1"/>
  <c r="AU151" i="5" l="1"/>
  <c r="AT22" i="7"/>
  <c r="AT94" i="5"/>
  <c r="AT96" i="5" l="1"/>
  <c r="AT97" i="5" s="1"/>
  <c r="AT104" i="5" s="1"/>
  <c r="AU149" i="5"/>
  <c r="AT106" i="5" l="1"/>
  <c r="AT108" i="5" s="1"/>
  <c r="AT105" i="5"/>
  <c r="AU19" i="6" l="1"/>
  <c r="AU101" i="5"/>
  <c r="AT13" i="7"/>
  <c r="AT109" i="5"/>
  <c r="AT112" i="5" s="1"/>
  <c r="AT110" i="5" l="1"/>
  <c r="AT14" i="7" s="1"/>
  <c r="AT118" i="47"/>
  <c r="AU103" i="5"/>
  <c r="AT119" i="47" l="1"/>
  <c r="AT120" i="47"/>
  <c r="AT162" i="47" l="1"/>
  <c r="AT151" i="47"/>
  <c r="AT140" i="47"/>
  <c r="AT163" i="47"/>
  <c r="AT152" i="47"/>
  <c r="AT141" i="47"/>
  <c r="AT128" i="47" l="1"/>
  <c r="AT73" i="42"/>
  <c r="AT72" i="42"/>
  <c r="AT153" i="47"/>
  <c r="AU147" i="47" s="1"/>
  <c r="AT37" i="42"/>
  <c r="AT36" i="42"/>
  <c r="AT55" i="42"/>
  <c r="AT54" i="42"/>
  <c r="AT71" i="42"/>
  <c r="AT127" i="47"/>
  <c r="AT142" i="47"/>
  <c r="AT143" i="47"/>
  <c r="AT35" i="42"/>
  <c r="AT154" i="47"/>
  <c r="AT53" i="42"/>
  <c r="AT164" i="47"/>
  <c r="AU158" i="47" s="1"/>
  <c r="AT165" i="47"/>
  <c r="AS79" i="42" l="1"/>
  <c r="AS63" i="42"/>
  <c r="AS45" i="42"/>
  <c r="AS62" i="42"/>
  <c r="AU136" i="47"/>
  <c r="AT129" i="47"/>
  <c r="AT18" i="42"/>
  <c r="AT130" i="47"/>
  <c r="AT131" i="47"/>
  <c r="AT114" i="5" s="1"/>
  <c r="AS44" i="42"/>
  <c r="AU160" i="47"/>
  <c r="AU149" i="47"/>
  <c r="AS61" i="42"/>
  <c r="AS80" i="42"/>
  <c r="AS81" i="42"/>
  <c r="AS43" i="42"/>
  <c r="AT19" i="42"/>
  <c r="AT109" i="42" s="1"/>
  <c r="AT17" i="42" l="1"/>
  <c r="AS25" i="42"/>
  <c r="AS108" i="42" s="1"/>
  <c r="AT24" i="7"/>
  <c r="AU146" i="47"/>
  <c r="AU135" i="47"/>
  <c r="AU157" i="47"/>
  <c r="AU123" i="47"/>
  <c r="AU138" i="47"/>
  <c r="AU150" i="47"/>
  <c r="AS26" i="42"/>
  <c r="AU161" i="47"/>
  <c r="AT116" i="5"/>
  <c r="AT118" i="5"/>
  <c r="AU125" i="47" l="1"/>
  <c r="AU139" i="47"/>
  <c r="AU126" i="47" s="1"/>
  <c r="AU113" i="5" s="1"/>
  <c r="AS24" i="42"/>
  <c r="AT121" i="5"/>
  <c r="AT123" i="5"/>
  <c r="AT125" i="5" l="1"/>
  <c r="AT128" i="5" s="1"/>
  <c r="AT129" i="5" s="1"/>
  <c r="AU27" i="6"/>
  <c r="AU59" i="6" s="1"/>
  <c r="AU12" i="6"/>
  <c r="AU14" i="6" s="1"/>
  <c r="AU16" i="6" s="1"/>
  <c r="AU136" i="5" s="1"/>
  <c r="AU167" i="5" s="1"/>
  <c r="AT126" i="5" l="1"/>
  <c r="AT50" i="6"/>
  <c r="AT15" i="42"/>
  <c r="AT20" i="42" s="1"/>
  <c r="AT130" i="5"/>
  <c r="AT14" i="42" l="1"/>
  <c r="AT56" i="42"/>
  <c r="AT155" i="5"/>
  <c r="AT132" i="5"/>
  <c r="AS27" i="42"/>
  <c r="AT21" i="42"/>
  <c r="AS28" i="42" l="1"/>
  <c r="AS29" i="42" s="1"/>
  <c r="AS110" i="42"/>
  <c r="AS111" i="42" s="1"/>
  <c r="AS113" i="42" s="1"/>
  <c r="AT144" i="5"/>
  <c r="AT49" i="6"/>
  <c r="AT52" i="6" s="1"/>
  <c r="AT154" i="5"/>
  <c r="AT157" i="5"/>
  <c r="AS64" i="42"/>
  <c r="AS66" i="42" s="1"/>
  <c r="AT58" i="42"/>
  <c r="AT75" i="42"/>
  <c r="AT39" i="42"/>
  <c r="AT57" i="42"/>
  <c r="AT74" i="42"/>
  <c r="AT38" i="42"/>
  <c r="AS65" i="42" l="1"/>
  <c r="AS67" i="42" s="1"/>
  <c r="AU20" i="6"/>
  <c r="AU28" i="6"/>
  <c r="AT29" i="7"/>
  <c r="AT15" i="7"/>
  <c r="AT17" i="7" s="1"/>
  <c r="AT145" i="5"/>
  <c r="AS82" i="42"/>
  <c r="AS84" i="42" s="1"/>
  <c r="AT76" i="42"/>
  <c r="AS47" i="42"/>
  <c r="AS49" i="42" s="1"/>
  <c r="AS83" i="42"/>
  <c r="AS85" i="42" s="1"/>
  <c r="AT23" i="7"/>
  <c r="AT20" i="7" s="1"/>
  <c r="AS46" i="42"/>
  <c r="AS48" i="42" s="1"/>
  <c r="AT40" i="42"/>
  <c r="AT41" i="7" l="1"/>
  <c r="AT31" i="7"/>
  <c r="AT33" i="7" s="1"/>
  <c r="AT39" i="7"/>
  <c r="AT44" i="7"/>
  <c r="AT45" i="7" s="1"/>
  <c r="AT56" i="6" s="1"/>
  <c r="AU21" i="6"/>
  <c r="AU76" i="5" s="1"/>
  <c r="AU30" i="6" l="1"/>
  <c r="AU32" i="6" s="1"/>
  <c r="AU46" i="6" s="1"/>
  <c r="AU147" i="5" s="1"/>
  <c r="AU135" i="5"/>
  <c r="AU79" i="5"/>
  <c r="X76" i="29"/>
  <c r="X77" i="29"/>
  <c r="AT58" i="6"/>
  <c r="AT57" i="6"/>
  <c r="AT36" i="7"/>
  <c r="AT38" i="7" s="1"/>
  <c r="AU117" i="5" l="1"/>
  <c r="AU120" i="5" s="1"/>
  <c r="AT54" i="6"/>
  <c r="AT34" i="6" s="1"/>
  <c r="AT35" i="6" s="1"/>
  <c r="AU36" i="6" s="1"/>
  <c r="AU37" i="6" s="1"/>
  <c r="AU141" i="5"/>
  <c r="X86" i="29" s="1"/>
  <c r="AU142" i="5"/>
  <c r="AU49" i="54"/>
  <c r="AU81" i="5"/>
  <c r="AU82" i="5" s="1"/>
  <c r="AU90" i="5" s="1"/>
  <c r="AU153" i="5" l="1"/>
  <c r="AU48" i="6" s="1"/>
  <c r="AT41" i="6"/>
  <c r="AT43" i="6" s="1"/>
  <c r="AT37" i="54" s="1"/>
  <c r="AU38" i="6"/>
  <c r="AU39" i="6" s="1"/>
  <c r="AU92" i="5"/>
  <c r="AU91" i="5"/>
  <c r="AU12" i="7" s="1"/>
  <c r="AU152" i="5" l="1"/>
  <c r="AV151" i="5" s="1"/>
  <c r="X79" i="29"/>
  <c r="AU94" i="5"/>
  <c r="AU22" i="7" l="1"/>
  <c r="AU96" i="5"/>
  <c r="AU97" i="5" s="1"/>
  <c r="AU104" i="5" s="1"/>
  <c r="AV149" i="5" l="1"/>
  <c r="AU106" i="5"/>
  <c r="AU105" i="5"/>
  <c r="AV19" i="6" l="1"/>
  <c r="AV101" i="5"/>
  <c r="AU13" i="7"/>
  <c r="X81" i="29"/>
  <c r="AU108" i="5"/>
  <c r="AU109" i="5" l="1"/>
  <c r="AU112" i="5" s="1"/>
  <c r="AV103" i="5"/>
  <c r="AU118" i="47" l="1"/>
  <c r="AU110" i="5"/>
  <c r="AU14" i="7" s="1"/>
  <c r="AU119" i="47" l="1"/>
  <c r="AU120" i="47"/>
  <c r="AU151" i="47" l="1"/>
  <c r="AU162" i="47"/>
  <c r="AU140" i="47"/>
  <c r="AU152" i="47"/>
  <c r="AU163" i="47"/>
  <c r="AU141" i="47"/>
  <c r="AU71" i="42" l="1"/>
  <c r="AU127" i="47"/>
  <c r="AU142" i="47"/>
  <c r="AU143" i="47"/>
  <c r="AU53" i="42"/>
  <c r="AU164" i="47"/>
  <c r="AV158" i="47" s="1"/>
  <c r="AU165" i="47"/>
  <c r="AU128" i="47"/>
  <c r="AU73" i="42"/>
  <c r="AU72" i="42"/>
  <c r="AU55" i="42"/>
  <c r="AU54" i="42"/>
  <c r="AU153" i="47"/>
  <c r="AV147" i="47" s="1"/>
  <c r="AU37" i="42"/>
  <c r="AU36" i="42"/>
  <c r="AU35" i="42"/>
  <c r="AU154" i="47"/>
  <c r="AT63" i="42" l="1"/>
  <c r="AV160" i="47"/>
  <c r="AT61" i="42"/>
  <c r="AT43" i="42"/>
  <c r="AT81" i="42"/>
  <c r="AU129" i="47"/>
  <c r="AV136" i="47"/>
  <c r="AT62" i="42"/>
  <c r="AT80" i="42"/>
  <c r="X100" i="29"/>
  <c r="X99" i="29" s="1"/>
  <c r="AU19" i="42"/>
  <c r="AU109" i="42" s="1"/>
  <c r="AT44" i="42"/>
  <c r="AT45" i="42"/>
  <c r="AU18" i="42"/>
  <c r="X98" i="29"/>
  <c r="AU131" i="47"/>
  <c r="AU114" i="5" s="1"/>
  <c r="AU130" i="47"/>
  <c r="AV149" i="47"/>
  <c r="AT79" i="42"/>
  <c r="AV150" i="47" l="1"/>
  <c r="AT26" i="42"/>
  <c r="AV161" i="47"/>
  <c r="AV138" i="47"/>
  <c r="AV123" i="47"/>
  <c r="X82" i="29"/>
  <c r="AU116" i="5"/>
  <c r="AU118" i="5"/>
  <c r="AU17" i="42"/>
  <c r="AT25" i="42"/>
  <c r="AT108" i="42" s="1"/>
  <c r="AV157" i="47"/>
  <c r="X97" i="29"/>
  <c r="AV146" i="47"/>
  <c r="AU24" i="7"/>
  <c r="AV135" i="47"/>
  <c r="AU121" i="5" l="1"/>
  <c r="AU123" i="5"/>
  <c r="AT24" i="42"/>
  <c r="AV125" i="47"/>
  <c r="AV139" i="47"/>
  <c r="AV126" i="47" s="1"/>
  <c r="AV113" i="5" s="1"/>
  <c r="AU125" i="5" l="1"/>
  <c r="AU128" i="5" s="1"/>
  <c r="AU129" i="5" s="1"/>
  <c r="AV27" i="6"/>
  <c r="AV59" i="6" s="1"/>
  <c r="AV12" i="6"/>
  <c r="AV14" i="6" s="1"/>
  <c r="AV16" i="6" s="1"/>
  <c r="AV136" i="5" s="1"/>
  <c r="AV167" i="5" s="1"/>
  <c r="AU126" i="5" l="1"/>
  <c r="AU50" i="6"/>
  <c r="AU130" i="5"/>
  <c r="AU15" i="42"/>
  <c r="AU20" i="42" s="1"/>
  <c r="AT27" i="42" l="1"/>
  <c r="AU21" i="42"/>
  <c r="AU56" i="42"/>
  <c r="AU14" i="42"/>
  <c r="X83" i="29"/>
  <c r="AU155" i="5"/>
  <c r="AU132" i="5"/>
  <c r="AT28" i="42" l="1"/>
  <c r="AT29" i="42" s="1"/>
  <c r="AT110" i="42"/>
  <c r="AT111" i="42" s="1"/>
  <c r="AT113" i="42" s="1"/>
  <c r="X84" i="29"/>
  <c r="AU144" i="5"/>
  <c r="AU49" i="6"/>
  <c r="AU52" i="6" s="1"/>
  <c r="AU154" i="5"/>
  <c r="AU157" i="5"/>
  <c r="AT64" i="42"/>
  <c r="AT66" i="42" s="1"/>
  <c r="AU58" i="42"/>
  <c r="AU38" i="42"/>
  <c r="AU39" i="42"/>
  <c r="AU57" i="42"/>
  <c r="AU75" i="42"/>
  <c r="AU74" i="42"/>
  <c r="AT82" i="42" l="1"/>
  <c r="AT84" i="42" s="1"/>
  <c r="AU76" i="42"/>
  <c r="AT83" i="42"/>
  <c r="AT85" i="42" s="1"/>
  <c r="AT47" i="42"/>
  <c r="AT49" i="42" s="1"/>
  <c r="AU23" i="7"/>
  <c r="AU20" i="7" s="1"/>
  <c r="AT65" i="42"/>
  <c r="AT67" i="42" s="1"/>
  <c r="AT46" i="42"/>
  <c r="AT48" i="42" s="1"/>
  <c r="AU40" i="42"/>
  <c r="AV20" i="6"/>
  <c r="AV28" i="6"/>
  <c r="AU145" i="5"/>
  <c r="AU15" i="7"/>
  <c r="AU17" i="7" s="1"/>
  <c r="AU29" i="7"/>
  <c r="AU41" i="7" l="1"/>
  <c r="AU31" i="7"/>
  <c r="AU36" i="7" s="1"/>
  <c r="AU38" i="7" s="1"/>
  <c r="AU39" i="7"/>
  <c r="AU44" i="7"/>
  <c r="AU45" i="7" s="1"/>
  <c r="AU56" i="6" s="1"/>
  <c r="AV21" i="6"/>
  <c r="AV76" i="5" s="1"/>
  <c r="AV30" i="6" l="1"/>
  <c r="AV32" i="6" s="1"/>
  <c r="AV46" i="6" s="1"/>
  <c r="AV117" i="5" s="1"/>
  <c r="AU33" i="7"/>
  <c r="AV135" i="5"/>
  <c r="AV79" i="5"/>
  <c r="AU57" i="6"/>
  <c r="AU58" i="6"/>
  <c r="AV147" i="5" l="1"/>
  <c r="AV120" i="5"/>
  <c r="AV153" i="5"/>
  <c r="AU54" i="6"/>
  <c r="AU34" i="6" s="1"/>
  <c r="AU35" i="6" s="1"/>
  <c r="AV141" i="5"/>
  <c r="AV49" i="54"/>
  <c r="AV142" i="5"/>
  <c r="AV81" i="5"/>
  <c r="AV82" i="5" s="1"/>
  <c r="AV90" i="5" s="1"/>
  <c r="AV91" i="5" l="1"/>
  <c r="AV12" i="7" s="1"/>
  <c r="AV92" i="5"/>
  <c r="AV48" i="6"/>
  <c r="AV152" i="5"/>
  <c r="AV36" i="6"/>
  <c r="AV37" i="6" s="1"/>
  <c r="AU41" i="6"/>
  <c r="AV38" i="6" l="1"/>
  <c r="AV39" i="6" s="1"/>
  <c r="AU43" i="6"/>
  <c r="AU37" i="54" s="1"/>
  <c r="AW151" i="5"/>
  <c r="AV22" i="7"/>
  <c r="AV94" i="5"/>
  <c r="AV96" i="5" l="1"/>
  <c r="AV97" i="5" s="1"/>
  <c r="AV104" i="5" s="1"/>
  <c r="AW149" i="5"/>
  <c r="AV106" i="5" l="1"/>
  <c r="AV108" i="5" s="1"/>
  <c r="AV105" i="5"/>
  <c r="AW101" i="5" l="1"/>
  <c r="AW19" i="6"/>
  <c r="AV13" i="7"/>
  <c r="AV109" i="5"/>
  <c r="AV112" i="5" s="1"/>
  <c r="AV118" i="47" l="1"/>
  <c r="AV110" i="5"/>
  <c r="AV14" i="7" s="1"/>
  <c r="AW103" i="5"/>
  <c r="AV120" i="47" l="1"/>
  <c r="AV119" i="47"/>
  <c r="AV163" i="47" l="1"/>
  <c r="AV152" i="47"/>
  <c r="AV141" i="47"/>
  <c r="AV151" i="47"/>
  <c r="AV140" i="47"/>
  <c r="AV162" i="47"/>
  <c r="AV53" i="42" l="1"/>
  <c r="AV164" i="47"/>
  <c r="AW158" i="47" s="1"/>
  <c r="AV165" i="47"/>
  <c r="AV128" i="47"/>
  <c r="AV72" i="42"/>
  <c r="AV73" i="42"/>
  <c r="AV153" i="47"/>
  <c r="AW147" i="47" s="1"/>
  <c r="AV37" i="42"/>
  <c r="AV36" i="42"/>
  <c r="AV71" i="42"/>
  <c r="AV127" i="47"/>
  <c r="AV142" i="47"/>
  <c r="AV143" i="47"/>
  <c r="AV35" i="42"/>
  <c r="AV154" i="47"/>
  <c r="AV55" i="42"/>
  <c r="AV54" i="42"/>
  <c r="AU44" i="42" l="1"/>
  <c r="AV18" i="42"/>
  <c r="AV131" i="47"/>
  <c r="AV114" i="5" s="1"/>
  <c r="AV130" i="47"/>
  <c r="AU81" i="42"/>
  <c r="AU80" i="42"/>
  <c r="AU62" i="42"/>
  <c r="AV19" i="42"/>
  <c r="AV109" i="42" s="1"/>
  <c r="AU63" i="42"/>
  <c r="AU79" i="42"/>
  <c r="AU45" i="42"/>
  <c r="AU43" i="42"/>
  <c r="AW160" i="47"/>
  <c r="AV129" i="47"/>
  <c r="AW136" i="47"/>
  <c r="AW149" i="47"/>
  <c r="AU61" i="42"/>
  <c r="AV116" i="5" l="1"/>
  <c r="AV118" i="5"/>
  <c r="AW150" i="47"/>
  <c r="AW138" i="47"/>
  <c r="AW123" i="47"/>
  <c r="AV24" i="7"/>
  <c r="AW146" i="47"/>
  <c r="AW157" i="47"/>
  <c r="AW135" i="47"/>
  <c r="AV17" i="42"/>
  <c r="AU25" i="42"/>
  <c r="AU108" i="42" s="1"/>
  <c r="AW161" i="47"/>
  <c r="AU26" i="42"/>
  <c r="AU24" i="42" l="1"/>
  <c r="AW125" i="47"/>
  <c r="AW139" i="47"/>
  <c r="AW126" i="47" s="1"/>
  <c r="AW113" i="5" s="1"/>
  <c r="AV121" i="5"/>
  <c r="AV123" i="5"/>
  <c r="AV125" i="5" l="1"/>
  <c r="AV50" i="6" s="1"/>
  <c r="AW12" i="6"/>
  <c r="AW14" i="6" s="1"/>
  <c r="AW16" i="6" s="1"/>
  <c r="AW136" i="5" s="1"/>
  <c r="AW167" i="5" s="1"/>
  <c r="AW27" i="6"/>
  <c r="AW59" i="6" s="1"/>
  <c r="AV126" i="5" l="1"/>
  <c r="AV128" i="5"/>
  <c r="AV129" i="5" s="1"/>
  <c r="AV15" i="42" s="1"/>
  <c r="AV20" i="42" s="1"/>
  <c r="AV130" i="5" l="1"/>
  <c r="AV14" i="42" s="1"/>
  <c r="AU27" i="42"/>
  <c r="AV21" i="42"/>
  <c r="AU28" i="42" l="1"/>
  <c r="AU29" i="42" s="1"/>
  <c r="AU110" i="42"/>
  <c r="AU111" i="42" s="1"/>
  <c r="AU113" i="42" s="1"/>
  <c r="AV132" i="5"/>
  <c r="AV144" i="5" s="1"/>
  <c r="AV56" i="42"/>
  <c r="AU64" i="42" s="1"/>
  <c r="AU66" i="42" s="1"/>
  <c r="AV155" i="5"/>
  <c r="AV154" i="5" s="1"/>
  <c r="AV38" i="42"/>
  <c r="AV75" i="42"/>
  <c r="AV74" i="42"/>
  <c r="AV39" i="42"/>
  <c r="AV57" i="42"/>
  <c r="AV58" i="42" l="1"/>
  <c r="AV157" i="5"/>
  <c r="AV49" i="6"/>
  <c r="AV52" i="6" s="1"/>
  <c r="AU47" i="42"/>
  <c r="AU49" i="42" s="1"/>
  <c r="AU82" i="42"/>
  <c r="AU84" i="42" s="1"/>
  <c r="AV76" i="42"/>
  <c r="AV145" i="5"/>
  <c r="AV15" i="7"/>
  <c r="AV17" i="7" s="1"/>
  <c r="AV29" i="7"/>
  <c r="AW20" i="6"/>
  <c r="AW28" i="6"/>
  <c r="AU46" i="42"/>
  <c r="AU48" i="42" s="1"/>
  <c r="AV40" i="42"/>
  <c r="AV23" i="7"/>
  <c r="AV20" i="7" s="1"/>
  <c r="AU65" i="42"/>
  <c r="AU67" i="42" s="1"/>
  <c r="AU83" i="42"/>
  <c r="AU85" i="42" s="1"/>
  <c r="AW21" i="6" l="1"/>
  <c r="AW76" i="5" s="1"/>
  <c r="AV39" i="7"/>
  <c r="AV31" i="7"/>
  <c r="AV36" i="7" s="1"/>
  <c r="AV38" i="7" s="1"/>
  <c r="AV41" i="7"/>
  <c r="AV44" i="7"/>
  <c r="AV45" i="7" s="1"/>
  <c r="AV56" i="6" s="1"/>
  <c r="AW30" i="6" l="1"/>
  <c r="AW32" i="6" s="1"/>
  <c r="AW46" i="6" s="1"/>
  <c r="AW117" i="5" s="1"/>
  <c r="AV33" i="7"/>
  <c r="AW79" i="5"/>
  <c r="AW135" i="5"/>
  <c r="Y77" i="29"/>
  <c r="Y76" i="29"/>
  <c r="AV57" i="6"/>
  <c r="AV58" i="6"/>
  <c r="AW147" i="5" l="1"/>
  <c r="AV54" i="6"/>
  <c r="AV34" i="6" s="1"/>
  <c r="AV35" i="6" s="1"/>
  <c r="AV41" i="6" s="1"/>
  <c r="AW153" i="5"/>
  <c r="AW120" i="5"/>
  <c r="AW49" i="54"/>
  <c r="AW141" i="5"/>
  <c r="Y86" i="29" s="1"/>
  <c r="AW142" i="5"/>
  <c r="AW81" i="5"/>
  <c r="AW82" i="5" s="1"/>
  <c r="AW90" i="5" s="1"/>
  <c r="AW36" i="6" l="1"/>
  <c r="AW37" i="6" s="1"/>
  <c r="AW38" i="6" s="1"/>
  <c r="AW39" i="6" s="1"/>
  <c r="AW48" i="6"/>
  <c r="AW152" i="5"/>
  <c r="AV43" i="6"/>
  <c r="AV37" i="54" s="1"/>
  <c r="AW92" i="5"/>
  <c r="AW91" i="5"/>
  <c r="AW12" i="7" s="1"/>
  <c r="AW22" i="7" l="1"/>
  <c r="AX151" i="5"/>
  <c r="Y79" i="29"/>
  <c r="AW94" i="5"/>
  <c r="AW96" i="5" l="1"/>
  <c r="AW97" i="5" s="1"/>
  <c r="AW104" i="5" s="1"/>
  <c r="AX149" i="5"/>
  <c r="AW106" i="5" l="1"/>
  <c r="AW105" i="5"/>
  <c r="AW13" i="7" l="1"/>
  <c r="AX101" i="5"/>
  <c r="AX19" i="6"/>
  <c r="Y81" i="29"/>
  <c r="AW108" i="5"/>
  <c r="AW109" i="5" l="1"/>
  <c r="AW112" i="5" s="1"/>
  <c r="AX103" i="5"/>
  <c r="AW118" i="47" l="1"/>
  <c r="AW110" i="5"/>
  <c r="AW14" i="7" s="1"/>
  <c r="AW120" i="47" l="1"/>
  <c r="AW119" i="47"/>
  <c r="AW163" i="47" l="1"/>
  <c r="AW152" i="47"/>
  <c r="AW141" i="47"/>
  <c r="AW140" i="47"/>
  <c r="AW151" i="47"/>
  <c r="AW162" i="47"/>
  <c r="AW127" i="47" l="1"/>
  <c r="AW71" i="42"/>
  <c r="AW142" i="47"/>
  <c r="AW143" i="47"/>
  <c r="AW53" i="42"/>
  <c r="AW164" i="47"/>
  <c r="AX158" i="47" s="1"/>
  <c r="AW165" i="47"/>
  <c r="AW153" i="47"/>
  <c r="AX147" i="47" s="1"/>
  <c r="AW37" i="42"/>
  <c r="AW36" i="42"/>
  <c r="AW35" i="42"/>
  <c r="AW154" i="47"/>
  <c r="AW128" i="47"/>
  <c r="AW73" i="42"/>
  <c r="AW72" i="42"/>
  <c r="AW55" i="42"/>
  <c r="AW54" i="42"/>
  <c r="AV45" i="42" l="1"/>
  <c r="AV43" i="42"/>
  <c r="AX160" i="47"/>
  <c r="AV61" i="42"/>
  <c r="AV44" i="42"/>
  <c r="AV80" i="42"/>
  <c r="AX136" i="47"/>
  <c r="AW129" i="47"/>
  <c r="AX149" i="47"/>
  <c r="AV62" i="42"/>
  <c r="AV63" i="42"/>
  <c r="AV79" i="42"/>
  <c r="AV81" i="42"/>
  <c r="Y100" i="29"/>
  <c r="Y99" i="29" s="1"/>
  <c r="AW19" i="42"/>
  <c r="AW109" i="42" s="1"/>
  <c r="AW18" i="42"/>
  <c r="Y98" i="29"/>
  <c r="AW130" i="47"/>
  <c r="AW131" i="47"/>
  <c r="AW114" i="5" s="1"/>
  <c r="Y82" i="29" l="1"/>
  <c r="AW116" i="5"/>
  <c r="AW118" i="5"/>
  <c r="AX161" i="47"/>
  <c r="AX150" i="47"/>
  <c r="AW24" i="7"/>
  <c r="AX157" i="47"/>
  <c r="Y97" i="29"/>
  <c r="AX146" i="47"/>
  <c r="AX135" i="47"/>
  <c r="AX138" i="47"/>
  <c r="AX123" i="47"/>
  <c r="AW17" i="42"/>
  <c r="AV25" i="42"/>
  <c r="AV108" i="42" s="1"/>
  <c r="AV26" i="42"/>
  <c r="AW121" i="5" l="1"/>
  <c r="AW123" i="5"/>
  <c r="AX125" i="47"/>
  <c r="AX139" i="47"/>
  <c r="AX126" i="47" s="1"/>
  <c r="AX113" i="5" s="1"/>
  <c r="AV24" i="42"/>
  <c r="AW125" i="5" l="1"/>
  <c r="AW126" i="5" s="1"/>
  <c r="AX12" i="6"/>
  <c r="AX14" i="6" s="1"/>
  <c r="AX16" i="6" s="1"/>
  <c r="AX136" i="5" s="1"/>
  <c r="AX167" i="5" s="1"/>
  <c r="AX27" i="6"/>
  <c r="AX59" i="6" s="1"/>
  <c r="AW50" i="6" l="1"/>
  <c r="AW128" i="5"/>
  <c r="AW129" i="5" s="1"/>
  <c r="AW15" i="42" s="1"/>
  <c r="AW20" i="42" s="1"/>
  <c r="AW130" i="5" l="1"/>
  <c r="AW56" i="42" s="1"/>
  <c r="AV27" i="42"/>
  <c r="AW21" i="42"/>
  <c r="AV28" i="42" l="1"/>
  <c r="AV29" i="42" s="1"/>
  <c r="AV110" i="42"/>
  <c r="AV111" i="42" s="1"/>
  <c r="AV113" i="42" s="1"/>
  <c r="AW132" i="5"/>
  <c r="AW144" i="5" s="1"/>
  <c r="AW155" i="5"/>
  <c r="AW49" i="6" s="1"/>
  <c r="AW52" i="6" s="1"/>
  <c r="Y83" i="29"/>
  <c r="AW14" i="42"/>
  <c r="AW75" i="42" s="1"/>
  <c r="AV64" i="42"/>
  <c r="AV66" i="42" s="1"/>
  <c r="AW58" i="42"/>
  <c r="AW39" i="42" l="1"/>
  <c r="AV47" i="42" s="1"/>
  <c r="AV49" i="42" s="1"/>
  <c r="AW154" i="5"/>
  <c r="AW23" i="7" s="1"/>
  <c r="AW20" i="7" s="1"/>
  <c r="AW57" i="42"/>
  <c r="AV65" i="42" s="1"/>
  <c r="AV67" i="42" s="1"/>
  <c r="AW157" i="5"/>
  <c r="AW38" i="42"/>
  <c r="AV46" i="42" s="1"/>
  <c r="AV48" i="42" s="1"/>
  <c r="AW74" i="42"/>
  <c r="AW76" i="42" s="1"/>
  <c r="Y84" i="29"/>
  <c r="AW15" i="7"/>
  <c r="AW17" i="7" s="1"/>
  <c r="AW29" i="7"/>
  <c r="AW145" i="5"/>
  <c r="AX28" i="6"/>
  <c r="AX20" i="6"/>
  <c r="AV83" i="42"/>
  <c r="AV85" i="42" s="1"/>
  <c r="AV82" i="42" l="1"/>
  <c r="AV84" i="42" s="1"/>
  <c r="AW40" i="42"/>
  <c r="AX21" i="6"/>
  <c r="AX76" i="5" s="1"/>
  <c r="AW31" i="7"/>
  <c r="AW33" i="7" s="1"/>
  <c r="AW39" i="7"/>
  <c r="AW41" i="7"/>
  <c r="AW44" i="7"/>
  <c r="AW45" i="7" s="1"/>
  <c r="AW56" i="6" s="1"/>
  <c r="AW36" i="7" l="1"/>
  <c r="AW38" i="7" s="1"/>
  <c r="AX30" i="6"/>
  <c r="AX32" i="6" s="1"/>
  <c r="AX46" i="6" s="1"/>
  <c r="AX117" i="5" s="1"/>
  <c r="AW57" i="6"/>
  <c r="AW58" i="6"/>
  <c r="AX135" i="5"/>
  <c r="AX79" i="5"/>
  <c r="AX147" i="5" l="1"/>
  <c r="AX141" i="5"/>
  <c r="AX49" i="54"/>
  <c r="AX142" i="5"/>
  <c r="AX81" i="5"/>
  <c r="AX82" i="5" s="1"/>
  <c r="AX90" i="5" s="1"/>
  <c r="AX153" i="5"/>
  <c r="AX120" i="5"/>
  <c r="AW54" i="6"/>
  <c r="AW34" i="6" s="1"/>
  <c r="AW35" i="6" s="1"/>
  <c r="AX36" i="6" l="1"/>
  <c r="AX37" i="6" s="1"/>
  <c r="AW41" i="6"/>
  <c r="AX48" i="6"/>
  <c r="AX152" i="5"/>
  <c r="AX92" i="5"/>
  <c r="AX91" i="5"/>
  <c r="AX12" i="7" s="1"/>
  <c r="AX94" i="5" l="1"/>
  <c r="AX22" i="7"/>
  <c r="AY151" i="5"/>
  <c r="AX38" i="6"/>
  <c r="AX39" i="6" s="1"/>
  <c r="AW43" i="6"/>
  <c r="AW37" i="54" s="1"/>
  <c r="AY149" i="5" l="1"/>
  <c r="AX96" i="5"/>
  <c r="AX97" i="5" s="1"/>
  <c r="AX104" i="5" s="1"/>
  <c r="AX105" i="5" l="1"/>
  <c r="AX106" i="5"/>
  <c r="AX108" i="5" s="1"/>
  <c r="AX109" i="5" l="1"/>
  <c r="AX112" i="5" s="1"/>
  <c r="AY101" i="5"/>
  <c r="AY19" i="6"/>
  <c r="AX13" i="7"/>
  <c r="AY103" i="5" l="1"/>
  <c r="AX118" i="47"/>
  <c r="AX110" i="5"/>
  <c r="AX14" i="7" s="1"/>
  <c r="AX120" i="47" l="1"/>
  <c r="AX119" i="47"/>
  <c r="AX152" i="47" l="1"/>
  <c r="AX163" i="47"/>
  <c r="AX141" i="47"/>
  <c r="AX151" i="47"/>
  <c r="AX140" i="47"/>
  <c r="AX162" i="47"/>
  <c r="AX53" i="42" l="1"/>
  <c r="AX164" i="47"/>
  <c r="AY158" i="47" s="1"/>
  <c r="AX165" i="47"/>
  <c r="AX71" i="42"/>
  <c r="AX127" i="47"/>
  <c r="AX142" i="47"/>
  <c r="AX143" i="47"/>
  <c r="AX35" i="42"/>
  <c r="AX154" i="47"/>
  <c r="AX128" i="47"/>
  <c r="AX73" i="42"/>
  <c r="AX72" i="42"/>
  <c r="AX55" i="42"/>
  <c r="AX54" i="42"/>
  <c r="AX153" i="47"/>
  <c r="AY147" i="47" s="1"/>
  <c r="AX37" i="42"/>
  <c r="AX36" i="42"/>
  <c r="AX18" i="42" l="1"/>
  <c r="AX130" i="47"/>
  <c r="AX131" i="47"/>
  <c r="AX114" i="5" s="1"/>
  <c r="AX118" i="5" s="1"/>
  <c r="AW81" i="42"/>
  <c r="AW62" i="42"/>
  <c r="AW80" i="42"/>
  <c r="AX19" i="42"/>
  <c r="AX109" i="42" s="1"/>
  <c r="AW43" i="42"/>
  <c r="AX129" i="47"/>
  <c r="AY136" i="47"/>
  <c r="AW44" i="42"/>
  <c r="AW45" i="42"/>
  <c r="AW79" i="42"/>
  <c r="AY149" i="47"/>
  <c r="AY160" i="47"/>
  <c r="AW63" i="42"/>
  <c r="AW61" i="42"/>
  <c r="AW26" i="42" l="1"/>
  <c r="AY161" i="47"/>
  <c r="AY157" i="47"/>
  <c r="AY135" i="47"/>
  <c r="AX24" i="7"/>
  <c r="AY146" i="47"/>
  <c r="AX116" i="5"/>
  <c r="AY138" i="47"/>
  <c r="AY123" i="47"/>
  <c r="AX17" i="42"/>
  <c r="AW25" i="42"/>
  <c r="AW108" i="42" s="1"/>
  <c r="AY150" i="47"/>
  <c r="AW24" i="42" l="1"/>
  <c r="AY125" i="47"/>
  <c r="AY139" i="47"/>
  <c r="AY126" i="47" s="1"/>
  <c r="AY113" i="5" s="1"/>
  <c r="AX121" i="5"/>
  <c r="AX123" i="5"/>
  <c r="AX125" i="5" l="1"/>
  <c r="AX126" i="5" s="1"/>
  <c r="AY27" i="6"/>
  <c r="AY59" i="6" s="1"/>
  <c r="AY12" i="6"/>
  <c r="AY14" i="6" s="1"/>
  <c r="AY16" i="6" s="1"/>
  <c r="AY136" i="5" s="1"/>
  <c r="AY167" i="5" s="1"/>
  <c r="AX128" i="5" l="1"/>
  <c r="AX129" i="5" s="1"/>
  <c r="AX130" i="5" s="1"/>
  <c r="AX132" i="5" s="1"/>
  <c r="AX50" i="6"/>
  <c r="AX15" i="42" l="1"/>
  <c r="AX20" i="42" s="1"/>
  <c r="AW27" i="42" s="1"/>
  <c r="AX56" i="42"/>
  <c r="AX14" i="42"/>
  <c r="AX155" i="5"/>
  <c r="AW28" i="42" l="1"/>
  <c r="AW29" i="42" s="1"/>
  <c r="AW110" i="42"/>
  <c r="AW111" i="42" s="1"/>
  <c r="AW113" i="42" s="1"/>
  <c r="AX21" i="42"/>
  <c r="AX49" i="6"/>
  <c r="AX52" i="6" s="1"/>
  <c r="AX154" i="5"/>
  <c r="AX157" i="5"/>
  <c r="AX144" i="5"/>
  <c r="AX39" i="42"/>
  <c r="AX75" i="42"/>
  <c r="AX74" i="42"/>
  <c r="AX57" i="42"/>
  <c r="AX38" i="42"/>
  <c r="AW64" i="42"/>
  <c r="AW66" i="42" s="1"/>
  <c r="AX58" i="42"/>
  <c r="AW46" i="42" l="1"/>
  <c r="AW48" i="42" s="1"/>
  <c r="AX40" i="42"/>
  <c r="AW83" i="42"/>
  <c r="AW85" i="42" s="1"/>
  <c r="AX29" i="7"/>
  <c r="AX145" i="5"/>
  <c r="AX15" i="7"/>
  <c r="AX17" i="7" s="1"/>
  <c r="AY20" i="6"/>
  <c r="AY28" i="6"/>
  <c r="AW82" i="42"/>
  <c r="AW84" i="42" s="1"/>
  <c r="AX76" i="42"/>
  <c r="AW47" i="42"/>
  <c r="AW49" i="42" s="1"/>
  <c r="AX23" i="7"/>
  <c r="AX20" i="7" s="1"/>
  <c r="AW65" i="42"/>
  <c r="AW67" i="42" s="1"/>
  <c r="AY21" i="6" l="1"/>
  <c r="AY30" i="6" s="1"/>
  <c r="AY32" i="6" s="1"/>
  <c r="AY46" i="6" s="1"/>
  <c r="AX41" i="7"/>
  <c r="AX39" i="7"/>
  <c r="AX31" i="7"/>
  <c r="AX33" i="7" s="1"/>
  <c r="AX44" i="7"/>
  <c r="AX45" i="7" s="1"/>
  <c r="AX56" i="6" s="1"/>
  <c r="AY147" i="5" l="1"/>
  <c r="AY117" i="5"/>
  <c r="AX57" i="6"/>
  <c r="AX58" i="6"/>
  <c r="AX36" i="7"/>
  <c r="AX38" i="7" s="1"/>
  <c r="AY76" i="5"/>
  <c r="AY79" i="5" l="1"/>
  <c r="AY135" i="5"/>
  <c r="Z77" i="29"/>
  <c r="Z76" i="29"/>
  <c r="AY153" i="5"/>
  <c r="AY120" i="5"/>
  <c r="AX54" i="6"/>
  <c r="AX34" i="6" s="1"/>
  <c r="AX35" i="6" s="1"/>
  <c r="AY48" i="6" l="1"/>
  <c r="AY152" i="5"/>
  <c r="AY36" i="6"/>
  <c r="AY37" i="6" s="1"/>
  <c r="AX41" i="6"/>
  <c r="AY141" i="5"/>
  <c r="Z86" i="29" s="1"/>
  <c r="AY142" i="5"/>
  <c r="AY49" i="54"/>
  <c r="AY81" i="5"/>
  <c r="AY82" i="5" s="1"/>
  <c r="AY90" i="5" s="1"/>
  <c r="AY38" i="6" l="1"/>
  <c r="AY39" i="6" s="1"/>
  <c r="AZ151" i="5"/>
  <c r="AY22" i="7"/>
  <c r="AX43" i="6"/>
  <c r="AX37" i="54" s="1"/>
  <c r="AY92" i="5"/>
  <c r="AY91" i="5"/>
  <c r="AY12" i="7" s="1"/>
  <c r="Z79" i="29" l="1"/>
  <c r="AY94" i="5"/>
  <c r="AZ149" i="5"/>
  <c r="AY96" i="5" l="1"/>
  <c r="AY97" i="5" s="1"/>
  <c r="AY104" i="5" s="1"/>
  <c r="AY105" i="5" l="1"/>
  <c r="AY106" i="5"/>
  <c r="Z81" i="29" l="1"/>
  <c r="AY108" i="5"/>
  <c r="AZ19" i="6"/>
  <c r="AZ101" i="5"/>
  <c r="AY13" i="7"/>
  <c r="AZ103" i="5" l="1"/>
  <c r="AY109" i="5"/>
  <c r="AY112" i="5" s="1"/>
  <c r="AY118" i="47" l="1"/>
  <c r="AY110" i="5"/>
  <c r="AY14" i="7" s="1"/>
  <c r="AY119" i="47" l="1"/>
  <c r="AY120" i="47"/>
  <c r="AY151" i="47" l="1"/>
  <c r="AY162" i="47"/>
  <c r="AY140" i="47"/>
  <c r="AY152" i="47"/>
  <c r="AY163" i="47"/>
  <c r="AY141" i="47"/>
  <c r="AY55" i="42" l="1"/>
  <c r="AY54" i="42"/>
  <c r="AY128" i="47"/>
  <c r="AY73" i="42"/>
  <c r="AY72" i="42"/>
  <c r="AY153" i="47"/>
  <c r="AZ147" i="47" s="1"/>
  <c r="AY37" i="42"/>
  <c r="AY36" i="42"/>
  <c r="AY127" i="47"/>
  <c r="AY71" i="42"/>
  <c r="AY142" i="47"/>
  <c r="AY143" i="47"/>
  <c r="AY53" i="42"/>
  <c r="AY164" i="47"/>
  <c r="AZ158" i="47" s="1"/>
  <c r="AY165" i="47"/>
  <c r="AY35" i="42"/>
  <c r="AY154" i="47"/>
  <c r="AX45" i="42" l="1"/>
  <c r="AX79" i="42"/>
  <c r="Z100" i="29"/>
  <c r="Z99" i="29" s="1"/>
  <c r="AY19" i="42"/>
  <c r="AY109" i="42" s="1"/>
  <c r="AY18" i="42"/>
  <c r="Z98" i="29"/>
  <c r="AY131" i="47"/>
  <c r="AY114" i="5" s="1"/>
  <c r="AY130" i="47"/>
  <c r="AX44" i="42"/>
  <c r="AX62" i="42"/>
  <c r="AZ136" i="47"/>
  <c r="AY129" i="47"/>
  <c r="AZ149" i="47"/>
  <c r="AX80" i="42"/>
  <c r="AX43" i="42"/>
  <c r="AX81" i="42"/>
  <c r="AZ160" i="47"/>
  <c r="AX61" i="42"/>
  <c r="AX63" i="42"/>
  <c r="AX26" i="42" l="1"/>
  <c r="AZ150" i="47"/>
  <c r="Z82" i="29"/>
  <c r="AY116" i="5"/>
  <c r="AY118" i="5"/>
  <c r="AZ161" i="47"/>
  <c r="AY24" i="7"/>
  <c r="AZ135" i="47"/>
  <c r="AZ146" i="47"/>
  <c r="AZ157" i="47"/>
  <c r="Z97" i="29"/>
  <c r="AY17" i="42"/>
  <c r="AX25" i="42"/>
  <c r="AX108" i="42" s="1"/>
  <c r="AZ138" i="47"/>
  <c r="AZ123" i="47"/>
  <c r="AX24" i="42" l="1"/>
  <c r="AY121" i="5"/>
  <c r="AY123" i="5"/>
  <c r="AZ139" i="47"/>
  <c r="AZ126" i="47" s="1"/>
  <c r="AZ113" i="5" s="1"/>
  <c r="AZ125" i="47"/>
  <c r="AY125" i="5" l="1"/>
  <c r="AY128" i="5" s="1"/>
  <c r="AY129" i="5" s="1"/>
  <c r="AZ12" i="6"/>
  <c r="AZ14" i="6" s="1"/>
  <c r="AZ16" i="6" s="1"/>
  <c r="AZ136" i="5" s="1"/>
  <c r="AZ167" i="5" s="1"/>
  <c r="AZ27" i="6"/>
  <c r="AZ59" i="6" s="1"/>
  <c r="AY50" i="6" l="1"/>
  <c r="AY126" i="5"/>
  <c r="AY15" i="42"/>
  <c r="AY20" i="42" s="1"/>
  <c r="AY130" i="5"/>
  <c r="AY132" i="5" s="1"/>
  <c r="AY14" i="42" l="1"/>
  <c r="AY56" i="42"/>
  <c r="Z83" i="29"/>
  <c r="AY155" i="5"/>
  <c r="Z84" i="29"/>
  <c r="AX27" i="42"/>
  <c r="AY21" i="42"/>
  <c r="AX28" i="42" l="1"/>
  <c r="AX29" i="42" s="1"/>
  <c r="AX110" i="42"/>
  <c r="AX111" i="42" s="1"/>
  <c r="AX113" i="42" s="1"/>
  <c r="AY144" i="5"/>
  <c r="AY49" i="6"/>
  <c r="AY52" i="6" s="1"/>
  <c r="AY154" i="5"/>
  <c r="AY157" i="5"/>
  <c r="AX64" i="42"/>
  <c r="AX66" i="42" s="1"/>
  <c r="AY58" i="42"/>
  <c r="AY74" i="42"/>
  <c r="AY39" i="42"/>
  <c r="AY75" i="42"/>
  <c r="AY38" i="42"/>
  <c r="AY57" i="42"/>
  <c r="AX82" i="42" l="1"/>
  <c r="AX84" i="42" s="1"/>
  <c r="AY76" i="42"/>
  <c r="AX47" i="42"/>
  <c r="AX49" i="42" s="1"/>
  <c r="AY23" i="7"/>
  <c r="AY20" i="7" s="1"/>
  <c r="AY145" i="5"/>
  <c r="AY29" i="7"/>
  <c r="AZ28" i="6"/>
  <c r="AY15" i="7"/>
  <c r="AY17" i="7" s="1"/>
  <c r="AZ20" i="6"/>
  <c r="AX46" i="42"/>
  <c r="AX48" i="42" s="1"/>
  <c r="AY40" i="42"/>
  <c r="AX83" i="42"/>
  <c r="AX85" i="42" s="1"/>
  <c r="AX65" i="42"/>
  <c r="AX67" i="42" s="1"/>
  <c r="AY31" i="7" l="1"/>
  <c r="AY36" i="7" s="1"/>
  <c r="AY38" i="7" s="1"/>
  <c r="AY41" i="7"/>
  <c r="AY39" i="7"/>
  <c r="AY44" i="7"/>
  <c r="AY45" i="7" s="1"/>
  <c r="AY56" i="6" s="1"/>
  <c r="AZ21" i="6"/>
  <c r="AZ76" i="5" s="1"/>
  <c r="AY33" i="7" l="1"/>
  <c r="AZ135" i="5"/>
  <c r="AZ79" i="5"/>
  <c r="AZ30" i="6"/>
  <c r="AZ32" i="6" s="1"/>
  <c r="AZ46" i="6" s="1"/>
  <c r="AY58" i="6"/>
  <c r="AY57" i="6"/>
  <c r="AY54" i="6" l="1"/>
  <c r="AY34" i="6" s="1"/>
  <c r="AY35" i="6" s="1"/>
  <c r="AZ36" i="6" s="1"/>
  <c r="AZ37" i="6" s="1"/>
  <c r="AZ142" i="5"/>
  <c r="AZ141" i="5"/>
  <c r="AZ49" i="54"/>
  <c r="AZ81" i="5"/>
  <c r="AZ82" i="5" s="1"/>
  <c r="AZ90" i="5" s="1"/>
  <c r="AZ117" i="5"/>
  <c r="AZ147" i="5"/>
  <c r="AY41" i="6" l="1"/>
  <c r="AY43" i="6" s="1"/>
  <c r="AY37" i="54" s="1"/>
  <c r="AZ38" i="6"/>
  <c r="AZ39" i="6" s="1"/>
  <c r="AZ92" i="5"/>
  <c r="AZ91" i="5"/>
  <c r="AZ12" i="7" s="1"/>
  <c r="AZ120" i="5"/>
  <c r="AZ153" i="5"/>
  <c r="AZ48" i="6" l="1"/>
  <c r="AZ152" i="5"/>
  <c r="AZ94" i="5"/>
  <c r="AZ96" i="5" l="1"/>
  <c r="AZ97" i="5" s="1"/>
  <c r="AZ104" i="5" s="1"/>
  <c r="BA151" i="5"/>
  <c r="AZ22" i="7"/>
  <c r="BA149" i="5" l="1"/>
  <c r="AZ106" i="5"/>
  <c r="AZ108" i="5" s="1"/>
  <c r="AZ105" i="5"/>
  <c r="BA101" i="5" l="1"/>
  <c r="BA19" i="6"/>
  <c r="AZ13" i="7"/>
  <c r="AZ109" i="5"/>
  <c r="AZ112" i="5" s="1"/>
  <c r="AZ110" i="5" l="1"/>
  <c r="AZ14" i="7" s="1"/>
  <c r="AZ118" i="47"/>
  <c r="BA103" i="5"/>
  <c r="AZ119" i="47" l="1"/>
  <c r="AZ120" i="47"/>
  <c r="AZ151" i="47" l="1"/>
  <c r="AZ162" i="47"/>
  <c r="AZ140" i="47"/>
  <c r="AZ152" i="47"/>
  <c r="AZ163" i="47"/>
  <c r="AZ141" i="47"/>
  <c r="AZ128" i="47" l="1"/>
  <c r="AZ73" i="42"/>
  <c r="AZ72" i="42"/>
  <c r="AZ55" i="42"/>
  <c r="AZ54" i="42"/>
  <c r="AZ153" i="47"/>
  <c r="BA147" i="47" s="1"/>
  <c r="AZ37" i="42"/>
  <c r="AZ36" i="42"/>
  <c r="AZ71" i="42"/>
  <c r="AZ127" i="47"/>
  <c r="AZ142" i="47"/>
  <c r="AZ143" i="47"/>
  <c r="AZ53" i="42"/>
  <c r="AZ164" i="47"/>
  <c r="BA158" i="47" s="1"/>
  <c r="AZ165" i="47"/>
  <c r="AZ35" i="42"/>
  <c r="AZ154" i="47"/>
  <c r="AZ18" i="42" l="1"/>
  <c r="AZ130" i="47"/>
  <c r="AZ131" i="47"/>
  <c r="AZ114" i="5" s="1"/>
  <c r="AY44" i="42"/>
  <c r="AY62" i="42"/>
  <c r="AY63" i="42"/>
  <c r="BA136" i="47"/>
  <c r="AZ129" i="47"/>
  <c r="AY79" i="42"/>
  <c r="AY45" i="42"/>
  <c r="BA149" i="47"/>
  <c r="AY43" i="42"/>
  <c r="AY80" i="42"/>
  <c r="BA160" i="47"/>
  <c r="AY81" i="42"/>
  <c r="AY61" i="42"/>
  <c r="AZ19" i="42"/>
  <c r="AZ109" i="42" s="1"/>
  <c r="BA157" i="47" l="1"/>
  <c r="AZ24" i="7"/>
  <c r="BA135" i="47"/>
  <c r="BA146" i="47"/>
  <c r="BA123" i="47"/>
  <c r="BA138" i="47"/>
  <c r="AY26" i="42"/>
  <c r="BA150" i="47"/>
  <c r="AZ116" i="5"/>
  <c r="AZ118" i="5"/>
  <c r="BA161" i="47"/>
  <c r="AZ17" i="42"/>
  <c r="AY25" i="42"/>
  <c r="AY108" i="42" s="1"/>
  <c r="BA125" i="47" l="1"/>
  <c r="BA139" i="47"/>
  <c r="BA126" i="47" s="1"/>
  <c r="BA113" i="5" s="1"/>
  <c r="AZ121" i="5"/>
  <c r="AZ123" i="5"/>
  <c r="AY24" i="42"/>
  <c r="AZ125" i="5" l="1"/>
  <c r="AZ50" i="6" s="1"/>
  <c r="BA12" i="6"/>
  <c r="BA14" i="6" s="1"/>
  <c r="BA16" i="6" s="1"/>
  <c r="BA136" i="5" s="1"/>
  <c r="BA167" i="5" s="1"/>
  <c r="BA27" i="6"/>
  <c r="BA59" i="6" s="1"/>
  <c r="AZ128" i="5" l="1"/>
  <c r="AZ129" i="5" s="1"/>
  <c r="AZ15" i="42" s="1"/>
  <c r="AZ20" i="42" s="1"/>
  <c r="AZ126" i="5"/>
  <c r="AZ130" i="5" l="1"/>
  <c r="AY27" i="42"/>
  <c r="AZ21" i="42"/>
  <c r="AZ56" i="42" l="1"/>
  <c r="AZ58" i="42" s="1"/>
  <c r="AZ132" i="5"/>
  <c r="AZ144" i="5" s="1"/>
  <c r="AY28" i="42"/>
  <c r="AY29" i="42" s="1"/>
  <c r="AY110" i="42"/>
  <c r="AY111" i="42" s="1"/>
  <c r="AY113" i="42" s="1"/>
  <c r="AZ155" i="5"/>
  <c r="AZ154" i="5" s="1"/>
  <c r="AZ14" i="42"/>
  <c r="AZ74" i="42" s="1"/>
  <c r="AY64" i="42" l="1"/>
  <c r="AY66" i="42" s="1"/>
  <c r="AZ39" i="42"/>
  <c r="AY47" i="42" s="1"/>
  <c r="AY49" i="42" s="1"/>
  <c r="AZ57" i="42"/>
  <c r="AY65" i="42" s="1"/>
  <c r="AY67" i="42" s="1"/>
  <c r="AZ75" i="42"/>
  <c r="AY83" i="42" s="1"/>
  <c r="AY85" i="42" s="1"/>
  <c r="AZ38" i="42"/>
  <c r="AZ40" i="42" s="1"/>
  <c r="AZ157" i="5"/>
  <c r="AZ49" i="6"/>
  <c r="AZ52" i="6" s="1"/>
  <c r="AZ23" i="7"/>
  <c r="AZ20" i="7" s="1"/>
  <c r="BA28" i="6"/>
  <c r="AZ15" i="7"/>
  <c r="AZ17" i="7" s="1"/>
  <c r="BA20" i="6"/>
  <c r="AZ29" i="7"/>
  <c r="AZ145" i="5"/>
  <c r="AY82" i="42"/>
  <c r="AY84" i="42" s="1"/>
  <c r="AZ76" i="42"/>
  <c r="AY46" i="42" l="1"/>
  <c r="AY48" i="42" s="1"/>
  <c r="BA21" i="6"/>
  <c r="BA76" i="5" s="1"/>
  <c r="AZ31" i="7"/>
  <c r="AZ33" i="7" s="1"/>
  <c r="AZ41" i="7"/>
  <c r="AZ39" i="7"/>
  <c r="AZ44" i="7"/>
  <c r="AZ45" i="7" s="1"/>
  <c r="AZ56" i="6" s="1"/>
  <c r="BA135" i="5" l="1"/>
  <c r="BA79" i="5"/>
  <c r="AA76" i="29"/>
  <c r="AA77" i="29"/>
  <c r="AZ57" i="6"/>
  <c r="AZ58" i="6"/>
  <c r="BA30" i="6"/>
  <c r="BA32" i="6" s="1"/>
  <c r="BA46" i="6" s="1"/>
  <c r="AZ36" i="7"/>
  <c r="AZ38" i="7" s="1"/>
  <c r="BA117" i="5" l="1"/>
  <c r="BA147" i="5"/>
  <c r="AZ54" i="6"/>
  <c r="AZ34" i="6" s="1"/>
  <c r="AZ35" i="6" s="1"/>
  <c r="BA141" i="5"/>
  <c r="AA86" i="29" s="1"/>
  <c r="BA142" i="5"/>
  <c r="BA49" i="54"/>
  <c r="BA81" i="5"/>
  <c r="BA82" i="5" s="1"/>
  <c r="BA90" i="5" s="1"/>
  <c r="BA92" i="5" l="1"/>
  <c r="BA91" i="5"/>
  <c r="BA12" i="7" s="1"/>
  <c r="BA36" i="6"/>
  <c r="BA37" i="6" s="1"/>
  <c r="AZ41" i="6"/>
  <c r="BA120" i="5"/>
  <c r="BA153" i="5"/>
  <c r="AZ43" i="6" l="1"/>
  <c r="AZ37" i="54" s="1"/>
  <c r="BA38" i="6"/>
  <c r="BA39" i="6" s="1"/>
  <c r="BA48" i="6"/>
  <c r="BA152" i="5"/>
  <c r="AA79" i="29"/>
  <c r="BA94" i="5"/>
  <c r="BA96" i="5" l="1"/>
  <c r="BA97" i="5" s="1"/>
  <c r="BA104" i="5" s="1"/>
  <c r="BB151" i="5"/>
  <c r="BA22" i="7"/>
  <c r="BB149" i="5" l="1"/>
  <c r="BA105" i="5"/>
  <c r="BA106" i="5"/>
  <c r="AA81" i="29" l="1"/>
  <c r="BA108" i="5"/>
  <c r="BB19" i="6"/>
  <c r="BB101" i="5"/>
  <c r="BA13" i="7"/>
  <c r="BB103" i="5" l="1"/>
  <c r="BA109" i="5"/>
  <c r="BA112" i="5" s="1"/>
  <c r="BA110" i="5" l="1"/>
  <c r="BA14" i="7" s="1"/>
  <c r="BA118" i="47"/>
  <c r="BA120" i="47" l="1"/>
  <c r="BA119" i="47"/>
  <c r="BA152" i="47" l="1"/>
  <c r="BA163" i="47"/>
  <c r="BA141" i="47"/>
  <c r="BA162" i="47"/>
  <c r="BA151" i="47"/>
  <c r="BA140" i="47"/>
  <c r="BA127" i="47" l="1"/>
  <c r="BA71" i="42"/>
  <c r="BA142" i="47"/>
  <c r="BA143" i="47"/>
  <c r="BA35" i="42"/>
  <c r="BA154" i="47"/>
  <c r="BA53" i="42"/>
  <c r="BA164" i="47"/>
  <c r="BB158" i="47" s="1"/>
  <c r="BA165" i="47"/>
  <c r="BA128" i="47"/>
  <c r="BA73" i="42"/>
  <c r="BA72" i="42"/>
  <c r="BA55" i="42"/>
  <c r="BA54" i="42"/>
  <c r="BA153" i="47"/>
  <c r="BB147" i="47" s="1"/>
  <c r="BA36" i="42"/>
  <c r="BA37" i="42"/>
  <c r="AZ80" i="42" l="1"/>
  <c r="AA100" i="29"/>
  <c r="AA99" i="29" s="1"/>
  <c r="BA19" i="42"/>
  <c r="BA109" i="42" s="1"/>
  <c r="AZ43" i="42"/>
  <c r="AZ81" i="42"/>
  <c r="BB160" i="47"/>
  <c r="AZ61" i="42"/>
  <c r="AZ45" i="42"/>
  <c r="AZ44" i="42"/>
  <c r="BB149" i="47"/>
  <c r="BB136" i="47"/>
  <c r="BA129" i="47"/>
  <c r="AZ62" i="42"/>
  <c r="AZ79" i="42"/>
  <c r="AZ63" i="42"/>
  <c r="BA18" i="42"/>
  <c r="AA98" i="29"/>
  <c r="BA131" i="47"/>
  <c r="BA114" i="5" s="1"/>
  <c r="BA130" i="47"/>
  <c r="BB161" i="47" l="1"/>
  <c r="BB123" i="47"/>
  <c r="BB138" i="47"/>
  <c r="AA82" i="29"/>
  <c r="BA116" i="5"/>
  <c r="BA118" i="5"/>
  <c r="BA24" i="7"/>
  <c r="BB157" i="47"/>
  <c r="BB146" i="47"/>
  <c r="BB135" i="47"/>
  <c r="AA97" i="29"/>
  <c r="AZ26" i="42"/>
  <c r="BB150" i="47"/>
  <c r="BA17" i="42"/>
  <c r="AZ25" i="42"/>
  <c r="AZ108" i="42" s="1"/>
  <c r="BB125" i="47" l="1"/>
  <c r="BB139" i="47"/>
  <c r="BB126" i="47" s="1"/>
  <c r="BB113" i="5" s="1"/>
  <c r="AZ24" i="42"/>
  <c r="BA121" i="5"/>
  <c r="BA123" i="5"/>
  <c r="BA125" i="5" l="1"/>
  <c r="BA128" i="5" s="1"/>
  <c r="BA129" i="5" s="1"/>
  <c r="BB12" i="6"/>
  <c r="BB14" i="6" s="1"/>
  <c r="BB16" i="6" s="1"/>
  <c r="BB136" i="5" s="1"/>
  <c r="BB167" i="5" s="1"/>
  <c r="BB27" i="6"/>
  <c r="BB59" i="6" s="1"/>
  <c r="BA126" i="5" l="1"/>
  <c r="BA50" i="6"/>
  <c r="BA15" i="42"/>
  <c r="BA20" i="42" s="1"/>
  <c r="BA130" i="5"/>
  <c r="BA56" i="42" l="1"/>
  <c r="BA14" i="42"/>
  <c r="AA83" i="29"/>
  <c r="BA155" i="5"/>
  <c r="BA132" i="5"/>
  <c r="AZ27" i="42"/>
  <c r="BA21" i="42"/>
  <c r="AZ28" i="42" l="1"/>
  <c r="AZ29" i="42" s="1"/>
  <c r="AZ110" i="42"/>
  <c r="AZ111" i="42" s="1"/>
  <c r="AZ113" i="42" s="1"/>
  <c r="AA84" i="29"/>
  <c r="BA144" i="5"/>
  <c r="BA49" i="6"/>
  <c r="BA52" i="6" s="1"/>
  <c r="BA154" i="5"/>
  <c r="BA157" i="5"/>
  <c r="BA75" i="42"/>
  <c r="BA74" i="42"/>
  <c r="BA57" i="42"/>
  <c r="BA38" i="42"/>
  <c r="BA39" i="42"/>
  <c r="AZ64" i="42"/>
  <c r="AZ66" i="42" s="1"/>
  <c r="BA58" i="42"/>
  <c r="AZ47" i="42" l="1"/>
  <c r="AZ49" i="42" s="1"/>
  <c r="AZ82" i="42"/>
  <c r="AZ84" i="42" s="1"/>
  <c r="BA76" i="42"/>
  <c r="BA23" i="7"/>
  <c r="BA20" i="7" s="1"/>
  <c r="AZ65" i="42"/>
  <c r="AZ67" i="42" s="1"/>
  <c r="BB20" i="6"/>
  <c r="BA29" i="7"/>
  <c r="BA15" i="7"/>
  <c r="BA17" i="7" s="1"/>
  <c r="BA145" i="5"/>
  <c r="BB28" i="6"/>
  <c r="AZ46" i="42"/>
  <c r="AZ48" i="42" s="1"/>
  <c r="BA40" i="42"/>
  <c r="AZ83" i="42"/>
  <c r="AZ85" i="42" s="1"/>
  <c r="BB21" i="6" l="1"/>
  <c r="BB76" i="5" s="1"/>
  <c r="BA31" i="7"/>
  <c r="BA36" i="7" s="1"/>
  <c r="BA38" i="7" s="1"/>
  <c r="BA39" i="7"/>
  <c r="BA41" i="7"/>
  <c r="BA44" i="7"/>
  <c r="BA45" i="7" s="1"/>
  <c r="BA56" i="6" s="1"/>
  <c r="BA33" i="7" l="1"/>
  <c r="BB135" i="5"/>
  <c r="BB79" i="5"/>
  <c r="BA57" i="6"/>
  <c r="BA58" i="6"/>
  <c r="BB30" i="6"/>
  <c r="BB32" i="6" s="1"/>
  <c r="BB46" i="6" s="1"/>
  <c r="BB147" i="5" l="1"/>
  <c r="BB117" i="5"/>
  <c r="BA54" i="6"/>
  <c r="BA34" i="6" s="1"/>
  <c r="BA35" i="6" s="1"/>
  <c r="BB142" i="5"/>
  <c r="BB49" i="54"/>
  <c r="BB141" i="5"/>
  <c r="BB81" i="5"/>
  <c r="BB82" i="5" s="1"/>
  <c r="BB90" i="5" s="1"/>
  <c r="BB92" i="5" l="1"/>
  <c r="BB91" i="5"/>
  <c r="BB12" i="7" s="1"/>
  <c r="BB36" i="6"/>
  <c r="BB37" i="6" s="1"/>
  <c r="BA41" i="6"/>
  <c r="BB120" i="5"/>
  <c r="BB153" i="5"/>
  <c r="BB48" i="6" l="1"/>
  <c r="BB152" i="5"/>
  <c r="BB38" i="6"/>
  <c r="BB39" i="6" s="1"/>
  <c r="BA43" i="6"/>
  <c r="BA37" i="54" s="1"/>
  <c r="BB94" i="5"/>
  <c r="BC151" i="5" l="1"/>
  <c r="BB22" i="7"/>
  <c r="BB96" i="5"/>
  <c r="BB97" i="5" s="1"/>
  <c r="BB104" i="5" s="1"/>
  <c r="BB106" i="5" l="1"/>
  <c r="BB108" i="5" s="1"/>
  <c r="BB105" i="5"/>
  <c r="BC149" i="5"/>
  <c r="BC19" i="6" l="1"/>
  <c r="BB13" i="7"/>
  <c r="BC101" i="5"/>
  <c r="BB109" i="5"/>
  <c r="BB112" i="5" s="1"/>
  <c r="BC103" i="5" l="1"/>
  <c r="BB118" i="47"/>
  <c r="BB110" i="5"/>
  <c r="BB14" i="7" s="1"/>
  <c r="BB119" i="47" l="1"/>
  <c r="BB120" i="47"/>
  <c r="BB162" i="47" l="1"/>
  <c r="BB151" i="47"/>
  <c r="BB140" i="47"/>
  <c r="BB152" i="47"/>
  <c r="BB163" i="47"/>
  <c r="BB141" i="47"/>
  <c r="BB128" i="47" l="1"/>
  <c r="BB73" i="42"/>
  <c r="BB72" i="42"/>
  <c r="BB55" i="42"/>
  <c r="BB54" i="42"/>
  <c r="BB153" i="47"/>
  <c r="BC147" i="47" s="1"/>
  <c r="BB37" i="42"/>
  <c r="BB36" i="42"/>
  <c r="BB127" i="47"/>
  <c r="BB71" i="42"/>
  <c r="BB142" i="47"/>
  <c r="BB143" i="47"/>
  <c r="BB35" i="42"/>
  <c r="BB154" i="47"/>
  <c r="BB53" i="42"/>
  <c r="BB164" i="47"/>
  <c r="BC158" i="47" s="1"/>
  <c r="BB165" i="47"/>
  <c r="BB129" i="47" l="1"/>
  <c r="BC136" i="47"/>
  <c r="BA44" i="42"/>
  <c r="BA62" i="42"/>
  <c r="BA79" i="42"/>
  <c r="BB18" i="42"/>
  <c r="BB131" i="47"/>
  <c r="BB114" i="5" s="1"/>
  <c r="BB130" i="47"/>
  <c r="BA45" i="42"/>
  <c r="BC149" i="47"/>
  <c r="BC160" i="47"/>
  <c r="BA63" i="42"/>
  <c r="BA61" i="42"/>
  <c r="BA80" i="42"/>
  <c r="BA81" i="42"/>
  <c r="BA43" i="42"/>
  <c r="BB19" i="42"/>
  <c r="BB109" i="42" s="1"/>
  <c r="BB116" i="5" l="1"/>
  <c r="BB118" i="5"/>
  <c r="BB17" i="42"/>
  <c r="BA25" i="42"/>
  <c r="BA108" i="42" s="1"/>
  <c r="BA26" i="42"/>
  <c r="BC161" i="47"/>
  <c r="BC123" i="47"/>
  <c r="BC138" i="47"/>
  <c r="BC150" i="47"/>
  <c r="BC157" i="47"/>
  <c r="BC146" i="47"/>
  <c r="BC135" i="47"/>
  <c r="BB24" i="7"/>
  <c r="BA24" i="42" l="1"/>
  <c r="BB121" i="5"/>
  <c r="BB123" i="5"/>
  <c r="BC125" i="47"/>
  <c r="BC139" i="47"/>
  <c r="BC126" i="47" s="1"/>
  <c r="BC113" i="5" s="1"/>
  <c r="BB125" i="5" l="1"/>
  <c r="BB50" i="6" s="1"/>
  <c r="BC12" i="6"/>
  <c r="BC14" i="6" s="1"/>
  <c r="BC16" i="6" s="1"/>
  <c r="BC136" i="5" s="1"/>
  <c r="BC167" i="5" s="1"/>
  <c r="BC27" i="6"/>
  <c r="BC59" i="6" s="1"/>
  <c r="BB128" i="5" l="1"/>
  <c r="BB129" i="5" s="1"/>
  <c r="BB15" i="42" s="1"/>
  <c r="BB20" i="42" s="1"/>
  <c r="BB126" i="5"/>
  <c r="BB130" i="5" l="1"/>
  <c r="BB56" i="42" s="1"/>
  <c r="BA27" i="42"/>
  <c r="BB21" i="42"/>
  <c r="BA28" i="42" l="1"/>
  <c r="BA29" i="42" s="1"/>
  <c r="BA110" i="42"/>
  <c r="BA111" i="42" s="1"/>
  <c r="BA113" i="42" s="1"/>
  <c r="BB132" i="5"/>
  <c r="BB144" i="5" s="1"/>
  <c r="BB14" i="42"/>
  <c r="BB38" i="42" s="1"/>
  <c r="BB155" i="5"/>
  <c r="BB157" i="5" s="1"/>
  <c r="BA64" i="42"/>
  <c r="BA66" i="42" s="1"/>
  <c r="BB58" i="42"/>
  <c r="BB74" i="42" l="1"/>
  <c r="BB76" i="42" s="1"/>
  <c r="BB39" i="42"/>
  <c r="BA47" i="42" s="1"/>
  <c r="BA49" i="42" s="1"/>
  <c r="BB57" i="42"/>
  <c r="BA65" i="42" s="1"/>
  <c r="BA67" i="42" s="1"/>
  <c r="BB49" i="6"/>
  <c r="BB52" i="6" s="1"/>
  <c r="BB75" i="42"/>
  <c r="BA83" i="42" s="1"/>
  <c r="BA85" i="42" s="1"/>
  <c r="BB154" i="5"/>
  <c r="BB23" i="7" s="1"/>
  <c r="BB20" i="7" s="1"/>
  <c r="BB145" i="5"/>
  <c r="BC28" i="6"/>
  <c r="BB15" i="7"/>
  <c r="BB17" i="7" s="1"/>
  <c r="BC20" i="6"/>
  <c r="BB29" i="7"/>
  <c r="BA46" i="42"/>
  <c r="BA48" i="42" s="1"/>
  <c r="BB40" i="42"/>
  <c r="BA82" i="42" l="1"/>
  <c r="BA84" i="42" s="1"/>
  <c r="BC21" i="6"/>
  <c r="BC76" i="5" s="1"/>
  <c r="BB31" i="7"/>
  <c r="BB36" i="7" s="1"/>
  <c r="BB38" i="7" s="1"/>
  <c r="BB41" i="7"/>
  <c r="BB39" i="7"/>
  <c r="BB44" i="7"/>
  <c r="BB45" i="7" s="1"/>
  <c r="BB56" i="6" s="1"/>
  <c r="BC135" i="5" l="1"/>
  <c r="BC79" i="5"/>
  <c r="AB77" i="29"/>
  <c r="AB76" i="29"/>
  <c r="BB58" i="6"/>
  <c r="BB57" i="6"/>
  <c r="BB33" i="7"/>
  <c r="BC30" i="6"/>
  <c r="BC32" i="6" s="1"/>
  <c r="BC46" i="6" s="1"/>
  <c r="BB54" i="6" l="1"/>
  <c r="BB34" i="6" s="1"/>
  <c r="BB35" i="6" s="1"/>
  <c r="BB41" i="6" s="1"/>
  <c r="BC147" i="5"/>
  <c r="BC117" i="5"/>
  <c r="BC142" i="5"/>
  <c r="BC49" i="54"/>
  <c r="BC141" i="5"/>
  <c r="AB86" i="29" s="1"/>
  <c r="BC81" i="5"/>
  <c r="BC82" i="5" s="1"/>
  <c r="BC90" i="5" s="1"/>
  <c r="BC36" i="6" l="1"/>
  <c r="BC37" i="6" s="1"/>
  <c r="BC38" i="6" s="1"/>
  <c r="BC39" i="6" s="1"/>
  <c r="BB43" i="6"/>
  <c r="BB37" i="54" s="1"/>
  <c r="BC92" i="5"/>
  <c r="BC91" i="5"/>
  <c r="BC12" i="7" s="1"/>
  <c r="BC153" i="5"/>
  <c r="BC120" i="5"/>
  <c r="BC94" i="5" l="1"/>
  <c r="BC48" i="6"/>
  <c r="BC152" i="5"/>
  <c r="BC96" i="5" l="1"/>
  <c r="BC97" i="5" s="1"/>
  <c r="BC104" i="5" s="1"/>
  <c r="BC22" i="7"/>
  <c r="BD151" i="5"/>
  <c r="BD149" i="5" l="1"/>
  <c r="BC106" i="5"/>
  <c r="BC105" i="5"/>
  <c r="BC13" i="7" l="1"/>
  <c r="BD19" i="6"/>
  <c r="BD101" i="5"/>
  <c r="AB81" i="29"/>
  <c r="BC108" i="5"/>
  <c r="BC109" i="5" l="1"/>
  <c r="BC112" i="5" s="1"/>
  <c r="BD103" i="5"/>
  <c r="BC118" i="47" l="1"/>
  <c r="BC110" i="5"/>
  <c r="BC14" i="7" s="1"/>
  <c r="BC120" i="47" l="1"/>
  <c r="BC119" i="47"/>
  <c r="BC152" i="47" l="1"/>
  <c r="BC163" i="47"/>
  <c r="BC141" i="47"/>
  <c r="BC151" i="47"/>
  <c r="BC162" i="47"/>
  <c r="BC140" i="47"/>
  <c r="BC127" i="47" l="1"/>
  <c r="BC71" i="42"/>
  <c r="BC142" i="47"/>
  <c r="BC143" i="47"/>
  <c r="BC53" i="42"/>
  <c r="BC164" i="47"/>
  <c r="BD158" i="47" s="1"/>
  <c r="BC165" i="47"/>
  <c r="BC35" i="42"/>
  <c r="BC154" i="47"/>
  <c r="BC128" i="47"/>
  <c r="BC73" i="42"/>
  <c r="BC72" i="42"/>
  <c r="BC54" i="42"/>
  <c r="BC55" i="42"/>
  <c r="BC153" i="47"/>
  <c r="BD147" i="47" s="1"/>
  <c r="BC37" i="42"/>
  <c r="BC36" i="42"/>
  <c r="AB100" i="29" l="1"/>
  <c r="AB99" i="29" s="1"/>
  <c r="BC19" i="42"/>
  <c r="BC109" i="42" s="1"/>
  <c r="BB45" i="42"/>
  <c r="BB63" i="42"/>
  <c r="BB80" i="42"/>
  <c r="BB81" i="42"/>
  <c r="BB43" i="42"/>
  <c r="BD160" i="47"/>
  <c r="BB44" i="42"/>
  <c r="BB61" i="42"/>
  <c r="BD149" i="47"/>
  <c r="BD136" i="47"/>
  <c r="BC129" i="47"/>
  <c r="BB79" i="42"/>
  <c r="BB62" i="42"/>
  <c r="BC18" i="42"/>
  <c r="AB98" i="29"/>
  <c r="BC131" i="47"/>
  <c r="BC114" i="5" s="1"/>
  <c r="BC130" i="47"/>
  <c r="BD157" i="47" l="1"/>
  <c r="BC24" i="7"/>
  <c r="AB97" i="29"/>
  <c r="BD146" i="47"/>
  <c r="BD135" i="47"/>
  <c r="BD150" i="47"/>
  <c r="BD123" i="47"/>
  <c r="BD138" i="47"/>
  <c r="BC17" i="42"/>
  <c r="BB25" i="42"/>
  <c r="BB108" i="42" s="1"/>
  <c r="BD161" i="47"/>
  <c r="AB82" i="29"/>
  <c r="BC116" i="5"/>
  <c r="BC118" i="5"/>
  <c r="BB26" i="42"/>
  <c r="BB24" i="42" l="1"/>
  <c r="BC121" i="5"/>
  <c r="BC123" i="5"/>
  <c r="BD125" i="47"/>
  <c r="BD139" i="47"/>
  <c r="BD126" i="47" s="1"/>
  <c r="BD113" i="5" s="1"/>
  <c r="BC125" i="5" l="1"/>
  <c r="BC128" i="5" s="1"/>
  <c r="BC129" i="5" s="1"/>
  <c r="BD12" i="6"/>
  <c r="BD14" i="6" s="1"/>
  <c r="BD16" i="6" s="1"/>
  <c r="BD136" i="5" s="1"/>
  <c r="BD167" i="5" s="1"/>
  <c r="BD27" i="6"/>
  <c r="BD59" i="6" s="1"/>
  <c r="BC126" i="5" l="1"/>
  <c r="BC50" i="6"/>
  <c r="BC15" i="42"/>
  <c r="BC20" i="42" s="1"/>
  <c r="BC130" i="5"/>
  <c r="BC56" i="42" l="1"/>
  <c r="BC14" i="42"/>
  <c r="AB83" i="29"/>
  <c r="BC155" i="5"/>
  <c r="BC132" i="5"/>
  <c r="BB27" i="42"/>
  <c r="BC21" i="42"/>
  <c r="BB28" i="42" l="1"/>
  <c r="BB29" i="42" s="1"/>
  <c r="BB110" i="42"/>
  <c r="BB111" i="42" s="1"/>
  <c r="BB113" i="42" s="1"/>
  <c r="AB84" i="29"/>
  <c r="BC144" i="5"/>
  <c r="BC49" i="6"/>
  <c r="BC52" i="6" s="1"/>
  <c r="BC154" i="5"/>
  <c r="BC157" i="5"/>
  <c r="BC74" i="42"/>
  <c r="BC75" i="42"/>
  <c r="BC38" i="42"/>
  <c r="BC39" i="42"/>
  <c r="BC57" i="42"/>
  <c r="BB64" i="42"/>
  <c r="BB66" i="42" s="1"/>
  <c r="BC58" i="42"/>
  <c r="BB83" i="42" l="1"/>
  <c r="BB85" i="42" s="1"/>
  <c r="BC23" i="7"/>
  <c r="BC20" i="7" s="1"/>
  <c r="BB47" i="42"/>
  <c r="BB49" i="42" s="1"/>
  <c r="BC29" i="7"/>
  <c r="BD28" i="6"/>
  <c r="BC15" i="7"/>
  <c r="BC17" i="7" s="1"/>
  <c r="BC145" i="5"/>
  <c r="BD20" i="6"/>
  <c r="BB65" i="42"/>
  <c r="BB67" i="42" s="1"/>
  <c r="BB46" i="42"/>
  <c r="BB48" i="42" s="1"/>
  <c r="BC40" i="42"/>
  <c r="BB82" i="42"/>
  <c r="BB84" i="42" s="1"/>
  <c r="BC76" i="42"/>
  <c r="BC31" i="7" l="1"/>
  <c r="BC33" i="7" s="1"/>
  <c r="BC41" i="7"/>
  <c r="BC39" i="7"/>
  <c r="BC44" i="7"/>
  <c r="BC45" i="7" s="1"/>
  <c r="BC56" i="6" s="1"/>
  <c r="BD21" i="6"/>
  <c r="BD30" i="6" s="1"/>
  <c r="BD32" i="6" s="1"/>
  <c r="BD46" i="6" s="1"/>
  <c r="BD117" i="5" l="1"/>
  <c r="BD147" i="5"/>
  <c r="BC57" i="6"/>
  <c r="BC58" i="6"/>
  <c r="BD76" i="5"/>
  <c r="BC36" i="7"/>
  <c r="BC38" i="7" s="1"/>
  <c r="BD135" i="5" l="1"/>
  <c r="BD79" i="5"/>
  <c r="BC54" i="6"/>
  <c r="BC34" i="6" s="1"/>
  <c r="BC35" i="6" s="1"/>
  <c r="BD153" i="5"/>
  <c r="BD120" i="5"/>
  <c r="BD36" i="6" l="1"/>
  <c r="BD37" i="6" s="1"/>
  <c r="BC41" i="6"/>
  <c r="BD142" i="5"/>
  <c r="BD49" i="54"/>
  <c r="BD141" i="5"/>
  <c r="BD81" i="5"/>
  <c r="BD82" i="5" s="1"/>
  <c r="BD90" i="5" s="1"/>
  <c r="BD48" i="6"/>
  <c r="BD152" i="5"/>
  <c r="BC43" i="6" l="1"/>
  <c r="BC37" i="54" s="1"/>
  <c r="BD38" i="6"/>
  <c r="BD39" i="6" s="1"/>
  <c r="BE151" i="5"/>
  <c r="BD22" i="7"/>
  <c r="BD92" i="5"/>
  <c r="BD91" i="5"/>
  <c r="BD12" i="7" s="1"/>
  <c r="BD94" i="5" l="1"/>
  <c r="BE149" i="5"/>
  <c r="BD96" i="5" l="1"/>
  <c r="BD97" i="5" s="1"/>
  <c r="BD104" i="5" s="1"/>
  <c r="BD105" i="5" l="1"/>
  <c r="BD106" i="5"/>
  <c r="BD108" i="5" s="1"/>
  <c r="BD109" i="5" l="1"/>
  <c r="BD112" i="5" s="1"/>
  <c r="BE101" i="5"/>
  <c r="BE19" i="6"/>
  <c r="BD13" i="7"/>
  <c r="BE103" i="5" l="1"/>
  <c r="BD118" i="47"/>
  <c r="BD110" i="5"/>
  <c r="BD14" i="7" s="1"/>
  <c r="BD119" i="47" l="1"/>
  <c r="BD120" i="47"/>
  <c r="BD162" i="47" l="1"/>
  <c r="BD140" i="47"/>
  <c r="BD151" i="47"/>
  <c r="BD152" i="47"/>
  <c r="BD163" i="47"/>
  <c r="BD141" i="47"/>
  <c r="BD128" i="47" l="1"/>
  <c r="BD73" i="42"/>
  <c r="BD72" i="42"/>
  <c r="BD55" i="42"/>
  <c r="BD54" i="42"/>
  <c r="BD153" i="47"/>
  <c r="BE147" i="47" s="1"/>
  <c r="BD37" i="42"/>
  <c r="BD36" i="42"/>
  <c r="BD35" i="42"/>
  <c r="BD154" i="47"/>
  <c r="BD71" i="42"/>
  <c r="BD127" i="47"/>
  <c r="BD142" i="47"/>
  <c r="BD143" i="47"/>
  <c r="BD53" i="42"/>
  <c r="BD164" i="47"/>
  <c r="BE158" i="47" s="1"/>
  <c r="BD165" i="47"/>
  <c r="BC79" i="42" l="1"/>
  <c r="BC43" i="42"/>
  <c r="BC44" i="42"/>
  <c r="BC62" i="42"/>
  <c r="BC63" i="42"/>
  <c r="BD18" i="42"/>
  <c r="BD131" i="47"/>
  <c r="BD114" i="5" s="1"/>
  <c r="BD130" i="47"/>
  <c r="BC45" i="42"/>
  <c r="BE149" i="47"/>
  <c r="BE160" i="47"/>
  <c r="BC61" i="42"/>
  <c r="BC80" i="42"/>
  <c r="BC81" i="42"/>
  <c r="BD129" i="47"/>
  <c r="BE136" i="47"/>
  <c r="BD19" i="42"/>
  <c r="BD109" i="42" s="1"/>
  <c r="BE150" i="47" l="1"/>
  <c r="BE135" i="47"/>
  <c r="BE157" i="47"/>
  <c r="BE146" i="47"/>
  <c r="BD24" i="7"/>
  <c r="BE161" i="47"/>
  <c r="BD17" i="42"/>
  <c r="BC25" i="42"/>
  <c r="BC108" i="42" s="1"/>
  <c r="BC26" i="42"/>
  <c r="BE123" i="47"/>
  <c r="BE138" i="47"/>
  <c r="BD116" i="5"/>
  <c r="BD118" i="5"/>
  <c r="BC24" i="42" l="1"/>
  <c r="BD121" i="5"/>
  <c r="BD123" i="5"/>
  <c r="BE139" i="47"/>
  <c r="BE126" i="47" s="1"/>
  <c r="BE113" i="5" s="1"/>
  <c r="BE125" i="47"/>
  <c r="BD125" i="5" l="1"/>
  <c r="BD126" i="5" s="1"/>
  <c r="BE27" i="6"/>
  <c r="BE59" i="6" s="1"/>
  <c r="BE12" i="6"/>
  <c r="BE14" i="6" s="1"/>
  <c r="BE16" i="6" s="1"/>
  <c r="BE136" i="5" s="1"/>
  <c r="BE167" i="5" s="1"/>
  <c r="BD50" i="6" l="1"/>
  <c r="BD128" i="5"/>
  <c r="BD129" i="5" s="1"/>
  <c r="BD130" i="5" s="1"/>
  <c r="BD15" i="42" l="1"/>
  <c r="BD20" i="42" s="1"/>
  <c r="BD21" i="42" s="1"/>
  <c r="BD56" i="42"/>
  <c r="BD14" i="42"/>
  <c r="BD155" i="5"/>
  <c r="BD132" i="5"/>
  <c r="BC27" i="42" l="1"/>
  <c r="BD144" i="5"/>
  <c r="BD49" i="6"/>
  <c r="BD52" i="6" s="1"/>
  <c r="BD154" i="5"/>
  <c r="BD157" i="5"/>
  <c r="BD38" i="42"/>
  <c r="BD74" i="42"/>
  <c r="BD39" i="42"/>
  <c r="BD75" i="42"/>
  <c r="BD57" i="42"/>
  <c r="BC64" i="42"/>
  <c r="BC66" i="42" s="1"/>
  <c r="BD58" i="42"/>
  <c r="BC28" i="42" l="1"/>
  <c r="BC29" i="42" s="1"/>
  <c r="BC110" i="42"/>
  <c r="BC111" i="42" s="1"/>
  <c r="BC113" i="42" s="1"/>
  <c r="BC47" i="42"/>
  <c r="BC49" i="42" s="1"/>
  <c r="BC82" i="42"/>
  <c r="BC84" i="42" s="1"/>
  <c r="BD76" i="42"/>
  <c r="BE28" i="6"/>
  <c r="BD145" i="5"/>
  <c r="BD29" i="7"/>
  <c r="BE20" i="6"/>
  <c r="BD15" i="7"/>
  <c r="BD17" i="7" s="1"/>
  <c r="BC65" i="42"/>
  <c r="BC67" i="42" s="1"/>
  <c r="BC83" i="42"/>
  <c r="BC85" i="42" s="1"/>
  <c r="BC46" i="42"/>
  <c r="BC48" i="42" s="1"/>
  <c r="BD40" i="42"/>
  <c r="BD23" i="7"/>
  <c r="BD20" i="7" s="1"/>
  <c r="BD39" i="7" l="1"/>
  <c r="BD41" i="7"/>
  <c r="BD31" i="7"/>
  <c r="BD33" i="7" s="1"/>
  <c r="BD44" i="7"/>
  <c r="BD45" i="7" s="1"/>
  <c r="BD56" i="6" s="1"/>
  <c r="BE21" i="6"/>
  <c r="BE30" i="6" s="1"/>
  <c r="BE32" i="6" s="1"/>
  <c r="BE46" i="6" s="1"/>
  <c r="BD36" i="7" l="1"/>
  <c r="BD38" i="7" s="1"/>
  <c r="BE147" i="5"/>
  <c r="BE117" i="5"/>
  <c r="BE76" i="5"/>
  <c r="BD58" i="6"/>
  <c r="BD57" i="6"/>
  <c r="BD54" i="6" l="1"/>
  <c r="BD34" i="6" s="1"/>
  <c r="BD35" i="6" s="1"/>
  <c r="BE135" i="5"/>
  <c r="BE79" i="5"/>
  <c r="AC77" i="29"/>
  <c r="AC76" i="29"/>
  <c r="BE120" i="5"/>
  <c r="BE153" i="5"/>
  <c r="BE48" i="6" l="1"/>
  <c r="BE152" i="5"/>
  <c r="BE49" i="54"/>
  <c r="BE142" i="5"/>
  <c r="BE141" i="5"/>
  <c r="AC86" i="29" s="1"/>
  <c r="BE81" i="5"/>
  <c r="BE82" i="5" s="1"/>
  <c r="BE90" i="5" s="1"/>
  <c r="BE36" i="6"/>
  <c r="BE37" i="6" s="1"/>
  <c r="BD41" i="6"/>
  <c r="BE92" i="5" l="1"/>
  <c r="BE91" i="5"/>
  <c r="BE12" i="7" s="1"/>
  <c r="BD43" i="6"/>
  <c r="BD37" i="54" s="1"/>
  <c r="BF151" i="5"/>
  <c r="BE22" i="7"/>
  <c r="BE38" i="6"/>
  <c r="BE39" i="6" s="1"/>
  <c r="BF149" i="5" l="1"/>
  <c r="AC79" i="29"/>
  <c r="BE94" i="5"/>
  <c r="BE96" i="5" l="1"/>
  <c r="BE97" i="5" s="1"/>
  <c r="BE104" i="5" s="1"/>
  <c r="BE105" i="5" l="1"/>
  <c r="BE106" i="5"/>
  <c r="AC81" i="29" l="1"/>
  <c r="BE108" i="5"/>
  <c r="BF101" i="5"/>
  <c r="BF19" i="6"/>
  <c r="BE13" i="7"/>
  <c r="BF103" i="5" l="1"/>
  <c r="BE109" i="5"/>
  <c r="BE112" i="5" s="1"/>
  <c r="BE118" i="47" l="1"/>
  <c r="BE110" i="5"/>
  <c r="BE14" i="7" s="1"/>
  <c r="BE119" i="47" l="1"/>
  <c r="BE120" i="47"/>
  <c r="BE140" i="47" l="1"/>
  <c r="BE162" i="47"/>
  <c r="BE151" i="47"/>
  <c r="BE163" i="47"/>
  <c r="BE152" i="47"/>
  <c r="BE141" i="47"/>
  <c r="BE128" i="47" l="1"/>
  <c r="BE72" i="42"/>
  <c r="BE73" i="42"/>
  <c r="BE153" i="47"/>
  <c r="BF147" i="47" s="1"/>
  <c r="BE37" i="42"/>
  <c r="BE36" i="42"/>
  <c r="BE55" i="42"/>
  <c r="BE54" i="42"/>
  <c r="BE35" i="42"/>
  <c r="BE154" i="47"/>
  <c r="BE53" i="42"/>
  <c r="BE164" i="47"/>
  <c r="BF158" i="47" s="1"/>
  <c r="BE165" i="47"/>
  <c r="BE127" i="47"/>
  <c r="BE71" i="42"/>
  <c r="BE142" i="47"/>
  <c r="BE143" i="47"/>
  <c r="BF160" i="47" l="1"/>
  <c r="BD43" i="42"/>
  <c r="BD44" i="42"/>
  <c r="BE129" i="47"/>
  <c r="BF136" i="47"/>
  <c r="BD61" i="42"/>
  <c r="BD63" i="42"/>
  <c r="BE18" i="42"/>
  <c r="AC98" i="29"/>
  <c r="BE131" i="47"/>
  <c r="BE114" i="5" s="1"/>
  <c r="BE130" i="47"/>
  <c r="BD62" i="42"/>
  <c r="BD45" i="42"/>
  <c r="BF149" i="47"/>
  <c r="BD79" i="42"/>
  <c r="BD81" i="42"/>
  <c r="BD80" i="42"/>
  <c r="AC100" i="29"/>
  <c r="AC99" i="29" s="1"/>
  <c r="BE19" i="42"/>
  <c r="BE109" i="42" s="1"/>
  <c r="BF123" i="47" l="1"/>
  <c r="BF138" i="47"/>
  <c r="BF146" i="47"/>
  <c r="BE24" i="7"/>
  <c r="BF157" i="47"/>
  <c r="AC97" i="29"/>
  <c r="BF135" i="47"/>
  <c r="BF150" i="47"/>
  <c r="BD26" i="42"/>
  <c r="AC82" i="29"/>
  <c r="BE116" i="5"/>
  <c r="BE118" i="5"/>
  <c r="BF161" i="47"/>
  <c r="BE17" i="42"/>
  <c r="BD25" i="42"/>
  <c r="BD108" i="42" s="1"/>
  <c r="BD24" i="42" l="1"/>
  <c r="BE121" i="5"/>
  <c r="BE123" i="5"/>
  <c r="BF125" i="47"/>
  <c r="BF139" i="47"/>
  <c r="BF126" i="47" s="1"/>
  <c r="BF113" i="5" s="1"/>
  <c r="BF12" i="6" l="1"/>
  <c r="BF14" i="6" s="1"/>
  <c r="BF16" i="6" s="1"/>
  <c r="BF136" i="5" s="1"/>
  <c r="BF167" i="5" s="1"/>
  <c r="BE125" i="5"/>
  <c r="BE126" i="5" s="1"/>
  <c r="BF27" i="6"/>
  <c r="BF59" i="6" s="1"/>
  <c r="BE128" i="5" l="1"/>
  <c r="BE129" i="5" s="1"/>
  <c r="BE15" i="42" s="1"/>
  <c r="BE20" i="42" s="1"/>
  <c r="BE50" i="6"/>
  <c r="BE130" i="5" l="1"/>
  <c r="BE14" i="42" s="1"/>
  <c r="BD27" i="42"/>
  <c r="BE21" i="42"/>
  <c r="BD28" i="42" l="1"/>
  <c r="BD29" i="42" s="1"/>
  <c r="BD110" i="42"/>
  <c r="BD111" i="42" s="1"/>
  <c r="BD113" i="42" s="1"/>
  <c r="BE132" i="5"/>
  <c r="AC84" i="29" s="1"/>
  <c r="BE155" i="5"/>
  <c r="BE49" i="6" s="1"/>
  <c r="BE52" i="6" s="1"/>
  <c r="AC83" i="29"/>
  <c r="BE56" i="42"/>
  <c r="BE58" i="42" s="1"/>
  <c r="BE57" i="42"/>
  <c r="BE39" i="42"/>
  <c r="BE75" i="42"/>
  <c r="BE74" i="42"/>
  <c r="BE38" i="42"/>
  <c r="BE157" i="5" l="1"/>
  <c r="BE154" i="5"/>
  <c r="BE23" i="7" s="1"/>
  <c r="BE20" i="7" s="1"/>
  <c r="BE144" i="5"/>
  <c r="BE145" i="5" s="1"/>
  <c r="BD64" i="42"/>
  <c r="BD66" i="42" s="1"/>
  <c r="BD65" i="42"/>
  <c r="BD67" i="42" s="1"/>
  <c r="BD83" i="42"/>
  <c r="BD85" i="42" s="1"/>
  <c r="BD82" i="42"/>
  <c r="BD84" i="42" s="1"/>
  <c r="BE76" i="42"/>
  <c r="BD47" i="42"/>
  <c r="BD49" i="42" s="1"/>
  <c r="BD46" i="42"/>
  <c r="BD48" i="42" s="1"/>
  <c r="BE40" i="42"/>
  <c r="BE29" i="7" l="1"/>
  <c r="BE31" i="7" s="1"/>
  <c r="BF28" i="6"/>
  <c r="BE15" i="7"/>
  <c r="BE17" i="7" s="1"/>
  <c r="BF20" i="6"/>
  <c r="BF21" i="6" s="1"/>
  <c r="BE39" i="7"/>
  <c r="BE41" i="7"/>
  <c r="BE44" i="7"/>
  <c r="BE45" i="7" s="1"/>
  <c r="BE56" i="6" s="1"/>
  <c r="BE33" i="7" l="1"/>
  <c r="BF76" i="5"/>
  <c r="BE36" i="7"/>
  <c r="BE38" i="7" s="1"/>
  <c r="BE57" i="6"/>
  <c r="BE58" i="6"/>
  <c r="BF30" i="6"/>
  <c r="BF32" i="6" s="1"/>
  <c r="BF46" i="6" s="1"/>
  <c r="BF79" i="5" l="1"/>
  <c r="BF49" i="54" s="1"/>
  <c r="BF135" i="5"/>
  <c r="BF117" i="5"/>
  <c r="BF147" i="5"/>
  <c r="BE54" i="6"/>
  <c r="BE34" i="6" s="1"/>
  <c r="BE35" i="6" s="1"/>
  <c r="BF81" i="5" l="1"/>
  <c r="BF82" i="5" s="1"/>
  <c r="BF90" i="5" s="1"/>
  <c r="BF92" i="5" s="1"/>
  <c r="BF141" i="5"/>
  <c r="BF142" i="5"/>
  <c r="BF36" i="6"/>
  <c r="BF37" i="6" s="1"/>
  <c r="BE41" i="6"/>
  <c r="BF153" i="5"/>
  <c r="BF120" i="5"/>
  <c r="BF91" i="5" l="1"/>
  <c r="BF12" i="7" s="1"/>
  <c r="BF94" i="5"/>
  <c r="BF96" i="5" s="1"/>
  <c r="BF97" i="5" s="1"/>
  <c r="BF104" i="5" s="1"/>
  <c r="BE43" i="6"/>
  <c r="BE37" i="54" s="1"/>
  <c r="BF38" i="6"/>
  <c r="BF39" i="6" s="1"/>
  <c r="BF48" i="6"/>
  <c r="BF152" i="5"/>
  <c r="BF22" i="7" l="1"/>
  <c r="BG151" i="5"/>
  <c r="BF105" i="5"/>
  <c r="BF106" i="5"/>
  <c r="BF108" i="5" s="1"/>
  <c r="BF109" i="5" l="1"/>
  <c r="BF112" i="5" s="1"/>
  <c r="BG101" i="5"/>
  <c r="BF13" i="7"/>
  <c r="BG19" i="6"/>
  <c r="BG149" i="5"/>
  <c r="BG103" i="5" l="1"/>
  <c r="BF118" i="47"/>
  <c r="BF110" i="5"/>
  <c r="BF14" i="7" s="1"/>
  <c r="BF120" i="47" l="1"/>
  <c r="BF119" i="47"/>
  <c r="BF152" i="47" l="1"/>
  <c r="BF163" i="47"/>
  <c r="BF141" i="47"/>
  <c r="BF140" i="47"/>
  <c r="BF151" i="47"/>
  <c r="BF162" i="47"/>
  <c r="BF53" i="42" l="1"/>
  <c r="BF164" i="47"/>
  <c r="BG158" i="47" s="1"/>
  <c r="BF165" i="47"/>
  <c r="BF35" i="42"/>
  <c r="BF154" i="47"/>
  <c r="BF127" i="47"/>
  <c r="BF71" i="42"/>
  <c r="BF142" i="47"/>
  <c r="BF143" i="47"/>
  <c r="BF128" i="47"/>
  <c r="BF19" i="42" s="1"/>
  <c r="BF109" i="42" s="1"/>
  <c r="BF73" i="42"/>
  <c r="BF72" i="42"/>
  <c r="BF55" i="42"/>
  <c r="BF54" i="42"/>
  <c r="BF153" i="47"/>
  <c r="BG147" i="47" s="1"/>
  <c r="BF37" i="42"/>
  <c r="BF36" i="42"/>
  <c r="BE81" i="42" l="1"/>
  <c r="BF129" i="47"/>
  <c r="BG136" i="47"/>
  <c r="BE45" i="42"/>
  <c r="BE79" i="42"/>
  <c r="BG160" i="47"/>
  <c r="BE80" i="42"/>
  <c r="BE26" i="42"/>
  <c r="BF18" i="42"/>
  <c r="BF131" i="47"/>
  <c r="BF114" i="5" s="1"/>
  <c r="BF130" i="47"/>
  <c r="BE44" i="42"/>
  <c r="BE43" i="42"/>
  <c r="BG149" i="47"/>
  <c r="BE62" i="42"/>
  <c r="BE63" i="42"/>
  <c r="BE61" i="42"/>
  <c r="BG161" i="47" l="1"/>
  <c r="BF17" i="42"/>
  <c r="BE25" i="42"/>
  <c r="BG138" i="47"/>
  <c r="BG123" i="47"/>
  <c r="BG146" i="47"/>
  <c r="BG157" i="47"/>
  <c r="BG135" i="47"/>
  <c r="BF24" i="7"/>
  <c r="BF116" i="5"/>
  <c r="BF118" i="5"/>
  <c r="BG150" i="47"/>
  <c r="BE24" i="42" l="1"/>
  <c r="BE108" i="42"/>
  <c r="BF121" i="5"/>
  <c r="BF123" i="5"/>
  <c r="BG139" i="47"/>
  <c r="BG126" i="47" s="1"/>
  <c r="BG113" i="5" s="1"/>
  <c r="BG125" i="47"/>
  <c r="BG12" i="6" l="1"/>
  <c r="BG14" i="6" s="1"/>
  <c r="BG16" i="6" s="1"/>
  <c r="BG136" i="5" s="1"/>
  <c r="BG167" i="5" s="1"/>
  <c r="BF125" i="5"/>
  <c r="BF50" i="6" s="1"/>
  <c r="BG27" i="6"/>
  <c r="BG59" i="6" s="1"/>
  <c r="BF126" i="5" l="1"/>
  <c r="BF128" i="5"/>
  <c r="BF129" i="5" s="1"/>
  <c r="BF15" i="42" s="1"/>
  <c r="BF20" i="42" s="1"/>
  <c r="BF130" i="5" l="1"/>
  <c r="BE27" i="42"/>
  <c r="BF21" i="42"/>
  <c r="BE28" i="42" l="1"/>
  <c r="BE29" i="42" s="1"/>
  <c r="BE110" i="42"/>
  <c r="BE111" i="42" s="1"/>
  <c r="BE113" i="42" s="1"/>
  <c r="BF155" i="5"/>
  <c r="BF154" i="5" s="1"/>
  <c r="BF132" i="5"/>
  <c r="BF56" i="42"/>
  <c r="BE64" i="42" s="1"/>
  <c r="BE66" i="42" s="1"/>
  <c r="BF14" i="42"/>
  <c r="BF57" i="42" s="1"/>
  <c r="BF157" i="5" l="1"/>
  <c r="BF49" i="6"/>
  <c r="BF52" i="6" s="1"/>
  <c r="BF144" i="5"/>
  <c r="BG28" i="6" s="1"/>
  <c r="BF58" i="42"/>
  <c r="BF75" i="42"/>
  <c r="BE83" i="42" s="1"/>
  <c r="BE85" i="42" s="1"/>
  <c r="BF74" i="42"/>
  <c r="BE82" i="42" s="1"/>
  <c r="BE84" i="42" s="1"/>
  <c r="BF39" i="42"/>
  <c r="BE47" i="42" s="1"/>
  <c r="BE49" i="42" s="1"/>
  <c r="BF38" i="42"/>
  <c r="BF40" i="42" s="1"/>
  <c r="BF23" i="7"/>
  <c r="BF20" i="7" s="1"/>
  <c r="BE65" i="42"/>
  <c r="BE67" i="42" s="1"/>
  <c r="BF29" i="7" l="1"/>
  <c r="BF31" i="7" s="1"/>
  <c r="BG20" i="6"/>
  <c r="BG21" i="6" s="1"/>
  <c r="BG76" i="5" s="1"/>
  <c r="BG79" i="5" s="1"/>
  <c r="BF145" i="5"/>
  <c r="BF15" i="7"/>
  <c r="BF17" i="7" s="1"/>
  <c r="BE46" i="42"/>
  <c r="BE48" i="42" s="1"/>
  <c r="BF76" i="42"/>
  <c r="BF41" i="7"/>
  <c r="BF39" i="7"/>
  <c r="BF44" i="7"/>
  <c r="BF45" i="7" s="1"/>
  <c r="BF56" i="6" s="1"/>
  <c r="BG30" i="6" l="1"/>
  <c r="BG32" i="6" s="1"/>
  <c r="BG46" i="6" s="1"/>
  <c r="BG117" i="5" s="1"/>
  <c r="BG153" i="5" s="1"/>
  <c r="BG135" i="5"/>
  <c r="BF58" i="6"/>
  <c r="BF57" i="6"/>
  <c r="BF36" i="7"/>
  <c r="BF38" i="7" s="1"/>
  <c r="BF33" i="7"/>
  <c r="BG142" i="5"/>
  <c r="BG49" i="54"/>
  <c r="BG141" i="5"/>
  <c r="BG81" i="5"/>
  <c r="BG82" i="5" s="1"/>
  <c r="BG90" i="5" s="1"/>
  <c r="BG120" i="5" l="1"/>
  <c r="BG147" i="5"/>
  <c r="BG48" i="6"/>
  <c r="BG152" i="5"/>
  <c r="BG92" i="5"/>
  <c r="BG91" i="5"/>
  <c r="BG12" i="7" s="1"/>
  <c r="BF54" i="6"/>
  <c r="BF34" i="6" s="1"/>
  <c r="BF35" i="6" s="1"/>
  <c r="BG94" i="5" l="1"/>
  <c r="BG96" i="5" s="1"/>
  <c r="BG97" i="5" s="1"/>
  <c r="BG104" i="5" s="1"/>
  <c r="BG36" i="6"/>
  <c r="BG37" i="6" s="1"/>
  <c r="BF41" i="6"/>
  <c r="BG22" i="7"/>
  <c r="BH151" i="5"/>
  <c r="BH149" i="5" l="1"/>
  <c r="BF43" i="6"/>
  <c r="BF37" i="54" s="1"/>
  <c r="BG38" i="6"/>
  <c r="BG39" i="6" s="1"/>
  <c r="BG105" i="5"/>
  <c r="BG106" i="5"/>
  <c r="BG108" i="5" l="1"/>
  <c r="BG109" i="5" s="1"/>
  <c r="BG112" i="5" s="1"/>
  <c r="BH19" i="6"/>
  <c r="BH101" i="5"/>
  <c r="BG13" i="7"/>
  <c r="BG110" i="5" l="1"/>
  <c r="BG14" i="7" s="1"/>
  <c r="BG118" i="47"/>
  <c r="BH103" i="5"/>
  <c r="BG119" i="47" l="1"/>
  <c r="BG120" i="47"/>
  <c r="BG162" i="47" l="1"/>
  <c r="BG151" i="47"/>
  <c r="BG140" i="47"/>
  <c r="BG163" i="47"/>
  <c r="BG152" i="47"/>
  <c r="BG141" i="47"/>
  <c r="BG128" i="47" l="1"/>
  <c r="BG19" i="42" s="1"/>
  <c r="BG109" i="42" s="1"/>
  <c r="BG73" i="42"/>
  <c r="BG72" i="42"/>
  <c r="BG71" i="42"/>
  <c r="BG127" i="47"/>
  <c r="BG142" i="47"/>
  <c r="BG143" i="47"/>
  <c r="BG35" i="42"/>
  <c r="BG154" i="47"/>
  <c r="BG153" i="47"/>
  <c r="BH147" i="47" s="1"/>
  <c r="BG37" i="42"/>
  <c r="BG36" i="42"/>
  <c r="BG55" i="42"/>
  <c r="BG54" i="42"/>
  <c r="BG53" i="42"/>
  <c r="BG164" i="47"/>
  <c r="BH158" i="47" s="1"/>
  <c r="BG165" i="47"/>
  <c r="BF44" i="42" l="1"/>
  <c r="BG18" i="42"/>
  <c r="BG131" i="47"/>
  <c r="BG114" i="5" s="1"/>
  <c r="BG130" i="47"/>
  <c r="BF45" i="42"/>
  <c r="BF81" i="42"/>
  <c r="BH149" i="47"/>
  <c r="BF43" i="42"/>
  <c r="BH136" i="47"/>
  <c r="BG129" i="47"/>
  <c r="BH160" i="47"/>
  <c r="BF79" i="42"/>
  <c r="BF61" i="42"/>
  <c r="BF80" i="42"/>
  <c r="BF62" i="42"/>
  <c r="BF63" i="42"/>
  <c r="BF26" i="42"/>
  <c r="BH150" i="47" l="1"/>
  <c r="BG116" i="5"/>
  <c r="BG118" i="5"/>
  <c r="BG17" i="42"/>
  <c r="BF25" i="42"/>
  <c r="BH161" i="47"/>
  <c r="BH135" i="47"/>
  <c r="BH157" i="47"/>
  <c r="BG24" i="7"/>
  <c r="BH146" i="47"/>
  <c r="BH123" i="47"/>
  <c r="BH138" i="47"/>
  <c r="BF24" i="42" l="1"/>
  <c r="BF108" i="42"/>
  <c r="BG121" i="5"/>
  <c r="BG123" i="5"/>
  <c r="BH139" i="47"/>
  <c r="BH126" i="47" s="1"/>
  <c r="BH113" i="5" s="1"/>
  <c r="BH125" i="47"/>
  <c r="BH12" i="6" l="1"/>
  <c r="BH14" i="6" s="1"/>
  <c r="BH16" i="6" s="1"/>
  <c r="BH136" i="5" s="1"/>
  <c r="BH167" i="5" s="1"/>
  <c r="BG125" i="5"/>
  <c r="BG128" i="5" s="1"/>
  <c r="BG129" i="5" s="1"/>
  <c r="BH27" i="6"/>
  <c r="BH59" i="6" s="1"/>
  <c r="BG50" i="6" l="1"/>
  <c r="BG126" i="5"/>
  <c r="BG15" i="42"/>
  <c r="BG20" i="42" s="1"/>
  <c r="BG130" i="5"/>
  <c r="BG14" i="42" l="1"/>
  <c r="BG56" i="42"/>
  <c r="BG155" i="5"/>
  <c r="BG132" i="5"/>
  <c r="BF27" i="42"/>
  <c r="BG21" i="42"/>
  <c r="BF28" i="42" l="1"/>
  <c r="BF29" i="42" s="1"/>
  <c r="BF110" i="42"/>
  <c r="BF111" i="42" s="1"/>
  <c r="BF113" i="42" s="1"/>
  <c r="BG144" i="5"/>
  <c r="BG145" i="5" s="1"/>
  <c r="BG49" i="6"/>
  <c r="BG52" i="6" s="1"/>
  <c r="BG154" i="5"/>
  <c r="BG157" i="5"/>
  <c r="BF64" i="42"/>
  <c r="BF66" i="42" s="1"/>
  <c r="BG58" i="42"/>
  <c r="BG75" i="42"/>
  <c r="BG39" i="42"/>
  <c r="BG38" i="42"/>
  <c r="BG57" i="42"/>
  <c r="BG74" i="42"/>
  <c r="BH20" i="6" l="1"/>
  <c r="BH21" i="6" s="1"/>
  <c r="BG29" i="7"/>
  <c r="BH28" i="6"/>
  <c r="BG15" i="7"/>
  <c r="BG17" i="7" s="1"/>
  <c r="BF46" i="42"/>
  <c r="BF48" i="42" s="1"/>
  <c r="BG40" i="42"/>
  <c r="BG23" i="7"/>
  <c r="BG20" i="7" s="1"/>
  <c r="BF82" i="42"/>
  <c r="BF84" i="42" s="1"/>
  <c r="BG76" i="42"/>
  <c r="BF65" i="42"/>
  <c r="BF67" i="42" s="1"/>
  <c r="BF47" i="42"/>
  <c r="BF49" i="42" s="1"/>
  <c r="BF83" i="42"/>
  <c r="BF85" i="42" s="1"/>
  <c r="BH76" i="5" l="1"/>
  <c r="BH79" i="5" s="1"/>
  <c r="BH30" i="6"/>
  <c r="BH32" i="6" s="1"/>
  <c r="BH46" i="6" s="1"/>
  <c r="BG39" i="7"/>
  <c r="BG41" i="7"/>
  <c r="BG31" i="7"/>
  <c r="BG44" i="7"/>
  <c r="BG45" i="7" s="1"/>
  <c r="BG56" i="6" s="1"/>
  <c r="BH135" i="5" l="1"/>
  <c r="BG36" i="7"/>
  <c r="BG38" i="7" s="1"/>
  <c r="BG33" i="7"/>
  <c r="BG58" i="6"/>
  <c r="BG57" i="6"/>
  <c r="BH147" i="5"/>
  <c r="BH117" i="5"/>
  <c r="BH142" i="5"/>
  <c r="BH141" i="5"/>
  <c r="BH49" i="54"/>
  <c r="BH81" i="5"/>
  <c r="BH82" i="5" s="1"/>
  <c r="BH90" i="5" s="1"/>
  <c r="BG54" i="6" l="1"/>
  <c r="BG34" i="6" s="1"/>
  <c r="BG35" i="6" s="1"/>
  <c r="BH36" i="6" s="1"/>
  <c r="BH37" i="6" s="1"/>
  <c r="BH92" i="5"/>
  <c r="BH91" i="5"/>
  <c r="BH12" i="7" s="1"/>
  <c r="BH120" i="5"/>
  <c r="BH153" i="5"/>
  <c r="BH94" i="5" l="1"/>
  <c r="BH96" i="5" s="1"/>
  <c r="BH97" i="5" s="1"/>
  <c r="BH104" i="5" s="1"/>
  <c r="BG41" i="6"/>
  <c r="BG43" i="6" s="1"/>
  <c r="BG37" i="54" s="1"/>
  <c r="BH48" i="6"/>
  <c r="BH152" i="5"/>
  <c r="BH38" i="6"/>
  <c r="BH39" i="6" s="1"/>
  <c r="BH106" i="5" l="1"/>
  <c r="BH108" i="5" s="1"/>
  <c r="BH105" i="5"/>
  <c r="BH22" i="7"/>
  <c r="BI151" i="5"/>
  <c r="BI149" i="5" l="1"/>
  <c r="BI19" i="6"/>
  <c r="BH13" i="7"/>
  <c r="BI101" i="5"/>
  <c r="BH109" i="5"/>
  <c r="BH112" i="5" s="1"/>
  <c r="BI103" i="5" l="1"/>
  <c r="BH118" i="47"/>
  <c r="BH110" i="5"/>
  <c r="BH14" i="7" s="1"/>
  <c r="BH119" i="47" l="1"/>
  <c r="BH120" i="47"/>
  <c r="BH162" i="47" l="1"/>
  <c r="BH140" i="47"/>
  <c r="BH151" i="47"/>
  <c r="BH163" i="47"/>
  <c r="BH152" i="47"/>
  <c r="BH141" i="47"/>
  <c r="BH128" i="47" l="1"/>
  <c r="BH19" i="42" s="1"/>
  <c r="BH109" i="42" s="1"/>
  <c r="BH73" i="42"/>
  <c r="BH72" i="42"/>
  <c r="BH153" i="47"/>
  <c r="BI147" i="47" s="1"/>
  <c r="BH37" i="42"/>
  <c r="BH36" i="42"/>
  <c r="BH55" i="42"/>
  <c r="BH54" i="42"/>
  <c r="BH35" i="42"/>
  <c r="BH154" i="47"/>
  <c r="BH71" i="42"/>
  <c r="BH127" i="47"/>
  <c r="BH142" i="47"/>
  <c r="BH143" i="47"/>
  <c r="BH53" i="42"/>
  <c r="BH164" i="47"/>
  <c r="BI158" i="47" s="1"/>
  <c r="BH165" i="47"/>
  <c r="BG44" i="42" l="1"/>
  <c r="BG79" i="42"/>
  <c r="BG43" i="42"/>
  <c r="BG63" i="42"/>
  <c r="BG45" i="42"/>
  <c r="BI160" i="47"/>
  <c r="BG81" i="42"/>
  <c r="BH18" i="42"/>
  <c r="BH131" i="47"/>
  <c r="BH114" i="5" s="1"/>
  <c r="BH130" i="47"/>
  <c r="BG62" i="42"/>
  <c r="BI149" i="47"/>
  <c r="BG61" i="42"/>
  <c r="BG80" i="42"/>
  <c r="BH129" i="47"/>
  <c r="BI136" i="47"/>
  <c r="BG26" i="42"/>
  <c r="BI150" i="47" l="1"/>
  <c r="BH24" i="7"/>
  <c r="BI135" i="47"/>
  <c r="BI157" i="47"/>
  <c r="BI146" i="47"/>
  <c r="BI123" i="47"/>
  <c r="BI138" i="47"/>
  <c r="BH116" i="5"/>
  <c r="BH118" i="5"/>
  <c r="BH17" i="42"/>
  <c r="BG25" i="42"/>
  <c r="BI161" i="47"/>
  <c r="BG24" i="42" l="1"/>
  <c r="BG108" i="42"/>
  <c r="BI139" i="47"/>
  <c r="BI126" i="47" s="1"/>
  <c r="BI113" i="5" s="1"/>
  <c r="BI125" i="47"/>
  <c r="BH121" i="5"/>
  <c r="BH123" i="5"/>
  <c r="BI12" i="6" l="1"/>
  <c r="BI14" i="6" s="1"/>
  <c r="BI16" i="6" s="1"/>
  <c r="BI136" i="5" s="1"/>
  <c r="BI167" i="5" s="1"/>
  <c r="BH125" i="5"/>
  <c r="BH126" i="5" s="1"/>
  <c r="BI27" i="6"/>
  <c r="BI59" i="6" s="1"/>
  <c r="BH50" i="6" l="1"/>
  <c r="BH128" i="5"/>
  <c r="BH129" i="5" s="1"/>
  <c r="BH130" i="5" s="1"/>
  <c r="BH15" i="42" l="1"/>
  <c r="BH20" i="42" s="1"/>
  <c r="BH21" i="42" s="1"/>
  <c r="BH14" i="42"/>
  <c r="BH56" i="42"/>
  <c r="BH155" i="5"/>
  <c r="BH132" i="5"/>
  <c r="BH144" i="5" l="1"/>
  <c r="BI20" i="6" s="1"/>
  <c r="BG27" i="42"/>
  <c r="BG64" i="42"/>
  <c r="BG66" i="42" s="1"/>
  <c r="BH58" i="42"/>
  <c r="BH49" i="6"/>
  <c r="BH52" i="6" s="1"/>
  <c r="BH154" i="5"/>
  <c r="BH157" i="5"/>
  <c r="BH74" i="42"/>
  <c r="BH75" i="42"/>
  <c r="BH38" i="42"/>
  <c r="BH57" i="42"/>
  <c r="BH39" i="42"/>
  <c r="BH145" i="5" l="1"/>
  <c r="BI28" i="6"/>
  <c r="BH29" i="7"/>
  <c r="BH15" i="7"/>
  <c r="BH17" i="7" s="1"/>
  <c r="BG28" i="42"/>
  <c r="BG29" i="42" s="1"/>
  <c r="BG110" i="42"/>
  <c r="BG111" i="42" s="1"/>
  <c r="BG113" i="42" s="1"/>
  <c r="BH23" i="7"/>
  <c r="BH20" i="7" s="1"/>
  <c r="BG65" i="42"/>
  <c r="BG67" i="42" s="1"/>
  <c r="BG46" i="42"/>
  <c r="BG48" i="42" s="1"/>
  <c r="BH40" i="42"/>
  <c r="BI21" i="6"/>
  <c r="BG47" i="42"/>
  <c r="BG49" i="42" s="1"/>
  <c r="BG83" i="42"/>
  <c r="BG85" i="42" s="1"/>
  <c r="BG82" i="42"/>
  <c r="BG84" i="42" s="1"/>
  <c r="BH76" i="42"/>
  <c r="BI76" i="5" l="1"/>
  <c r="BI79" i="5" s="1"/>
  <c r="BI30" i="6"/>
  <c r="BI32" i="6" s="1"/>
  <c r="BI46" i="6" s="1"/>
  <c r="BI117" i="5" s="1"/>
  <c r="BH41" i="7"/>
  <c r="BH31" i="7"/>
  <c r="BH39" i="7"/>
  <c r="BH44" i="7"/>
  <c r="BH45" i="7" s="1"/>
  <c r="BH56" i="6" s="1"/>
  <c r="BI135" i="5" l="1"/>
  <c r="BI147" i="5"/>
  <c r="BH36" i="7"/>
  <c r="BH38" i="7" s="1"/>
  <c r="BH33" i="7"/>
  <c r="BH58" i="6"/>
  <c r="BH57" i="6"/>
  <c r="BI120" i="5"/>
  <c r="BI153" i="5"/>
  <c r="BI49" i="54"/>
  <c r="BI141" i="5"/>
  <c r="BI142" i="5"/>
  <c r="BI81" i="5"/>
  <c r="BI82" i="5" s="1"/>
  <c r="BI90" i="5" s="1"/>
  <c r="BI48" i="6" l="1"/>
  <c r="BI152" i="5"/>
  <c r="BH54" i="6"/>
  <c r="BH34" i="6" s="1"/>
  <c r="BH35" i="6" s="1"/>
  <c r="BI92" i="5"/>
  <c r="BI91" i="5"/>
  <c r="BI12" i="7" s="1"/>
  <c r="BI94" i="5" l="1"/>
  <c r="BI96" i="5" s="1"/>
  <c r="BI97" i="5" s="1"/>
  <c r="BI104" i="5" s="1"/>
  <c r="BI36" i="6"/>
  <c r="BI37" i="6" s="1"/>
  <c r="BH41" i="6"/>
  <c r="BI22" i="7"/>
  <c r="BJ151" i="5"/>
  <c r="BH43" i="6" l="1"/>
  <c r="BH37" i="54" s="1"/>
  <c r="BJ149" i="5"/>
  <c r="BI38" i="6"/>
  <c r="BI39" i="6" s="1"/>
  <c r="BI105" i="5"/>
  <c r="BI106" i="5"/>
  <c r="BI108" i="5" l="1"/>
  <c r="BI109" i="5" s="1"/>
  <c r="BI112" i="5" s="1"/>
  <c r="BI13" i="7"/>
  <c r="BJ19" i="6"/>
  <c r="BJ101" i="5"/>
  <c r="BJ103" i="5" l="1"/>
  <c r="BI118" i="47"/>
  <c r="BI110" i="5"/>
  <c r="BI14" i="7" s="1"/>
  <c r="BI120" i="47" l="1"/>
  <c r="BI119" i="47"/>
  <c r="BI152" i="47" l="1"/>
  <c r="BI163" i="47"/>
  <c r="BI141" i="47"/>
  <c r="BI162" i="47"/>
  <c r="BI140" i="47"/>
  <c r="BI151" i="47"/>
  <c r="BI35" i="42" l="1"/>
  <c r="BI154" i="47"/>
  <c r="BI71" i="42"/>
  <c r="BI127" i="47"/>
  <c r="BI142" i="47"/>
  <c r="BI143" i="47"/>
  <c r="BI53" i="42"/>
  <c r="BI164" i="47"/>
  <c r="BJ158" i="47" s="1"/>
  <c r="BI165" i="47"/>
  <c r="BI128" i="47"/>
  <c r="BI19" i="42" s="1"/>
  <c r="BI109" i="42" s="1"/>
  <c r="BI73" i="42"/>
  <c r="BI72" i="42"/>
  <c r="BI54" i="42"/>
  <c r="BI55" i="42"/>
  <c r="BI153" i="47"/>
  <c r="BJ147" i="47" s="1"/>
  <c r="BI37" i="42"/>
  <c r="BI36" i="42"/>
  <c r="BH26" i="42" l="1"/>
  <c r="BJ160" i="47"/>
  <c r="BH45" i="42"/>
  <c r="BH81" i="42"/>
  <c r="BI18" i="42"/>
  <c r="BI131" i="47"/>
  <c r="BI114" i="5" s="1"/>
  <c r="BI130" i="47"/>
  <c r="BH61" i="42"/>
  <c r="BH80" i="42"/>
  <c r="BH44" i="42"/>
  <c r="BJ136" i="47"/>
  <c r="BI129" i="47"/>
  <c r="BJ149" i="47"/>
  <c r="BH79" i="42"/>
  <c r="BH63" i="42"/>
  <c r="BH62" i="42"/>
  <c r="BH43" i="42"/>
  <c r="BI116" i="5" l="1"/>
  <c r="BI118" i="5"/>
  <c r="BJ138" i="47"/>
  <c r="BJ123" i="47"/>
  <c r="BI17" i="42"/>
  <c r="BH25" i="42"/>
  <c r="BJ146" i="47"/>
  <c r="BI24" i="7"/>
  <c r="BJ157" i="47"/>
  <c r="BJ135" i="47"/>
  <c r="BJ150" i="47"/>
  <c r="BJ161" i="47"/>
  <c r="BH24" i="42" l="1"/>
  <c r="BH108" i="42"/>
  <c r="BI121" i="5"/>
  <c r="BI123" i="5"/>
  <c r="BJ139" i="47"/>
  <c r="BJ126" i="47" s="1"/>
  <c r="BJ113" i="5" s="1"/>
  <c r="BJ125" i="47"/>
  <c r="BJ12" i="6" l="1"/>
  <c r="BJ14" i="6" s="1"/>
  <c r="BJ16" i="6" s="1"/>
  <c r="BJ136" i="5" s="1"/>
  <c r="BJ167" i="5" s="1"/>
  <c r="BI125" i="5"/>
  <c r="BI50" i="6" s="1"/>
  <c r="BJ27" i="6"/>
  <c r="BJ59" i="6" s="1"/>
  <c r="BI128" i="5" l="1"/>
  <c r="BI129" i="5" s="1"/>
  <c r="BI130" i="5" s="1"/>
  <c r="BI126" i="5"/>
  <c r="BI15" i="42" l="1"/>
  <c r="BI20" i="42" s="1"/>
  <c r="BH27" i="42" s="1"/>
  <c r="BI56" i="42"/>
  <c r="BI14" i="42"/>
  <c r="BI155" i="5"/>
  <c r="BI132" i="5"/>
  <c r="BH28" i="42" l="1"/>
  <c r="BH29" i="42" s="1"/>
  <c r="BH110" i="42"/>
  <c r="BH111" i="42" s="1"/>
  <c r="BH113" i="42" s="1"/>
  <c r="BI144" i="5"/>
  <c r="BI145" i="5" s="1"/>
  <c r="BI21" i="42"/>
  <c r="BI49" i="6"/>
  <c r="BI52" i="6" s="1"/>
  <c r="BI154" i="5"/>
  <c r="BI157" i="5"/>
  <c r="BI74" i="42"/>
  <c r="BI38" i="42"/>
  <c r="BI39" i="42"/>
  <c r="BI75" i="42"/>
  <c r="BI57" i="42"/>
  <c r="BH64" i="42"/>
  <c r="BH66" i="42" s="1"/>
  <c r="BI58" i="42"/>
  <c r="BI29" i="7" l="1"/>
  <c r="BJ28" i="6"/>
  <c r="BJ20" i="6"/>
  <c r="BJ21" i="6" s="1"/>
  <c r="BI15" i="7"/>
  <c r="BI17" i="7" s="1"/>
  <c r="BH82" i="42"/>
  <c r="BH84" i="42" s="1"/>
  <c r="BI76" i="42"/>
  <c r="BH46" i="42"/>
  <c r="BH48" i="42" s="1"/>
  <c r="BI40" i="42"/>
  <c r="BI23" i="7"/>
  <c r="BI20" i="7" s="1"/>
  <c r="BH65" i="42"/>
  <c r="BH67" i="42" s="1"/>
  <c r="BH83" i="42"/>
  <c r="BH85" i="42" s="1"/>
  <c r="BH47" i="42"/>
  <c r="BH49" i="42" s="1"/>
  <c r="BJ30" i="6" l="1"/>
  <c r="BJ32" i="6" s="1"/>
  <c r="BJ46" i="6" s="1"/>
  <c r="BJ147" i="5" s="1"/>
  <c r="BJ76" i="5"/>
  <c r="BI31" i="7"/>
  <c r="BI39" i="7"/>
  <c r="BI41" i="7"/>
  <c r="BI44" i="7"/>
  <c r="BI45" i="7" s="1"/>
  <c r="BI56" i="6" s="1"/>
  <c r="BJ117" i="5" l="1"/>
  <c r="BJ120" i="5" s="1"/>
  <c r="BJ135" i="5"/>
  <c r="BJ79" i="5"/>
  <c r="BJ49" i="54" s="1"/>
  <c r="BI57" i="6"/>
  <c r="BI58" i="6"/>
  <c r="BI36" i="7"/>
  <c r="BI38" i="7" s="1"/>
  <c r="BI33" i="7"/>
  <c r="BJ153" i="5" l="1"/>
  <c r="BJ48" i="6" s="1"/>
  <c r="BJ81" i="5"/>
  <c r="BJ82" i="5" s="1"/>
  <c r="BJ90" i="5" s="1"/>
  <c r="BJ92" i="5" s="1"/>
  <c r="BJ141" i="5"/>
  <c r="BJ142" i="5"/>
  <c r="BI54" i="6"/>
  <c r="BI34" i="6" s="1"/>
  <c r="BI35" i="6" s="1"/>
  <c r="BJ152" i="5" l="1"/>
  <c r="BK151" i="5" s="1"/>
  <c r="BJ94" i="5"/>
  <c r="BJ96" i="5" s="1"/>
  <c r="BJ97" i="5" s="1"/>
  <c r="BJ104" i="5" s="1"/>
  <c r="BJ91" i="5"/>
  <c r="BJ12" i="7" s="1"/>
  <c r="BJ36" i="6"/>
  <c r="BJ37" i="6" s="1"/>
  <c r="BI41" i="6"/>
  <c r="BJ22" i="7" l="1"/>
  <c r="BJ38" i="6"/>
  <c r="BJ39" i="6" s="1"/>
  <c r="BJ105" i="5"/>
  <c r="BJ106" i="5"/>
  <c r="BJ108" i="5" s="1"/>
  <c r="BI43" i="6"/>
  <c r="BI37" i="54" s="1"/>
  <c r="BK149" i="5" l="1"/>
  <c r="BK101" i="5"/>
  <c r="BJ13" i="7"/>
  <c r="BK19" i="6"/>
  <c r="BJ109" i="5"/>
  <c r="BJ112" i="5" s="1"/>
  <c r="BJ110" i="5" l="1"/>
  <c r="BJ14" i="7" s="1"/>
  <c r="BJ118" i="47"/>
  <c r="BK103" i="5"/>
  <c r="BJ120" i="47" l="1"/>
  <c r="BJ119" i="47"/>
  <c r="BJ152" i="47" l="1"/>
  <c r="BJ163" i="47"/>
  <c r="BJ141" i="47"/>
  <c r="BJ140" i="47"/>
  <c r="BJ162" i="47"/>
  <c r="BJ151" i="47"/>
  <c r="BJ35" i="42" l="1"/>
  <c r="BJ154" i="47"/>
  <c r="BJ53" i="42"/>
  <c r="BJ164" i="47"/>
  <c r="BK158" i="47" s="1"/>
  <c r="BJ165" i="47"/>
  <c r="BJ71" i="42"/>
  <c r="BJ127" i="47"/>
  <c r="BJ142" i="47"/>
  <c r="BJ143" i="47"/>
  <c r="BJ128" i="47"/>
  <c r="BJ19" i="42" s="1"/>
  <c r="BJ109" i="42" s="1"/>
  <c r="BJ73" i="42"/>
  <c r="BJ72" i="42"/>
  <c r="BJ55" i="42"/>
  <c r="BJ54" i="42"/>
  <c r="BJ153" i="47"/>
  <c r="BK147" i="47" s="1"/>
  <c r="BJ37" i="42"/>
  <c r="BJ36" i="42"/>
  <c r="BI81" i="42" l="1"/>
  <c r="BJ129" i="47"/>
  <c r="BK136" i="47"/>
  <c r="BI79" i="42"/>
  <c r="BI80" i="42"/>
  <c r="BK160" i="47"/>
  <c r="BI62" i="42"/>
  <c r="BI26" i="42"/>
  <c r="BJ18" i="42"/>
  <c r="BJ131" i="47"/>
  <c r="BJ114" i="5" s="1"/>
  <c r="BJ130" i="47"/>
  <c r="BI44" i="42"/>
  <c r="BI45" i="42"/>
  <c r="BK149" i="47"/>
  <c r="BI61" i="42"/>
  <c r="BI63" i="42"/>
  <c r="BI43" i="42"/>
  <c r="BK161" i="47" l="1"/>
  <c r="BK150" i="47"/>
  <c r="BK138" i="47"/>
  <c r="BK123" i="47"/>
  <c r="BK157" i="47"/>
  <c r="BJ24" i="7"/>
  <c r="BK146" i="47"/>
  <c r="BK135" i="47"/>
  <c r="BJ116" i="5"/>
  <c r="BJ118" i="5"/>
  <c r="BJ17" i="42"/>
  <c r="BI25" i="42"/>
  <c r="BI24" i="42" l="1"/>
  <c r="BI108" i="42"/>
  <c r="BJ121" i="5"/>
  <c r="BJ123" i="5"/>
  <c r="BK139" i="47"/>
  <c r="BK126" i="47" s="1"/>
  <c r="BK113" i="5" s="1"/>
  <c r="BK125" i="47"/>
  <c r="BK12" i="6" l="1"/>
  <c r="BK14" i="6" s="1"/>
  <c r="BK16" i="6" s="1"/>
  <c r="BK136" i="5" s="1"/>
  <c r="BK167" i="5" s="1"/>
  <c r="BJ125" i="5"/>
  <c r="BJ128" i="5" s="1"/>
  <c r="BJ129" i="5" s="1"/>
  <c r="BK27" i="6"/>
  <c r="BK59" i="6" s="1"/>
  <c r="BJ126" i="5" l="1"/>
  <c r="BJ50" i="6"/>
  <c r="BJ15" i="42"/>
  <c r="BJ20" i="42" s="1"/>
  <c r="BJ130" i="5"/>
  <c r="BJ14" i="42" l="1"/>
  <c r="BJ56" i="42"/>
  <c r="BJ155" i="5"/>
  <c r="BJ132" i="5"/>
  <c r="BI27" i="42"/>
  <c r="BJ21" i="42"/>
  <c r="BI28" i="42" l="1"/>
  <c r="BI29" i="42" s="1"/>
  <c r="BI110" i="42"/>
  <c r="BI111" i="42" s="1"/>
  <c r="BI113" i="42" s="1"/>
  <c r="BJ144" i="5"/>
  <c r="BK28" i="6" s="1"/>
  <c r="BJ49" i="6"/>
  <c r="BJ52" i="6" s="1"/>
  <c r="BJ154" i="5"/>
  <c r="BJ157" i="5"/>
  <c r="BI64" i="42"/>
  <c r="BI66" i="42" s="1"/>
  <c r="BJ58" i="42"/>
  <c r="BJ57" i="42"/>
  <c r="BJ38" i="42"/>
  <c r="BJ74" i="42"/>
  <c r="BJ39" i="42"/>
  <c r="BJ75" i="42"/>
  <c r="BJ29" i="7" l="1"/>
  <c r="BK20" i="6"/>
  <c r="BK21" i="6" s="1"/>
  <c r="BK30" i="6" s="1"/>
  <c r="BK32" i="6" s="1"/>
  <c r="BK46" i="6" s="1"/>
  <c r="BJ15" i="7"/>
  <c r="BJ17" i="7" s="1"/>
  <c r="BJ145" i="5"/>
  <c r="BI82" i="42"/>
  <c r="BI84" i="42" s="1"/>
  <c r="BJ76" i="42"/>
  <c r="BI46" i="42"/>
  <c r="BI48" i="42" s="1"/>
  <c r="BJ40" i="42"/>
  <c r="BJ23" i="7"/>
  <c r="BJ20" i="7" s="1"/>
  <c r="BI83" i="42"/>
  <c r="BI85" i="42" s="1"/>
  <c r="BI47" i="42"/>
  <c r="BI49" i="42" s="1"/>
  <c r="BI65" i="42"/>
  <c r="BI67" i="42" s="1"/>
  <c r="BK76" i="5" l="1"/>
  <c r="BK147" i="5"/>
  <c r="BK117" i="5"/>
  <c r="BJ31" i="7"/>
  <c r="BJ41" i="7"/>
  <c r="BJ39" i="7"/>
  <c r="BJ44" i="7"/>
  <c r="BJ45" i="7" s="1"/>
  <c r="BJ56" i="6" s="1"/>
  <c r="BK79" i="5" l="1"/>
  <c r="BK49" i="54" s="1"/>
  <c r="BK135" i="5"/>
  <c r="BJ57" i="6"/>
  <c r="BJ58" i="6"/>
  <c r="BJ36" i="7"/>
  <c r="BJ38" i="7" s="1"/>
  <c r="BJ33" i="7"/>
  <c r="BK153" i="5"/>
  <c r="BK120" i="5"/>
  <c r="BK142" i="5" l="1"/>
  <c r="BK81" i="5"/>
  <c r="BK82" i="5" s="1"/>
  <c r="BK90" i="5" s="1"/>
  <c r="BK92" i="5" s="1"/>
  <c r="BK141" i="5"/>
  <c r="BK48" i="6"/>
  <c r="BK152" i="5"/>
  <c r="BJ54" i="6"/>
  <c r="BJ34" i="6" s="1"/>
  <c r="BJ35" i="6" s="1"/>
  <c r="BK91" i="5" l="1"/>
  <c r="BK12" i="7" s="1"/>
  <c r="BK94" i="5"/>
  <c r="BK96" i="5" s="1"/>
  <c r="BK97" i="5" s="1"/>
  <c r="BK104" i="5" s="1"/>
  <c r="BK36" i="6"/>
  <c r="BK37" i="6" s="1"/>
  <c r="BJ41" i="6"/>
  <c r="BK22" i="7"/>
  <c r="BL151" i="5"/>
  <c r="BJ43" i="6" l="1"/>
  <c r="BJ37" i="54" s="1"/>
  <c r="BK106" i="5"/>
  <c r="BK105" i="5"/>
  <c r="BL149" i="5"/>
  <c r="BK38" i="6"/>
  <c r="BK39" i="6" s="1"/>
  <c r="BK108" i="5" l="1"/>
  <c r="BK109" i="5" s="1"/>
  <c r="BK112" i="5" s="1"/>
  <c r="BL101" i="5"/>
  <c r="BL19" i="6"/>
  <c r="BK13" i="7"/>
  <c r="BL103" i="5" l="1"/>
  <c r="BK118" i="47"/>
  <c r="BK110" i="5"/>
  <c r="BK14" i="7" s="1"/>
  <c r="BK119" i="47" l="1"/>
  <c r="BK120" i="47"/>
  <c r="BK151" i="47" l="1"/>
  <c r="BK162" i="47"/>
  <c r="BK140" i="47"/>
  <c r="BK163" i="47"/>
  <c r="BK152" i="47"/>
  <c r="BK141" i="47"/>
  <c r="BK128" i="47" l="1"/>
  <c r="BK19" i="42" s="1"/>
  <c r="BK109" i="42" s="1"/>
  <c r="BK73" i="42"/>
  <c r="BK72" i="42"/>
  <c r="BK153" i="47"/>
  <c r="BL147" i="47" s="1"/>
  <c r="BK37" i="42"/>
  <c r="BK36" i="42"/>
  <c r="BK55" i="42"/>
  <c r="BK54" i="42"/>
  <c r="BK127" i="47"/>
  <c r="BK71" i="42"/>
  <c r="BK142" i="47"/>
  <c r="BK143" i="47"/>
  <c r="BK53" i="42"/>
  <c r="BK164" i="47"/>
  <c r="BL158" i="47" s="1"/>
  <c r="BK165" i="47"/>
  <c r="BK35" i="42"/>
  <c r="BK154" i="47"/>
  <c r="BJ79" i="42" l="1"/>
  <c r="BK18" i="42"/>
  <c r="BK131" i="47"/>
  <c r="BK114" i="5" s="1"/>
  <c r="BK130" i="47"/>
  <c r="BJ44" i="42"/>
  <c r="BJ43" i="42"/>
  <c r="BK129" i="47"/>
  <c r="BL136" i="47"/>
  <c r="BJ62" i="42"/>
  <c r="BL160" i="47"/>
  <c r="BJ63" i="42"/>
  <c r="BJ45" i="42"/>
  <c r="BL149" i="47"/>
  <c r="BJ80" i="42"/>
  <c r="BJ81" i="42"/>
  <c r="BJ61" i="42"/>
  <c r="BJ26" i="42"/>
  <c r="BL157" i="47" l="1"/>
  <c r="BK24" i="7"/>
  <c r="BL146" i="47"/>
  <c r="BL135" i="47"/>
  <c r="BL161" i="47"/>
  <c r="BL150" i="47"/>
  <c r="BK116" i="5"/>
  <c r="BK118" i="5"/>
  <c r="BK17" i="42"/>
  <c r="BJ25" i="42"/>
  <c r="BL123" i="47"/>
  <c r="BL138" i="47"/>
  <c r="BJ24" i="42" l="1"/>
  <c r="BJ108" i="42"/>
  <c r="BL125" i="47"/>
  <c r="BL139" i="47"/>
  <c r="BL126" i="47" s="1"/>
  <c r="BL113" i="5" s="1"/>
  <c r="BK121" i="5"/>
  <c r="BK123" i="5"/>
  <c r="BL12" i="6" l="1"/>
  <c r="BL14" i="6" s="1"/>
  <c r="BL16" i="6" s="1"/>
  <c r="BL136" i="5" s="1"/>
  <c r="BL167" i="5" s="1"/>
  <c r="BK125" i="5"/>
  <c r="BK126" i="5" s="1"/>
  <c r="BL27" i="6"/>
  <c r="BL59" i="6" s="1"/>
  <c r="BK128" i="5" l="1"/>
  <c r="BK129" i="5" s="1"/>
  <c r="BK130" i="5" s="1"/>
  <c r="BK50" i="6"/>
  <c r="BK15" i="42" l="1"/>
  <c r="BK20" i="42" s="1"/>
  <c r="BJ27" i="42" s="1"/>
  <c r="BK14" i="42"/>
  <c r="BK56" i="42"/>
  <c r="BK155" i="5"/>
  <c r="BK132" i="5"/>
  <c r="BJ28" i="42" l="1"/>
  <c r="BJ29" i="42" s="1"/>
  <c r="BJ110" i="42"/>
  <c r="BJ111" i="42" s="1"/>
  <c r="BJ113" i="42" s="1"/>
  <c r="BK144" i="5"/>
  <c r="BL28" i="6" s="1"/>
  <c r="BK21" i="42"/>
  <c r="BK49" i="6"/>
  <c r="BK52" i="6" s="1"/>
  <c r="BK154" i="5"/>
  <c r="BK157" i="5"/>
  <c r="BJ64" i="42"/>
  <c r="BJ66" i="42" s="1"/>
  <c r="BK58" i="42"/>
  <c r="BK38" i="42"/>
  <c r="BK74" i="42"/>
  <c r="BK75" i="42"/>
  <c r="BK39" i="42"/>
  <c r="BK57" i="42"/>
  <c r="BK29" i="7" l="1"/>
  <c r="BK15" i="7"/>
  <c r="BK17" i="7" s="1"/>
  <c r="BK145" i="5"/>
  <c r="BL20" i="6"/>
  <c r="BL21" i="6" s="1"/>
  <c r="BL76" i="5" s="1"/>
  <c r="BJ65" i="42"/>
  <c r="BJ67" i="42" s="1"/>
  <c r="BJ47" i="42"/>
  <c r="BJ49" i="42" s="1"/>
  <c r="BK23" i="7"/>
  <c r="BK20" i="7" s="1"/>
  <c r="BJ82" i="42"/>
  <c r="BJ84" i="42" s="1"/>
  <c r="BK76" i="42"/>
  <c r="BJ83" i="42"/>
  <c r="BJ85" i="42" s="1"/>
  <c r="BJ46" i="42"/>
  <c r="BJ48" i="42" s="1"/>
  <c r="BK40" i="42"/>
  <c r="BL79" i="5" l="1"/>
  <c r="BL135" i="5"/>
  <c r="BK31" i="7"/>
  <c r="BK39" i="7"/>
  <c r="BK41" i="7"/>
  <c r="BK44" i="7"/>
  <c r="BK45" i="7" s="1"/>
  <c r="BK56" i="6" s="1"/>
  <c r="BL30" i="6"/>
  <c r="BL32" i="6" s="1"/>
  <c r="BL46" i="6" s="1"/>
  <c r="BL147" i="5" l="1"/>
  <c r="BL117" i="5"/>
  <c r="BK57" i="6"/>
  <c r="BK58" i="6"/>
  <c r="BK33" i="7"/>
  <c r="BK36" i="7"/>
  <c r="BK38" i="7" s="1"/>
  <c r="BL142" i="5"/>
  <c r="BL49" i="54"/>
  <c r="BL141" i="5"/>
  <c r="BL81" i="5"/>
  <c r="BL82" i="5" s="1"/>
  <c r="BL90" i="5" s="1"/>
  <c r="BL92" i="5" l="1"/>
  <c r="BL91" i="5"/>
  <c r="BL12" i="7" s="1"/>
  <c r="BK54" i="6"/>
  <c r="BK34" i="6" s="1"/>
  <c r="BK35" i="6" s="1"/>
  <c r="BL153" i="5"/>
  <c r="BL120" i="5"/>
  <c r="BL94" i="5" l="1"/>
  <c r="BL96" i="5" s="1"/>
  <c r="BL97" i="5" s="1"/>
  <c r="BL104" i="5" s="1"/>
  <c r="BL48" i="6"/>
  <c r="BL152" i="5"/>
  <c r="BL36" i="6"/>
  <c r="BL37" i="6" s="1"/>
  <c r="BK41" i="6"/>
  <c r="BL105" i="5" l="1"/>
  <c r="BL106" i="5"/>
  <c r="BL108" i="5" s="1"/>
  <c r="BK43" i="6"/>
  <c r="BK37" i="54" s="1"/>
  <c r="BL38" i="6"/>
  <c r="BL39" i="6" s="1"/>
  <c r="BM151" i="5"/>
  <c r="BL22" i="7"/>
  <c r="BM149" i="5" l="1"/>
  <c r="BL109" i="5"/>
  <c r="BL112" i="5" s="1"/>
  <c r="BL13" i="7"/>
  <c r="BM19" i="6"/>
  <c r="BM101" i="5"/>
  <c r="BL118" i="47" l="1"/>
  <c r="BM103" i="5"/>
  <c r="BL110" i="5"/>
  <c r="BL14" i="7" s="1"/>
  <c r="BL120" i="47" l="1"/>
  <c r="BL119" i="47"/>
  <c r="BL152" i="47" l="1"/>
  <c r="BL163" i="47"/>
  <c r="BL141" i="47"/>
  <c r="BL140" i="47"/>
  <c r="BL162" i="47"/>
  <c r="BL151" i="47"/>
  <c r="BL35" i="42" l="1"/>
  <c r="BL154" i="47"/>
  <c r="BL53" i="42"/>
  <c r="BL164" i="47"/>
  <c r="BM158" i="47" s="1"/>
  <c r="BL165" i="47"/>
  <c r="BL71" i="42"/>
  <c r="BL127" i="47"/>
  <c r="BL142" i="47"/>
  <c r="BL143" i="47"/>
  <c r="BL128" i="47"/>
  <c r="BL19" i="42" s="1"/>
  <c r="BL109" i="42" s="1"/>
  <c r="BL73" i="42"/>
  <c r="BL72" i="42"/>
  <c r="BL55" i="42"/>
  <c r="BL54" i="42"/>
  <c r="BL153" i="47"/>
  <c r="BM147" i="47" s="1"/>
  <c r="BL37" i="42"/>
  <c r="BL36" i="42"/>
  <c r="BK26" i="42" l="1"/>
  <c r="BL129" i="47"/>
  <c r="BM136" i="47"/>
  <c r="BK79" i="42"/>
  <c r="BK81" i="42"/>
  <c r="BK45" i="42"/>
  <c r="BK62" i="42"/>
  <c r="BK80" i="42"/>
  <c r="BL18" i="42"/>
  <c r="BL131" i="47"/>
  <c r="BL114" i="5" s="1"/>
  <c r="BL130" i="47"/>
  <c r="BK44" i="42"/>
  <c r="BM160" i="47"/>
  <c r="BM149" i="47"/>
  <c r="BK61" i="42"/>
  <c r="BK63" i="42"/>
  <c r="BK43" i="42"/>
  <c r="BM150" i="47" l="1"/>
  <c r="BM161" i="47"/>
  <c r="BM138" i="47"/>
  <c r="BM123" i="47"/>
  <c r="BL116" i="5"/>
  <c r="BL118" i="5"/>
  <c r="BL17" i="42"/>
  <c r="BK25" i="42"/>
  <c r="BM135" i="47"/>
  <c r="BM146" i="47"/>
  <c r="BL24" i="7"/>
  <c r="BM157" i="47"/>
  <c r="BK24" i="42" l="1"/>
  <c r="BK108" i="42"/>
  <c r="BL121" i="5"/>
  <c r="BL123" i="5"/>
  <c r="BM125" i="47"/>
  <c r="BM139" i="47"/>
  <c r="BM126" i="47" s="1"/>
  <c r="BM113" i="5" s="1"/>
  <c r="BM12" i="6" l="1"/>
  <c r="BM14" i="6" s="1"/>
  <c r="BM16" i="6" s="1"/>
  <c r="BM136" i="5" s="1"/>
  <c r="BM167" i="5" s="1"/>
  <c r="BL125" i="5"/>
  <c r="BL126" i="5" s="1"/>
  <c r="BM27" i="6"/>
  <c r="BM59" i="6" s="1"/>
  <c r="BL50" i="6" l="1"/>
  <c r="BL128" i="5"/>
  <c r="BL129" i="5" s="1"/>
  <c r="BL130" i="5" s="1"/>
  <c r="BL15" i="42" l="1"/>
  <c r="BL20" i="42" s="1"/>
  <c r="BL21" i="42" s="1"/>
  <c r="BL14" i="42"/>
  <c r="BL56" i="42"/>
  <c r="BL155" i="5"/>
  <c r="BL132" i="5"/>
  <c r="BL144" i="5" l="1"/>
  <c r="BL15" i="7" s="1"/>
  <c r="BL17" i="7" s="1"/>
  <c r="BK27" i="42"/>
  <c r="BL49" i="6"/>
  <c r="BL52" i="6" s="1"/>
  <c r="BL154" i="5"/>
  <c r="BL157" i="5"/>
  <c r="BK64" i="42"/>
  <c r="BK66" i="42" s="1"/>
  <c r="BL58" i="42"/>
  <c r="BL57" i="42"/>
  <c r="BL75" i="42"/>
  <c r="BL38" i="42"/>
  <c r="BL39" i="42"/>
  <c r="BL74" i="42"/>
  <c r="BM20" i="6" l="1"/>
  <c r="BM21" i="6" s="1"/>
  <c r="BL29" i="7"/>
  <c r="BM28" i="6"/>
  <c r="BL145" i="5"/>
  <c r="BK28" i="42"/>
  <c r="BK29" i="42" s="1"/>
  <c r="BK110" i="42"/>
  <c r="BK111" i="42" s="1"/>
  <c r="BK113" i="42" s="1"/>
  <c r="BL23" i="7"/>
  <c r="BL20" i="7" s="1"/>
  <c r="BK47" i="42"/>
  <c r="BK49" i="42" s="1"/>
  <c r="BK83" i="42"/>
  <c r="BK85" i="42" s="1"/>
  <c r="BK82" i="42"/>
  <c r="BK84" i="42" s="1"/>
  <c r="BL76" i="42"/>
  <c r="BK46" i="42"/>
  <c r="BK48" i="42" s="1"/>
  <c r="BL40" i="42"/>
  <c r="BK65" i="42"/>
  <c r="BK67" i="42" s="1"/>
  <c r="BM76" i="5" l="1"/>
  <c r="BM79" i="5" s="1"/>
  <c r="BM30" i="6"/>
  <c r="BM32" i="6" s="1"/>
  <c r="BM46" i="6" s="1"/>
  <c r="BL31" i="7"/>
  <c r="BL39" i="7"/>
  <c r="BL41" i="7"/>
  <c r="BL44" i="7"/>
  <c r="BL45" i="7" s="1"/>
  <c r="BL56" i="6" s="1"/>
  <c r="BM135" i="5" l="1"/>
  <c r="BL36" i="7"/>
  <c r="BL38" i="7" s="1"/>
  <c r="BL33" i="7"/>
  <c r="BL58" i="6"/>
  <c r="BL57" i="6"/>
  <c r="BM147" i="5"/>
  <c r="BM117" i="5"/>
  <c r="BM142" i="5"/>
  <c r="BM141" i="5"/>
  <c r="BM49" i="54"/>
  <c r="BM81" i="5"/>
  <c r="BM82" i="5" s="1"/>
  <c r="BM90" i="5" s="1"/>
  <c r="BL54" i="6" l="1"/>
  <c r="BL34" i="6" s="1"/>
  <c r="BL35" i="6" s="1"/>
  <c r="BL41" i="6" s="1"/>
  <c r="BM92" i="5"/>
  <c r="BM91" i="5"/>
  <c r="BM12" i="7" s="1"/>
  <c r="BM153" i="5"/>
  <c r="BM120" i="5"/>
  <c r="BM94" i="5" l="1"/>
  <c r="BM96" i="5" s="1"/>
  <c r="BM97" i="5" s="1"/>
  <c r="BM104" i="5" s="1"/>
  <c r="BM36" i="6"/>
  <c r="BM37" i="6" s="1"/>
  <c r="BM38" i="6" s="1"/>
  <c r="BM39" i="6" s="1"/>
  <c r="BL43" i="6"/>
  <c r="BL37" i="54" s="1"/>
  <c r="BM48" i="6"/>
  <c r="BM152" i="5"/>
  <c r="BM105" i="5" l="1"/>
  <c r="BM106" i="5"/>
  <c r="BM22" i="7"/>
  <c r="BN151" i="5"/>
  <c r="BM108" i="5" l="1"/>
  <c r="BM109" i="5" s="1"/>
  <c r="BM112" i="5" s="1"/>
  <c r="BN149" i="5"/>
  <c r="BN101" i="5"/>
  <c r="BN19" i="6"/>
  <c r="BM13" i="7"/>
  <c r="BN103" i="5" l="1"/>
  <c r="BM118" i="47"/>
  <c r="BM110" i="5"/>
  <c r="BM14" i="7" s="1"/>
  <c r="BM119" i="47" l="1"/>
  <c r="BM120" i="47"/>
  <c r="BM151" i="47" l="1"/>
  <c r="BM140" i="47"/>
  <c r="BM162" i="47"/>
  <c r="BM152" i="47"/>
  <c r="BM163" i="47"/>
  <c r="BM141" i="47"/>
  <c r="BM128" i="47" l="1"/>
  <c r="BM19" i="42" s="1"/>
  <c r="BM109" i="42" s="1"/>
  <c r="BM73" i="42"/>
  <c r="BM72" i="42"/>
  <c r="BM54" i="42"/>
  <c r="BM55" i="42"/>
  <c r="BM153" i="47"/>
  <c r="BN147" i="47" s="1"/>
  <c r="BM37" i="42"/>
  <c r="BM36" i="42"/>
  <c r="BM53" i="42"/>
  <c r="BM164" i="47"/>
  <c r="BN158" i="47" s="1"/>
  <c r="BM165" i="47"/>
  <c r="BM71" i="42"/>
  <c r="BM127" i="47"/>
  <c r="BM142" i="47"/>
  <c r="BM143" i="47"/>
  <c r="BM35" i="42"/>
  <c r="BM154" i="47"/>
  <c r="BL79" i="42" l="1"/>
  <c r="BL45" i="42"/>
  <c r="BL63" i="42"/>
  <c r="BM129" i="47"/>
  <c r="BN136" i="47"/>
  <c r="BN160" i="47"/>
  <c r="BL61" i="42"/>
  <c r="BL44" i="42"/>
  <c r="BN149" i="47"/>
  <c r="BL43" i="42"/>
  <c r="BL62" i="42"/>
  <c r="BL80" i="42"/>
  <c r="BL81" i="42"/>
  <c r="BM18" i="42"/>
  <c r="BM130" i="47"/>
  <c r="BM131" i="47"/>
  <c r="BM114" i="5" s="1"/>
  <c r="BL26" i="42"/>
  <c r="BN161" i="47" l="1"/>
  <c r="BN146" i="47"/>
  <c r="BN135" i="47"/>
  <c r="BM24" i="7"/>
  <c r="BN157" i="47"/>
  <c r="BM17" i="42"/>
  <c r="BL25" i="42"/>
  <c r="BM116" i="5"/>
  <c r="BM118" i="5"/>
  <c r="BN150" i="47"/>
  <c r="BN138" i="47"/>
  <c r="BN123" i="47"/>
  <c r="BL24" i="42" l="1"/>
  <c r="BL108" i="42"/>
  <c r="BN125" i="47"/>
  <c r="BN139" i="47"/>
  <c r="BN126" i="47" s="1"/>
  <c r="BN113" i="5" s="1"/>
  <c r="BM121" i="5"/>
  <c r="BM123" i="5"/>
  <c r="BN12" i="6" l="1"/>
  <c r="BN14" i="6" s="1"/>
  <c r="BN16" i="6" s="1"/>
  <c r="BN136" i="5" s="1"/>
  <c r="BN167" i="5" s="1"/>
  <c r="BM125" i="5"/>
  <c r="BM128" i="5" s="1"/>
  <c r="BM129" i="5" s="1"/>
  <c r="BN27" i="6"/>
  <c r="BN59" i="6" s="1"/>
  <c r="BM50" i="6" l="1"/>
  <c r="BM126" i="5"/>
  <c r="BM130" i="5"/>
  <c r="BM15" i="42"/>
  <c r="BM20" i="42" s="1"/>
  <c r="BL27" i="42" l="1"/>
  <c r="BM21" i="42"/>
  <c r="BM56" i="42"/>
  <c r="BM14" i="42"/>
  <c r="BM155" i="5"/>
  <c r="BM132" i="5"/>
  <c r="BL28" i="42" l="1"/>
  <c r="BL29" i="42" s="1"/>
  <c r="BL110" i="42"/>
  <c r="BL111" i="42" s="1"/>
  <c r="BL113" i="42" s="1"/>
  <c r="BM144" i="5"/>
  <c r="BM15" i="7" s="1"/>
  <c r="BM17" i="7" s="1"/>
  <c r="BM75" i="42"/>
  <c r="BM39" i="42"/>
  <c r="BM74" i="42"/>
  <c r="BM38" i="42"/>
  <c r="BM57" i="42"/>
  <c r="BM49" i="6"/>
  <c r="BM52" i="6" s="1"/>
  <c r="BM154" i="5"/>
  <c r="BM157" i="5"/>
  <c r="BL64" i="42"/>
  <c r="BL66" i="42" s="1"/>
  <c r="BM58" i="42"/>
  <c r="BM29" i="7" l="1"/>
  <c r="BM145" i="5"/>
  <c r="BN28" i="6"/>
  <c r="BN20" i="6"/>
  <c r="BN21" i="6" s="1"/>
  <c r="BL47" i="42"/>
  <c r="BL49" i="42" s="1"/>
  <c r="BL82" i="42"/>
  <c r="BL84" i="42" s="1"/>
  <c r="BM76" i="42"/>
  <c r="BL65" i="42"/>
  <c r="BL67" i="42" s="1"/>
  <c r="BL46" i="42"/>
  <c r="BL48" i="42" s="1"/>
  <c r="BM40" i="42"/>
  <c r="BL83" i="42"/>
  <c r="BL85" i="42" s="1"/>
  <c r="BM23" i="7"/>
  <c r="BM20" i="7" s="1"/>
  <c r="BN76" i="5" l="1"/>
  <c r="BN135" i="5" s="1"/>
  <c r="BM31" i="7"/>
  <c r="BM39" i="7"/>
  <c r="BM41" i="7"/>
  <c r="BM44" i="7"/>
  <c r="BM45" i="7" s="1"/>
  <c r="BM56" i="6" s="1"/>
  <c r="BN30" i="6"/>
  <c r="BN32" i="6" s="1"/>
  <c r="BN46" i="6" s="1"/>
  <c r="BN79" i="5" l="1"/>
  <c r="BN141" i="5" s="1"/>
  <c r="BM57" i="6"/>
  <c r="BM58" i="6"/>
  <c r="BN117" i="5"/>
  <c r="BN147" i="5"/>
  <c r="BM36" i="7"/>
  <c r="BM38" i="7" s="1"/>
  <c r="BM33" i="7"/>
  <c r="BN142" i="5" l="1"/>
  <c r="BN49" i="54"/>
  <c r="BN81" i="5"/>
  <c r="BN82" i="5" s="1"/>
  <c r="BN90" i="5" s="1"/>
  <c r="BN92" i="5" s="1"/>
  <c r="BN153" i="5"/>
  <c r="BN120" i="5"/>
  <c r="BM54" i="6"/>
  <c r="BM34" i="6" s="1"/>
  <c r="BM35" i="6" s="1"/>
  <c r="BN91" i="5" l="1"/>
  <c r="BN12" i="7" s="1"/>
  <c r="BN94" i="5"/>
  <c r="BN96" i="5" s="1"/>
  <c r="BN97" i="5" s="1"/>
  <c r="BN104" i="5" s="1"/>
  <c r="BN36" i="6"/>
  <c r="BN37" i="6" s="1"/>
  <c r="BM41" i="6"/>
  <c r="BN48" i="6"/>
  <c r="BN152" i="5"/>
  <c r="BN106" i="5" l="1"/>
  <c r="BN108" i="5" s="1"/>
  <c r="BN105" i="5"/>
  <c r="BO151" i="5"/>
  <c r="BN22" i="7"/>
  <c r="BM43" i="6"/>
  <c r="BM37" i="54" s="1"/>
  <c r="BN38" i="6"/>
  <c r="BN39" i="6" s="1"/>
  <c r="BO149" i="5" l="1"/>
  <c r="BO19" i="6"/>
  <c r="BN13" i="7"/>
  <c r="BO101" i="5"/>
  <c r="BN109" i="5"/>
  <c r="BN112" i="5" s="1"/>
  <c r="BN118" i="47" l="1"/>
  <c r="BN110" i="5"/>
  <c r="BN14" i="7" s="1"/>
  <c r="BO103" i="5"/>
  <c r="BN120" i="47" l="1"/>
  <c r="BN119" i="47"/>
  <c r="BN163" i="47" l="1"/>
  <c r="BN152" i="47"/>
  <c r="BN141" i="47"/>
  <c r="BN151" i="47"/>
  <c r="BN140" i="47"/>
  <c r="BN162" i="47"/>
  <c r="BN53" i="42" l="1"/>
  <c r="BN164" i="47"/>
  <c r="BO158" i="47" s="1"/>
  <c r="BN165" i="47"/>
  <c r="BN71" i="42"/>
  <c r="BN127" i="47"/>
  <c r="BN142" i="47"/>
  <c r="BN143" i="47"/>
  <c r="BN35" i="42"/>
  <c r="BN154" i="47"/>
  <c r="BN128" i="47"/>
  <c r="BN19" i="42" s="1"/>
  <c r="BN109" i="42" s="1"/>
  <c r="BN73" i="42"/>
  <c r="BN72" i="42"/>
  <c r="BN153" i="47"/>
  <c r="BO147" i="47" s="1"/>
  <c r="BN37" i="42"/>
  <c r="BN36" i="42"/>
  <c r="BN55" i="42"/>
  <c r="BN54" i="42"/>
  <c r="BM80" i="42" l="1"/>
  <c r="BM26" i="42"/>
  <c r="BN18" i="42"/>
  <c r="BN130" i="47"/>
  <c r="BN131" i="47"/>
  <c r="BN114" i="5" s="1"/>
  <c r="BM45" i="42"/>
  <c r="BM81" i="42"/>
  <c r="BM43" i="42"/>
  <c r="BN129" i="47"/>
  <c r="BO136" i="47"/>
  <c r="BM62" i="42"/>
  <c r="BM63" i="42"/>
  <c r="BM79" i="42"/>
  <c r="BM44" i="42"/>
  <c r="BO160" i="47"/>
  <c r="BO149" i="47"/>
  <c r="BM61" i="42"/>
  <c r="BN116" i="5" l="1"/>
  <c r="BN118" i="5"/>
  <c r="BO150" i="47"/>
  <c r="BN17" i="42"/>
  <c r="BM25" i="42"/>
  <c r="BO138" i="47"/>
  <c r="BO123" i="47"/>
  <c r="BN24" i="7"/>
  <c r="BO157" i="47"/>
  <c r="BO135" i="47"/>
  <c r="BO146" i="47"/>
  <c r="BO161" i="47"/>
  <c r="BM24" i="42" l="1"/>
  <c r="BM108" i="42"/>
  <c r="BO139" i="47"/>
  <c r="BO126" i="47" s="1"/>
  <c r="BO113" i="5" s="1"/>
  <c r="BO125" i="47"/>
  <c r="BN121" i="5"/>
  <c r="BN123" i="5"/>
  <c r="BO12" i="6" l="1"/>
  <c r="BO14" i="6" s="1"/>
  <c r="BO16" i="6" s="1"/>
  <c r="BO136" i="5" s="1"/>
  <c r="BN125" i="5"/>
  <c r="BN50" i="6" s="1"/>
  <c r="BO27" i="6"/>
  <c r="BO59" i="6" s="1"/>
  <c r="C136" i="5" l="1"/>
  <c r="BO167" i="5"/>
  <c r="G171" i="5" s="1"/>
  <c r="D136" i="5"/>
  <c r="E361" i="59" s="1"/>
  <c r="BN128" i="5"/>
  <c r="BN129" i="5" s="1"/>
  <c r="BN130" i="5" s="1"/>
  <c r="BN126" i="5"/>
  <c r="D34" i="29" l="1"/>
  <c r="E363" i="59"/>
  <c r="E374" i="59" s="1"/>
  <c r="D31" i="29"/>
  <c r="BN15" i="42"/>
  <c r="BN20" i="42" s="1"/>
  <c r="BM27" i="42" s="1"/>
  <c r="BN56" i="42"/>
  <c r="BN14" i="42"/>
  <c r="BN155" i="5"/>
  <c r="BN132" i="5"/>
  <c r="BM28" i="42" l="1"/>
  <c r="BM29" i="42" s="1"/>
  <c r="BM110" i="42"/>
  <c r="BM111" i="42" s="1"/>
  <c r="BM113" i="42" s="1"/>
  <c r="BN144" i="5"/>
  <c r="BN15" i="7" s="1"/>
  <c r="BN17" i="7" s="1"/>
  <c r="BN21" i="42"/>
  <c r="BN39" i="42"/>
  <c r="BN38" i="42"/>
  <c r="BN75" i="42"/>
  <c r="BN57" i="42"/>
  <c r="BN74" i="42"/>
  <c r="BN49" i="6"/>
  <c r="BN52" i="6" s="1"/>
  <c r="BN154" i="5"/>
  <c r="BN157" i="5"/>
  <c r="BM64" i="42"/>
  <c r="BM66" i="42" s="1"/>
  <c r="BN58" i="42"/>
  <c r="BN145" i="5" l="1"/>
  <c r="BN29" i="7"/>
  <c r="BO28" i="6"/>
  <c r="BO20" i="6"/>
  <c r="BO21" i="6" s="1"/>
  <c r="BM65" i="42"/>
  <c r="BM67" i="42" s="1"/>
  <c r="BM46" i="42"/>
  <c r="BM48" i="42" s="1"/>
  <c r="BN40" i="42"/>
  <c r="BM82" i="42"/>
  <c r="BM84" i="42" s="1"/>
  <c r="BN76" i="42"/>
  <c r="BM47" i="42"/>
  <c r="BM49" i="42" s="1"/>
  <c r="BM83" i="42"/>
  <c r="BM85" i="42" s="1"/>
  <c r="BN23" i="7"/>
  <c r="BN20" i="7" s="1"/>
  <c r="BO30" i="6" l="1"/>
  <c r="D137" i="42" s="1"/>
  <c r="BO76" i="5"/>
  <c r="BN31" i="7"/>
  <c r="BN39" i="7"/>
  <c r="BN41" i="7"/>
  <c r="BN44" i="7"/>
  <c r="BN45" i="7" s="1"/>
  <c r="BN56" i="6" s="1"/>
  <c r="BO32" i="6" l="1"/>
  <c r="BO46" i="6" s="1"/>
  <c r="BO147" i="5" s="1"/>
  <c r="BO135" i="5"/>
  <c r="BO79" i="5"/>
  <c r="BO81" i="5" s="1"/>
  <c r="BO82" i="5" s="1"/>
  <c r="BO90" i="5" s="1"/>
  <c r="BN57" i="6"/>
  <c r="BN58" i="6"/>
  <c r="BN36" i="7"/>
  <c r="BN38" i="7" s="1"/>
  <c r="BN33" i="7"/>
  <c r="BO117" i="5" l="1"/>
  <c r="BO153" i="5" s="1"/>
  <c r="BO48" i="6" s="1"/>
  <c r="BO49" i="54"/>
  <c r="E48" i="54" s="1"/>
  <c r="M59" i="29" s="1"/>
  <c r="BO141" i="5"/>
  <c r="BO142" i="5"/>
  <c r="BO91" i="5"/>
  <c r="BO12" i="7" s="1"/>
  <c r="BO92" i="5"/>
  <c r="BN54" i="6"/>
  <c r="BN34" i="6" s="1"/>
  <c r="BN35" i="6" s="1"/>
  <c r="BO152" i="5" l="1"/>
  <c r="BO22" i="7" s="1"/>
  <c r="BO120" i="5"/>
  <c r="H79" i="29"/>
  <c r="BO36" i="6"/>
  <c r="BO37" i="6" s="1"/>
  <c r="BN41" i="6"/>
  <c r="E79" i="29"/>
  <c r="F79" i="29"/>
  <c r="E92" i="5"/>
  <c r="E69" i="29" s="1"/>
  <c r="D69" i="29" s="1"/>
  <c r="C69" i="29" s="1"/>
  <c r="T79" i="29"/>
  <c r="AB79" i="29"/>
  <c r="BO94" i="5"/>
  <c r="E94" i="5" l="1"/>
  <c r="E53" i="29" s="1"/>
  <c r="BO96" i="5"/>
  <c r="BO97" i="5" s="1"/>
  <c r="BO104" i="5" s="1"/>
  <c r="BN43" i="6"/>
  <c r="BN37" i="54" s="1"/>
  <c r="BO38" i="6"/>
  <c r="BO39" i="6" s="1"/>
  <c r="BO105" i="5" l="1"/>
  <c r="BO13" i="7" s="1"/>
  <c r="BO106" i="5"/>
  <c r="E106" i="5" l="1"/>
  <c r="BO108" i="5"/>
  <c r="BO109" i="5" l="1"/>
  <c r="BO112" i="5" s="1"/>
  <c r="E108" i="5"/>
  <c r="F53" i="29" s="1"/>
  <c r="BO118" i="47" l="1"/>
  <c r="BO110" i="5"/>
  <c r="BO14" i="7" s="1"/>
  <c r="BO119" i="47" l="1"/>
  <c r="BO120" i="47"/>
  <c r="BO151" i="47" l="1"/>
  <c r="BO140" i="47"/>
  <c r="BO162" i="47"/>
  <c r="BO152" i="47"/>
  <c r="BO163" i="47"/>
  <c r="BO141" i="47"/>
  <c r="BO128" i="47" l="1"/>
  <c r="BO19" i="42" s="1"/>
  <c r="BO109" i="42" s="1"/>
  <c r="BO73" i="42"/>
  <c r="BO72" i="42"/>
  <c r="BO55" i="42"/>
  <c r="BO54" i="42"/>
  <c r="BO153" i="47"/>
  <c r="BO37" i="42"/>
  <c r="BO36" i="42"/>
  <c r="BO53" i="42"/>
  <c r="BO164" i="47"/>
  <c r="BO165" i="47"/>
  <c r="BO127" i="47"/>
  <c r="BO71" i="42"/>
  <c r="BO142" i="47"/>
  <c r="BO143" i="47"/>
  <c r="BO35" i="42"/>
  <c r="BO154" i="47"/>
  <c r="BN44" i="42" l="1"/>
  <c r="BN62" i="42"/>
  <c r="BN81" i="42"/>
  <c r="BO18" i="42"/>
  <c r="BO131" i="47"/>
  <c r="BO114" i="5" s="1"/>
  <c r="BO130" i="47"/>
  <c r="BN61" i="42"/>
  <c r="BN45" i="42"/>
  <c r="BN43" i="42"/>
  <c r="BN63" i="42"/>
  <c r="BN80" i="42"/>
  <c r="BO129" i="47"/>
  <c r="BN79" i="42"/>
  <c r="BN26" i="42"/>
  <c r="BO116" i="5" l="1"/>
  <c r="BO118" i="5"/>
  <c r="BO17" i="42"/>
  <c r="BN25" i="42"/>
  <c r="BO24" i="7"/>
  <c r="BN24" i="42" l="1"/>
  <c r="BN108" i="42"/>
  <c r="BO121" i="5"/>
  <c r="BO123" i="5"/>
  <c r="BO125" i="5" l="1"/>
  <c r="BO126" i="5" s="1"/>
  <c r="B126" i="5" s="1"/>
  <c r="F56" i="29" s="1"/>
  <c r="BO50" i="6" l="1"/>
  <c r="BO128" i="5"/>
  <c r="BO129" i="5" s="1"/>
  <c r="BO130" i="5" s="1"/>
  <c r="BP55" i="42"/>
  <c r="BP54" i="42"/>
  <c r="BP19" i="42"/>
  <c r="BP109" i="42" s="1"/>
  <c r="BP73" i="42"/>
  <c r="BP37" i="42"/>
  <c r="BP36" i="42"/>
  <c r="BP72" i="42"/>
  <c r="BO15" i="42" l="1"/>
  <c r="BO20" i="42" s="1"/>
  <c r="BN27" i="42" s="1"/>
  <c r="BO45" i="42"/>
  <c r="BP53" i="42"/>
  <c r="BO81" i="42"/>
  <c r="BO44" i="42"/>
  <c r="BP71" i="42"/>
  <c r="BP35" i="42"/>
  <c r="BO26" i="42"/>
  <c r="BO14" i="42"/>
  <c r="BO56" i="42"/>
  <c r="BO155" i="5"/>
  <c r="BO132" i="5"/>
  <c r="BO62" i="42"/>
  <c r="BO80" i="42"/>
  <c r="BO63" i="42"/>
  <c r="BN28" i="42" l="1"/>
  <c r="BN29" i="42" s="1"/>
  <c r="BN110" i="42"/>
  <c r="BN111" i="42" s="1"/>
  <c r="BN113" i="42" s="1"/>
  <c r="BO144" i="5"/>
  <c r="BO29" i="7" s="1"/>
  <c r="BO21" i="42"/>
  <c r="BO64" i="42"/>
  <c r="BN64" i="42"/>
  <c r="BN66" i="42" s="1"/>
  <c r="BO58" i="42"/>
  <c r="BO27" i="42"/>
  <c r="BO110" i="42" s="1"/>
  <c r="BP18" i="42"/>
  <c r="BP58" i="42"/>
  <c r="BO61" i="42"/>
  <c r="BP40" i="42"/>
  <c r="BO43" i="42"/>
  <c r="BP76" i="42"/>
  <c r="BO79" i="42"/>
  <c r="BO39" i="42"/>
  <c r="BO75" i="42"/>
  <c r="BO74" i="42"/>
  <c r="BO38" i="42"/>
  <c r="BO57" i="42"/>
  <c r="BO49" i="6"/>
  <c r="BO52" i="6" s="1"/>
  <c r="E52" i="6" s="1"/>
  <c r="BO154" i="5"/>
  <c r="BO23" i="7" s="1"/>
  <c r="BO20" i="7" s="1"/>
  <c r="D24" i="7" s="1"/>
  <c r="BO157" i="5"/>
  <c r="E157" i="5" s="1"/>
  <c r="E56" i="29" s="1"/>
  <c r="D56" i="29" s="1"/>
  <c r="C56" i="29" s="1"/>
  <c r="D25" i="7" l="1"/>
  <c r="D465" i="32"/>
  <c r="BO15" i="7"/>
  <c r="BO17" i="7" s="1"/>
  <c r="BO145" i="5"/>
  <c r="E145" i="5" s="1"/>
  <c r="G53" i="29" s="1"/>
  <c r="D53" i="29" s="1"/>
  <c r="C53" i="29" s="1"/>
  <c r="BO65" i="42"/>
  <c r="BO67" i="42" s="1"/>
  <c r="BN65" i="42"/>
  <c r="BN67" i="42" s="1"/>
  <c r="BO82" i="42"/>
  <c r="BO84" i="42" s="1"/>
  <c r="BN82" i="42"/>
  <c r="BN84" i="42" s="1"/>
  <c r="BO76" i="42"/>
  <c r="BO39" i="7"/>
  <c r="E39" i="7" s="1"/>
  <c r="I68" i="29" s="1"/>
  <c r="BO31" i="7"/>
  <c r="BO36" i="7" s="1"/>
  <c r="BO38" i="7" s="1"/>
  <c r="E38" i="7" s="1"/>
  <c r="G68" i="29" s="1"/>
  <c r="D68" i="29" s="1"/>
  <c r="BO41" i="7"/>
  <c r="BO44" i="7"/>
  <c r="BO45" i="7" s="1"/>
  <c r="BO56" i="6" s="1"/>
  <c r="BP27" i="42"/>
  <c r="BP110" i="42" s="1"/>
  <c r="BO83" i="42"/>
  <c r="BO85" i="42" s="1"/>
  <c r="BN83" i="42"/>
  <c r="BN85" i="42" s="1"/>
  <c r="BP17" i="42"/>
  <c r="BP21" i="42" s="1"/>
  <c r="BO25" i="42"/>
  <c r="BO47" i="42"/>
  <c r="BO49" i="42" s="1"/>
  <c r="BN47" i="42"/>
  <c r="BN49" i="42" s="1"/>
  <c r="BO46" i="42"/>
  <c r="BO48" i="42" s="1"/>
  <c r="BN46" i="42"/>
  <c r="BN48" i="42" s="1"/>
  <c r="BO40" i="42"/>
  <c r="BO66" i="42"/>
  <c r="E464" i="32" l="1"/>
  <c r="E373" i="59" s="1"/>
  <c r="D466" i="32"/>
  <c r="P42" i="60" s="1"/>
  <c r="Q42" i="60" s="1"/>
  <c r="BO24" i="42"/>
  <c r="BO28" i="42" s="1"/>
  <c r="BO29" i="42" s="1"/>
  <c r="BO108" i="42"/>
  <c r="BO111" i="42" s="1"/>
  <c r="BO113" i="42" s="1"/>
  <c r="BO33" i="7"/>
  <c r="BQ27" i="42"/>
  <c r="D67" i="29"/>
  <c r="C67" i="29" s="1"/>
  <c r="C68" i="29"/>
  <c r="BO57" i="6"/>
  <c r="BO58" i="6"/>
  <c r="BQ73" i="42"/>
  <c r="V42" i="60" l="1"/>
  <c r="Z42" i="60" s="1"/>
  <c r="U42" i="60"/>
  <c r="W42" i="60"/>
  <c r="AA42" i="60" s="1"/>
  <c r="BR27" i="42"/>
  <c r="BR110" i="42" s="1"/>
  <c r="BQ110" i="42"/>
  <c r="E33" i="7"/>
  <c r="BQ72" i="42"/>
  <c r="BP80" i="42" s="1"/>
  <c r="BP81" i="42"/>
  <c r="BO54" i="6"/>
  <c r="BO34" i="6" s="1"/>
  <c r="BO35" i="6" s="1"/>
  <c r="BO41" i="6" s="1"/>
  <c r="BO43" i="6" s="1"/>
  <c r="D138" i="42" s="1"/>
  <c r="D142" i="42" l="1"/>
  <c r="D143" i="42" s="1"/>
  <c r="BO37" i="54"/>
  <c r="E36" i="54" s="1"/>
  <c r="K59" i="29" s="1"/>
  <c r="D59" i="29" s="1"/>
  <c r="C59" i="29" s="1"/>
  <c r="D139" i="42"/>
  <c r="Y42" i="60"/>
  <c r="D468" i="32"/>
  <c r="B118" i="42" s="1"/>
  <c r="BS27" i="42"/>
  <c r="BS110" i="42" s="1"/>
  <c r="E51" i="29"/>
  <c r="D51" i="29" s="1"/>
  <c r="BQ19" i="42"/>
  <c r="BQ55" i="42"/>
  <c r="BQ54" i="42"/>
  <c r="BQ37" i="42"/>
  <c r="BQ36" i="42"/>
  <c r="E468" i="32" l="1"/>
  <c r="E364" i="59" s="1"/>
  <c r="E366" i="59"/>
  <c r="BT27" i="42"/>
  <c r="BT110" i="42" s="1"/>
  <c r="BP26" i="42"/>
  <c r="BQ109" i="42"/>
  <c r="C51" i="29"/>
  <c r="D50" i="29"/>
  <c r="C50" i="29" s="1"/>
  <c r="BQ71" i="42"/>
  <c r="BQ35" i="42"/>
  <c r="BQ53" i="42"/>
  <c r="BP63" i="42"/>
  <c r="BP44" i="42"/>
  <c r="BP62" i="42"/>
  <c r="BP45" i="42"/>
  <c r="BU27" i="42" l="1"/>
  <c r="BV27" i="42" s="1"/>
  <c r="BV110" i="42" s="1"/>
  <c r="BQ40" i="42"/>
  <c r="BP43" i="42"/>
  <c r="BQ76" i="42"/>
  <c r="BP79" i="42"/>
  <c r="BQ18" i="42"/>
  <c r="BQ58" i="42"/>
  <c r="BP61" i="42"/>
  <c r="BP66" i="42" s="1"/>
  <c r="BU110" i="42" l="1"/>
  <c r="BW27" i="42"/>
  <c r="BW110" i="42" s="1"/>
  <c r="BP67" i="42"/>
  <c r="BP49" i="42"/>
  <c r="BP48" i="42"/>
  <c r="BQ17" i="42"/>
  <c r="BQ21" i="42" s="1"/>
  <c r="BP25" i="42"/>
  <c r="BP85" i="42"/>
  <c r="BP84" i="42"/>
  <c r="BX27" i="42" l="1"/>
  <c r="BX110" i="42" s="1"/>
  <c r="BP24" i="42"/>
  <c r="BP28" i="42" s="1"/>
  <c r="BP29" i="42" s="1"/>
  <c r="BP108" i="42"/>
  <c r="BP111" i="42" s="1"/>
  <c r="BP113" i="42" s="1"/>
  <c r="BY27" i="42" l="1"/>
  <c r="BY110" i="42" s="1"/>
  <c r="BR72" i="42"/>
  <c r="BR73" i="42"/>
  <c r="BZ27" i="42" l="1"/>
  <c r="BZ110" i="42" s="1"/>
  <c r="BQ81" i="42"/>
  <c r="BR37" i="42"/>
  <c r="BR36" i="42"/>
  <c r="BQ80" i="42"/>
  <c r="BR55" i="42"/>
  <c r="BR54" i="42"/>
  <c r="BR19" i="42"/>
  <c r="BR109" i="42" s="1"/>
  <c r="CA27" i="42" l="1"/>
  <c r="CA110" i="42" s="1"/>
  <c r="BR71" i="42"/>
  <c r="BQ63" i="42"/>
  <c r="BQ62" i="42"/>
  <c r="BR53" i="42"/>
  <c r="BR35" i="42"/>
  <c r="BQ44" i="42"/>
  <c r="BQ45" i="42"/>
  <c r="BQ26" i="42"/>
  <c r="CB27" i="42" l="1"/>
  <c r="CB110" i="42" s="1"/>
  <c r="BR58" i="42"/>
  <c r="BQ61" i="42"/>
  <c r="BQ67" i="42" s="1"/>
  <c r="BR40" i="42"/>
  <c r="BQ43" i="42"/>
  <c r="BR18" i="42"/>
  <c r="BR76" i="42"/>
  <c r="BQ79" i="42"/>
  <c r="CC27" i="42" l="1"/>
  <c r="CC110" i="42" s="1"/>
  <c r="BQ66" i="42"/>
  <c r="BQ49" i="42"/>
  <c r="BQ48" i="42"/>
  <c r="BR17" i="42"/>
  <c r="BR21" i="42" s="1"/>
  <c r="BQ25" i="42"/>
  <c r="BQ85" i="42"/>
  <c r="BQ84" i="42"/>
  <c r="CD27" i="42" l="1"/>
  <c r="CD110" i="42" s="1"/>
  <c r="BQ24" i="42"/>
  <c r="BQ28" i="42" s="1"/>
  <c r="BQ29" i="42" s="1"/>
  <c r="BQ108" i="42"/>
  <c r="BQ111" i="42" s="1"/>
  <c r="BQ113" i="42" s="1"/>
  <c r="CE27" i="42" l="1"/>
  <c r="CE110" i="42" s="1"/>
  <c r="BS73" i="42"/>
  <c r="BS72" i="42"/>
  <c r="CF27" i="42" l="1"/>
  <c r="CF110" i="42" s="1"/>
  <c r="BS36" i="42"/>
  <c r="BS37" i="42"/>
  <c r="BS55" i="42"/>
  <c r="BS54" i="42"/>
  <c r="BR80" i="42"/>
  <c r="BR81" i="42"/>
  <c r="BS19" i="42"/>
  <c r="BS109" i="42" s="1"/>
  <c r="CG27" i="42" l="1"/>
  <c r="CG110" i="42" s="1"/>
  <c r="BS35" i="42"/>
  <c r="BS71" i="42"/>
  <c r="BR26" i="42"/>
  <c r="BR44" i="42"/>
  <c r="BS53" i="42"/>
  <c r="BR62" i="42"/>
  <c r="BR63" i="42"/>
  <c r="BR45" i="42"/>
  <c r="CH27" i="42" l="1"/>
  <c r="CH110" i="42" s="1"/>
  <c r="BS58" i="42"/>
  <c r="BR61" i="42"/>
  <c r="BR67" i="42" s="1"/>
  <c r="BS76" i="42"/>
  <c r="BR79" i="42"/>
  <c r="BS18" i="42"/>
  <c r="BS40" i="42"/>
  <c r="BR43" i="42"/>
  <c r="CI27" i="42" l="1"/>
  <c r="CI110" i="42" s="1"/>
  <c r="BR66" i="42"/>
  <c r="BR49" i="42"/>
  <c r="BR48" i="42"/>
  <c r="BS17" i="42"/>
  <c r="BS21" i="42" s="1"/>
  <c r="BR25" i="42"/>
  <c r="BR85" i="42"/>
  <c r="BR84" i="42"/>
  <c r="CJ27" i="42" l="1"/>
  <c r="CJ110" i="42" s="1"/>
  <c r="BR24" i="42"/>
  <c r="BR28" i="42" s="1"/>
  <c r="BR29" i="42" s="1"/>
  <c r="BR108" i="42"/>
  <c r="BR111" i="42" s="1"/>
  <c r="BR113" i="42" s="1"/>
  <c r="BT73" i="42"/>
  <c r="CK27" i="42" l="1"/>
  <c r="CK110" i="42" s="1"/>
  <c r="BT72" i="42"/>
  <c r="BS80" i="42" s="1"/>
  <c r="BS81" i="42"/>
  <c r="CL27" i="42" l="1"/>
  <c r="CL110" i="42" s="1"/>
  <c r="BT19" i="42"/>
  <c r="BT55" i="42"/>
  <c r="BT54" i="42"/>
  <c r="BT37" i="42"/>
  <c r="BT36" i="42"/>
  <c r="CM27" i="42" l="1"/>
  <c r="CM110" i="42" s="1"/>
  <c r="BS26" i="42"/>
  <c r="BT109" i="42"/>
  <c r="BS63" i="42"/>
  <c r="BS62" i="42"/>
  <c r="BT53" i="42"/>
  <c r="BS45" i="42"/>
  <c r="BT71" i="42"/>
  <c r="BT35" i="42"/>
  <c r="BS44" i="42"/>
  <c r="CN27" i="42" l="1"/>
  <c r="CN110" i="42" s="1"/>
  <c r="BT40" i="42"/>
  <c r="BS43" i="42"/>
  <c r="BT58" i="42"/>
  <c r="BS61" i="42"/>
  <c r="BS67" i="42" s="1"/>
  <c r="BT76" i="42"/>
  <c r="BS79" i="42"/>
  <c r="BT18" i="42"/>
  <c r="CO27" i="42" l="1"/>
  <c r="CO110" i="42" s="1"/>
  <c r="BT17" i="42"/>
  <c r="BT21" i="42" s="1"/>
  <c r="BS25" i="42"/>
  <c r="BS48" i="42"/>
  <c r="BS49" i="42"/>
  <c r="BS66" i="42"/>
  <c r="BS85" i="42"/>
  <c r="BS84" i="42"/>
  <c r="CP27" i="42" l="1"/>
  <c r="CP110" i="42" s="1"/>
  <c r="BS24" i="42"/>
  <c r="BS28" i="42" s="1"/>
  <c r="BS29" i="42" s="1"/>
  <c r="BS108" i="42"/>
  <c r="BS111" i="42" s="1"/>
  <c r="BS113" i="42" s="1"/>
  <c r="CQ27" i="42" l="1"/>
  <c r="CQ110" i="42" s="1"/>
  <c r="BU73" i="42"/>
  <c r="BU72" i="42"/>
  <c r="CR27" i="42" l="1"/>
  <c r="CR110" i="42" s="1"/>
  <c r="BT80" i="42"/>
  <c r="BU55" i="42"/>
  <c r="BU54" i="42"/>
  <c r="BU37" i="42"/>
  <c r="BU36" i="42"/>
  <c r="BT81" i="42"/>
  <c r="BU19" i="42"/>
  <c r="BU109" i="42" s="1"/>
  <c r="CS27" i="42" l="1"/>
  <c r="CS110" i="42" s="1"/>
  <c r="BU71" i="42"/>
  <c r="BU35" i="42"/>
  <c r="BT44" i="42"/>
  <c r="BT63" i="42"/>
  <c r="BU53" i="42"/>
  <c r="BT45" i="42"/>
  <c r="BT62" i="42"/>
  <c r="BT26" i="42"/>
  <c r="CT27" i="42" l="1"/>
  <c r="CT110" i="42" s="1"/>
  <c r="BU40" i="42"/>
  <c r="BT43" i="42"/>
  <c r="BU76" i="42"/>
  <c r="BT79" i="42"/>
  <c r="BU58" i="42"/>
  <c r="BT61" i="42"/>
  <c r="BT67" i="42" s="1"/>
  <c r="BU18" i="42"/>
  <c r="CU27" i="42" l="1"/>
  <c r="CU110" i="42" s="1"/>
  <c r="BT66" i="42"/>
  <c r="BU17" i="42"/>
  <c r="BU21" i="42" s="1"/>
  <c r="BT25" i="42"/>
  <c r="BT49" i="42"/>
  <c r="BT48" i="42"/>
  <c r="BT85" i="42"/>
  <c r="BT84" i="42"/>
  <c r="CV27" i="42" l="1"/>
  <c r="CV110" i="42" s="1"/>
  <c r="BT24" i="42"/>
  <c r="BT28" i="42" s="1"/>
  <c r="BT29" i="42" s="1"/>
  <c r="BT108" i="42"/>
  <c r="BT111" i="42" s="1"/>
  <c r="BT113" i="42" s="1"/>
  <c r="CW27" i="42" l="1"/>
  <c r="CW110" i="42" s="1"/>
  <c r="CX27" i="42" l="1"/>
  <c r="CX110" i="42" s="1"/>
  <c r="BV19" i="42"/>
  <c r="BV109" i="42" s="1"/>
  <c r="BV73" i="42"/>
  <c r="BV55" i="42"/>
  <c r="BV54" i="42"/>
  <c r="BV37" i="42"/>
  <c r="BV36" i="42"/>
  <c r="BV72" i="42"/>
  <c r="CY27" i="42" l="1"/>
  <c r="CY110" i="42" s="1"/>
  <c r="BU45" i="42"/>
  <c r="BU62" i="42"/>
  <c r="BV53" i="42"/>
  <c r="BU63" i="42"/>
  <c r="BV35" i="42"/>
  <c r="BU44" i="42"/>
  <c r="BV71" i="42"/>
  <c r="BU81" i="42"/>
  <c r="BU80" i="42"/>
  <c r="BU26" i="42"/>
  <c r="CZ27" i="42" l="1"/>
  <c r="CZ110" i="42" s="1"/>
  <c r="BV40" i="42"/>
  <c r="BU43" i="42"/>
  <c r="BV76" i="42"/>
  <c r="BU79" i="42"/>
  <c r="BU85" i="42" s="1"/>
  <c r="BV58" i="42"/>
  <c r="BU61" i="42"/>
  <c r="BU67" i="42" s="1"/>
  <c r="BV18" i="42"/>
  <c r="DA27" i="42" l="1"/>
  <c r="DA110" i="42" s="1"/>
  <c r="BU66" i="42"/>
  <c r="BU48" i="42"/>
  <c r="BU49" i="42"/>
  <c r="BV17" i="42"/>
  <c r="BV21" i="42" s="1"/>
  <c r="BU25" i="42"/>
  <c r="BU84" i="42"/>
  <c r="DB27" i="42" l="1"/>
  <c r="DB110" i="42" s="1"/>
  <c r="BU24" i="42"/>
  <c r="BU28" i="42" s="1"/>
  <c r="BU29" i="42" s="1"/>
  <c r="BU108" i="42"/>
  <c r="BU111" i="42" s="1"/>
  <c r="BU113" i="42" s="1"/>
  <c r="DC27" i="42" l="1"/>
  <c r="DC110" i="42" s="1"/>
  <c r="BW73" i="42"/>
  <c r="BW72" i="42"/>
  <c r="DD27" i="42" l="1"/>
  <c r="DD110" i="42" s="1"/>
  <c r="BV80" i="42"/>
  <c r="BW55" i="42"/>
  <c r="BW54" i="42"/>
  <c r="BW36" i="42"/>
  <c r="BW37" i="42"/>
  <c r="BV81" i="42"/>
  <c r="BW19" i="42"/>
  <c r="BW109" i="42" s="1"/>
  <c r="DE27" i="42" l="1"/>
  <c r="DE110" i="42" s="1"/>
  <c r="BV44" i="42"/>
  <c r="BV62" i="42"/>
  <c r="BV45" i="42"/>
  <c r="BV26" i="42"/>
  <c r="BW35" i="42"/>
  <c r="BV63" i="42"/>
  <c r="BW53" i="42"/>
  <c r="BW71" i="42"/>
  <c r="DF27" i="42" l="1"/>
  <c r="DF110" i="42" s="1"/>
  <c r="BW18" i="42"/>
  <c r="BW58" i="42"/>
  <c r="BV61" i="42"/>
  <c r="BV66" i="42" s="1"/>
  <c r="BW40" i="42"/>
  <c r="BV43" i="42"/>
  <c r="BW76" i="42"/>
  <c r="BV79" i="42"/>
  <c r="DG27" i="42" l="1"/>
  <c r="DG110" i="42" s="1"/>
  <c r="BV67" i="42"/>
  <c r="BV85" i="42"/>
  <c r="BV84" i="42"/>
  <c r="BW17" i="42"/>
  <c r="BW21" i="42" s="1"/>
  <c r="BV25" i="42"/>
  <c r="BV48" i="42"/>
  <c r="BV49" i="42"/>
  <c r="DH27" i="42" l="1"/>
  <c r="DH110" i="42" s="1"/>
  <c r="BV24" i="42"/>
  <c r="BV28" i="42" s="1"/>
  <c r="BV29" i="42" s="1"/>
  <c r="BV108" i="42"/>
  <c r="BV111" i="42" s="1"/>
  <c r="BV113" i="42" s="1"/>
  <c r="DI27" i="42" l="1"/>
  <c r="DI110" i="42" s="1"/>
  <c r="BX73" i="42"/>
  <c r="BX72" i="42"/>
  <c r="DJ27" i="42" l="1"/>
  <c r="DJ110" i="42" s="1"/>
  <c r="BX37" i="42"/>
  <c r="BX36" i="42"/>
  <c r="BX55" i="42"/>
  <c r="BX54" i="42"/>
  <c r="BW81" i="42"/>
  <c r="BW80" i="42"/>
  <c r="BX19" i="42"/>
  <c r="BX109" i="42" s="1"/>
  <c r="DK27" i="42" l="1"/>
  <c r="DK110" i="42" s="1"/>
  <c r="BX71" i="42"/>
  <c r="BW26" i="42"/>
  <c r="BX53" i="42"/>
  <c r="BW62" i="42"/>
  <c r="BW63" i="42"/>
  <c r="BW44" i="42"/>
  <c r="BW45" i="42"/>
  <c r="BX35" i="42"/>
  <c r="DL27" i="42" l="1"/>
  <c r="DL110" i="42" s="1"/>
  <c r="BX40" i="42"/>
  <c r="BW43" i="42"/>
  <c r="BX58" i="42"/>
  <c r="BW61" i="42"/>
  <c r="BW66" i="42" s="1"/>
  <c r="BX18" i="42"/>
  <c r="BX76" i="42"/>
  <c r="BW79" i="42"/>
  <c r="DM27" i="42" l="1"/>
  <c r="DM110" i="42" s="1"/>
  <c r="BW85" i="42"/>
  <c r="BW84" i="42"/>
  <c r="BX17" i="42"/>
  <c r="BX21" i="42" s="1"/>
  <c r="BW25" i="42"/>
  <c r="BW67" i="42"/>
  <c r="BW49" i="42"/>
  <c r="BW48" i="42"/>
  <c r="DN27" i="42" l="1"/>
  <c r="DN110" i="42" s="1"/>
  <c r="BW24" i="42"/>
  <c r="BW28" i="42" s="1"/>
  <c r="BW29" i="42" s="1"/>
  <c r="BW108" i="42"/>
  <c r="BW111" i="42" s="1"/>
  <c r="BW113" i="42" s="1"/>
  <c r="DO27" i="42" l="1"/>
  <c r="DO110" i="42" s="1"/>
  <c r="BY72" i="42"/>
  <c r="DP27" i="42" l="1"/>
  <c r="DP110" i="42" s="1"/>
  <c r="BX80" i="42"/>
  <c r="BY55" i="42"/>
  <c r="BY54" i="42"/>
  <c r="BY19" i="42"/>
  <c r="BY109" i="42" s="1"/>
  <c r="BY73" i="42"/>
  <c r="BY37" i="42"/>
  <c r="BY36" i="42"/>
  <c r="DQ27" i="42" l="1"/>
  <c r="DQ110" i="42" s="1"/>
  <c r="BY53" i="42"/>
  <c r="BX26" i="42"/>
  <c r="BX44" i="42"/>
  <c r="BX63" i="42"/>
  <c r="BX45" i="42"/>
  <c r="BY35" i="42"/>
  <c r="BY71" i="42"/>
  <c r="BX81" i="42"/>
  <c r="BX62" i="42"/>
  <c r="DR27" i="42" l="1"/>
  <c r="DR110" i="42" s="1"/>
  <c r="BY76" i="42"/>
  <c r="BX79" i="42"/>
  <c r="BY18" i="42"/>
  <c r="BY58" i="42"/>
  <c r="BX61" i="42"/>
  <c r="BX67" i="42" s="1"/>
  <c r="BY40" i="42"/>
  <c r="BX43" i="42"/>
  <c r="DS27" i="42" l="1"/>
  <c r="DS110" i="42" s="1"/>
  <c r="BX66" i="42"/>
  <c r="BX85" i="42"/>
  <c r="BX84" i="42"/>
  <c r="BY17" i="42"/>
  <c r="BY21" i="42" s="1"/>
  <c r="BX25" i="42"/>
  <c r="BX48" i="42"/>
  <c r="BX49" i="42"/>
  <c r="DT27" i="42" l="1"/>
  <c r="DT110" i="42" s="1"/>
  <c r="BX24" i="42"/>
  <c r="BX28" i="42" s="1"/>
  <c r="BX29" i="42" s="1"/>
  <c r="BX108" i="42"/>
  <c r="BX111" i="42" s="1"/>
  <c r="BX113" i="42" s="1"/>
  <c r="DU27" i="42" l="1"/>
  <c r="DU110" i="42" s="1"/>
  <c r="DV27" i="42" l="1"/>
  <c r="DV110" i="42" s="1"/>
  <c r="BZ19" i="42"/>
  <c r="BZ109" i="42" s="1"/>
  <c r="BZ73" i="42"/>
  <c r="BZ55" i="42"/>
  <c r="BZ54" i="42"/>
  <c r="BZ37" i="42"/>
  <c r="BZ36" i="42"/>
  <c r="BZ72" i="42"/>
  <c r="DW27" i="42" l="1"/>
  <c r="DW110" i="42" s="1"/>
  <c r="BY63" i="42"/>
  <c r="BY44" i="42"/>
  <c r="BY62" i="42"/>
  <c r="BZ71" i="42"/>
  <c r="BZ35" i="42"/>
  <c r="BY81" i="42"/>
  <c r="BY26" i="42"/>
  <c r="BY45" i="42"/>
  <c r="BZ53" i="42"/>
  <c r="BY80" i="42"/>
  <c r="BZ18" i="42" l="1"/>
  <c r="BZ76" i="42"/>
  <c r="BY79" i="42"/>
  <c r="BY85" i="42" s="1"/>
  <c r="BZ58" i="42"/>
  <c r="BY61" i="42"/>
  <c r="BY67" i="42" s="1"/>
  <c r="BZ40" i="42"/>
  <c r="BY43" i="42"/>
  <c r="BY66" i="42" l="1"/>
  <c r="BY48" i="42"/>
  <c r="BY49" i="42"/>
  <c r="BY84" i="42"/>
  <c r="BZ17" i="42"/>
  <c r="BZ21" i="42" s="1"/>
  <c r="BY25" i="42"/>
  <c r="BY24" i="42" l="1"/>
  <c r="BY28" i="42" s="1"/>
  <c r="BY29" i="42" s="1"/>
  <c r="BY108" i="42"/>
  <c r="BY111" i="42" s="1"/>
  <c r="BY113" i="42" s="1"/>
  <c r="CA72" i="42" l="1"/>
  <c r="BZ80" i="42" l="1"/>
  <c r="CA19" i="42"/>
  <c r="CA109" i="42" s="1"/>
  <c r="CA73" i="42"/>
  <c r="CA55" i="42"/>
  <c r="CA54" i="42"/>
  <c r="CA37" i="42"/>
  <c r="CA36" i="42"/>
  <c r="BZ44" i="42" l="1"/>
  <c r="CA53" i="42"/>
  <c r="BZ45" i="42"/>
  <c r="BZ63" i="42"/>
  <c r="BZ81" i="42"/>
  <c r="BZ62" i="42"/>
  <c r="CA71" i="42"/>
  <c r="CA35" i="42"/>
  <c r="BZ26" i="42"/>
  <c r="CA40" i="42" l="1"/>
  <c r="BZ43" i="42"/>
  <c r="CA76" i="42"/>
  <c r="BZ79" i="42"/>
  <c r="CA18" i="42"/>
  <c r="CA58" i="42"/>
  <c r="BZ61" i="42"/>
  <c r="BZ66" i="42" s="1"/>
  <c r="BZ67" i="42" l="1"/>
  <c r="BZ85" i="42"/>
  <c r="BZ84" i="42"/>
  <c r="CA17" i="42"/>
  <c r="CA21" i="42" s="1"/>
  <c r="BZ25" i="42"/>
  <c r="BZ49" i="42"/>
  <c r="BZ48" i="42"/>
  <c r="BZ24" i="42" l="1"/>
  <c r="BZ28" i="42" s="1"/>
  <c r="BZ29" i="42" s="1"/>
  <c r="BZ108" i="42"/>
  <c r="BZ111" i="42" s="1"/>
  <c r="BZ113" i="42" s="1"/>
  <c r="CB72" i="42" l="1"/>
  <c r="CA80" i="42" l="1"/>
  <c r="CB19" i="42"/>
  <c r="CB109" i="42" s="1"/>
  <c r="CB73" i="42"/>
  <c r="CB55" i="42"/>
  <c r="CB54" i="42"/>
  <c r="CB37" i="42"/>
  <c r="CB36" i="42"/>
  <c r="CA45" i="42" l="1"/>
  <c r="CB35" i="42"/>
  <c r="CA44" i="42"/>
  <c r="CA62" i="42"/>
  <c r="CA81" i="42"/>
  <c r="CA63" i="42"/>
  <c r="CB71" i="42"/>
  <c r="CB53" i="42"/>
  <c r="CA26" i="42"/>
  <c r="CB18" i="42" l="1"/>
  <c r="CB58" i="42"/>
  <c r="CA61" i="42"/>
  <c r="CA67" i="42" s="1"/>
  <c r="CB76" i="42"/>
  <c r="CA79" i="42"/>
  <c r="CB40" i="42"/>
  <c r="CA43" i="42"/>
  <c r="CA66" i="42" l="1"/>
  <c r="CA49" i="42"/>
  <c r="CA48" i="42"/>
  <c r="CA85" i="42"/>
  <c r="CA84" i="42"/>
  <c r="CB17" i="42"/>
  <c r="CB21" i="42" s="1"/>
  <c r="CA25" i="42"/>
  <c r="CA24" i="42" l="1"/>
  <c r="CA28" i="42" s="1"/>
  <c r="CA29" i="42" s="1"/>
  <c r="CA108" i="42"/>
  <c r="CA111" i="42" s="1"/>
  <c r="CA113" i="42" s="1"/>
  <c r="CC72" i="42" l="1"/>
  <c r="CB80" i="42" l="1"/>
  <c r="CC19" i="42"/>
  <c r="CC109" i="42" s="1"/>
  <c r="CC73" i="42"/>
  <c r="CC55" i="42"/>
  <c r="CC54" i="42"/>
  <c r="CC36" i="42"/>
  <c r="CC37" i="42"/>
  <c r="CB44" i="42" l="1"/>
  <c r="CC35" i="42"/>
  <c r="CB45" i="42"/>
  <c r="CB62" i="42"/>
  <c r="CB81" i="42"/>
  <c r="CB63" i="42"/>
  <c r="CC53" i="42"/>
  <c r="CC71" i="42"/>
  <c r="CB26" i="42"/>
  <c r="CC76" i="42" l="1"/>
  <c r="CB79" i="42"/>
  <c r="CC58" i="42"/>
  <c r="CB61" i="42"/>
  <c r="CB66" i="42" s="1"/>
  <c r="CC18" i="42"/>
  <c r="CC40" i="42"/>
  <c r="CB43" i="42"/>
  <c r="CB48" i="42" l="1"/>
  <c r="CB49" i="42"/>
  <c r="CB85" i="42"/>
  <c r="CB84" i="42"/>
  <c r="CC17" i="42"/>
  <c r="CC21" i="42" s="1"/>
  <c r="CB25" i="42"/>
  <c r="CB67" i="42"/>
  <c r="CB24" i="42" l="1"/>
  <c r="CB28" i="42" s="1"/>
  <c r="CB29" i="42" s="1"/>
  <c r="CB108" i="42"/>
  <c r="CB111" i="42" s="1"/>
  <c r="CB113" i="42" s="1"/>
  <c r="CD73" i="42" l="1"/>
  <c r="CD72" i="42"/>
  <c r="CC80" i="42" l="1"/>
  <c r="CD55" i="42"/>
  <c r="CD54" i="42"/>
  <c r="CD37" i="42"/>
  <c r="CD36" i="42"/>
  <c r="CC81" i="42"/>
  <c r="CD19" i="42"/>
  <c r="CD109" i="42" s="1"/>
  <c r="CC45" i="42" l="1"/>
  <c r="CC44" i="42"/>
  <c r="CC63" i="42"/>
  <c r="CC62" i="42"/>
  <c r="CD71" i="42"/>
  <c r="CD53" i="42"/>
  <c r="CC26" i="42"/>
  <c r="CD35" i="42"/>
  <c r="CD18" i="42" l="1"/>
  <c r="CD40" i="42"/>
  <c r="CC43" i="42"/>
  <c r="CD58" i="42"/>
  <c r="CC61" i="42"/>
  <c r="CC67" i="42" s="1"/>
  <c r="CD76" i="42"/>
  <c r="CC79" i="42"/>
  <c r="CC66" i="42" l="1"/>
  <c r="CC85" i="42"/>
  <c r="CC84" i="42"/>
  <c r="CC49" i="42"/>
  <c r="CC48" i="42"/>
  <c r="CD17" i="42"/>
  <c r="CD21" i="42" s="1"/>
  <c r="CC25" i="42"/>
  <c r="CC24" i="42" l="1"/>
  <c r="CC28" i="42" s="1"/>
  <c r="CC29" i="42" s="1"/>
  <c r="CC108" i="42"/>
  <c r="CC111" i="42" s="1"/>
  <c r="CC113" i="42" s="1"/>
  <c r="CE19" i="42" l="1"/>
  <c r="CE109" i="42" s="1"/>
  <c r="CE73" i="42"/>
  <c r="CE55" i="42"/>
  <c r="CE54" i="42"/>
  <c r="CE37" i="42"/>
  <c r="CE36" i="42"/>
  <c r="CE72" i="42"/>
  <c r="CD63" i="42" l="1"/>
  <c r="CD80" i="42"/>
  <c r="CD44" i="42"/>
  <c r="CD45" i="42"/>
  <c r="CD62" i="42"/>
  <c r="CE71" i="42"/>
  <c r="CE53" i="42"/>
  <c r="CE35" i="42"/>
  <c r="CD81" i="42"/>
  <c r="CD26" i="42"/>
  <c r="CE40" i="42" l="1"/>
  <c r="CD43" i="42"/>
  <c r="CE58" i="42"/>
  <c r="CD61" i="42"/>
  <c r="CD66" i="42" s="1"/>
  <c r="CE76" i="42"/>
  <c r="CD79" i="42"/>
  <c r="CD85" i="42" s="1"/>
  <c r="CE18" i="42"/>
  <c r="CE17" i="42" l="1"/>
  <c r="CE21" i="42" s="1"/>
  <c r="CD25" i="42"/>
  <c r="CD67" i="42"/>
  <c r="CD48" i="42"/>
  <c r="CD49" i="42"/>
  <c r="CD84" i="42"/>
  <c r="CD24" i="42" l="1"/>
  <c r="CD28" i="42" s="1"/>
  <c r="CD29" i="42" s="1"/>
  <c r="CD108" i="42"/>
  <c r="CD111" i="42" s="1"/>
  <c r="CD113" i="42" s="1"/>
  <c r="CF72" i="42" l="1"/>
  <c r="CE80" i="42" l="1"/>
  <c r="CF19" i="42"/>
  <c r="CF109" i="42" s="1"/>
  <c r="CF73" i="42"/>
  <c r="CF54" i="42"/>
  <c r="CF55" i="42"/>
  <c r="CF37" i="42"/>
  <c r="CF36" i="42"/>
  <c r="CF35" i="42" l="1"/>
  <c r="CF53" i="42"/>
  <c r="CE44" i="42"/>
  <c r="CE45" i="42"/>
  <c r="CE63" i="42"/>
  <c r="CE62" i="42"/>
  <c r="CF71" i="42"/>
  <c r="CE81" i="42"/>
  <c r="CE26" i="42"/>
  <c r="CF76" i="42" l="1"/>
  <c r="CE79" i="42"/>
  <c r="CF58" i="42"/>
  <c r="CE61" i="42"/>
  <c r="CE66" i="42" s="1"/>
  <c r="CF18" i="42"/>
  <c r="CF40" i="42"/>
  <c r="CE43" i="42"/>
  <c r="CF17" i="42" l="1"/>
  <c r="CF21" i="42" s="1"/>
  <c r="CE25" i="42"/>
  <c r="CE85" i="42"/>
  <c r="CE84" i="42"/>
  <c r="CE67" i="42"/>
  <c r="CE48" i="42"/>
  <c r="CE49" i="42"/>
  <c r="CE24" i="42" l="1"/>
  <c r="CE28" i="42" s="1"/>
  <c r="CE29" i="42" s="1"/>
  <c r="CE108" i="42"/>
  <c r="CE111" i="42" s="1"/>
  <c r="CE113" i="42" s="1"/>
  <c r="CG73" i="42" l="1"/>
  <c r="CG72" i="42"/>
  <c r="CG37" i="42" l="1"/>
  <c r="CG36" i="42"/>
  <c r="CG55" i="42"/>
  <c r="CG54" i="42"/>
  <c r="CF80" i="42"/>
  <c r="CF81" i="42"/>
  <c r="CG19" i="42"/>
  <c r="CG109" i="42" s="1"/>
  <c r="CG53" i="42" l="1"/>
  <c r="CG71" i="42"/>
  <c r="CG35" i="42"/>
  <c r="CF62" i="42"/>
  <c r="CF63" i="42"/>
  <c r="CF44" i="42"/>
  <c r="CF45" i="42"/>
  <c r="CF26" i="42"/>
  <c r="CG40" i="42" l="1"/>
  <c r="CF43" i="42"/>
  <c r="CG18" i="42"/>
  <c r="CG76" i="42"/>
  <c r="CF79" i="42"/>
  <c r="CG58" i="42"/>
  <c r="CF61" i="42"/>
  <c r="CF67" i="42" s="1"/>
  <c r="CG17" i="42" l="1"/>
  <c r="CG21" i="42" s="1"/>
  <c r="CF25" i="42"/>
  <c r="CF66" i="42"/>
  <c r="CF48" i="42"/>
  <c r="CF49" i="42"/>
  <c r="CF85" i="42"/>
  <c r="CF84" i="42"/>
  <c r="CF24" i="42" l="1"/>
  <c r="CF28" i="42" s="1"/>
  <c r="CF29" i="42" s="1"/>
  <c r="CF108" i="42"/>
  <c r="CF111" i="42" s="1"/>
  <c r="CF113" i="42" s="1"/>
  <c r="CH19" i="42" l="1"/>
  <c r="CH109" i="42" s="1"/>
  <c r="CH73" i="42"/>
  <c r="CH55" i="42"/>
  <c r="CH54" i="42"/>
  <c r="CH72" i="42"/>
  <c r="CH36" i="42"/>
  <c r="CH37" i="42"/>
  <c r="CH35" i="42" l="1"/>
  <c r="CG45" i="42"/>
  <c r="CG44" i="42"/>
  <c r="CG80" i="42"/>
  <c r="CG62" i="42"/>
  <c r="CG63" i="42"/>
  <c r="CH53" i="42"/>
  <c r="CH71" i="42"/>
  <c r="CG81" i="42"/>
  <c r="CG26" i="42"/>
  <c r="CH18" i="42" l="1"/>
  <c r="CH76" i="42"/>
  <c r="CG79" i="42"/>
  <c r="CG85" i="42" s="1"/>
  <c r="CH58" i="42"/>
  <c r="CG61" i="42"/>
  <c r="CG66" i="42" s="1"/>
  <c r="CH40" i="42"/>
  <c r="CG43" i="42"/>
  <c r="CG67" i="42" l="1"/>
  <c r="CG49" i="42"/>
  <c r="CG48" i="42"/>
  <c r="CG84" i="42"/>
  <c r="CH17" i="42"/>
  <c r="CH21" i="42" s="1"/>
  <c r="CG25" i="42"/>
  <c r="CG24" i="42" l="1"/>
  <c r="CG28" i="42" s="1"/>
  <c r="CG29" i="42" s="1"/>
  <c r="CG108" i="42"/>
  <c r="CG111" i="42" s="1"/>
  <c r="CG113" i="42" s="1"/>
  <c r="CI72" i="42" l="1"/>
  <c r="CH80" i="42" l="1"/>
  <c r="CI19" i="42"/>
  <c r="CI109" i="42" s="1"/>
  <c r="CI73" i="42"/>
  <c r="CI55" i="42"/>
  <c r="CI54" i="42"/>
  <c r="CI37" i="42"/>
  <c r="CI36" i="42"/>
  <c r="CI53" i="42" l="1"/>
  <c r="CH45" i="42"/>
  <c r="CH63" i="42"/>
  <c r="CH81" i="42"/>
  <c r="CH44" i="42"/>
  <c r="CH62" i="42"/>
  <c r="CI35" i="42"/>
  <c r="CI71" i="42"/>
  <c r="CH26" i="42"/>
  <c r="CI18" i="42" l="1"/>
  <c r="CI40" i="42"/>
  <c r="CH43" i="42"/>
  <c r="CI76" i="42"/>
  <c r="CH79" i="42"/>
  <c r="CI58" i="42"/>
  <c r="CH61" i="42"/>
  <c r="CH67" i="42" s="1"/>
  <c r="CH66" i="42" l="1"/>
  <c r="CH85" i="42"/>
  <c r="CH84" i="42"/>
  <c r="CH48" i="42"/>
  <c r="CH49" i="42"/>
  <c r="CI17" i="42"/>
  <c r="CI21" i="42" s="1"/>
  <c r="CH25" i="42"/>
  <c r="CH24" i="42" l="1"/>
  <c r="CH28" i="42" s="1"/>
  <c r="CH29" i="42" s="1"/>
  <c r="CH108" i="42"/>
  <c r="CH111" i="42" s="1"/>
  <c r="CH113" i="42" s="1"/>
  <c r="CJ19" i="42" l="1"/>
  <c r="CJ109" i="42" s="1"/>
  <c r="CJ73" i="42"/>
  <c r="CJ72" i="42"/>
  <c r="CJ55" i="42"/>
  <c r="CJ54" i="42"/>
  <c r="CJ37" i="42"/>
  <c r="CJ36" i="42"/>
  <c r="CI45" i="42" l="1"/>
  <c r="CI63" i="42"/>
  <c r="CI44" i="42"/>
  <c r="CI62" i="42"/>
  <c r="CI80" i="42"/>
  <c r="CI81" i="42"/>
  <c r="CI26" i="42"/>
  <c r="CJ35" i="42"/>
  <c r="CJ71" i="42"/>
  <c r="CJ53" i="42"/>
  <c r="CJ58" i="42" l="1"/>
  <c r="CI61" i="42"/>
  <c r="CI67" i="42" s="1"/>
  <c r="CJ40" i="42"/>
  <c r="CI43" i="42"/>
  <c r="CJ76" i="42"/>
  <c r="CI79" i="42"/>
  <c r="CI85" i="42" s="1"/>
  <c r="CJ18" i="42"/>
  <c r="CI66" i="42" l="1"/>
  <c r="CJ17" i="42"/>
  <c r="CJ21" i="42" s="1"/>
  <c r="CI25" i="42"/>
  <c r="CI84" i="42"/>
  <c r="CI49" i="42"/>
  <c r="CI48" i="42"/>
  <c r="CI24" i="42" l="1"/>
  <c r="CI28" i="42" s="1"/>
  <c r="CI29" i="42" s="1"/>
  <c r="CI108" i="42"/>
  <c r="CI111" i="42" s="1"/>
  <c r="CI113" i="42" s="1"/>
  <c r="CK19" i="42" l="1"/>
  <c r="CK109" i="42" s="1"/>
  <c r="CK73" i="42"/>
  <c r="CK72" i="42"/>
  <c r="CK55" i="42"/>
  <c r="CK54" i="42"/>
  <c r="CK37" i="42"/>
  <c r="CK36" i="42"/>
  <c r="CJ80" i="42" l="1"/>
  <c r="CJ44" i="42"/>
  <c r="CJ45" i="42"/>
  <c r="CJ62" i="42"/>
  <c r="CJ63" i="42"/>
  <c r="CK53" i="42"/>
  <c r="CK71" i="42"/>
  <c r="CK35" i="42"/>
  <c r="CJ81" i="42"/>
  <c r="CJ26" i="42"/>
  <c r="CK76" i="42" l="1"/>
  <c r="CJ79" i="42"/>
  <c r="CJ85" i="42" s="1"/>
  <c r="CK40" i="42"/>
  <c r="CJ43" i="42"/>
  <c r="CK18" i="42"/>
  <c r="CK58" i="42"/>
  <c r="CJ61" i="42"/>
  <c r="CJ66" i="42" s="1"/>
  <c r="CJ67" i="42" l="1"/>
  <c r="CJ84" i="42"/>
  <c r="CK17" i="42"/>
  <c r="CK21" i="42" s="1"/>
  <c r="CJ25" i="42"/>
  <c r="CJ49" i="42"/>
  <c r="CJ48" i="42"/>
  <c r="CJ24" i="42" l="1"/>
  <c r="CJ28" i="42" s="1"/>
  <c r="CJ29" i="42" s="1"/>
  <c r="CJ108" i="42"/>
  <c r="CJ111" i="42" s="1"/>
  <c r="CJ113" i="42" s="1"/>
  <c r="CL19" i="42" l="1"/>
  <c r="CL109" i="42" s="1"/>
  <c r="CL73" i="42"/>
  <c r="CL72" i="42"/>
  <c r="CL55" i="42"/>
  <c r="CL54" i="42"/>
  <c r="CL37" i="42"/>
  <c r="CL36" i="42"/>
  <c r="CK62" i="42" l="1"/>
  <c r="CK80" i="42"/>
  <c r="CK44" i="42"/>
  <c r="CK45" i="42"/>
  <c r="CK63" i="42"/>
  <c r="CL71" i="42"/>
  <c r="CL35" i="42"/>
  <c r="CL53" i="42"/>
  <c r="CK81" i="42"/>
  <c r="CK26" i="42"/>
  <c r="CL58" i="42" l="1"/>
  <c r="CK61" i="42"/>
  <c r="CK67" i="42" s="1"/>
  <c r="CL40" i="42"/>
  <c r="CK43" i="42"/>
  <c r="CL76" i="42"/>
  <c r="CK79" i="42"/>
  <c r="CK85" i="42" s="1"/>
  <c r="CL18" i="42"/>
  <c r="CK66" i="42" l="1"/>
  <c r="CL17" i="42"/>
  <c r="CL21" i="42" s="1"/>
  <c r="CK25" i="42"/>
  <c r="CK49" i="42"/>
  <c r="CK48" i="42"/>
  <c r="CK84" i="42"/>
  <c r="CK24" i="42" l="1"/>
  <c r="CK28" i="42" s="1"/>
  <c r="CK29" i="42" s="1"/>
  <c r="CK108" i="42"/>
  <c r="CK111" i="42" s="1"/>
  <c r="CK113" i="42" s="1"/>
  <c r="CM19" i="42" l="1"/>
  <c r="CM109" i="42" s="1"/>
  <c r="CM73" i="42"/>
  <c r="CM72" i="42"/>
  <c r="CM55" i="42"/>
  <c r="CM54" i="42"/>
  <c r="CM36" i="42"/>
  <c r="CM37" i="42"/>
  <c r="CM71" i="42" l="1"/>
  <c r="CL45" i="42"/>
  <c r="CL44" i="42"/>
  <c r="CL62" i="42"/>
  <c r="CL63" i="42"/>
  <c r="CM35" i="42"/>
  <c r="CM53" i="42"/>
  <c r="CL80" i="42"/>
  <c r="CL81" i="42"/>
  <c r="CL26" i="42"/>
  <c r="CM58" i="42" l="1"/>
  <c r="CL61" i="42"/>
  <c r="CL66" i="42" s="1"/>
  <c r="CM40" i="42"/>
  <c r="CL43" i="42"/>
  <c r="CM18" i="42"/>
  <c r="CM76" i="42"/>
  <c r="CL79" i="42"/>
  <c r="CL85" i="42" s="1"/>
  <c r="CL67" i="42" l="1"/>
  <c r="CM17" i="42"/>
  <c r="CM21" i="42" s="1"/>
  <c r="CL25" i="42"/>
  <c r="CL49" i="42"/>
  <c r="CL48" i="42"/>
  <c r="CL84" i="42"/>
  <c r="CL24" i="42" l="1"/>
  <c r="CL28" i="42" s="1"/>
  <c r="CL29" i="42" s="1"/>
  <c r="CL108" i="42"/>
  <c r="CL111" i="42" s="1"/>
  <c r="CL113" i="42" s="1"/>
  <c r="CN72" i="42" l="1"/>
  <c r="CM80" i="42" l="1"/>
  <c r="CN19" i="42"/>
  <c r="CN109" i="42" s="1"/>
  <c r="CN73" i="42"/>
  <c r="CN55" i="42"/>
  <c r="CN54" i="42"/>
  <c r="CN37" i="42"/>
  <c r="CN36" i="42"/>
  <c r="CN53" i="42" l="1"/>
  <c r="CM44" i="42"/>
  <c r="CM45" i="42"/>
  <c r="CM62" i="42"/>
  <c r="CM63" i="42"/>
  <c r="CN71" i="42"/>
  <c r="CN35" i="42"/>
  <c r="CM81" i="42"/>
  <c r="CM26" i="42"/>
  <c r="CN40" i="42" l="1"/>
  <c r="CM43" i="42"/>
  <c r="CN76" i="42"/>
  <c r="CM79" i="42"/>
  <c r="CN18" i="42"/>
  <c r="CN58" i="42"/>
  <c r="CM61" i="42"/>
  <c r="CM66" i="42" s="1"/>
  <c r="CM67" i="42" l="1"/>
  <c r="CN17" i="42"/>
  <c r="CN21" i="42" s="1"/>
  <c r="CM25" i="42"/>
  <c r="CM85" i="42"/>
  <c r="CM84" i="42"/>
  <c r="CM48" i="42"/>
  <c r="CM49" i="42"/>
  <c r="CM24" i="42" l="1"/>
  <c r="CM28" i="42" s="1"/>
  <c r="CM29" i="42" s="1"/>
  <c r="CM108" i="42"/>
  <c r="CM111" i="42" s="1"/>
  <c r="CM113" i="42" s="1"/>
  <c r="CO19" i="42" l="1"/>
  <c r="CO109" i="42" s="1"/>
  <c r="CO73" i="42"/>
  <c r="CO72" i="42"/>
  <c r="CO55" i="42"/>
  <c r="CO54" i="42"/>
  <c r="CO37" i="42"/>
  <c r="CO36" i="42"/>
  <c r="CN44" i="42" l="1"/>
  <c r="CN62" i="42"/>
  <c r="CN63" i="42"/>
  <c r="CO35" i="42"/>
  <c r="CO71" i="42"/>
  <c r="CO53" i="42"/>
  <c r="CN80" i="42"/>
  <c r="CN45" i="42"/>
  <c r="CN81" i="42"/>
  <c r="CN26" i="42"/>
  <c r="CO18" i="42" l="1"/>
  <c r="CO58" i="42"/>
  <c r="CN61" i="42"/>
  <c r="CN67" i="42" s="1"/>
  <c r="CO76" i="42"/>
  <c r="CN79" i="42"/>
  <c r="CN85" i="42" s="1"/>
  <c r="CO40" i="42"/>
  <c r="CN43" i="42"/>
  <c r="CN84" i="42" l="1"/>
  <c r="CN66" i="42"/>
  <c r="CN48" i="42"/>
  <c r="CN49" i="42"/>
  <c r="CO17" i="42"/>
  <c r="CO21" i="42" s="1"/>
  <c r="CN25" i="42"/>
  <c r="CN24" i="42" l="1"/>
  <c r="CN28" i="42" s="1"/>
  <c r="CN29" i="42" s="1"/>
  <c r="CN108" i="42"/>
  <c r="CN111" i="42" s="1"/>
  <c r="CN113" i="42" s="1"/>
  <c r="CP19" i="42" l="1"/>
  <c r="CP109" i="42" s="1"/>
  <c r="CP73" i="42"/>
  <c r="CP72" i="42"/>
  <c r="CP55" i="42"/>
  <c r="CP54" i="42"/>
  <c r="CP37" i="42"/>
  <c r="CP36" i="42"/>
  <c r="CO45" i="42" l="1"/>
  <c r="CO63" i="42"/>
  <c r="CO44" i="42"/>
  <c r="CO62" i="42"/>
  <c r="CO80" i="42"/>
  <c r="CP35" i="42"/>
  <c r="CP71" i="42"/>
  <c r="CP53" i="42"/>
  <c r="CO81" i="42"/>
  <c r="CO26" i="42"/>
  <c r="CP58" i="42" l="1"/>
  <c r="CO61" i="42"/>
  <c r="CO67" i="42" s="1"/>
  <c r="CP76" i="42"/>
  <c r="CO79" i="42"/>
  <c r="CO85" i="42" s="1"/>
  <c r="CP18" i="42"/>
  <c r="CP40" i="42"/>
  <c r="CO43" i="42"/>
  <c r="CO66" i="42" l="1"/>
  <c r="CP17" i="42"/>
  <c r="CP21" i="42" s="1"/>
  <c r="CO25" i="42"/>
  <c r="CO48" i="42"/>
  <c r="CO49" i="42"/>
  <c r="CO84" i="42"/>
  <c r="CO24" i="42" l="1"/>
  <c r="CO28" i="42" s="1"/>
  <c r="CO29" i="42" s="1"/>
  <c r="CO108" i="42"/>
  <c r="CO111" i="42" s="1"/>
  <c r="CO113" i="42" s="1"/>
  <c r="CQ19" i="42" l="1"/>
  <c r="CQ109" i="42" s="1"/>
  <c r="CQ73" i="42"/>
  <c r="CQ72" i="42"/>
  <c r="CQ55" i="42"/>
  <c r="CQ54" i="42"/>
  <c r="CQ37" i="42"/>
  <c r="CQ36" i="42"/>
  <c r="CP45" i="42" l="1"/>
  <c r="CQ71" i="42"/>
  <c r="CP44" i="42"/>
  <c r="CP62" i="42"/>
  <c r="CP63" i="42"/>
  <c r="CQ35" i="42"/>
  <c r="CQ53" i="42"/>
  <c r="CP80" i="42"/>
  <c r="CP81" i="42"/>
  <c r="CP26" i="42"/>
  <c r="CQ58" i="42" l="1"/>
  <c r="CP61" i="42"/>
  <c r="CP66" i="42" s="1"/>
  <c r="CQ76" i="42"/>
  <c r="CP79" i="42"/>
  <c r="CP85" i="42" s="1"/>
  <c r="CQ18" i="42"/>
  <c r="CQ40" i="42"/>
  <c r="CP43" i="42"/>
  <c r="CP84" i="42" l="1"/>
  <c r="CP49" i="42"/>
  <c r="CP48" i="42"/>
  <c r="CP67" i="42"/>
  <c r="CQ17" i="42"/>
  <c r="CQ21" i="42" s="1"/>
  <c r="CP25" i="42"/>
  <c r="CP24" i="42" l="1"/>
  <c r="CP28" i="42" s="1"/>
  <c r="CP29" i="42" s="1"/>
  <c r="CP108" i="42"/>
  <c r="CP111" i="42" s="1"/>
  <c r="CP113" i="42" s="1"/>
  <c r="CR37" i="42" l="1"/>
  <c r="CR36" i="42"/>
  <c r="CR19" i="42"/>
  <c r="CR109" i="42" s="1"/>
  <c r="CR73" i="42"/>
  <c r="CR72" i="42"/>
  <c r="CR55" i="42"/>
  <c r="CR54" i="42"/>
  <c r="CR35" i="42" l="1"/>
  <c r="CR71" i="42"/>
  <c r="CQ62" i="42"/>
  <c r="CQ63" i="42"/>
  <c r="CR53" i="42"/>
  <c r="CQ80" i="42"/>
  <c r="CQ81" i="42"/>
  <c r="CQ26" i="42"/>
  <c r="CQ44" i="42"/>
  <c r="CQ45" i="42"/>
  <c r="CR58" i="42" l="1"/>
  <c r="CQ61" i="42"/>
  <c r="CQ67" i="42" s="1"/>
  <c r="CR18" i="42"/>
  <c r="CR76" i="42"/>
  <c r="CQ79" i="42"/>
  <c r="CQ85" i="42" s="1"/>
  <c r="CR40" i="42"/>
  <c r="CQ43" i="42"/>
  <c r="CQ66" i="42" l="1"/>
  <c r="CR17" i="42"/>
  <c r="CR21" i="42" s="1"/>
  <c r="CQ25" i="42"/>
  <c r="CQ49" i="42"/>
  <c r="CQ48" i="42"/>
  <c r="CQ84" i="42"/>
  <c r="CQ24" i="42" l="1"/>
  <c r="CQ28" i="42" s="1"/>
  <c r="CQ29" i="42" s="1"/>
  <c r="CQ108" i="42"/>
  <c r="CQ111" i="42" s="1"/>
  <c r="CQ113" i="42" s="1"/>
  <c r="CS72" i="42" l="1"/>
  <c r="CR80" i="42" l="1"/>
  <c r="CS19" i="42"/>
  <c r="CS109" i="42" s="1"/>
  <c r="CS73" i="42"/>
  <c r="CS37" i="42"/>
  <c r="CS36" i="42"/>
  <c r="CS55" i="42"/>
  <c r="CS54" i="42"/>
  <c r="CS35" i="42" l="1"/>
  <c r="CR45" i="42"/>
  <c r="CS53" i="42"/>
  <c r="CR63" i="42"/>
  <c r="CR81" i="42"/>
  <c r="CS71" i="42"/>
  <c r="CR62" i="42"/>
  <c r="CR44" i="42"/>
  <c r="CR26" i="42"/>
  <c r="CS58" i="42" l="1"/>
  <c r="CR61" i="42"/>
  <c r="CR67" i="42" s="1"/>
  <c r="CS76" i="42"/>
  <c r="CR79" i="42"/>
  <c r="CS18" i="42"/>
  <c r="CS40" i="42"/>
  <c r="CR43" i="42"/>
  <c r="CR66" i="42" l="1"/>
  <c r="CR85" i="42"/>
  <c r="CR84" i="42"/>
  <c r="CR49" i="42"/>
  <c r="CR48" i="42"/>
  <c r="CS17" i="42"/>
  <c r="CS21" i="42" s="1"/>
  <c r="CR25" i="42"/>
  <c r="CR24" i="42" l="1"/>
  <c r="CR28" i="42" s="1"/>
  <c r="CR29" i="42" s="1"/>
  <c r="CR108" i="42"/>
  <c r="CR111" i="42" s="1"/>
  <c r="CR113" i="42" s="1"/>
  <c r="CT19" i="42" l="1"/>
  <c r="CT109" i="42" s="1"/>
  <c r="CT73" i="42"/>
  <c r="CT72" i="42"/>
  <c r="CT55" i="42"/>
  <c r="CT54" i="42"/>
  <c r="CT37" i="42"/>
  <c r="CT36" i="42"/>
  <c r="CT71" i="42" l="1"/>
  <c r="CS45" i="42"/>
  <c r="CT53" i="42"/>
  <c r="CT35" i="42"/>
  <c r="CS44" i="42"/>
  <c r="CS62" i="42"/>
  <c r="CS63" i="42"/>
  <c r="CS80" i="42"/>
  <c r="CS81" i="42"/>
  <c r="CS26" i="42"/>
  <c r="CT40" i="42" l="1"/>
  <c r="CS43" i="42"/>
  <c r="CT58" i="42"/>
  <c r="CS61" i="42"/>
  <c r="CS66" i="42" s="1"/>
  <c r="CT18" i="42"/>
  <c r="CT76" i="42"/>
  <c r="CS79" i="42"/>
  <c r="CS85" i="42" s="1"/>
  <c r="CS84" i="42" l="1"/>
  <c r="CS67" i="42"/>
  <c r="CT17" i="42"/>
  <c r="CT21" i="42" s="1"/>
  <c r="CS25" i="42"/>
  <c r="CS49" i="42"/>
  <c r="CS48" i="42"/>
  <c r="CS24" i="42" l="1"/>
  <c r="CS28" i="42" s="1"/>
  <c r="CS29" i="42" s="1"/>
  <c r="CS108" i="42"/>
  <c r="CS111" i="42" s="1"/>
  <c r="CS113" i="42" s="1"/>
  <c r="CU73" i="42" l="1"/>
  <c r="CU72" i="42"/>
  <c r="CU37" i="42" l="1"/>
  <c r="CU36" i="42"/>
  <c r="CU55" i="42"/>
  <c r="CU54" i="42"/>
  <c r="CT80" i="42"/>
  <c r="CT81" i="42"/>
  <c r="CU19" i="42"/>
  <c r="CU109" i="42" s="1"/>
  <c r="CU71" i="42" l="1"/>
  <c r="CU53" i="42"/>
  <c r="CU35" i="42"/>
  <c r="CT62" i="42"/>
  <c r="CT63" i="42"/>
  <c r="CT44" i="42"/>
  <c r="CT45" i="42"/>
  <c r="CT26" i="42"/>
  <c r="CU40" i="42" l="1"/>
  <c r="CT43" i="42"/>
  <c r="CU58" i="42"/>
  <c r="CT61" i="42"/>
  <c r="CT66" i="42" s="1"/>
  <c r="CU76" i="42"/>
  <c r="CT79" i="42"/>
  <c r="CU18" i="42"/>
  <c r="CT49" i="42" l="1"/>
  <c r="CT48" i="42"/>
  <c r="CU17" i="42"/>
  <c r="CU21" i="42" s="1"/>
  <c r="CT25" i="42"/>
  <c r="CT85" i="42"/>
  <c r="CT84" i="42"/>
  <c r="CT67" i="42"/>
  <c r="CT24" i="42" l="1"/>
  <c r="CT28" i="42" s="1"/>
  <c r="CT29" i="42" s="1"/>
  <c r="CT108" i="42"/>
  <c r="CT111" i="42" s="1"/>
  <c r="CT113" i="42" s="1"/>
  <c r="CV19" i="42" l="1"/>
  <c r="CV109" i="42" s="1"/>
  <c r="CV73" i="42"/>
  <c r="CV72" i="42"/>
  <c r="CV37" i="42"/>
  <c r="CV36" i="42"/>
  <c r="CV55" i="42"/>
  <c r="CV54" i="42"/>
  <c r="CU62" i="42" l="1"/>
  <c r="CV71" i="42"/>
  <c r="CU81" i="42"/>
  <c r="CU63" i="42"/>
  <c r="CV35" i="42"/>
  <c r="CV53" i="42"/>
  <c r="CU44" i="42"/>
  <c r="CU45" i="42"/>
  <c r="CU80" i="42"/>
  <c r="CU26" i="42"/>
  <c r="CV40" i="42" l="1"/>
  <c r="CU43" i="42"/>
  <c r="CV76" i="42"/>
  <c r="CU79" i="42"/>
  <c r="CU85" i="42" s="1"/>
  <c r="CV18" i="42"/>
  <c r="CV58" i="42"/>
  <c r="CU61" i="42"/>
  <c r="CU67" i="42" s="1"/>
  <c r="CU49" i="42" l="1"/>
  <c r="CU48" i="42"/>
  <c r="CU66" i="42"/>
  <c r="CV17" i="42"/>
  <c r="CV21" i="42" s="1"/>
  <c r="CU25" i="42"/>
  <c r="CU84" i="42"/>
  <c r="CU24" i="42" l="1"/>
  <c r="CU28" i="42" s="1"/>
  <c r="CU29" i="42" s="1"/>
  <c r="CU108" i="42"/>
  <c r="CU111" i="42" s="1"/>
  <c r="CU113" i="42" s="1"/>
  <c r="CW73" i="42" l="1"/>
  <c r="CW72" i="42"/>
  <c r="CV80" i="42" l="1"/>
  <c r="CV81" i="42"/>
  <c r="CW37" i="42"/>
  <c r="CW36" i="42"/>
  <c r="CW55" i="42"/>
  <c r="CW54" i="42"/>
  <c r="CW19" i="42"/>
  <c r="CW109" i="42" s="1"/>
  <c r="CV45" i="42" l="1"/>
  <c r="CV62" i="42"/>
  <c r="CV63" i="42"/>
  <c r="CV44" i="42"/>
  <c r="CW35" i="42"/>
  <c r="CW53" i="42"/>
  <c r="CW71" i="42"/>
  <c r="CV26" i="42"/>
  <c r="CW40" i="42" l="1"/>
  <c r="CV43" i="42"/>
  <c r="CW18" i="42"/>
  <c r="CW76" i="42"/>
  <c r="CV79" i="42"/>
  <c r="CW58" i="42"/>
  <c r="CV61" i="42"/>
  <c r="CV66" i="42" s="1"/>
  <c r="CV67" i="42" l="1"/>
  <c r="CW17" i="42"/>
  <c r="CW21" i="42" s="1"/>
  <c r="CV25" i="42"/>
  <c r="CV85" i="42"/>
  <c r="CV84" i="42"/>
  <c r="CV48" i="42"/>
  <c r="CV49" i="42"/>
  <c r="CV24" i="42" l="1"/>
  <c r="CV28" i="42" s="1"/>
  <c r="CV29" i="42" s="1"/>
  <c r="CV108" i="42"/>
  <c r="CV111" i="42" s="1"/>
  <c r="CV113" i="42" s="1"/>
  <c r="CX73" i="42" l="1"/>
  <c r="CX72" i="42"/>
  <c r="CW80" i="42" l="1"/>
  <c r="CX55" i="42"/>
  <c r="CX54" i="42"/>
  <c r="CX37" i="42"/>
  <c r="CX36" i="42"/>
  <c r="CW81" i="42"/>
  <c r="CX19" i="42"/>
  <c r="CX109" i="42" s="1"/>
  <c r="CW63" i="42" l="1"/>
  <c r="CX71" i="42"/>
  <c r="CW44" i="42"/>
  <c r="CW45" i="42"/>
  <c r="CW62" i="42"/>
  <c r="CX53" i="42"/>
  <c r="CW26" i="42"/>
  <c r="CX35" i="42"/>
  <c r="CX40" i="42" l="1"/>
  <c r="CW43" i="42"/>
  <c r="CX18" i="42"/>
  <c r="CX76" i="42"/>
  <c r="CW79" i="42"/>
  <c r="CX58" i="42"/>
  <c r="CW61" i="42"/>
  <c r="CW67" i="42" s="1"/>
  <c r="CW66" i="42" l="1"/>
  <c r="CX17" i="42"/>
  <c r="CX21" i="42" s="1"/>
  <c r="CW25" i="42"/>
  <c r="CW48" i="42"/>
  <c r="CW49" i="42"/>
  <c r="CW85" i="42"/>
  <c r="CW84" i="42"/>
  <c r="CW24" i="42" l="1"/>
  <c r="CW28" i="42" s="1"/>
  <c r="CW29" i="42" s="1"/>
  <c r="CW108" i="42"/>
  <c r="CW111" i="42" s="1"/>
  <c r="CW113" i="42" s="1"/>
  <c r="CY73" i="42" l="1"/>
  <c r="CY72" i="42"/>
  <c r="CX80" i="42" l="1"/>
  <c r="CY55" i="42"/>
  <c r="CY54" i="42"/>
  <c r="CY37" i="42"/>
  <c r="CY36" i="42"/>
  <c r="CX81" i="42"/>
  <c r="CY19" i="42"/>
  <c r="CY109" i="42" s="1"/>
  <c r="CX45" i="42" l="1"/>
  <c r="CY71" i="42"/>
  <c r="CX44" i="42"/>
  <c r="CX62" i="42"/>
  <c r="CX63" i="42"/>
  <c r="CY35" i="42"/>
  <c r="CX26" i="42"/>
  <c r="CY53" i="42"/>
  <c r="CY58" i="42" l="1"/>
  <c r="CX61" i="42"/>
  <c r="CX66" i="42" s="1"/>
  <c r="CY40" i="42"/>
  <c r="CX43" i="42"/>
  <c r="CY76" i="42"/>
  <c r="CX79" i="42"/>
  <c r="CY18" i="42"/>
  <c r="CX67" i="42" l="1"/>
  <c r="CX49" i="42"/>
  <c r="CX48" i="42"/>
  <c r="CY17" i="42"/>
  <c r="CY21" i="42" s="1"/>
  <c r="CX25" i="42"/>
  <c r="CX85" i="42"/>
  <c r="CX84" i="42"/>
  <c r="CX24" i="42" l="1"/>
  <c r="CX28" i="42" s="1"/>
  <c r="CX29" i="42" s="1"/>
  <c r="CX108" i="42"/>
  <c r="CX111" i="42" s="1"/>
  <c r="CX113" i="42" s="1"/>
  <c r="CZ73" i="42"/>
  <c r="CY81" i="42" l="1"/>
  <c r="CZ72" i="42"/>
  <c r="CZ54" i="42" l="1"/>
  <c r="CZ55" i="42"/>
  <c r="CY80" i="42"/>
  <c r="CZ37" i="42"/>
  <c r="CZ36" i="42"/>
  <c r="CZ19" i="42"/>
  <c r="CZ109" i="42" s="1"/>
  <c r="CY26" i="42" l="1"/>
  <c r="CY44" i="42"/>
  <c r="CY45" i="42"/>
  <c r="CY63" i="42"/>
  <c r="CY62" i="42"/>
  <c r="CZ35" i="42"/>
  <c r="CZ71" i="42"/>
  <c r="CZ53" i="42"/>
  <c r="CZ58" i="42" l="1"/>
  <c r="CY61" i="42"/>
  <c r="CY66" i="42" s="1"/>
  <c r="CZ76" i="42"/>
  <c r="CY79" i="42"/>
  <c r="CZ18" i="42"/>
  <c r="CZ40" i="42"/>
  <c r="CY43" i="42"/>
  <c r="CY67" i="42" l="1"/>
  <c r="CY48" i="42"/>
  <c r="CY49" i="42"/>
  <c r="CZ17" i="42"/>
  <c r="CZ21" i="42" s="1"/>
  <c r="CY25" i="42"/>
  <c r="CY85" i="42"/>
  <c r="CY84" i="42"/>
  <c r="CY24" i="42" l="1"/>
  <c r="CY28" i="42" s="1"/>
  <c r="CY29" i="42" s="1"/>
  <c r="CY108" i="42"/>
  <c r="CY111" i="42" s="1"/>
  <c r="CY113" i="42" s="1"/>
  <c r="DA19" i="42" l="1"/>
  <c r="DA109" i="42" s="1"/>
  <c r="DA73" i="42"/>
  <c r="DA72" i="42"/>
  <c r="DA55" i="42"/>
  <c r="DA54" i="42"/>
  <c r="DA37" i="42"/>
  <c r="DA36" i="42"/>
  <c r="CZ45" i="42" l="1"/>
  <c r="CZ80" i="42"/>
  <c r="CZ44" i="42"/>
  <c r="CZ62" i="42"/>
  <c r="CZ63" i="42"/>
  <c r="CZ81" i="42"/>
  <c r="CZ26" i="42"/>
  <c r="DA35" i="42"/>
  <c r="DA71" i="42"/>
  <c r="DA53" i="42"/>
  <c r="DA76" i="42" l="1"/>
  <c r="CZ79" i="42"/>
  <c r="CZ85" i="42" s="1"/>
  <c r="DA40" i="42"/>
  <c r="CZ43" i="42"/>
  <c r="DA58" i="42"/>
  <c r="CZ61" i="42"/>
  <c r="CZ67" i="42" s="1"/>
  <c r="DA18" i="42"/>
  <c r="CZ84" i="42" l="1"/>
  <c r="DA17" i="42"/>
  <c r="DA21" i="42" s="1"/>
  <c r="CZ25" i="42"/>
  <c r="CZ49" i="42"/>
  <c r="CZ48" i="42"/>
  <c r="CZ66" i="42"/>
  <c r="CZ24" i="42" l="1"/>
  <c r="CZ28" i="42" s="1"/>
  <c r="CZ29" i="42" s="1"/>
  <c r="CZ108" i="42"/>
  <c r="CZ111" i="42" s="1"/>
  <c r="CZ113" i="42" s="1"/>
  <c r="DB73" i="42" l="1"/>
  <c r="DB72" i="42"/>
  <c r="DA80" i="42" l="1"/>
  <c r="DA81" i="42"/>
  <c r="DB55" i="42"/>
  <c r="DB54" i="42"/>
  <c r="DB37" i="42"/>
  <c r="DB36" i="42"/>
  <c r="DB19" i="42"/>
  <c r="DB109" i="42" s="1"/>
  <c r="DA45" i="42" l="1"/>
  <c r="DA44" i="42"/>
  <c r="DA62" i="42"/>
  <c r="DA63" i="42"/>
  <c r="DB71" i="42"/>
  <c r="DB53" i="42"/>
  <c r="DB35" i="42"/>
  <c r="DA26" i="42"/>
  <c r="DB76" i="42" l="1"/>
  <c r="DA79" i="42"/>
  <c r="DB58" i="42"/>
  <c r="DA61" i="42"/>
  <c r="DA67" i="42" s="1"/>
  <c r="DB40" i="42"/>
  <c r="DA43" i="42"/>
  <c r="DB18" i="42"/>
  <c r="DB17" i="42" l="1"/>
  <c r="DB21" i="42" s="1"/>
  <c r="DA25" i="42"/>
  <c r="DA85" i="42"/>
  <c r="DA84" i="42"/>
  <c r="DA66" i="42"/>
  <c r="DA49" i="42"/>
  <c r="DA48" i="42"/>
  <c r="DA24" i="42" l="1"/>
  <c r="DA28" i="42" s="1"/>
  <c r="DA29" i="42" s="1"/>
  <c r="DA108" i="42"/>
  <c r="DA111" i="42" s="1"/>
  <c r="DA113" i="42" s="1"/>
  <c r="DC72" i="42" l="1"/>
  <c r="DB80" i="42" l="1"/>
  <c r="DC55" i="42"/>
  <c r="DC54" i="42"/>
  <c r="DC19" i="42"/>
  <c r="DC109" i="42" s="1"/>
  <c r="DC73" i="42"/>
  <c r="DC37" i="42"/>
  <c r="DC36" i="42"/>
  <c r="DB44" i="42" l="1"/>
  <c r="DB62" i="42"/>
  <c r="DB45" i="42"/>
  <c r="DC71" i="42"/>
  <c r="DB81" i="42"/>
  <c r="DB26" i="42"/>
  <c r="DB63" i="42"/>
  <c r="DC35" i="42"/>
  <c r="DC53" i="42"/>
  <c r="DC76" i="42" l="1"/>
  <c r="DB79" i="42"/>
  <c r="DC18" i="42"/>
  <c r="DC40" i="42"/>
  <c r="DB43" i="42"/>
  <c r="DC58" i="42"/>
  <c r="DB61" i="42"/>
  <c r="DB67" i="42" s="1"/>
  <c r="DB66" i="42" l="1"/>
  <c r="DC17" i="42"/>
  <c r="DC21" i="42" s="1"/>
  <c r="DB25" i="42"/>
  <c r="DB85" i="42"/>
  <c r="DB84" i="42"/>
  <c r="DB48" i="42"/>
  <c r="DB49" i="42"/>
  <c r="DB24" i="42" l="1"/>
  <c r="DB28" i="42" s="1"/>
  <c r="DB29" i="42" s="1"/>
  <c r="DB108" i="42"/>
  <c r="DB111" i="42" s="1"/>
  <c r="DB113" i="42" s="1"/>
  <c r="DD19" i="42" l="1"/>
  <c r="DD109" i="42" s="1"/>
  <c r="DD73" i="42"/>
  <c r="DD72" i="42"/>
  <c r="DD55" i="42"/>
  <c r="DD54" i="42"/>
  <c r="DD37" i="42"/>
  <c r="DD36" i="42"/>
  <c r="DC44" i="42" l="1"/>
  <c r="DC45" i="42"/>
  <c r="DD35" i="42"/>
  <c r="DC81" i="42"/>
  <c r="DC62" i="42"/>
  <c r="DC63" i="42"/>
  <c r="DD71" i="42"/>
  <c r="DD53" i="42"/>
  <c r="DC80" i="42"/>
  <c r="DC26" i="42"/>
  <c r="DD40" i="42" l="1"/>
  <c r="DC43" i="42"/>
  <c r="DD76" i="42"/>
  <c r="DC79" i="42"/>
  <c r="DC85" i="42" s="1"/>
  <c r="DD58" i="42"/>
  <c r="DC61" i="42"/>
  <c r="DC66" i="42" s="1"/>
  <c r="DD18" i="42"/>
  <c r="DC67" i="42" l="1"/>
  <c r="DC84" i="42"/>
  <c r="DC49" i="42"/>
  <c r="DC48" i="42"/>
  <c r="DD17" i="42"/>
  <c r="DD21" i="42" s="1"/>
  <c r="DC25" i="42"/>
  <c r="DC24" i="42" l="1"/>
  <c r="DC28" i="42" s="1"/>
  <c r="DC29" i="42" s="1"/>
  <c r="DC108" i="42"/>
  <c r="DC111" i="42" s="1"/>
  <c r="DC113" i="42" s="1"/>
  <c r="DE72" i="42" l="1"/>
  <c r="DD80" i="42" l="1"/>
  <c r="DE19" i="42"/>
  <c r="DE109" i="42" s="1"/>
  <c r="DE73" i="42"/>
  <c r="DE55" i="42"/>
  <c r="DE54" i="42"/>
  <c r="DE37" i="42"/>
  <c r="DE36" i="42"/>
  <c r="DD44" i="42" l="1"/>
  <c r="DD81" i="42"/>
  <c r="DE71" i="42"/>
  <c r="DD45" i="42"/>
  <c r="DD62" i="42"/>
  <c r="DD63" i="42"/>
  <c r="DD26" i="42"/>
  <c r="DE35" i="42"/>
  <c r="DE53" i="42"/>
  <c r="DE40" i="42" l="1"/>
  <c r="DD43" i="42"/>
  <c r="DE58" i="42"/>
  <c r="DD61" i="42"/>
  <c r="DD66" i="42" s="1"/>
  <c r="DE18" i="42"/>
  <c r="DE76" i="42"/>
  <c r="DD79" i="42"/>
  <c r="DD67" i="42" l="1"/>
  <c r="DD48" i="42"/>
  <c r="DD49" i="42"/>
  <c r="DD85" i="42"/>
  <c r="DD84" i="42"/>
  <c r="DE17" i="42"/>
  <c r="DE21" i="42" s="1"/>
  <c r="DD25" i="42"/>
  <c r="DD24" i="42" l="1"/>
  <c r="DD28" i="42" s="1"/>
  <c r="DD29" i="42" s="1"/>
  <c r="DD108" i="42"/>
  <c r="DD111" i="42" s="1"/>
  <c r="DD113" i="42" s="1"/>
  <c r="DF19" i="42" l="1"/>
  <c r="DF109" i="42" s="1"/>
  <c r="DF73" i="42"/>
  <c r="DF72" i="42"/>
  <c r="DF55" i="42"/>
  <c r="DF54" i="42"/>
  <c r="DF37" i="42"/>
  <c r="DF36" i="42"/>
  <c r="DE45" i="42" l="1"/>
  <c r="DE63" i="42"/>
  <c r="DE44" i="42"/>
  <c r="DE62" i="42"/>
  <c r="DE80" i="42"/>
  <c r="DE81" i="42"/>
  <c r="DE26" i="42"/>
  <c r="DF35" i="42"/>
  <c r="DF53" i="42"/>
  <c r="DF71" i="42"/>
  <c r="DF18" i="42" l="1"/>
  <c r="DF76" i="42"/>
  <c r="DE79" i="42"/>
  <c r="DE85" i="42" s="1"/>
  <c r="DF58" i="42"/>
  <c r="DE61" i="42"/>
  <c r="DE66" i="42" s="1"/>
  <c r="DF40" i="42"/>
  <c r="DE43" i="42"/>
  <c r="DE48" i="42" l="1"/>
  <c r="DE49" i="42"/>
  <c r="DE67" i="42"/>
  <c r="DF17" i="42"/>
  <c r="DF21" i="42" s="1"/>
  <c r="DE25" i="42"/>
  <c r="DE84" i="42"/>
  <c r="DE24" i="42" l="1"/>
  <c r="DE28" i="42" s="1"/>
  <c r="DE29" i="42" s="1"/>
  <c r="DE108" i="42"/>
  <c r="DE111" i="42" s="1"/>
  <c r="DE113" i="42" s="1"/>
  <c r="DG19" i="42" l="1"/>
  <c r="DG109" i="42" s="1"/>
  <c r="DG72" i="42"/>
  <c r="DG73" i="42"/>
  <c r="DG55" i="42"/>
  <c r="DG54" i="42"/>
  <c r="DG36" i="42"/>
  <c r="DG37" i="42"/>
  <c r="DF63" i="42" l="1"/>
  <c r="DF45" i="42"/>
  <c r="DF44" i="42"/>
  <c r="DF62" i="42"/>
  <c r="DG53" i="42"/>
  <c r="DG71" i="42"/>
  <c r="DG35" i="42"/>
  <c r="DF81" i="42"/>
  <c r="DF80" i="42"/>
  <c r="DF26" i="42"/>
  <c r="DG18" i="42" l="1"/>
  <c r="DG58" i="42"/>
  <c r="DF61" i="42"/>
  <c r="DF66" i="42" s="1"/>
  <c r="DG40" i="42"/>
  <c r="DF43" i="42"/>
  <c r="DG76" i="42"/>
  <c r="DF79" i="42"/>
  <c r="DF85" i="42" s="1"/>
  <c r="DF48" i="42" l="1"/>
  <c r="DF49" i="42"/>
  <c r="DG17" i="42"/>
  <c r="DG21" i="42" s="1"/>
  <c r="DF25" i="42"/>
  <c r="DF67" i="42"/>
  <c r="DF84" i="42"/>
  <c r="DF24" i="42" l="1"/>
  <c r="DF28" i="42" s="1"/>
  <c r="DF29" i="42" s="1"/>
  <c r="DF108" i="42"/>
  <c r="DF111" i="42" s="1"/>
  <c r="DF113" i="42" s="1"/>
  <c r="DH72" i="42" l="1"/>
  <c r="DG80" i="42" l="1"/>
  <c r="DH19" i="42"/>
  <c r="DH109" i="42" s="1"/>
  <c r="DH73" i="42"/>
  <c r="DH54" i="42"/>
  <c r="DH55" i="42"/>
  <c r="DH37" i="42"/>
  <c r="DH36" i="42"/>
  <c r="DG44" i="42" l="1"/>
  <c r="DG62" i="42"/>
  <c r="DG26" i="42"/>
  <c r="DG45" i="42"/>
  <c r="DG63" i="42"/>
  <c r="DG81" i="42"/>
  <c r="DH71" i="42"/>
  <c r="DH35" i="42"/>
  <c r="DH53" i="42"/>
  <c r="DH40" i="42" l="1"/>
  <c r="DG43" i="42"/>
  <c r="DH76" i="42"/>
  <c r="DG79" i="42"/>
  <c r="DH58" i="42"/>
  <c r="DG61" i="42"/>
  <c r="DG67" i="42" s="1"/>
  <c r="DH18" i="42"/>
  <c r="DG66" i="42" l="1"/>
  <c r="DH17" i="42"/>
  <c r="DH21" i="42" s="1"/>
  <c r="DG25" i="42"/>
  <c r="DG48" i="42"/>
  <c r="DG49" i="42"/>
  <c r="DG85" i="42"/>
  <c r="DG84" i="42"/>
  <c r="DG24" i="42" l="1"/>
  <c r="DG28" i="42" s="1"/>
  <c r="DG29" i="42" s="1"/>
  <c r="DG108" i="42"/>
  <c r="DG111" i="42" s="1"/>
  <c r="DG113" i="42" s="1"/>
  <c r="DI72" i="42" l="1"/>
  <c r="DH80" i="42" s="1"/>
  <c r="DI73" i="42"/>
  <c r="DI37" i="42" l="1"/>
  <c r="DI36" i="42"/>
  <c r="DH81" i="42"/>
  <c r="DI55" i="42"/>
  <c r="DI54" i="42"/>
  <c r="DI19" i="42"/>
  <c r="DI109" i="42" s="1"/>
  <c r="DH44" i="42" l="1"/>
  <c r="DH26" i="42"/>
  <c r="DH62" i="42"/>
  <c r="DH63" i="42"/>
  <c r="DH45" i="42"/>
  <c r="DI71" i="42"/>
  <c r="DI35" i="42"/>
  <c r="DI53" i="42"/>
  <c r="DI58" i="42" l="1"/>
  <c r="DH61" i="42"/>
  <c r="DH67" i="42" s="1"/>
  <c r="DI40" i="42"/>
  <c r="DH43" i="42"/>
  <c r="DI18" i="42"/>
  <c r="DI76" i="42"/>
  <c r="DH79" i="42"/>
  <c r="DH85" i="42" l="1"/>
  <c r="DH84" i="42"/>
  <c r="DH48" i="42"/>
  <c r="DH49" i="42"/>
  <c r="DH66" i="42"/>
  <c r="DI17" i="42"/>
  <c r="DI21" i="42" s="1"/>
  <c r="DH25" i="42"/>
  <c r="DH24" i="42" l="1"/>
  <c r="DH28" i="42" s="1"/>
  <c r="DH29" i="42" s="1"/>
  <c r="DH108" i="42"/>
  <c r="DH111" i="42" s="1"/>
  <c r="DH113" i="42" s="1"/>
  <c r="DJ73" i="42" l="1"/>
  <c r="DJ72" i="42"/>
  <c r="DJ55" i="42" l="1"/>
  <c r="DJ54" i="42"/>
  <c r="DJ37" i="42"/>
  <c r="DJ36" i="42"/>
  <c r="DI80" i="42"/>
  <c r="DI81" i="42"/>
  <c r="DJ19" i="42"/>
  <c r="DJ109" i="42" s="1"/>
  <c r="DI45" i="42" l="1"/>
  <c r="DJ53" i="42"/>
  <c r="DI44" i="42"/>
  <c r="DJ35" i="42"/>
  <c r="DJ71" i="42"/>
  <c r="DI62" i="42"/>
  <c r="DI26" i="42"/>
  <c r="DI63" i="42"/>
  <c r="DJ40" i="42" l="1"/>
  <c r="DI43" i="42"/>
  <c r="DJ58" i="42"/>
  <c r="DI61" i="42"/>
  <c r="DI66" i="42" s="1"/>
  <c r="DJ18" i="42"/>
  <c r="DJ76" i="42"/>
  <c r="DI79" i="42"/>
  <c r="DI67" i="42" l="1"/>
  <c r="DI85" i="42"/>
  <c r="DI84" i="42"/>
  <c r="DJ17" i="42"/>
  <c r="DJ21" i="42" s="1"/>
  <c r="DI25" i="42"/>
  <c r="DI48" i="42"/>
  <c r="DI49" i="42"/>
  <c r="DI24" i="42" l="1"/>
  <c r="DI28" i="42" s="1"/>
  <c r="DI29" i="42" s="1"/>
  <c r="DI108" i="42"/>
  <c r="DI111" i="42" s="1"/>
  <c r="DI113" i="42" s="1"/>
  <c r="DK73" i="42" l="1"/>
  <c r="DK72" i="42"/>
  <c r="DJ80" i="42" l="1"/>
  <c r="DJ81" i="42"/>
  <c r="DK55" i="42"/>
  <c r="DK54" i="42"/>
  <c r="DK37" i="42"/>
  <c r="DK36" i="42"/>
  <c r="DK19" i="42"/>
  <c r="DK109" i="42" s="1"/>
  <c r="DJ44" i="42" l="1"/>
  <c r="DJ45" i="42"/>
  <c r="DJ62" i="42"/>
  <c r="DJ63" i="42"/>
  <c r="DK53" i="42"/>
  <c r="DK35" i="42"/>
  <c r="DK71" i="42"/>
  <c r="DJ26" i="42"/>
  <c r="DK76" i="42" l="1"/>
  <c r="DJ79" i="42"/>
  <c r="DK18" i="42"/>
  <c r="DK58" i="42"/>
  <c r="DJ61" i="42"/>
  <c r="DJ67" i="42" s="1"/>
  <c r="DK40" i="42"/>
  <c r="DJ43" i="42"/>
  <c r="DJ66" i="42" l="1"/>
  <c r="DJ49" i="42"/>
  <c r="DJ48" i="42"/>
  <c r="DK17" i="42"/>
  <c r="DK21" i="42" s="1"/>
  <c r="DJ25" i="42"/>
  <c r="DJ85" i="42"/>
  <c r="DJ84" i="42"/>
  <c r="DJ24" i="42" l="1"/>
  <c r="DJ28" i="42" s="1"/>
  <c r="DJ29" i="42" s="1"/>
  <c r="DJ108" i="42"/>
  <c r="DJ111" i="42" s="1"/>
  <c r="DJ113" i="42" s="1"/>
  <c r="DL73" i="42" l="1"/>
  <c r="DL72" i="42"/>
  <c r="DL55" i="42" l="1"/>
  <c r="DL54" i="42"/>
  <c r="DK80" i="42"/>
  <c r="DL37" i="42"/>
  <c r="DL36" i="42"/>
  <c r="DK81" i="42"/>
  <c r="DL19" i="42"/>
  <c r="DL109" i="42" s="1"/>
  <c r="DL53" i="42" l="1"/>
  <c r="DK45" i="42"/>
  <c r="DL35" i="42"/>
  <c r="DL71" i="42"/>
  <c r="DK44" i="42"/>
  <c r="DK62" i="42"/>
  <c r="DK26" i="42"/>
  <c r="DK63" i="42"/>
  <c r="DL76" i="42" l="1"/>
  <c r="DK79" i="42"/>
  <c r="DL18" i="42"/>
  <c r="DL40" i="42"/>
  <c r="DK43" i="42"/>
  <c r="DL58" i="42"/>
  <c r="DK61" i="42"/>
  <c r="DK66" i="42" s="1"/>
  <c r="DK67" i="42" l="1"/>
  <c r="DL17" i="42"/>
  <c r="DL21" i="42" s="1"/>
  <c r="DK25" i="42"/>
  <c r="DK85" i="42"/>
  <c r="DK84" i="42"/>
  <c r="DK49" i="42"/>
  <c r="DK48" i="42"/>
  <c r="DK24" i="42" l="1"/>
  <c r="DK28" i="42" s="1"/>
  <c r="DK29" i="42" s="1"/>
  <c r="DK108" i="42"/>
  <c r="DK111" i="42" s="1"/>
  <c r="DK113" i="42" s="1"/>
  <c r="DM19" i="42" l="1"/>
  <c r="DM109" i="42" s="1"/>
  <c r="DM73" i="42"/>
  <c r="DM72" i="42"/>
  <c r="DM37" i="42"/>
  <c r="DM36" i="42"/>
  <c r="DM55" i="42"/>
  <c r="DM54" i="42"/>
  <c r="DM71" i="42" l="1"/>
  <c r="DL45" i="42"/>
  <c r="DL62" i="42"/>
  <c r="DL63" i="42"/>
  <c r="DM35" i="42"/>
  <c r="DM53" i="42"/>
  <c r="DL44" i="42"/>
  <c r="DL80" i="42"/>
  <c r="DL81" i="42"/>
  <c r="DL26" i="42"/>
  <c r="DM40" i="42" l="1"/>
  <c r="DL43" i="42"/>
  <c r="DM76" i="42"/>
  <c r="DL79" i="42"/>
  <c r="DL85" i="42" s="1"/>
  <c r="DM58" i="42"/>
  <c r="DL61" i="42"/>
  <c r="DL66" i="42" s="1"/>
  <c r="DM18" i="42"/>
  <c r="DL84" i="42" l="1"/>
  <c r="DL67" i="42"/>
  <c r="DM17" i="42"/>
  <c r="DM21" i="42" s="1"/>
  <c r="DL25" i="42"/>
  <c r="DL49" i="42"/>
  <c r="DL48" i="42"/>
  <c r="DL24" i="42" l="1"/>
  <c r="DL28" i="42" s="1"/>
  <c r="DL29" i="42" s="1"/>
  <c r="DL108" i="42"/>
  <c r="DL111" i="42" s="1"/>
  <c r="DL113" i="42" s="1"/>
  <c r="DN72" i="42" l="1"/>
  <c r="DM80" i="42" l="1"/>
  <c r="DN19" i="42"/>
  <c r="DN109" i="42" s="1"/>
  <c r="DN73" i="42"/>
  <c r="DN37" i="42"/>
  <c r="DN36" i="42"/>
  <c r="DN55" i="42"/>
  <c r="DN54" i="42"/>
  <c r="DM44" i="42" l="1"/>
  <c r="DM62" i="42"/>
  <c r="DM63" i="42"/>
  <c r="DM45" i="42"/>
  <c r="DN35" i="42"/>
  <c r="DN53" i="42"/>
  <c r="DM26" i="42"/>
  <c r="DN71" i="42"/>
  <c r="DM81" i="42"/>
  <c r="DN18" i="42" l="1"/>
  <c r="DN40" i="42"/>
  <c r="DM43" i="42"/>
  <c r="DN76" i="42"/>
  <c r="DM79" i="42"/>
  <c r="DN58" i="42"/>
  <c r="DM61" i="42"/>
  <c r="DM67" i="42" s="1"/>
  <c r="DM66" i="42" l="1"/>
  <c r="DM49" i="42"/>
  <c r="DM48" i="42"/>
  <c r="DM85" i="42"/>
  <c r="DM84" i="42"/>
  <c r="DN17" i="42"/>
  <c r="DN21" i="42" s="1"/>
  <c r="DM25" i="42"/>
  <c r="DM24" i="42" l="1"/>
  <c r="DM28" i="42" s="1"/>
  <c r="DM29" i="42" s="1"/>
  <c r="DM108" i="42"/>
  <c r="DM111" i="42" s="1"/>
  <c r="DM113" i="42" s="1"/>
  <c r="DO72" i="42" l="1"/>
  <c r="DO73" i="42"/>
  <c r="DO55" i="42" l="1"/>
  <c r="DO54" i="42"/>
  <c r="DO37" i="42"/>
  <c r="DO36" i="42"/>
  <c r="DN81" i="42"/>
  <c r="DN80" i="42"/>
  <c r="DO19" i="42"/>
  <c r="DO109" i="42" s="1"/>
  <c r="DN45" i="42" l="1"/>
  <c r="DO53" i="42"/>
  <c r="DN44" i="42"/>
  <c r="DN62" i="42"/>
  <c r="DN63" i="42"/>
  <c r="DO71" i="42"/>
  <c r="DN26" i="42"/>
  <c r="DO35" i="42"/>
  <c r="DO18" i="42" l="1"/>
  <c r="DO40" i="42"/>
  <c r="DN43" i="42"/>
  <c r="DO76" i="42"/>
  <c r="DN79" i="42"/>
  <c r="DO58" i="42"/>
  <c r="DN61" i="42"/>
  <c r="DN66" i="42" s="1"/>
  <c r="DN48" i="42" l="1"/>
  <c r="DN49" i="42"/>
  <c r="DN67" i="42"/>
  <c r="DO17" i="42"/>
  <c r="DO21" i="42" s="1"/>
  <c r="DN25" i="42"/>
  <c r="DN85" i="42"/>
  <c r="DN84" i="42"/>
  <c r="DN24" i="42" l="1"/>
  <c r="DN28" i="42" s="1"/>
  <c r="DN29" i="42" s="1"/>
  <c r="DN108" i="42"/>
  <c r="DN111" i="42" s="1"/>
  <c r="DN113" i="42" s="1"/>
  <c r="DP72" i="42" l="1"/>
  <c r="DO80" i="42" l="1"/>
  <c r="DP19" i="42"/>
  <c r="DP109" i="42" s="1"/>
  <c r="DP73" i="42"/>
  <c r="DP55" i="42"/>
  <c r="DP54" i="42"/>
  <c r="DP37" i="42"/>
  <c r="DP36" i="42"/>
  <c r="DO45" i="42" l="1"/>
  <c r="DO81" i="42"/>
  <c r="DO26" i="42"/>
  <c r="DO44" i="42"/>
  <c r="DO62" i="42"/>
  <c r="DO63" i="42"/>
  <c r="DP35" i="42"/>
  <c r="DP71" i="42"/>
  <c r="DP53" i="42"/>
  <c r="DP58" i="42" l="1"/>
  <c r="DO61" i="42"/>
  <c r="DO66" i="42" s="1"/>
  <c r="DP18" i="42"/>
  <c r="DP76" i="42"/>
  <c r="DO79" i="42"/>
  <c r="DP40" i="42"/>
  <c r="DO43" i="42"/>
  <c r="DO67" i="42" l="1"/>
  <c r="DO49" i="42"/>
  <c r="DO48" i="42"/>
  <c r="DO85" i="42"/>
  <c r="DO84" i="42"/>
  <c r="DP17" i="42"/>
  <c r="DP21" i="42" s="1"/>
  <c r="DO25" i="42"/>
  <c r="DO24" i="42" l="1"/>
  <c r="DO28" i="42" s="1"/>
  <c r="DO29" i="42" s="1"/>
  <c r="DO108" i="42"/>
  <c r="DO111" i="42" s="1"/>
  <c r="DO113" i="42" s="1"/>
  <c r="DQ72" i="42" l="1"/>
  <c r="DP80" i="42" l="1"/>
  <c r="DQ55" i="42"/>
  <c r="DQ54" i="42"/>
  <c r="DQ19" i="42"/>
  <c r="DQ109" i="42" s="1"/>
  <c r="DQ73" i="42"/>
  <c r="DQ37" i="42"/>
  <c r="DQ36" i="42"/>
  <c r="DP45" i="42" l="1"/>
  <c r="DP62" i="42"/>
  <c r="DP63" i="42"/>
  <c r="DP44" i="42"/>
  <c r="DP81" i="42"/>
  <c r="DP26" i="42"/>
  <c r="DQ35" i="42"/>
  <c r="DQ53" i="42"/>
  <c r="DQ71" i="42"/>
  <c r="DQ40" i="42" l="1"/>
  <c r="DP43" i="42"/>
  <c r="DQ76" i="42"/>
  <c r="DP79" i="42"/>
  <c r="DQ58" i="42"/>
  <c r="DP61" i="42"/>
  <c r="DP67" i="42" s="1"/>
  <c r="DQ18" i="42"/>
  <c r="DP66" i="42" l="1"/>
  <c r="DQ17" i="42"/>
  <c r="DQ21" i="42" s="1"/>
  <c r="DP25" i="42"/>
  <c r="DP49" i="42"/>
  <c r="DP48" i="42"/>
  <c r="DP85" i="42"/>
  <c r="DP84" i="42"/>
  <c r="DP24" i="42" l="1"/>
  <c r="DP28" i="42" s="1"/>
  <c r="DP29" i="42" s="1"/>
  <c r="DP108" i="42"/>
  <c r="DP111" i="42" s="1"/>
  <c r="DP113" i="42" s="1"/>
  <c r="DR72" i="42" l="1"/>
  <c r="DQ80" i="42" l="1"/>
  <c r="DR19" i="42"/>
  <c r="DR109" i="42" s="1"/>
  <c r="DR73" i="42"/>
  <c r="DR55" i="42"/>
  <c r="DR54" i="42"/>
  <c r="DR36" i="42"/>
  <c r="DR37" i="42"/>
  <c r="DQ45" i="42" l="1"/>
  <c r="DQ44" i="42"/>
  <c r="DQ81" i="42"/>
  <c r="DR71" i="42"/>
  <c r="DQ62" i="42"/>
  <c r="DQ63" i="42"/>
  <c r="DQ26" i="42"/>
  <c r="DR35" i="42"/>
  <c r="DR53" i="42"/>
  <c r="DR76" i="42" l="1"/>
  <c r="DQ79" i="42"/>
  <c r="DR18" i="42"/>
  <c r="DR58" i="42"/>
  <c r="DQ61" i="42"/>
  <c r="DQ66" i="42" s="1"/>
  <c r="DR40" i="42"/>
  <c r="DQ43" i="42"/>
  <c r="DQ67" i="42" l="1"/>
  <c r="DQ49" i="42"/>
  <c r="DQ48" i="42"/>
  <c r="DR17" i="42"/>
  <c r="DR21" i="42" s="1"/>
  <c r="DQ25" i="42"/>
  <c r="DQ85" i="42"/>
  <c r="DQ84" i="42"/>
  <c r="DQ24" i="42" l="1"/>
  <c r="DQ28" i="42" s="1"/>
  <c r="DQ29" i="42" s="1"/>
  <c r="DQ108" i="42"/>
  <c r="DQ111" i="42" s="1"/>
  <c r="DQ113" i="42" s="1"/>
  <c r="DS73" i="42"/>
  <c r="DR81" i="42" l="1"/>
  <c r="DS72" i="42"/>
  <c r="DS19" i="42" l="1"/>
  <c r="DS55" i="42"/>
  <c r="DS54" i="42"/>
  <c r="DS37" i="42"/>
  <c r="DS36" i="42"/>
  <c r="DR80" i="42"/>
  <c r="DR26" i="42" l="1"/>
  <c r="DS109" i="42"/>
  <c r="DR44" i="42"/>
  <c r="DR45" i="42"/>
  <c r="DS71" i="42"/>
  <c r="DS35" i="42"/>
  <c r="DR63" i="42"/>
  <c r="DS53" i="42"/>
  <c r="DR62" i="42"/>
  <c r="DS40" i="42" l="1"/>
  <c r="DR43" i="42"/>
  <c r="DS76" i="42"/>
  <c r="DR79" i="42"/>
  <c r="DS58" i="42"/>
  <c r="DR61" i="42"/>
  <c r="DR67" i="42" s="1"/>
  <c r="DS18" i="42"/>
  <c r="DR48" i="42" l="1"/>
  <c r="DR49" i="42"/>
  <c r="DR85" i="42"/>
  <c r="DR84" i="42"/>
  <c r="DS17" i="42"/>
  <c r="DS21" i="42" s="1"/>
  <c r="DR25" i="42"/>
  <c r="DR66" i="42"/>
  <c r="DR24" i="42" l="1"/>
  <c r="DR28" i="42" s="1"/>
  <c r="DR29" i="42" s="1"/>
  <c r="DR108" i="42"/>
  <c r="DR111" i="42" s="1"/>
  <c r="DR113" i="42" s="1"/>
  <c r="DT72" i="42"/>
  <c r="DS80" i="42" l="1"/>
  <c r="DT73" i="42"/>
  <c r="DT19" i="42" l="1"/>
  <c r="DT37" i="42"/>
  <c r="DT36" i="42"/>
  <c r="DS81" i="42"/>
  <c r="DT55" i="42"/>
  <c r="DT54" i="42"/>
  <c r="DS26" i="42" l="1"/>
  <c r="DT109" i="42"/>
  <c r="DT71" i="42"/>
  <c r="DS45" i="42"/>
  <c r="DT35" i="42"/>
  <c r="DS62" i="42"/>
  <c r="DS63" i="42"/>
  <c r="DS44" i="42"/>
  <c r="DT53" i="42"/>
  <c r="DT40" i="42" l="1"/>
  <c r="DS43" i="42"/>
  <c r="DT58" i="42"/>
  <c r="DS61" i="42"/>
  <c r="DS66" i="42" s="1"/>
  <c r="DT18" i="42"/>
  <c r="DT76" i="42"/>
  <c r="DS79" i="42"/>
  <c r="DS48" i="42" l="1"/>
  <c r="DS49" i="42"/>
  <c r="DS85" i="42"/>
  <c r="DS84" i="42"/>
  <c r="DS67" i="42"/>
  <c r="DT17" i="42"/>
  <c r="DT21" i="42" s="1"/>
  <c r="DS25" i="42"/>
  <c r="DS24" i="42" l="1"/>
  <c r="DS28" i="42" s="1"/>
  <c r="DS29" i="42" s="1"/>
  <c r="DS108" i="42"/>
  <c r="DS111" i="42" s="1"/>
  <c r="DS113" i="42" s="1"/>
  <c r="DU72" i="42" l="1"/>
  <c r="DT80" i="42" s="1"/>
  <c r="DU73" i="42"/>
  <c r="DU55" i="42" l="1"/>
  <c r="DU54" i="42"/>
  <c r="DT81" i="42"/>
  <c r="DU37" i="42"/>
  <c r="DU36" i="42"/>
  <c r="DU19" i="42"/>
  <c r="DU109" i="42" s="1"/>
  <c r="DU35" i="42" l="1"/>
  <c r="DT26" i="42"/>
  <c r="DT44" i="42"/>
  <c r="DT45" i="42"/>
  <c r="DU71" i="42"/>
  <c r="DU53" i="42"/>
  <c r="DT62" i="42"/>
  <c r="DT63" i="42"/>
  <c r="DU76" i="42" l="1"/>
  <c r="DT79" i="42"/>
  <c r="DU18" i="42"/>
  <c r="DU58" i="42"/>
  <c r="DT61" i="42"/>
  <c r="DT66" i="42" s="1"/>
  <c r="DU40" i="42"/>
  <c r="DT43" i="42"/>
  <c r="DT67" i="42" l="1"/>
  <c r="DU17" i="42"/>
  <c r="DU21" i="42" s="1"/>
  <c r="DT25" i="42"/>
  <c r="DT48" i="42"/>
  <c r="DT49" i="42"/>
  <c r="DT85" i="42"/>
  <c r="DT84" i="42"/>
  <c r="DT24" i="42" l="1"/>
  <c r="DT28" i="42" s="1"/>
  <c r="DT29" i="42" s="1"/>
  <c r="DT108" i="42"/>
  <c r="DT111" i="42" s="1"/>
  <c r="DT113" i="42" s="1"/>
  <c r="DV73" i="42"/>
  <c r="DU81" i="42" l="1"/>
  <c r="DV72" i="42"/>
  <c r="DV37" i="42" l="1"/>
  <c r="DV36" i="42"/>
  <c r="DV55" i="42"/>
  <c r="DV54" i="42"/>
  <c r="DU80" i="42"/>
  <c r="DV19" i="42"/>
  <c r="DV109" i="42" s="1"/>
  <c r="DV71" i="42" l="1"/>
  <c r="DV53" i="42"/>
  <c r="DU26" i="42"/>
  <c r="DV35" i="42"/>
  <c r="DU62" i="42"/>
  <c r="DU63" i="42"/>
  <c r="DU44" i="42"/>
  <c r="DU45" i="42"/>
  <c r="DV40" i="42" l="1"/>
  <c r="DU43" i="42"/>
  <c r="DV58" i="42"/>
  <c r="DU61" i="42"/>
  <c r="DU66" i="42" s="1"/>
  <c r="DV18" i="42"/>
  <c r="DV76" i="42"/>
  <c r="DU79" i="42"/>
  <c r="D160" i="47" l="1"/>
  <c r="D149" i="47"/>
  <c r="DU67" i="42"/>
  <c r="DU85" i="42"/>
  <c r="DU84" i="42"/>
  <c r="DV17" i="42"/>
  <c r="DV21" i="42" s="1"/>
  <c r="DU25" i="42"/>
  <c r="DU48" i="42"/>
  <c r="DU49" i="42"/>
  <c r="DU24" i="42" l="1"/>
  <c r="DU28" i="42" s="1"/>
  <c r="DU29" i="42" s="1"/>
  <c r="DU108" i="42"/>
  <c r="DU111" i="42" s="1"/>
  <c r="DU113" i="42" s="1"/>
  <c r="D138" i="47"/>
  <c r="D125" i="47" l="1"/>
  <c r="D126" i="47"/>
  <c r="DW35" i="42" l="1"/>
  <c r="D151" i="47"/>
  <c r="DW53" i="42"/>
  <c r="D162" i="47"/>
  <c r="DW71" i="42"/>
  <c r="D140" i="47"/>
  <c r="D141" i="47"/>
  <c r="DW73" i="42"/>
  <c r="DW72" i="42"/>
  <c r="D152" i="47"/>
  <c r="DW37" i="42"/>
  <c r="DW36" i="42"/>
  <c r="D163" i="47"/>
  <c r="DW54" i="42"/>
  <c r="DW55" i="42"/>
  <c r="DW62" i="42" l="1"/>
  <c r="DV62" i="42"/>
  <c r="DW44" i="42"/>
  <c r="DV44" i="42"/>
  <c r="DW79" i="42"/>
  <c r="DW76" i="42"/>
  <c r="DV79" i="42"/>
  <c r="DW81" i="42"/>
  <c r="DV81" i="42"/>
  <c r="DW18" i="42"/>
  <c r="D127" i="47"/>
  <c r="D168" i="47"/>
  <c r="H26" i="29" s="1"/>
  <c r="DW63" i="42"/>
  <c r="DV63" i="42"/>
  <c r="DW45" i="42"/>
  <c r="DV45" i="42"/>
  <c r="DW80" i="42"/>
  <c r="DV80" i="42"/>
  <c r="DW58" i="42"/>
  <c r="DW61" i="42"/>
  <c r="DV61" i="42"/>
  <c r="D128" i="47"/>
  <c r="E128" i="47"/>
  <c r="F63" i="29" s="1"/>
  <c r="E167" i="47"/>
  <c r="E63" i="29" s="1"/>
  <c r="DW19" i="42"/>
  <c r="DW109" i="42" s="1"/>
  <c r="DW43" i="42"/>
  <c r="DW40" i="42"/>
  <c r="DV43" i="42"/>
  <c r="D63" i="29" l="1"/>
  <c r="C63" i="29" s="1"/>
  <c r="DW84" i="42"/>
  <c r="DV84" i="42"/>
  <c r="E132" i="47"/>
  <c r="E64" i="29" s="1"/>
  <c r="DW17" i="42"/>
  <c r="DW21" i="42" s="1"/>
  <c r="DV25" i="42"/>
  <c r="DV108" i="42" s="1"/>
  <c r="DV111" i="42" s="1"/>
  <c r="DV113" i="42" s="1"/>
  <c r="DV85" i="42"/>
  <c r="DW85" i="42"/>
  <c r="DV49" i="42"/>
  <c r="DV48" i="42"/>
  <c r="DW48" i="42"/>
  <c r="DW49" i="42"/>
  <c r="DV67" i="42"/>
  <c r="DV26" i="42"/>
  <c r="DW26" i="42" s="1"/>
  <c r="DW67" i="42"/>
  <c r="DV66" i="42"/>
  <c r="DW66" i="42"/>
  <c r="D86" i="42" l="1"/>
  <c r="D85" i="42"/>
  <c r="E365" i="59" s="1"/>
  <c r="DV24" i="42"/>
  <c r="DV28" i="42" s="1"/>
  <c r="DV29" i="42" s="1"/>
  <c r="DW25" i="42"/>
  <c r="D132" i="47"/>
  <c r="D64" i="29"/>
  <c r="D32" i="29" l="1"/>
  <c r="D35" i="29"/>
  <c r="E367" i="59"/>
  <c r="DW24" i="42"/>
  <c r="DW28" i="42" s="1"/>
  <c r="DW108" i="42"/>
  <c r="DW111" i="42" s="1"/>
  <c r="C64" i="29"/>
  <c r="B117" i="42" l="1"/>
  <c r="B119" i="42"/>
  <c r="DW29" i="42"/>
  <c r="E32" i="42"/>
  <c r="F65" i="29" s="1"/>
  <c r="E31" i="42"/>
  <c r="E65" i="29" s="1"/>
  <c r="DW113" i="42"/>
  <c r="D65" i="29" l="1"/>
  <c r="C65" i="29" s="1"/>
  <c r="D62" i="29" l="1"/>
  <c r="C62" i="29" s="1"/>
  <c r="D47" i="29" l="1"/>
  <c r="D46" i="29" s="1"/>
  <c r="C47" i="29" l="1"/>
  <c r="C46" i="29"/>
  <c r="E1" i="7"/>
  <c r="E1" i="54"/>
  <c r="B1" i="50"/>
  <c r="B1" i="51"/>
  <c r="E1" i="2"/>
  <c r="E1" i="6"/>
  <c r="E1" i="5"/>
  <c r="E1" i="42"/>
  <c r="A1" i="32"/>
  <c r="E1" i="47"/>
  <c r="E1" i="55"/>
  <c r="E1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Ghislain Herault</author>
  </authors>
  <commentList>
    <comment ref="K7" authorId="0" shapeId="0" xr:uid="{171C1683-1667-467F-B4DF-4D21C6FB611E}">
      <text>
        <r>
          <rPr>
            <b/>
            <sz val="9"/>
            <color indexed="81"/>
            <rFont val="Tahoma"/>
            <family val="2"/>
          </rPr>
          <t>Taux 10 ans OAT (Europe)
Taux 10 ans (T-bill)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" authorId="0" shapeId="0" xr:uid="{941F6E28-0BD3-427E-89E9-3FF49A6956FC}">
      <text>
        <r>
          <rPr>
            <b/>
            <sz val="9"/>
            <color indexed="81"/>
            <rFont val="Tahoma"/>
            <family val="2"/>
          </rPr>
          <t>Ecarts de taux selon données Damodaran (CDS)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tc={F563DEC3-33C3-4C10-8980-C907D8958513}</author>
    <author>tc={1E033C32-703D-4AAF-914E-F6294C0FB5B9}</author>
    <author>tc={DB0CECB4-8F2A-4DCA-9A01-6673762A37EA}</author>
    <author>tc={F7EE7753-0278-4D93-86BA-357C578C1EC6}</author>
    <author>tc={37292016-F685-4EE0-AB2F-5B9B35D47EC6}</author>
    <author>tc={AC3545BA-F5FD-4542-B503-853339FF98B6}</author>
    <author>tc={B4CCC677-473A-4AE5-AEC9-739F03EA1BBA}</author>
    <author>tc={A9DB386A-8AA4-46D2-A24E-3A9995BBA58A}</author>
    <author>tc={F492D49B-D502-4B54-A061-FB2CB67D70E3}</author>
  </authors>
  <commentList>
    <comment ref="J31" authorId="0" shapeId="0" xr:uid="{F563DEC3-33C3-4C10-8980-C907D8958513}">
      <text>
        <t>[Threaded comment]
Your version of Excel allows you to read this threaded comment; however, any edits to it will get removed if the file is opened in a newer version of Excel. Learn more: https://go.microsoft.com/fwlink/?linkid=870924
Comment:
    17,119</t>
      </text>
    </comment>
    <comment ref="K31" authorId="1" shapeId="0" xr:uid="{1E033C32-703D-4AAF-914E-F6294C0FB5B9}">
      <text>
        <t>[Threaded comment]
Your version of Excel allows you to read this threaded comment; however, any edits to it will get removed if the file is opened in a newer version of Excel. Learn more: https://go.microsoft.com/fwlink/?linkid=870924
Comment:
    17,119</t>
      </text>
    </comment>
    <comment ref="J39" authorId="2" shapeId="0" xr:uid="{DB0CECB4-8F2A-4DCA-9A01-6673762A37EA}">
      <text>
        <t>[Threaded comment]
Your version of Excel allows you to read this threaded comment; however, any edits to it will get removed if the file is opened in a newer version of Excel. Learn more: https://go.microsoft.com/fwlink/?linkid=870924
Comment:
    9,312</t>
      </text>
    </comment>
    <comment ref="K39" authorId="3" shapeId="0" xr:uid="{F7EE7753-0278-4D93-86BA-357C578C1EC6}">
      <text>
        <t>[Threaded comment]
Your version of Excel allows you to read this threaded comment; however, any edits to it will get removed if the file is opened in a newer version of Excel. Learn more: https://go.microsoft.com/fwlink/?linkid=870924
Comment:
    9,312</t>
      </text>
    </comment>
    <comment ref="C54" authorId="4" shapeId="0" xr:uid="{37292016-F685-4EE0-AB2F-5B9B35D47EC6}">
      <text>
        <t>[Threaded comment]
Your version of Excel allows you to read this threaded comment; however, any edits to it will get removed if the file is opened in a newer version of Excel. Learn more: https://go.microsoft.com/fwlink/?linkid=870924
Comment:
    90 €/kW</t>
      </text>
    </comment>
    <comment ref="J57" authorId="5" shapeId="0" xr:uid="{AC3545BA-F5FD-4542-B503-853339FF98B6}">
      <text>
        <t>[Threaded comment]
Your version of Excel allows you to read this threaded comment; however, any edits to it will get removed if the file is opened in a newer version of Excel. Learn more: https://go.microsoft.com/fwlink/?linkid=870924
Comment:
    1543</t>
      </text>
    </comment>
    <comment ref="K57" authorId="6" shapeId="0" xr:uid="{B4CCC677-473A-4AE5-AEC9-739F03EA1BBA}">
      <text>
        <t>[Threaded comment]
Your version of Excel allows you to read this threaded comment; however, any edits to it will get removed if the file is opened in a newer version of Excel. Learn more: https://go.microsoft.com/fwlink/?linkid=870924
Comment:
    1543</t>
      </text>
    </comment>
    <comment ref="H71" authorId="7" shapeId="0" xr:uid="{A9DB386A-8AA4-46D2-A24E-3A9995BBA5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TBD
</t>
      </text>
    </comment>
    <comment ref="I71" authorId="8" shapeId="0" xr:uid="{F492D49B-D502-4B54-A061-FB2CB67D70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TBD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tc={3035FB28-3B69-49A4-BBC9-2C3E57263E47}</author>
  </authors>
  <commentList>
    <comment ref="C51" authorId="0" shapeId="0" xr:uid="{3035FB28-3B69-49A4-BBC9-2C3E57263E4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check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<sst xmlns="http://schemas.openxmlformats.org/spreadsheetml/2006/main" count="2461" uniqueCount="1361">
  <si>
    <t>P&amp;L</t>
  </si>
  <si>
    <t>in k€</t>
  </si>
  <si>
    <t>Revenues</t>
  </si>
  <si>
    <t>Operating expenses</t>
  </si>
  <si>
    <t>Local taxes</t>
  </si>
  <si>
    <t>EBITDA</t>
  </si>
  <si>
    <t>Depreciation</t>
  </si>
  <si>
    <t xml:space="preserve">EBIT   </t>
  </si>
  <si>
    <t>Financial costs</t>
  </si>
  <si>
    <t>EBT</t>
  </si>
  <si>
    <t>CIT</t>
  </si>
  <si>
    <t>Net income</t>
  </si>
  <si>
    <t>Balance Sheet</t>
  </si>
  <si>
    <t>Total Fixed Assets</t>
  </si>
  <si>
    <t>Cash and current assets</t>
  </si>
  <si>
    <t>Total Assets</t>
  </si>
  <si>
    <t>Equity</t>
  </si>
  <si>
    <t>Retained earnings</t>
  </si>
  <si>
    <t>Shareholder Loan</t>
  </si>
  <si>
    <t>Debt</t>
  </si>
  <si>
    <t>Total Liabilities</t>
  </si>
  <si>
    <t>CF statement</t>
  </si>
  <si>
    <t>CFADS</t>
  </si>
  <si>
    <t>Senior debt service</t>
  </si>
  <si>
    <t>Cash sweep</t>
  </si>
  <si>
    <t>FCF for distribution</t>
  </si>
  <si>
    <t>Net Shareholder Loan</t>
  </si>
  <si>
    <t>FCF for dividends</t>
  </si>
  <si>
    <t>Gross dividends</t>
  </si>
  <si>
    <t>Unlevered project IRR</t>
  </si>
  <si>
    <t>Unlevered Capex</t>
  </si>
  <si>
    <t>Iunlevered taxes</t>
  </si>
  <si>
    <t>Unlevered project FCF</t>
  </si>
  <si>
    <t>Project IRR</t>
  </si>
  <si>
    <t>Costs of capital</t>
  </si>
  <si>
    <t>Project NPV</t>
  </si>
  <si>
    <t>x</t>
  </si>
  <si>
    <t>AKUO expected Yields (Project &amp; Equity)</t>
  </si>
  <si>
    <t>1 merchant storage / 1,8 merchant PV</t>
  </si>
  <si>
    <t>c+d*(1+20%°</t>
  </si>
  <si>
    <t>Base
Rate
(A)</t>
  </si>
  <si>
    <t>Risk premium</t>
  </si>
  <si>
    <t>Revenues factor</t>
  </si>
  <si>
    <r>
      <t xml:space="preserve">Unlevered
Cost of Capital
</t>
    </r>
    <r>
      <rPr>
        <sz val="11"/>
        <rFont val="Calibri"/>
        <family val="2"/>
        <scheme val="minor"/>
      </rPr>
      <t>E=A+B+(CxD)</t>
    </r>
  </si>
  <si>
    <t>Project Hurdle Rates
(HRp)</t>
  </si>
  <si>
    <t>Hurdle Rates
ARDIAN
(Acquisition BP)</t>
  </si>
  <si>
    <t>Delta</t>
  </si>
  <si>
    <t>All-In simulation
Senior debt</t>
  </si>
  <si>
    <t>Internal Market benchmark
(Datas from Regional Manager)</t>
  </si>
  <si>
    <t>CDS Rating</t>
  </si>
  <si>
    <t>CDS Market</t>
  </si>
  <si>
    <t>Volatility Factor</t>
  </si>
  <si>
    <t>Country
(B)</t>
  </si>
  <si>
    <t xml:space="preserve">Market
(C) </t>
  </si>
  <si>
    <t>Unlevered Beta
(D)</t>
  </si>
  <si>
    <t>Public
(E )</t>
  </si>
  <si>
    <t>Private PPA
(E )</t>
  </si>
  <si>
    <t>Merchant
(E )</t>
  </si>
  <si>
    <t>Public</t>
  </si>
  <si>
    <t>Private PPA</t>
  </si>
  <si>
    <t>Merchant</t>
  </si>
  <si>
    <t>Value creation Target</t>
  </si>
  <si>
    <t>HR</t>
  </si>
  <si>
    <t>CRP</t>
  </si>
  <si>
    <t>Country
code
(ISO 3166)</t>
  </si>
  <si>
    <t>Country currency</t>
  </si>
  <si>
    <t>Country currency
(ISO 4217)</t>
  </si>
  <si>
    <t>Reference
currency</t>
  </si>
  <si>
    <t>Country code AFS</t>
  </si>
  <si>
    <t>Country name (ISO)</t>
  </si>
  <si>
    <t>Regions</t>
  </si>
  <si>
    <t>OECD</t>
  </si>
  <si>
    <t>Year</t>
  </si>
  <si>
    <t>Risk free rates</t>
  </si>
  <si>
    <t>Country Risk Premium</t>
  </si>
  <si>
    <r>
      <t xml:space="preserve">ERP
</t>
    </r>
    <r>
      <rPr>
        <b/>
        <sz val="8"/>
        <rFont val="Calibri"/>
        <family val="2"/>
        <scheme val="minor"/>
      </rPr>
      <t>Damodaran</t>
    </r>
    <r>
      <rPr>
        <b/>
        <sz val="9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>(01/26)</t>
    </r>
  </si>
  <si>
    <r>
      <t xml:space="preserve">Project
Discount rate
</t>
    </r>
    <r>
      <rPr>
        <sz val="11"/>
        <rFont val="Calibri"/>
        <family val="2"/>
        <scheme val="minor"/>
      </rPr>
      <t>(A + B + C x D) x (1 + E)</t>
    </r>
  </si>
  <si>
    <t>Low</t>
  </si>
  <si>
    <t>High</t>
  </si>
  <si>
    <t>Average</t>
  </si>
  <si>
    <t>Akuo -Ardian</t>
  </si>
  <si>
    <t xml:space="preserve">Bank spread
(C) </t>
  </si>
  <si>
    <t>Solar</t>
  </si>
  <si>
    <t>Wind</t>
  </si>
  <si>
    <t>Hybrid</t>
  </si>
  <si>
    <t>Storage</t>
  </si>
  <si>
    <t>US</t>
  </si>
  <si>
    <t>USD</t>
  </si>
  <si>
    <t>United States</t>
  </si>
  <si>
    <t>DO</t>
  </si>
  <si>
    <t>Dominican Republic</t>
  </si>
  <si>
    <t>LATAM</t>
  </si>
  <si>
    <t>UY</t>
  </si>
  <si>
    <t>Uruguay</t>
  </si>
  <si>
    <t>CL</t>
  </si>
  <si>
    <t>Chilian Peso</t>
  </si>
  <si>
    <t>Chile</t>
  </si>
  <si>
    <t>NZ</t>
  </si>
  <si>
    <t>New-zeland dollar</t>
  </si>
  <si>
    <t>NZD</t>
  </si>
  <si>
    <t>New Zealand</t>
  </si>
  <si>
    <t>Europe</t>
  </si>
  <si>
    <t>MU</t>
  </si>
  <si>
    <t>Mauritian rupee</t>
  </si>
  <si>
    <t>MUR</t>
  </si>
  <si>
    <t>Mauritius</t>
  </si>
  <si>
    <t>FR</t>
  </si>
  <si>
    <t>EUR</t>
  </si>
  <si>
    <t>France</t>
  </si>
  <si>
    <t>PT</t>
  </si>
  <si>
    <t>Portugal</t>
  </si>
  <si>
    <t>GR</t>
  </si>
  <si>
    <t>Greece</t>
  </si>
  <si>
    <t>BG</t>
  </si>
  <si>
    <t>Bulgaria</t>
  </si>
  <si>
    <t>PL</t>
  </si>
  <si>
    <t>Poland</t>
  </si>
  <si>
    <t>Croatia</t>
  </si>
  <si>
    <t>ME</t>
  </si>
  <si>
    <t>Montenegro</t>
  </si>
  <si>
    <t>XK</t>
  </si>
  <si>
    <t>Republic of Kosovo</t>
  </si>
  <si>
    <t>RS</t>
  </si>
  <si>
    <t>Serbia</t>
  </si>
  <si>
    <t>MK</t>
  </si>
  <si>
    <t>Macedonia</t>
  </si>
  <si>
    <t>The Republic of North Macedonia</t>
  </si>
  <si>
    <t>BA</t>
  </si>
  <si>
    <t>Bosnia and Herzegovina</t>
  </si>
  <si>
    <t>Bridge unlevered to levered beta</t>
  </si>
  <si>
    <t>Cost of Equity</t>
  </si>
  <si>
    <t>Equity Hurdle Rates
(HRe)</t>
  </si>
  <si>
    <t>Tax rate
(t)</t>
  </si>
  <si>
    <t>Average Discounted Gearing
(ADG)</t>
  </si>
  <si>
    <t>Levered Beta</t>
  </si>
  <si>
    <t>Debt NPV
-----------
Equity NPV</t>
  </si>
  <si>
    <t>D x 
[1+(1-t) x ADG]</t>
  </si>
  <si>
    <r>
      <t xml:space="preserve">Cost of Equity
</t>
    </r>
    <r>
      <rPr>
        <sz val="11"/>
        <rFont val="Calibri"/>
        <family val="2"/>
        <scheme val="minor"/>
      </rPr>
      <t>(A + B + C x D) x (1 + E)</t>
    </r>
  </si>
  <si>
    <t>Project Inputs</t>
  </si>
  <si>
    <t>Financial Inputs</t>
  </si>
  <si>
    <t xml:space="preserve">Project Name </t>
  </si>
  <si>
    <t>Financial Closing</t>
  </si>
  <si>
    <t>Yield (P50 - P90)</t>
  </si>
  <si>
    <t>P90/P50 Ratio</t>
  </si>
  <si>
    <t>Gearing Ratio</t>
  </si>
  <si>
    <t>%</t>
  </si>
  <si>
    <t>Tariff (Y1)</t>
  </si>
  <si>
    <t>k€</t>
  </si>
  <si>
    <t>Turnover (Y1)</t>
  </si>
  <si>
    <t>Escalation</t>
  </si>
  <si>
    <t>Tenor</t>
  </si>
  <si>
    <t>Margin</t>
  </si>
  <si>
    <t>OpEx (Y1)</t>
  </si>
  <si>
    <t>Average Rate</t>
  </si>
  <si>
    <t>per MW</t>
  </si>
  <si>
    <t>DSCR</t>
  </si>
  <si>
    <t>per MWh</t>
  </si>
  <si>
    <t>Total CapEx</t>
  </si>
  <si>
    <t>Hard CapEx</t>
  </si>
  <si>
    <t>PV Modules</t>
  </si>
  <si>
    <t>Capital</t>
  </si>
  <si>
    <t>iSHL</t>
  </si>
  <si>
    <t>EPC Contract</t>
  </si>
  <si>
    <t>Shareholder Loan Repayment</t>
  </si>
  <si>
    <t>Bid Bond</t>
  </si>
  <si>
    <t>Outputs</t>
  </si>
  <si>
    <t>Completion Bond</t>
  </si>
  <si>
    <t>Project IRR 30y</t>
  </si>
  <si>
    <t>min 7,1%</t>
  </si>
  <si>
    <t>Costs and Fees</t>
  </si>
  <si>
    <t>Akuo IRR 30y</t>
  </si>
  <si>
    <t>min. 12,3%</t>
  </si>
  <si>
    <t>Project Purchase Price</t>
  </si>
  <si>
    <t>Project NPV 30y</t>
  </si>
  <si>
    <t>discount rate 9,2%</t>
  </si>
  <si>
    <t>Akuo NPV 30y</t>
  </si>
  <si>
    <t>discount rate 10,8%</t>
  </si>
  <si>
    <t>Share Capital</t>
  </si>
  <si>
    <t>Share Premium</t>
  </si>
  <si>
    <t>Sources</t>
  </si>
  <si>
    <t>Uses</t>
  </si>
  <si>
    <t>Development Costs</t>
  </si>
  <si>
    <t>Development Costs &amp; Fees (Seller)</t>
  </si>
  <si>
    <t>Development Fees</t>
  </si>
  <si>
    <t>Market Fees</t>
  </si>
  <si>
    <t>Construction Supervision</t>
  </si>
  <si>
    <t>Total</t>
  </si>
  <si>
    <t>VAT Facility</t>
  </si>
  <si>
    <t>Operation Supervision</t>
  </si>
  <si>
    <t>Model Check</t>
  </si>
  <si>
    <t>Current Case Check</t>
  </si>
  <si>
    <t>Sizing Case Check</t>
  </si>
  <si>
    <t>Check errors in sizing scenario</t>
  </si>
  <si>
    <t>Model Balance</t>
  </si>
  <si>
    <t>Sources &amp; Uses</t>
  </si>
  <si>
    <t>Negative Cash</t>
  </si>
  <si>
    <t>CapEx Spending Profile</t>
  </si>
  <si>
    <t>OpEx</t>
  </si>
  <si>
    <t>Cash Flow Balance</t>
  </si>
  <si>
    <t>Check CapEx payment schedule</t>
  </si>
  <si>
    <t>Yield case</t>
  </si>
  <si>
    <t>Selected production scenario differs from macro scenarios</t>
  </si>
  <si>
    <t>Circular References Break</t>
  </si>
  <si>
    <t>Check iSHL over capitalization &amp; run sizing macro</t>
  </si>
  <si>
    <t>Flags</t>
  </si>
  <si>
    <t>SHL capitalization</t>
  </si>
  <si>
    <t>SHL repayment</t>
  </si>
  <si>
    <t>Distribution time shift</t>
  </si>
  <si>
    <t>Covenants</t>
  </si>
  <si>
    <t>Reserve accounts</t>
  </si>
  <si>
    <t>Debt repayment</t>
  </si>
  <si>
    <t>Sub debt capitalization</t>
  </si>
  <si>
    <t>Cash Flow Waterfall</t>
  </si>
  <si>
    <t>Dates</t>
  </si>
  <si>
    <t>Period</t>
  </si>
  <si>
    <t>Revenue</t>
  </si>
  <si>
    <t>Opex</t>
  </si>
  <si>
    <t>Income Tax</t>
  </si>
  <si>
    <t>Senior Debt Service</t>
  </si>
  <si>
    <t>Junior Debt Service</t>
  </si>
  <si>
    <t>Reserve Accounts</t>
  </si>
  <si>
    <t>SHL</t>
  </si>
  <si>
    <t>Dividends</t>
  </si>
  <si>
    <t>Cash</t>
  </si>
  <si>
    <t>Senior DSCR</t>
  </si>
  <si>
    <t>Junior DSCR</t>
  </si>
  <si>
    <t>Outstanding (scale 2)</t>
  </si>
  <si>
    <t>Principal</t>
  </si>
  <si>
    <t>Interests</t>
  </si>
  <si>
    <t>Capitalized</t>
  </si>
  <si>
    <t>Project Name</t>
  </si>
  <si>
    <t>Oborovo</t>
  </si>
  <si>
    <t>Project Company</t>
  </si>
  <si>
    <t>AKE Med</t>
  </si>
  <si>
    <t>Project Code</t>
  </si>
  <si>
    <t>Country</t>
  </si>
  <si>
    <t>Project Schedule</t>
  </si>
  <si>
    <t>Financial Close</t>
  </si>
  <si>
    <t>Scheduled Construction Time</t>
  </si>
  <si>
    <t>Operation Start</t>
  </si>
  <si>
    <t>Year 0</t>
  </si>
  <si>
    <t>Investment Horizon</t>
  </si>
  <si>
    <t>Project Life</t>
  </si>
  <si>
    <t>Model Horizon</t>
  </si>
  <si>
    <t>Model Period</t>
  </si>
  <si>
    <t>Semestrial</t>
  </si>
  <si>
    <t>Building Costs and Spending Profiles</t>
  </si>
  <si>
    <t>IDCs</t>
  </si>
  <si>
    <t>Commitment Fees</t>
  </si>
  <si>
    <t>Other Financial Costs</t>
  </si>
  <si>
    <t>VAT Costs</t>
  </si>
  <si>
    <t>Total CAPEX</t>
  </si>
  <si>
    <t>Technical Data &amp; Yield</t>
  </si>
  <si>
    <t>Technical Data</t>
  </si>
  <si>
    <t xml:space="preserve">Capacity </t>
  </si>
  <si>
    <t xml:space="preserve">Production Scenario </t>
  </si>
  <si>
    <t>P_50</t>
  </si>
  <si>
    <t xml:space="preserve">Yield Study </t>
  </si>
  <si>
    <t>Historical average</t>
  </si>
  <si>
    <t xml:space="preserve">Operating Hours </t>
  </si>
  <si>
    <t>PV module degradation</t>
  </si>
  <si>
    <t>BESS degradation</t>
  </si>
  <si>
    <t>Plant Availability</t>
  </si>
  <si>
    <t>Grid Availability</t>
  </si>
  <si>
    <t>Yield</t>
  </si>
  <si>
    <t>Scenario 1</t>
  </si>
  <si>
    <t>A</t>
  </si>
  <si>
    <t>XX</t>
  </si>
  <si>
    <t>B</t>
  </si>
  <si>
    <t>P_75-1y</t>
  </si>
  <si>
    <t>P_75-10y</t>
  </si>
  <si>
    <t>P_90-1y</t>
  </si>
  <si>
    <t>P_90-10y</t>
  </si>
  <si>
    <t>P_95-10y</t>
  </si>
  <si>
    <t>P_99-1y</t>
  </si>
  <si>
    <t>P_99-10y</t>
  </si>
  <si>
    <t>P90/P50</t>
  </si>
  <si>
    <t>Revenues Data</t>
  </si>
  <si>
    <t>PPA</t>
  </si>
  <si>
    <t>Base Tariff</t>
  </si>
  <si>
    <t xml:space="preserve">up to </t>
  </si>
  <si>
    <t>Reduced Tariff</t>
  </si>
  <si>
    <t>Production sold under cPPA (% P50)</t>
  </si>
  <si>
    <t>PPA Term</t>
  </si>
  <si>
    <t>PPA index</t>
  </si>
  <si>
    <t>Variable part</t>
  </si>
  <si>
    <t>EUR CPI</t>
  </si>
  <si>
    <t>Market Price</t>
  </si>
  <si>
    <t>Scenario</t>
  </si>
  <si>
    <t>Fixed</t>
  </si>
  <si>
    <t>if Profile</t>
  </si>
  <si>
    <t>Base Rate</t>
  </si>
  <si>
    <t>Index</t>
  </si>
  <si>
    <t>if Fixed</t>
  </si>
  <si>
    <t>Price Year 1</t>
  </si>
  <si>
    <t xml:space="preserve"> </t>
  </si>
  <si>
    <t>Indexed Model Price</t>
  </si>
  <si>
    <t>Model Year</t>
  </si>
  <si>
    <t>€/MWh</t>
  </si>
  <si>
    <t>Market price - AFRY Central curve real terms</t>
  </si>
  <si>
    <t>Equity scenario</t>
  </si>
  <si>
    <t>Sizing scenario</t>
  </si>
  <si>
    <t>Captured Prices - AFRY - Q1 2026 - Inflation applied</t>
  </si>
  <si>
    <t>Central case Trackers</t>
  </si>
  <si>
    <t>Central case GMPV</t>
  </si>
  <si>
    <t>Low case Trackers</t>
  </si>
  <si>
    <t>Low case GMPV</t>
  </si>
  <si>
    <t>Central Low case Trackers</t>
  </si>
  <si>
    <t>Central Low case GMPV</t>
  </si>
  <si>
    <t>Balancing costs PV</t>
  </si>
  <si>
    <t>unit?</t>
  </si>
  <si>
    <t>TBU</t>
  </si>
  <si>
    <t>Balancing costs BESS</t>
  </si>
  <si>
    <t>Inflation index</t>
  </si>
  <si>
    <t>Selected curve market prices</t>
  </si>
  <si>
    <t>k€/MW</t>
  </si>
  <si>
    <t>Indexed</t>
  </si>
  <si>
    <t>EMS revenues - Afry Central case - 4h Degraded</t>
  </si>
  <si>
    <t>EMS revenues - Afry MidLow case - 4h Degraded</t>
  </si>
  <si>
    <t>EMS revenues - Afry Low case - 4h Degraded</t>
  </si>
  <si>
    <t>EMS revenues - Afry Stress case - 4h Degraded</t>
  </si>
  <si>
    <t>Storage market sale curve for debt sizing</t>
  </si>
  <si>
    <t>Annual inflation on market prices</t>
  </si>
  <si>
    <t>cumulated inflation</t>
  </si>
  <si>
    <t>Non Recurring Item</t>
  </si>
  <si>
    <t>Amount</t>
  </si>
  <si>
    <t>Payment year</t>
  </si>
  <si>
    <t>CO2 Certificates Sales</t>
  </si>
  <si>
    <t>Emission Factor FR</t>
  </si>
  <si>
    <t>CO2 price</t>
  </si>
  <si>
    <t>UNFCC's Retainer</t>
  </si>
  <si>
    <t>Operation and Maintenance Costs</t>
  </si>
  <si>
    <t>Task</t>
  </si>
  <si>
    <t>WTH</t>
  </si>
  <si>
    <t>Withholding Tax</t>
  </si>
  <si>
    <t>Project Sizing</t>
  </si>
  <si>
    <t>Equity Shares</t>
  </si>
  <si>
    <t>CAPEX</t>
  </si>
  <si>
    <t>Model Sizing</t>
  </si>
  <si>
    <t>Debt Sculpting Macro</t>
  </si>
  <si>
    <t>Target DSCR in Bank Case</t>
  </si>
  <si>
    <t>Minimum DSCR</t>
  </si>
  <si>
    <t>Base Case Scenario</t>
  </si>
  <si>
    <t>Bank Case</t>
  </si>
  <si>
    <t>Average DSCR PPA /market</t>
  </si>
  <si>
    <t>Debt Sizing</t>
  </si>
  <si>
    <t>Term of Debts Facilities</t>
  </si>
  <si>
    <t>Total Facility</t>
  </si>
  <si>
    <t>Senior Debt</t>
  </si>
  <si>
    <t>Senior Loan</t>
  </si>
  <si>
    <t>Bank 1</t>
  </si>
  <si>
    <t>Available Amount</t>
  </si>
  <si>
    <t>Maturity</t>
  </si>
  <si>
    <t>Last Repayment Date</t>
  </si>
  <si>
    <t>Used Amount</t>
  </si>
  <si>
    <t>Used %</t>
  </si>
  <si>
    <t>Pricing</t>
  </si>
  <si>
    <t>All-in Base Rate</t>
  </si>
  <si>
    <t>Split of Debt</t>
  </si>
  <si>
    <t>Facility Bank 1</t>
  </si>
  <si>
    <t>Facility Bank 2</t>
  </si>
  <si>
    <t>Commitment Fee</t>
  </si>
  <si>
    <t>Senior Front End Fee</t>
  </si>
  <si>
    <t>Structuring Fee</t>
  </si>
  <si>
    <t>Arrangement Fee</t>
  </si>
  <si>
    <t>Annual DSCR Increase</t>
  </si>
  <si>
    <t>Lock-up</t>
  </si>
  <si>
    <t>Min LLCR</t>
  </si>
  <si>
    <t>Indebtness</t>
  </si>
  <si>
    <t>Initial</t>
  </si>
  <si>
    <t>Operation</t>
  </si>
  <si>
    <t>Hedging</t>
  </si>
  <si>
    <t>Hedge Coverage</t>
  </si>
  <si>
    <t>Hedge Maturity</t>
  </si>
  <si>
    <t>Swap Margin</t>
  </si>
  <si>
    <t>Forward Swap Margin</t>
  </si>
  <si>
    <t>Credit Valuation Adjustment</t>
  </si>
  <si>
    <t>Refinancing</t>
  </si>
  <si>
    <t>Refinancing amount</t>
  </si>
  <si>
    <t>Year of refinancing</t>
  </si>
  <si>
    <t>Period of refinancing</t>
  </si>
  <si>
    <t xml:space="preserve">All-in </t>
  </si>
  <si>
    <t>All-in Swap</t>
  </si>
  <si>
    <t>Swap from the model (margins, forwad &amp; credit valuation)</t>
  </si>
  <si>
    <t>Swap additionnal</t>
  </si>
  <si>
    <t>Refinancing fees</t>
  </si>
  <si>
    <t>Up-front fee (% of total refinancing)</t>
  </si>
  <si>
    <t>Up-front fee (amount)</t>
  </si>
  <si>
    <t>Akuo Carbon Fund</t>
  </si>
  <si>
    <t>Max</t>
  </si>
  <si>
    <t>J-DSCR</t>
  </si>
  <si>
    <t>Junior Front End Fee</t>
  </si>
  <si>
    <t>Amount paid in certificates</t>
  </si>
  <si>
    <t>Payback period</t>
  </si>
  <si>
    <t>VAT% for VAT loan repayment</t>
  </si>
  <si>
    <t>All-In Rate</t>
  </si>
  <si>
    <t>Interest Rate</t>
  </si>
  <si>
    <t>Construction phase</t>
  </si>
  <si>
    <t>VAT collected</t>
  </si>
  <si>
    <t>Commitment fee</t>
  </si>
  <si>
    <t>L/C Facility</t>
  </si>
  <si>
    <t>L/C Fee</t>
  </si>
  <si>
    <t>Collateral</t>
  </si>
  <si>
    <t>Construction</t>
  </si>
  <si>
    <t>Floating Rate</t>
  </si>
  <si>
    <t>Buffer on external source</t>
  </si>
  <si>
    <t>Euribor 1m fixings</t>
  </si>
  <si>
    <t/>
  </si>
  <si>
    <t>Euribor 6m fixings</t>
  </si>
  <si>
    <t>Equity &amp; Shareholder Loan</t>
  </si>
  <si>
    <t>Capital at Financial close</t>
  </si>
  <si>
    <t>Amount (%)</t>
  </si>
  <si>
    <t>Shareholding</t>
  </si>
  <si>
    <t>Sponsor</t>
  </si>
  <si>
    <t>Co Investors</t>
  </si>
  <si>
    <t>Investor 1</t>
  </si>
  <si>
    <t>Investor 2</t>
  </si>
  <si>
    <t>Dividend distribution</t>
  </si>
  <si>
    <t>% SHL</t>
  </si>
  <si>
    <t>SHL Injected</t>
  </si>
  <si>
    <t>Interest rate</t>
  </si>
  <si>
    <t>IDC</t>
  </si>
  <si>
    <t>Investors</t>
  </si>
  <si>
    <t>Equity Distribution</t>
  </si>
  <si>
    <t>Equity Distribution Grace Period</t>
  </si>
  <si>
    <t>Delay Operation &amp; Distribution Flows</t>
  </si>
  <si>
    <t>Investor's Investment Date</t>
  </si>
  <si>
    <t>First Repayment Date</t>
  </si>
  <si>
    <t>First Distribution Date</t>
  </si>
  <si>
    <t>DSRA</t>
  </si>
  <si>
    <t xml:space="preserve">Construction </t>
  </si>
  <si>
    <t>J-DSRA</t>
  </si>
  <si>
    <t>0 months</t>
  </si>
  <si>
    <t>PPA Warranty (L/C)</t>
  </si>
  <si>
    <t>PPA Warranty (MRA)</t>
  </si>
  <si>
    <t>Initial funding</t>
  </si>
  <si>
    <t>Start</t>
  </si>
  <si>
    <t>Asset</t>
  </si>
  <si>
    <t>BiH Depreciation rules</t>
  </si>
  <si>
    <t>Depreciation period</t>
  </si>
  <si>
    <t>% annual depreciation</t>
  </si>
  <si>
    <t>Buildings and permanent installations</t>
  </si>
  <si>
    <t>Production equipment and machinery</t>
  </si>
  <si>
    <t>Infrastructure roads and transport vehicles</t>
  </si>
  <si>
    <t xml:space="preserve">Computers and softwares </t>
  </si>
  <si>
    <t>Vehicles</t>
  </si>
  <si>
    <t>Other assets (with contractual term )</t>
  </si>
  <si>
    <t>Intangible assets</t>
  </si>
  <si>
    <t>Taxation and Accounting</t>
  </si>
  <si>
    <t>Notice: important to check changes in taxation / changes in law with the relevant team</t>
  </si>
  <si>
    <t>Corporate Income Tax</t>
  </si>
  <si>
    <t>Rate</t>
  </si>
  <si>
    <t>Deductible Interests</t>
  </si>
  <si>
    <t xml:space="preserve">Losses carried forward </t>
  </si>
  <si>
    <t>Duration</t>
  </si>
  <si>
    <t>Cap</t>
  </si>
  <si>
    <t>Legal Reserve</t>
  </si>
  <si>
    <t>TBC</t>
  </si>
  <si>
    <t>SHL interest rate cap applicable (foreign shareholder)</t>
  </si>
  <si>
    <t>Thin Capitalization</t>
  </si>
  <si>
    <t>Max. SHL to equity ratio 4:1</t>
  </si>
  <si>
    <t xml:space="preserve">Check </t>
  </si>
  <si>
    <t>Max. SHL interests expenses</t>
  </si>
  <si>
    <t>Max. SHL interests % of EBITDA</t>
  </si>
  <si>
    <t>on debt interests</t>
  </si>
  <si>
    <t>on SHL interests</t>
  </si>
  <si>
    <t>Until</t>
  </si>
  <si>
    <t>Assumption the SPV is exempt because SHL used to puchase plants, equipments</t>
  </si>
  <si>
    <t>on dividends</t>
  </si>
  <si>
    <t>on financial revenues</t>
  </si>
  <si>
    <t xml:space="preserve">on upfront fees </t>
  </si>
  <si>
    <t>on technical services</t>
  </si>
  <si>
    <t>WHT on Senior Refinancing</t>
  </si>
  <si>
    <t>VAT</t>
  </si>
  <si>
    <t>Reimbursed</t>
  </si>
  <si>
    <t>VAT Break</t>
  </si>
  <si>
    <t>Stamp Duty</t>
  </si>
  <si>
    <t>on foreign loans</t>
  </si>
  <si>
    <t>Fx</t>
  </si>
  <si>
    <t>Currency</t>
  </si>
  <si>
    <t>Exchange rate</t>
  </si>
  <si>
    <t>EUR inflation</t>
  </si>
  <si>
    <t>Other</t>
  </si>
  <si>
    <t>Cash Interest</t>
  </si>
  <si>
    <t>Interest on short term loan</t>
  </si>
  <si>
    <t>NPV revenues Public</t>
  </si>
  <si>
    <t>NPV revenues Private</t>
  </si>
  <si>
    <t>NPV revenues market</t>
  </si>
  <si>
    <t>Project Discount Rate / Hurdle Rate</t>
  </si>
  <si>
    <t xml:space="preserve">NPV Debt </t>
  </si>
  <si>
    <t>NPV Equity</t>
  </si>
  <si>
    <t>Debt NPV / Equity NPV</t>
  </si>
  <si>
    <t>Equity Discount Rate / Hurdle Rate</t>
  </si>
  <si>
    <t>Warranties &amp; Bonds</t>
  </si>
  <si>
    <t>Name</t>
  </si>
  <si>
    <t>Calculation</t>
  </si>
  <si>
    <t>Requirement</t>
  </si>
  <si>
    <t>Notional</t>
  </si>
  <si>
    <t>Cost</t>
  </si>
  <si>
    <t>Bid day</t>
  </si>
  <si>
    <t>From bid day to contract award</t>
  </si>
  <si>
    <t>Construction Completion</t>
  </si>
  <si>
    <t>From contract award to commissioning (COD + 3 months)</t>
  </si>
  <si>
    <t>Performance Bond</t>
  </si>
  <si>
    <t>PPA Life</t>
  </si>
  <si>
    <t>Tools</t>
  </si>
  <si>
    <t>Booleans</t>
  </si>
  <si>
    <t>Annual</t>
  </si>
  <si>
    <t>OK</t>
  </si>
  <si>
    <t>Pari Passu</t>
  </si>
  <si>
    <t>Profile</t>
  </si>
  <si>
    <t>Nordex</t>
  </si>
  <si>
    <t>N117-91m</t>
  </si>
  <si>
    <t>Yes</t>
  </si>
  <si>
    <t>WRONG</t>
  </si>
  <si>
    <t>Subordinated</t>
  </si>
  <si>
    <t>Scenario 2</t>
  </si>
  <si>
    <t>Vestas</t>
  </si>
  <si>
    <t>V117-117m</t>
  </si>
  <si>
    <t>No</t>
  </si>
  <si>
    <t>Market</t>
  </si>
  <si>
    <t>Trimestrial</t>
  </si>
  <si>
    <t>Variable</t>
  </si>
  <si>
    <t>Gamesa</t>
  </si>
  <si>
    <t>V126-84m</t>
  </si>
  <si>
    <t>Full Equity</t>
  </si>
  <si>
    <t>Monthly</t>
  </si>
  <si>
    <t>Constant</t>
  </si>
  <si>
    <t>GE</t>
  </si>
  <si>
    <t>V110-95m</t>
  </si>
  <si>
    <t>Hourly</t>
  </si>
  <si>
    <t>V100-80m</t>
  </si>
  <si>
    <t>G97-78m</t>
  </si>
  <si>
    <t>Graphics</t>
  </si>
  <si>
    <t>G114-80m</t>
  </si>
  <si>
    <t>Titles</t>
  </si>
  <si>
    <t>XXX</t>
  </si>
  <si>
    <t>GE116-80m</t>
  </si>
  <si>
    <t>Hardcoded values</t>
  </si>
  <si>
    <t>Data from different sheet</t>
  </si>
  <si>
    <t>Macro copy/paste</t>
  </si>
  <si>
    <t>Scenario values</t>
  </si>
  <si>
    <t>Assumption to be verified</t>
  </si>
  <si>
    <t>Model construction</t>
  </si>
  <si>
    <t>Intentionally left blank</t>
  </si>
  <si>
    <t>Legend:</t>
  </si>
  <si>
    <t>Inputs by project team</t>
  </si>
  <si>
    <t xml:space="preserve">Fixed values </t>
  </si>
  <si>
    <t>HYBRID</t>
  </si>
  <si>
    <t>Fixed
NEW OPEX TEMPLATE</t>
  </si>
  <si>
    <t>Tracker system 
NEW OPEX TEMPLATE</t>
  </si>
  <si>
    <t>DCSA to RTB, no DEV costs</t>
  </si>
  <si>
    <t>Accountable</t>
  </si>
  <si>
    <t>Scenarios</t>
  </si>
  <si>
    <t>TECHNICAL</t>
  </si>
  <si>
    <t>Dev/CTO</t>
  </si>
  <si>
    <t>Capacity DC</t>
  </si>
  <si>
    <t>Capacity AC</t>
  </si>
  <si>
    <t>Yield P_50</t>
  </si>
  <si>
    <t>Yield P_90</t>
  </si>
  <si>
    <t>Ratio P90/P50</t>
  </si>
  <si>
    <t>Cycles per day during operation</t>
  </si>
  <si>
    <t>Storage life</t>
  </si>
  <si>
    <t xml:space="preserve"># of BESS </t>
  </si>
  <si>
    <t xml:space="preserve"># of PCS </t>
  </si>
  <si>
    <t>Capacity per BESS [MWh]</t>
  </si>
  <si>
    <t>Power per PCS [MVA]</t>
  </si>
  <si>
    <t>Installed BESS Capacity [MWh]</t>
  </si>
  <si>
    <t>Installed BESS Power [MW]</t>
  </si>
  <si>
    <t>Contractual capacity [MWh]</t>
  </si>
  <si>
    <t>Power of injection [MW]</t>
  </si>
  <si>
    <t>Production Units</t>
  </si>
  <si>
    <t>Dev/CTO/S&amp;E</t>
  </si>
  <si>
    <t>PV module price (c€/Wp)</t>
  </si>
  <si>
    <t>Production Units PV (c€/Wp)</t>
  </si>
  <si>
    <t>Procurement</t>
  </si>
  <si>
    <t>Power Electronics</t>
  </si>
  <si>
    <t>Mounting System</t>
  </si>
  <si>
    <t>Electrical equipment</t>
  </si>
  <si>
    <t>Communication &amp; Security System</t>
  </si>
  <si>
    <t>Delivery Substation</t>
  </si>
  <si>
    <t>PCS Transformer</t>
  </si>
  <si>
    <t>Site Construction</t>
  </si>
  <si>
    <t>Temporary Site Installation</t>
  </si>
  <si>
    <t>Fencing</t>
  </si>
  <si>
    <t>Site Preparation</t>
  </si>
  <si>
    <t>Road &amp; Earthworks</t>
  </si>
  <si>
    <t>Electrical Works</t>
  </si>
  <si>
    <t>Civil Works</t>
  </si>
  <si>
    <t>Installation of production units &amp; PCS</t>
  </si>
  <si>
    <t>Foundation &amp; Installation of mounting system</t>
  </si>
  <si>
    <t>Installation of auxilliary systems(security, SCADA etc.)</t>
  </si>
  <si>
    <t>All-in BESS supply + BOP cost</t>
  </si>
  <si>
    <t>Change rate USD/EUR</t>
  </si>
  <si>
    <t>-</t>
  </si>
  <si>
    <t>BESS Supply DDP GR + Commissioning + Spares</t>
  </si>
  <si>
    <t>Skid Supply DDP GR + Commissioning + Spares + EPC Margin</t>
  </si>
  <si>
    <t xml:space="preserve">BOP + Scada + MV Substation + commissioning </t>
  </si>
  <si>
    <t>Contingencies</t>
  </si>
  <si>
    <t>EPC other costs</t>
  </si>
  <si>
    <t>PROJECT MANAGEMENT</t>
  </si>
  <si>
    <t>Management</t>
  </si>
  <si>
    <t>HSE and Social</t>
  </si>
  <si>
    <t>Environmental and Social (E&amp;S)</t>
  </si>
  <si>
    <t>Financial &amp; Insurance</t>
  </si>
  <si>
    <t>Civil Engineering</t>
  </si>
  <si>
    <t>Mechanical Engineering</t>
  </si>
  <si>
    <t>Electrical Engineering</t>
  </si>
  <si>
    <t>Others</t>
  </si>
  <si>
    <t>TAKE-OVER, COMMISSIONING &amp; FINAL WORK</t>
  </si>
  <si>
    <t>SPARE PARTS</t>
  </si>
  <si>
    <t>Percentage of PV modules &amp; MV equipment</t>
  </si>
  <si>
    <t>O&amp;M SERVICES DURING DEFAULT NOTIFICATION PERIOD</t>
  </si>
  <si>
    <t>?</t>
  </si>
  <si>
    <t>Grid connection</t>
  </si>
  <si>
    <t>Dev</t>
  </si>
  <si>
    <t>Grid Usage Subscription fees</t>
  </si>
  <si>
    <t>Grid connection fee (50% after FC)</t>
  </si>
  <si>
    <t>OHL Supply and Installation incl. Cabling</t>
  </si>
  <si>
    <t>Cabling (supply and installation)</t>
  </si>
  <si>
    <t>Towers (Supply, installation and erection)</t>
  </si>
  <si>
    <t>SUBSTATION (Akuo)</t>
  </si>
  <si>
    <t>EPC PRICE NOV 2025 (Dalekovod d.d.)</t>
  </si>
  <si>
    <t>SUBSTATION (TSO/DSO)</t>
  </si>
  <si>
    <t>Other costs for construction</t>
  </si>
  <si>
    <t>Utilities consumption (energy, water,…)</t>
  </si>
  <si>
    <t>Telecom consumption during construction</t>
  </si>
  <si>
    <t>Security during construction</t>
  </si>
  <si>
    <t>Environmental and Social Monitoring</t>
  </si>
  <si>
    <t>Investments to prepare operation phase</t>
  </si>
  <si>
    <t>Utilies (water, sewage,... )</t>
  </si>
  <si>
    <t>Telecom</t>
  </si>
  <si>
    <t>Monitoring system (SCADA &amp; other)</t>
  </si>
  <si>
    <t>O&amp;M Building</t>
  </si>
  <si>
    <t>Special vehicles and Operation equipments specific to techno</t>
  </si>
  <si>
    <t>Mitigation measures (E&amp;S)</t>
  </si>
  <si>
    <t>Insurances</t>
  </si>
  <si>
    <t>Insurance</t>
  </si>
  <si>
    <t>All Construction Risk : Damage and Losses (TRC)</t>
  </si>
  <si>
    <t>Civil Liability (RC)</t>
  </si>
  <si>
    <t>Marine Cargo DSU</t>
  </si>
  <si>
    <t>Lease and Property Tax</t>
  </si>
  <si>
    <t>Leases during construction</t>
  </si>
  <si>
    <t>Property tax during construction to be added to CAPEX</t>
  </si>
  <si>
    <t>Project finance costs due at closing</t>
  </si>
  <si>
    <t>Bank due diligence</t>
  </si>
  <si>
    <t>Finance</t>
  </si>
  <si>
    <t>Appraisal Fee (when signing mandate)</t>
  </si>
  <si>
    <t>Technical Advisor</t>
  </si>
  <si>
    <t>E&amp;S Advisor</t>
  </si>
  <si>
    <t>Energy Yield Assessment for lenders</t>
  </si>
  <si>
    <t>Market Advisor</t>
  </si>
  <si>
    <t>Insurance Advisor</t>
  </si>
  <si>
    <t>Intern'l Legal Advisor</t>
  </si>
  <si>
    <t xml:space="preserve">Local Legal Advisor </t>
  </si>
  <si>
    <t>Model &amp; Tax Auditor</t>
  </si>
  <si>
    <t>Travel Expenses &amp; Others</t>
  </si>
  <si>
    <t>Co-investor due diligence</t>
  </si>
  <si>
    <t>Energy Yield Assessment for co-investor</t>
  </si>
  <si>
    <t>Sponsor (AKUO) expenses during financing</t>
  </si>
  <si>
    <t>Legal advisor (if external)</t>
  </si>
  <si>
    <t>Construction Management</t>
  </si>
  <si>
    <t>Lender's E&amp;S Monitoring</t>
  </si>
  <si>
    <t>Lender's Technical Monitoring</t>
  </si>
  <si>
    <t>Commissioning</t>
  </si>
  <si>
    <t>Dev/S&amp;E</t>
  </si>
  <si>
    <t>Commissioning and Inspections advisors</t>
  </si>
  <si>
    <t>Power Curve Testing</t>
  </si>
  <si>
    <t xml:space="preserve">Commissioning costs and potential revenues </t>
  </si>
  <si>
    <t>Audit&amp;Accounting&amp;Legal Fees</t>
  </si>
  <si>
    <t xml:space="preserve">Accounting </t>
  </si>
  <si>
    <t>Auditors closing during construction</t>
  </si>
  <si>
    <t>Accounting closing during construction</t>
  </si>
  <si>
    <t>Legal</t>
  </si>
  <si>
    <t>Legal closing during construction</t>
  </si>
  <si>
    <t>Accounting book-keeping during construction</t>
  </si>
  <si>
    <t>Bank book-keeping during construction</t>
  </si>
  <si>
    <t>Legal Formalities during construction</t>
  </si>
  <si>
    <t>Akuo Construction Services</t>
  </si>
  <si>
    <t>Construction services level %</t>
  </si>
  <si>
    <t>S&amp;E</t>
  </si>
  <si>
    <t>External Construction Supervision</t>
  </si>
  <si>
    <t>Geotechnical engineer</t>
  </si>
  <si>
    <t>HSE team</t>
  </si>
  <si>
    <t>HSE (health and safety)</t>
  </si>
  <si>
    <t xml:space="preserve">Quality&amp;Quantities Control </t>
  </si>
  <si>
    <t>Communication (inauguration etc)</t>
  </si>
  <si>
    <t xml:space="preserve">Others </t>
  </si>
  <si>
    <t>Capex Contingencies</t>
  </si>
  <si>
    <t>Dev/Finance</t>
  </si>
  <si>
    <t>Capex Contingency Level %</t>
  </si>
  <si>
    <t>Taxes</t>
  </si>
  <si>
    <t>Tax team</t>
  </si>
  <si>
    <t>Import taxes</t>
  </si>
  <si>
    <t>Customs clearance costs</t>
  </si>
  <si>
    <t xml:space="preserve"> Taxes during construction  </t>
  </si>
  <si>
    <t xml:space="preserve"> Project Rights </t>
  </si>
  <si>
    <t xml:space="preserve"> Akuo Development Services </t>
  </si>
  <si>
    <t>Development services level (% of capex)</t>
  </si>
  <si>
    <t xml:space="preserve"> Akuo Market Services</t>
  </si>
  <si>
    <t>Market services level (% of 1st Y revenues)</t>
  </si>
  <si>
    <t>Finance/Dev</t>
  </si>
  <si>
    <t>Project Purchase Cost</t>
  </si>
  <si>
    <t>BUFFER!</t>
  </si>
  <si>
    <t>Revise</t>
  </si>
  <si>
    <t>€/MWac</t>
  </si>
  <si>
    <t>Project Development Costs</t>
  </si>
  <si>
    <t>Land leases during development</t>
  </si>
  <si>
    <t xml:space="preserve">Notary &amp; legal &amp; administrative fees </t>
  </si>
  <si>
    <t>Land acquisition before construction</t>
  </si>
  <si>
    <t xml:space="preserve">Expropriation </t>
  </si>
  <si>
    <t>Land preparation works for development</t>
  </si>
  <si>
    <t xml:space="preserve">Grid Connection Permitting </t>
  </si>
  <si>
    <t>Basic grid studies</t>
  </si>
  <si>
    <t>Detailed grid studies</t>
  </si>
  <si>
    <t>Energy Approval</t>
  </si>
  <si>
    <t>Energy Approval fee €/Mwac</t>
  </si>
  <si>
    <t xml:space="preserve">Grid Connection Fee </t>
  </si>
  <si>
    <t>Grid fee €/Mwac</t>
  </si>
  <si>
    <t>Not published yet, should be 0€/Mwac</t>
  </si>
  <si>
    <t>Environment studies and EIA</t>
  </si>
  <si>
    <t>Environmental Impact Assessment</t>
  </si>
  <si>
    <t>Fauna&amp;Flora Studies (incl. Birds&amp;bats&amp;fishes)</t>
  </si>
  <si>
    <t>Noise study</t>
  </si>
  <si>
    <t>Landscape study</t>
  </si>
  <si>
    <t>Shadow Studies/Flooding/Sanitary risks/Other studies</t>
  </si>
  <si>
    <t>Solid transport study</t>
  </si>
  <si>
    <t>HSE plan</t>
  </si>
  <si>
    <t>External expert monitoring</t>
  </si>
  <si>
    <t>Other studies</t>
  </si>
  <si>
    <t>Building permit</t>
  </si>
  <si>
    <t>Basic Design for Energy Approval</t>
  </si>
  <si>
    <t>Basic Design for Location Permit</t>
  </si>
  <si>
    <t>Building permit documentation (incl Architect)</t>
  </si>
  <si>
    <t>Zoning plan modification</t>
  </si>
  <si>
    <t>Legal&amp;administrative cost (incl bailiff costs&amp;tax)</t>
  </si>
  <si>
    <t>Other permits</t>
  </si>
  <si>
    <t>Water access right</t>
  </si>
  <si>
    <t>Legal&amp;administrative costs (incl bailiff costs&amp;tax)</t>
  </si>
  <si>
    <t>Engineering studies</t>
  </si>
  <si>
    <t>Maps&amp;Topography</t>
  </si>
  <si>
    <t>Geometer&amp;cadaster</t>
  </si>
  <si>
    <t>Geotechnical study</t>
  </si>
  <si>
    <t>Foundation study</t>
  </si>
  <si>
    <t>Soil Studies (incl soil resistivity&amp;pollution)</t>
  </si>
  <si>
    <t>Included in Building Permit Documentation</t>
  </si>
  <si>
    <t>Electrical design (LV, MV, HV)</t>
  </si>
  <si>
    <t>Civil design (foundations, bridges…)</t>
  </si>
  <si>
    <t>Earthworks design (roads,platforms ...)</t>
  </si>
  <si>
    <t xml:space="preserve">Access survey </t>
  </si>
  <si>
    <t xml:space="preserve">Interfaces studies </t>
  </si>
  <si>
    <t>Other specific studies (waterway design,telecom&amp;radar…)</t>
  </si>
  <si>
    <t>Communication and events</t>
  </si>
  <si>
    <t>Project office</t>
  </si>
  <si>
    <t>Communication  (website…)</t>
  </si>
  <si>
    <t>Events</t>
  </si>
  <si>
    <t>Tender costs</t>
  </si>
  <si>
    <t>Treasury</t>
  </si>
  <si>
    <t>Bid bond costs</t>
  </si>
  <si>
    <t>Legal&amp;administrative costs</t>
  </si>
  <si>
    <t xml:space="preserve"> SPV corporate services, legal, accounting, auditors</t>
  </si>
  <si>
    <t>Accounting</t>
  </si>
  <si>
    <t>Legal&amp;Insurance</t>
  </si>
  <si>
    <t>Auditors</t>
  </si>
  <si>
    <t xml:space="preserve">Agency fees </t>
  </si>
  <si>
    <t>HR team</t>
  </si>
  <si>
    <t>Salary (if legal obligation)</t>
  </si>
  <si>
    <t>All teams</t>
  </si>
  <si>
    <t xml:space="preserve"> Akuo travel expenses (if not incl. in development services agreement)</t>
  </si>
  <si>
    <t>M&amp;A &amp; Co-developer costs</t>
  </si>
  <si>
    <t>Business introducer fees</t>
  </si>
  <si>
    <t xml:space="preserve">Co-developer fees &amp; expenses </t>
  </si>
  <si>
    <t>Co-developer expenses&amp;salaries (not fees)</t>
  </si>
  <si>
    <t>Co-Developer Services Agreement</t>
  </si>
  <si>
    <t>Shares price (premium to be included only at Holdco level)</t>
  </si>
  <si>
    <t>Shareholder Loan Buyout</t>
  </si>
  <si>
    <t>Due diligence for project acquisition</t>
  </si>
  <si>
    <t xml:space="preserve">Legal Advisor </t>
  </si>
  <si>
    <t>M&amp;A/Accounting/Tax team</t>
  </si>
  <si>
    <t>Finance&amp;Tax Advisor</t>
  </si>
  <si>
    <t>HR/Legal</t>
  </si>
  <si>
    <t>HR Due Diligence Costs</t>
  </si>
  <si>
    <t>Other Due Diligence Costs</t>
  </si>
  <si>
    <t>Bridge loan costs during development phase</t>
  </si>
  <si>
    <t>OPEX</t>
  </si>
  <si>
    <t>Technical Management</t>
  </si>
  <si>
    <t>ASM/CTO</t>
  </si>
  <si>
    <t>Asset Management Contract</t>
  </si>
  <si>
    <t>Operation Management Contract</t>
  </si>
  <si>
    <t>Bazefield</t>
  </si>
  <si>
    <t>Infrastructure Maintenance</t>
  </si>
  <si>
    <t>O&amp;M – Preventive &amp; Corrective Y1-2</t>
  </si>
  <si>
    <t>added AM&amp;O onboarding fee + end of guarantee audit</t>
  </si>
  <si>
    <t>O&amp;M – Preventive &amp; Corrective - Y3-30</t>
  </si>
  <si>
    <t>ASM</t>
  </si>
  <si>
    <t>Substation&amp;O&amp;M Building (included in O&amp;M – Preventive &amp; Corrective)</t>
  </si>
  <si>
    <t>Inverters / Kiosks / Transformers (included in O&amp;M – Preventive &amp; Corrective)</t>
  </si>
  <si>
    <t>Regulatory Inspections</t>
  </si>
  <si>
    <t>Inverter service contract / MRA</t>
  </si>
  <si>
    <t>Spare parts reprocurement (maintenance contract with contractors)</t>
  </si>
  <si>
    <t>Opex BESS</t>
  </si>
  <si>
    <t>Akuo Operation Mgt - BESS</t>
  </si>
  <si>
    <t>BESS-EPC preventive and corrective maintenance - 5,5€/kW</t>
  </si>
  <si>
    <t>Spare part refru (included in EPC PM &amp; CM)</t>
  </si>
  <si>
    <t>PCS Warranty extension (included in EPC PM &amp; CM)</t>
  </si>
  <si>
    <t>BESS Perf guarantee ( Availability / RTE ) - 1500€/BESS</t>
  </si>
  <si>
    <t>BESS Preventive Maintenance (1k€/BESS)</t>
  </si>
  <si>
    <t>BESS Preventive Maintenance + Warranty Extension Y6 -&gt; 10 - (5,5k€/BESS)</t>
  </si>
  <si>
    <t>BESS Preventive Maintenance + Warranty Extension Y11 -&gt; 15 - (6k€/BESS)</t>
  </si>
  <si>
    <t>BESS Preventive Maintenance + Warranty Extension Y16 -&gt; 20- (6,5k€/BESS)</t>
  </si>
  <si>
    <t>BESS Preventive Maintenance + Warranty Extension Y21 -&gt; 25</t>
  </si>
  <si>
    <t xml:space="preserve">Power consumption ( Included in revenues ) </t>
  </si>
  <si>
    <t>Grid usage fees</t>
  </si>
  <si>
    <t>Maintain Site</t>
  </si>
  <si>
    <t xml:space="preserve">Clean Site </t>
  </si>
  <si>
    <t xml:space="preserve">Repair roads </t>
  </si>
  <si>
    <t>Pest Control</t>
  </si>
  <si>
    <t>Clean Material</t>
  </si>
  <si>
    <t>Clean Panels (included in O&amp;M – Preventive &amp; Corrective)</t>
  </si>
  <si>
    <t>Subscription to water supply</t>
  </si>
  <si>
    <t>Security</t>
  </si>
  <si>
    <t>Surveillance systems</t>
  </si>
  <si>
    <t>Surveillance patrols</t>
  </si>
  <si>
    <t>Operation All Risk with Business Interruption (OAR-BI)</t>
  </si>
  <si>
    <t>Third Party Liability (TPL)</t>
  </si>
  <si>
    <t>Substation and O&amp;M Building Coverage (DO) (TBD by the insurance team depending on project)</t>
  </si>
  <si>
    <t>Spare parts insurance (TBD by the insurance team depending on project)</t>
  </si>
  <si>
    <t>Lease &amp; property Tax</t>
  </si>
  <si>
    <t xml:space="preserve">Land Leases </t>
  </si>
  <si>
    <t>Hectares (ha)</t>
  </si>
  <si>
    <t>k€/ha/y</t>
  </si>
  <si>
    <t>Property tax</t>
  </si>
  <si>
    <t>Power Expenses</t>
  </si>
  <si>
    <t>Power consumption</t>
  </si>
  <si>
    <t>156€/MWh</t>
  </si>
  <si>
    <t>SOURCE</t>
  </si>
  <si>
    <t>Grid Usage fee</t>
  </si>
  <si>
    <t>New legislation, 116€/MWac</t>
  </si>
  <si>
    <t>Balancing costs</t>
  </si>
  <si>
    <t>Balancing cost €/MWh</t>
  </si>
  <si>
    <t>Fees</t>
  </si>
  <si>
    <t>Reporting Data</t>
  </si>
  <si>
    <t>Local Concession</t>
  </si>
  <si>
    <t>Fees for local communities added, according to legislation</t>
  </si>
  <si>
    <t>SCADA (to be included in O&amp;M contract)</t>
  </si>
  <si>
    <t>Alarm/Security (included in Reporting Data)</t>
  </si>
  <si>
    <t>Auditors closing Y1&amp;2</t>
  </si>
  <si>
    <t>Auditors closing &gt;=Y3</t>
  </si>
  <si>
    <t>Accounting closing</t>
  </si>
  <si>
    <t>Legal closing (included in Accounting Closing)</t>
  </si>
  <si>
    <t>Accounting book-keeping (included in Accounting Closing)</t>
  </si>
  <si>
    <t>Bank Fees</t>
  </si>
  <si>
    <t>Agency Fee (included in Bank Fees)</t>
  </si>
  <si>
    <t>Bonds</t>
  </si>
  <si>
    <t>Environmental&amp;Social management</t>
  </si>
  <si>
    <t xml:space="preserve">Mitigation measures </t>
  </si>
  <si>
    <t>Agrinergie</t>
  </si>
  <si>
    <t>Fauna&amp;Flaura Monitoring (Y1&amp;2)</t>
  </si>
  <si>
    <t>E&amp;S monitoring (Y1&amp;2)</t>
  </si>
  <si>
    <t>HSE: Monthly visit + yearly visit + elect/fire/other controls</t>
  </si>
  <si>
    <t>Opex Contingencies</t>
  </si>
  <si>
    <t>Opex Contingency Level %</t>
  </si>
  <si>
    <t>REVENUES SCHEME</t>
  </si>
  <si>
    <t>PPA term</t>
  </si>
  <si>
    <t>PPA price inflation</t>
  </si>
  <si>
    <t>BaseTariff PPA (EUR)</t>
  </si>
  <si>
    <t>CPPA production (% of P50)</t>
  </si>
  <si>
    <t>Equity case revenues</t>
  </si>
  <si>
    <t>Debt sizing revenues curve</t>
  </si>
  <si>
    <t>Cumulated inflation from 2023 to end 2024</t>
  </si>
  <si>
    <t>PPA PRICE</t>
  </si>
  <si>
    <t>PPA Hurdle rate</t>
  </si>
  <si>
    <t>Merchant Hurdle rate</t>
  </si>
  <si>
    <t>Storage lifetime</t>
  </si>
  <si>
    <t>TAX</t>
  </si>
  <si>
    <t>Property Tax</t>
  </si>
  <si>
    <t>Property Land Tax</t>
  </si>
  <si>
    <t>Fee for Concession</t>
  </si>
  <si>
    <t>FINANCING</t>
  </si>
  <si>
    <t>Swap rate</t>
  </si>
  <si>
    <t>Hedge coverage</t>
  </si>
  <si>
    <t>Gearing max</t>
  </si>
  <si>
    <t>DSCR PPA</t>
  </si>
  <si>
    <t>DSCR PV market</t>
  </si>
  <si>
    <t>DSCR Storage market</t>
  </si>
  <si>
    <t>Start of construction</t>
  </si>
  <si>
    <t>Construction duration</t>
  </si>
  <si>
    <t>SHL rate</t>
  </si>
  <si>
    <t>Project Hurdle rate 30y</t>
  </si>
  <si>
    <t>Project Discount Rate 30y</t>
  </si>
  <si>
    <t>Project NPV 30</t>
  </si>
  <si>
    <t>Equity hurdle rate 30y</t>
  </si>
  <si>
    <t>Equity IRR 30y</t>
  </si>
  <si>
    <t>Equity Discount rate 30y</t>
  </si>
  <si>
    <t>Equity NPV 30y</t>
  </si>
  <si>
    <t>LCOE</t>
  </si>
  <si>
    <t>LCOS</t>
  </si>
  <si>
    <t>Total capex</t>
  </si>
  <si>
    <t>Debt/Total capex at FID</t>
  </si>
  <si>
    <t xml:space="preserve">Average Debt/total capex </t>
  </si>
  <si>
    <t>Project NPV / Capex</t>
  </si>
  <si>
    <t>Akuo SHL</t>
  </si>
  <si>
    <t>IRR</t>
  </si>
  <si>
    <t>Capex</t>
  </si>
  <si>
    <t>Increased contingencies by 20%</t>
  </si>
  <si>
    <t>Hurdle Rate</t>
  </si>
  <si>
    <t>Dep.</t>
  </si>
  <si>
    <t>Comments</t>
  </si>
  <si>
    <t>Test</t>
  </si>
  <si>
    <t>Payment Schedule</t>
  </si>
  <si>
    <t>Level</t>
  </si>
  <si>
    <t>Appl.</t>
  </si>
  <si>
    <t>Total Hard CapEx</t>
  </si>
  <si>
    <t>C.01</t>
  </si>
  <si>
    <t>C.01.01</t>
  </si>
  <si>
    <t>PV modules</t>
  </si>
  <si>
    <t>Logistics &amp; Transport for production units (if not included above)</t>
  </si>
  <si>
    <t>C.02</t>
  </si>
  <si>
    <t>C.02.01</t>
  </si>
  <si>
    <t>C.03</t>
  </si>
  <si>
    <t>C.03.01</t>
  </si>
  <si>
    <t>C.03.02</t>
  </si>
  <si>
    <t>C.04</t>
  </si>
  <si>
    <t>C.04.01</t>
  </si>
  <si>
    <t>C.05</t>
  </si>
  <si>
    <t>C.05.01</t>
  </si>
  <si>
    <t>Energy Management System (EMS)</t>
  </si>
  <si>
    <t>Production Unit Capital spare parts</t>
  </si>
  <si>
    <t>Production Unit Flow Parts (Wear and Tears)</t>
  </si>
  <si>
    <t>Electrical Spare parts for BOP</t>
  </si>
  <si>
    <t xml:space="preserve">Mobilisation fees </t>
  </si>
  <si>
    <t>Meteo Station</t>
  </si>
  <si>
    <t>Agrinergy</t>
  </si>
  <si>
    <t>C.05.02</t>
  </si>
  <si>
    <t>Surveillance System for Operation</t>
  </si>
  <si>
    <t>C.05.03</t>
  </si>
  <si>
    <t>C.06</t>
  </si>
  <si>
    <t>C.06.01</t>
  </si>
  <si>
    <t>C.06.02</t>
  </si>
  <si>
    <t>Property damages insurance (DO)</t>
  </si>
  <si>
    <t>Delay in start-up / Anticipated Operating Losses</t>
  </si>
  <si>
    <t>C.06.03</t>
  </si>
  <si>
    <t>C.07</t>
  </si>
  <si>
    <t>C.07.01</t>
  </si>
  <si>
    <t>C.07.02</t>
  </si>
  <si>
    <t>C.08</t>
  </si>
  <si>
    <t>C.08.01</t>
  </si>
  <si>
    <t>C.08.02</t>
  </si>
  <si>
    <t>C.09</t>
  </si>
  <si>
    <t>C.10</t>
  </si>
  <si>
    <t>C.10.01</t>
  </si>
  <si>
    <t>C.10.02</t>
  </si>
  <si>
    <t>C.11</t>
  </si>
  <si>
    <t>C.11.01</t>
  </si>
  <si>
    <t>C.11.02</t>
  </si>
  <si>
    <t>C.11.03</t>
  </si>
  <si>
    <t>C.11.04</t>
  </si>
  <si>
    <t>C.12</t>
  </si>
  <si>
    <t>C.12.01</t>
  </si>
  <si>
    <t>C.12.02</t>
  </si>
  <si>
    <t>C.12.03</t>
  </si>
  <si>
    <t>C.12.04</t>
  </si>
  <si>
    <t>C.13</t>
  </si>
  <si>
    <t>C.14</t>
  </si>
  <si>
    <t>C.14.01</t>
  </si>
  <si>
    <t>Import taxes, Customs clearance costs &amp; Others</t>
  </si>
  <si>
    <t>C.14.02</t>
  </si>
  <si>
    <t>C.15</t>
  </si>
  <si>
    <t xml:space="preserve"> Project Acquisition / Project Development </t>
  </si>
  <si>
    <t>C.16</t>
  </si>
  <si>
    <t>Total Hard CapEx (Incl. Bank Tax)</t>
  </si>
  <si>
    <t>Financing Costs</t>
  </si>
  <si>
    <t>C.17</t>
  </si>
  <si>
    <t>C.17.01</t>
  </si>
  <si>
    <t>Appraisal Fee</t>
  </si>
  <si>
    <t>Structuring Fees</t>
  </si>
  <si>
    <t>Agency Fee</t>
  </si>
  <si>
    <t>C.17.02</t>
  </si>
  <si>
    <t>IDCs &amp; Commitment Fees</t>
  </si>
  <si>
    <t>IDCs LT debt</t>
  </si>
  <si>
    <t>IDCs VAT debt</t>
  </si>
  <si>
    <t>IDCSs Junior Debt</t>
  </si>
  <si>
    <t>Commitment Fees LT debt</t>
  </si>
  <si>
    <t>Commitment Fees VAT debt</t>
  </si>
  <si>
    <t>Commitment Fees Junior Debt</t>
  </si>
  <si>
    <t>C.17.03</t>
  </si>
  <si>
    <t>Equity Arrangement Fees</t>
  </si>
  <si>
    <t>C.17.04</t>
  </si>
  <si>
    <t>Transaction Management Costs</t>
  </si>
  <si>
    <t>C.18</t>
  </si>
  <si>
    <t xml:space="preserve">Reserve Accounts </t>
  </si>
  <si>
    <t>C.18.01</t>
  </si>
  <si>
    <t>C.18.02</t>
  </si>
  <si>
    <t>MMRA</t>
  </si>
  <si>
    <t>C.18.03</t>
  </si>
  <si>
    <t>Working Capital + Cash equivalents</t>
  </si>
  <si>
    <t>TVA Payment Schedule</t>
  </si>
  <si>
    <t>Total VAT</t>
  </si>
  <si>
    <t>Total WTH</t>
  </si>
  <si>
    <t>WTH Payment Schedule</t>
  </si>
  <si>
    <t>Inputs (repeating)</t>
  </si>
  <si>
    <t>PPA Base Tariff</t>
  </si>
  <si>
    <t>P_90-10y Average</t>
  </si>
  <si>
    <t>VAT Tax Rate</t>
  </si>
  <si>
    <t>Total WHT during Construction</t>
  </si>
  <si>
    <t>Taxes during Construction</t>
  </si>
  <si>
    <t>Budget</t>
  </si>
  <si>
    <t>Inflation</t>
  </si>
  <si>
    <t>Price Details</t>
  </si>
  <si>
    <t>B.01</t>
  </si>
  <si>
    <t>B.01.1</t>
  </si>
  <si>
    <t>B.01.2</t>
  </si>
  <si>
    <t>B.01.3</t>
  </si>
  <si>
    <t>B.02</t>
  </si>
  <si>
    <t>B.02.1</t>
  </si>
  <si>
    <t>B.02.2</t>
  </si>
  <si>
    <t>B.02.3</t>
  </si>
  <si>
    <t>B.02.4</t>
  </si>
  <si>
    <t>B.02.5</t>
  </si>
  <si>
    <t>B.02.6</t>
  </si>
  <si>
    <t>B.03</t>
  </si>
  <si>
    <t>B.03.1</t>
  </si>
  <si>
    <t>Clean Site (included in O&amp;M – Preventive &amp; Corrective)</t>
  </si>
  <si>
    <t>B.03.2</t>
  </si>
  <si>
    <t>Repair roads (included in O&amp;M – Preventive &amp; Corrective)</t>
  </si>
  <si>
    <t>B.03.3</t>
  </si>
  <si>
    <t>B.04</t>
  </si>
  <si>
    <t>B.04.1</t>
  </si>
  <si>
    <t>B.04.2</t>
  </si>
  <si>
    <t>B.04.9</t>
  </si>
  <si>
    <t>B.05</t>
  </si>
  <si>
    <t>B.05.1</t>
  </si>
  <si>
    <t>B.05.2</t>
  </si>
  <si>
    <t>B.05.9</t>
  </si>
  <si>
    <t>B.06</t>
  </si>
  <si>
    <t>B.06.1</t>
  </si>
  <si>
    <t>B.06.2</t>
  </si>
  <si>
    <t>B.06.3</t>
  </si>
  <si>
    <t>B.06.4</t>
  </si>
  <si>
    <t>B.06.9</t>
  </si>
  <si>
    <t>Storage Insurance</t>
  </si>
  <si>
    <t>B.07</t>
  </si>
  <si>
    <t>B.07.1</t>
  </si>
  <si>
    <t>Land Leases</t>
  </si>
  <si>
    <t>B.07.4</t>
  </si>
  <si>
    <t>B.08</t>
  </si>
  <si>
    <t>B.08.1</t>
  </si>
  <si>
    <t>B.08.2</t>
  </si>
  <si>
    <t>B.08.3</t>
  </si>
  <si>
    <t>B.08.8</t>
  </si>
  <si>
    <t>Grid usage fee Storage</t>
  </si>
  <si>
    <t>B.09</t>
  </si>
  <si>
    <t xml:space="preserve"> Fees</t>
  </si>
  <si>
    <t>B.09.1</t>
  </si>
  <si>
    <t>B.09.2</t>
  </si>
  <si>
    <t>Local concession fee</t>
  </si>
  <si>
    <t>B.09.3</t>
  </si>
  <si>
    <t>B.09.4</t>
  </si>
  <si>
    <t>B.10</t>
  </si>
  <si>
    <t>B.10.1</t>
  </si>
  <si>
    <t>B.10.2</t>
  </si>
  <si>
    <t>B.10.3</t>
  </si>
  <si>
    <t>B.10.4</t>
  </si>
  <si>
    <t>B.10.5</t>
  </si>
  <si>
    <t>B.10.6</t>
  </si>
  <si>
    <t>B.11</t>
  </si>
  <si>
    <t>B.11.1</t>
  </si>
  <si>
    <t>B.11.2</t>
  </si>
  <si>
    <t>B.11.3</t>
  </si>
  <si>
    <t>B.11.4</t>
  </si>
  <si>
    <t>B.12</t>
  </si>
  <si>
    <t>B.12.1</t>
  </si>
  <si>
    <t>B.12.2</t>
  </si>
  <si>
    <t>B.12.3</t>
  </si>
  <si>
    <t>B.12.5</t>
  </si>
  <si>
    <t>B.12.6</t>
  </si>
  <si>
    <t>B.13</t>
  </si>
  <si>
    <t xml:space="preserve">Contingencies </t>
  </si>
  <si>
    <t>C</t>
  </si>
  <si>
    <t>Claims</t>
  </si>
  <si>
    <t>Attorney</t>
  </si>
  <si>
    <t>Not Applicable</t>
  </si>
  <si>
    <t>Technical advisor linked to the claim</t>
  </si>
  <si>
    <t>Justice Administration fees</t>
  </si>
  <si>
    <t>D</t>
  </si>
  <si>
    <t>Salary and payroll Tax</t>
  </si>
  <si>
    <t>D.01</t>
  </si>
  <si>
    <t>Salaries</t>
  </si>
  <si>
    <t>D.02</t>
  </si>
  <si>
    <t>Social charges</t>
  </si>
  <si>
    <t>D.03</t>
  </si>
  <si>
    <t xml:space="preserve">  Others  </t>
  </si>
  <si>
    <t>E</t>
  </si>
  <si>
    <t>Specific Revenues</t>
  </si>
  <si>
    <t>E.01</t>
  </si>
  <si>
    <t>Connection Repayment</t>
  </si>
  <si>
    <t>E.02</t>
  </si>
  <si>
    <t>Subsidy</t>
  </si>
  <si>
    <t>E.03</t>
  </si>
  <si>
    <t xml:space="preserve">Others  </t>
  </si>
  <si>
    <t>F</t>
  </si>
  <si>
    <t>F.07</t>
  </si>
  <si>
    <t>F.08</t>
  </si>
  <si>
    <t>F.09</t>
  </si>
  <si>
    <t xml:space="preserve">  TOTAL OPEX in BUDGET excl. Contingencies and Claims</t>
  </si>
  <si>
    <t xml:space="preserve">  TOTAL OPEX in BUDGET incl. Contingencies, excl. Claims</t>
  </si>
  <si>
    <t>Debts maturity</t>
  </si>
  <si>
    <t>Operating Revenues</t>
  </si>
  <si>
    <t>BoP</t>
  </si>
  <si>
    <t>EoP</t>
  </si>
  <si>
    <t>Construction Phase</t>
  </si>
  <si>
    <t>Cash Requirements</t>
  </si>
  <si>
    <t>Cumulative</t>
  </si>
  <si>
    <t>Equity Draw Downs (cumulative)</t>
  </si>
  <si>
    <t>Junior Debt Draw Downs (cumulative)</t>
  </si>
  <si>
    <t>Senior Debt Draw Downs (cumulative)</t>
  </si>
  <si>
    <t>Balance check</t>
  </si>
  <si>
    <t>Cost of Funding</t>
  </si>
  <si>
    <t>Interest</t>
  </si>
  <si>
    <t>VAT payable to Supplier</t>
  </si>
  <si>
    <t>VAT collected from Client</t>
  </si>
  <si>
    <t>VAT Repayment</t>
  </si>
  <si>
    <t>VAT Facility Requirement</t>
  </si>
  <si>
    <t>Withholding Tax Breakdown</t>
  </si>
  <si>
    <t xml:space="preserve">Bank fees </t>
  </si>
  <si>
    <t xml:space="preserve">Project </t>
  </si>
  <si>
    <t>Calendar Year</t>
  </si>
  <si>
    <t>Cash Flow</t>
  </si>
  <si>
    <t>PV Module Degradation</t>
  </si>
  <si>
    <t>Grid &amp; Plant Availability</t>
  </si>
  <si>
    <t>Operating Hours</t>
  </si>
  <si>
    <t>Production</t>
  </si>
  <si>
    <t>PPA Sales PV</t>
  </si>
  <si>
    <t>Production to PPA</t>
  </si>
  <si>
    <t>Tariff (indexed)</t>
  </si>
  <si>
    <t>Spot Sales PV</t>
  </si>
  <si>
    <t>Production to Spot</t>
  </si>
  <si>
    <t>Spot Price</t>
  </si>
  <si>
    <t>PPA Sales BESS</t>
  </si>
  <si>
    <t>Spot Sales BESS</t>
  </si>
  <si>
    <t>Senior Debt Refinancing Upfront-Fees</t>
  </si>
  <si>
    <t>Operating Expenses (Aft. Bank Tax)</t>
  </si>
  <si>
    <t>EBITDA Margin</t>
  </si>
  <si>
    <t>OpEx / MW</t>
  </si>
  <si>
    <t>OpEx / MWh</t>
  </si>
  <si>
    <t>Local (various) Taxes</t>
  </si>
  <si>
    <t>Interests from Cash &amp; Reserve Accounts</t>
  </si>
  <si>
    <t>Free Cash Flow for Banks</t>
  </si>
  <si>
    <t>paid in cash</t>
  </si>
  <si>
    <t>paid in DSRA</t>
  </si>
  <si>
    <t>Target</t>
  </si>
  <si>
    <t xml:space="preserve">Beginning </t>
  </si>
  <si>
    <t>Funding</t>
  </si>
  <si>
    <t>Shortfall</t>
  </si>
  <si>
    <t>End</t>
  </si>
  <si>
    <t xml:space="preserve">Free Cash Flow for Junior Debt </t>
  </si>
  <si>
    <t>Junior debt repayment and interests</t>
  </si>
  <si>
    <t>Distribution Account</t>
  </si>
  <si>
    <t>Free Cash Flow for Distribution</t>
  </si>
  <si>
    <t>Distribution Account Balance</t>
  </si>
  <si>
    <t>Free Cash Flow for Shareholder Loan</t>
  </si>
  <si>
    <t>Withholding Tax Shareholder Loan</t>
  </si>
  <si>
    <t>Free Cash Flow for dividends</t>
  </si>
  <si>
    <t>Distributable</t>
  </si>
  <si>
    <t>Net Dividends</t>
  </si>
  <si>
    <t>Gross Dividends</t>
  </si>
  <si>
    <t>Change in cash</t>
  </si>
  <si>
    <t>Average Senior DSCR</t>
  </si>
  <si>
    <t>Average Junior DSCR</t>
  </si>
  <si>
    <t>FCFB Senior</t>
  </si>
  <si>
    <t>FCFB Junior</t>
  </si>
  <si>
    <t>Cash end of the year</t>
  </si>
  <si>
    <t>Negative cash check</t>
  </si>
  <si>
    <t>Constituted</t>
  </si>
  <si>
    <t>N-1</t>
  </si>
  <si>
    <t>Legal reserve</t>
  </si>
  <si>
    <t>Minimum Senior DSCR</t>
  </si>
  <si>
    <t>Minimum Junior DSCR</t>
  </si>
  <si>
    <t>COST</t>
  </si>
  <si>
    <t>SPOT</t>
  </si>
  <si>
    <t>Profit &amp; Loss</t>
  </si>
  <si>
    <t>Total Revenues</t>
  </si>
  <si>
    <t>Local Tax</t>
  </si>
  <si>
    <t>Withholding Tax on Interests</t>
  </si>
  <si>
    <t>Total Expenses</t>
  </si>
  <si>
    <t>EBIT</t>
  </si>
  <si>
    <t>Financing revenues</t>
  </si>
  <si>
    <t>Interests from Reserve Accounts</t>
  </si>
  <si>
    <t>Interests from Cash</t>
  </si>
  <si>
    <t>Financing expenses</t>
  </si>
  <si>
    <t>Senior Interests</t>
  </si>
  <si>
    <t>Senior Refinancing Interest</t>
  </si>
  <si>
    <t>Junior Interest</t>
  </si>
  <si>
    <t>Shareholder Loan Interests</t>
  </si>
  <si>
    <t>Interests on Cash</t>
  </si>
  <si>
    <t>Financial Earnings</t>
  </si>
  <si>
    <t>Earnings before tax</t>
  </si>
  <si>
    <t>Fiscal Reintegration</t>
  </si>
  <si>
    <t>Taxable Income</t>
  </si>
  <si>
    <t>- Losses N-1</t>
  </si>
  <si>
    <t>- Allocated losses</t>
  </si>
  <si>
    <t>- Losses N</t>
  </si>
  <si>
    <t>Carriable losses</t>
  </si>
  <si>
    <t>Taxable Profit N</t>
  </si>
  <si>
    <t>Net Income</t>
  </si>
  <si>
    <t>Retained Earnings</t>
  </si>
  <si>
    <t>Thin Cap Rule</t>
  </si>
  <si>
    <t xml:space="preserve">Non deductible interests SHL </t>
  </si>
  <si>
    <t>Assets</t>
  </si>
  <si>
    <t>Gross Fixed Assets</t>
  </si>
  <si>
    <t>Accumulated Depreciation</t>
  </si>
  <si>
    <t>Liabilities</t>
  </si>
  <si>
    <t>Short term loan</t>
  </si>
  <si>
    <t>Depreciation check</t>
  </si>
  <si>
    <t>Indebtness Ratio</t>
  </si>
  <si>
    <t>Indebtness Cap</t>
  </si>
  <si>
    <t>Test gearing</t>
  </si>
  <si>
    <t>Test negative equity</t>
  </si>
  <si>
    <t>Negative equity ratio</t>
  </si>
  <si>
    <t>Application of Thin capitalisation rules</t>
  </si>
  <si>
    <t>Ratio for thin capitalization compliance</t>
  </si>
  <si>
    <t xml:space="preserve">Thin capitalisation indebtness threshold </t>
  </si>
  <si>
    <t>Depreciation unlevered</t>
  </si>
  <si>
    <t>Cumulated</t>
  </si>
  <si>
    <t>Debt Service</t>
  </si>
  <si>
    <t>Senior Debt Period</t>
  </si>
  <si>
    <t>Contracted revenues PV + BESS</t>
  </si>
  <si>
    <t>Merchant revenues BESS</t>
  </si>
  <si>
    <t>Merchant revenues PV</t>
  </si>
  <si>
    <t>CF for Senior Debt Repayment</t>
  </si>
  <si>
    <t>CF for Junior Debt Repayment</t>
  </si>
  <si>
    <t>Beginning</t>
  </si>
  <si>
    <t>VAT Facility Service</t>
  </si>
  <si>
    <t>Balance</t>
  </si>
  <si>
    <t>Floating Base Rate</t>
  </si>
  <si>
    <t>Fixed Base Rate</t>
  </si>
  <si>
    <t>Blended Base Rate</t>
  </si>
  <si>
    <t>Available CF</t>
  </si>
  <si>
    <t>Max Senior Debt</t>
  </si>
  <si>
    <t>Net Interests</t>
  </si>
  <si>
    <t>Gross Interests</t>
  </si>
  <si>
    <t>Senior Debt Refinancing</t>
  </si>
  <si>
    <t>Max Debt</t>
  </si>
  <si>
    <t>Senior Debt Refinancing Service</t>
  </si>
  <si>
    <t>Max Junior Debt</t>
  </si>
  <si>
    <t>Repayment test</t>
  </si>
  <si>
    <t>Net interest payment</t>
  </si>
  <si>
    <t>Interests to capitalize</t>
  </si>
  <si>
    <t>Debt Service (incl. WHT)</t>
  </si>
  <si>
    <t>Debt Service (excl. WHT)</t>
  </si>
  <si>
    <t>%outstanding principal n-1</t>
  </si>
  <si>
    <t>Overcapitalization check</t>
  </si>
  <si>
    <r>
      <t>Equity</t>
    </r>
    <r>
      <rPr>
        <b/>
        <sz val="8"/>
        <color indexed="9"/>
        <rFont val="Calibri"/>
        <family val="2"/>
        <scheme val="minor"/>
      </rPr>
      <t xml:space="preserve"> Flows</t>
    </r>
  </si>
  <si>
    <r>
      <t xml:space="preserve">Equity </t>
    </r>
    <r>
      <rPr>
        <b/>
        <u/>
        <sz val="8"/>
        <color indexed="9"/>
        <rFont val="Calibri"/>
        <family val="2"/>
        <scheme val="minor"/>
      </rPr>
      <t>Operation</t>
    </r>
    <r>
      <rPr>
        <b/>
        <sz val="8"/>
        <color indexed="9"/>
        <rFont val="Calibri"/>
        <family val="2"/>
        <scheme val="minor"/>
      </rPr>
      <t xml:space="preserve"> Flows</t>
    </r>
  </si>
  <si>
    <t>Shareholder Loan Flows</t>
  </si>
  <si>
    <t>Net Dividend Flows</t>
  </si>
  <si>
    <r>
      <t xml:space="preserve">Equity </t>
    </r>
    <r>
      <rPr>
        <b/>
        <u/>
        <sz val="8"/>
        <color indexed="9"/>
        <rFont val="Calibri"/>
        <family val="2"/>
        <scheme val="minor"/>
      </rPr>
      <t>Distribution</t>
    </r>
    <r>
      <rPr>
        <b/>
        <sz val="8"/>
        <color indexed="9"/>
        <rFont val="Calibri"/>
        <family val="2"/>
        <scheme val="minor"/>
      </rPr>
      <t xml:space="preserve"> Flows</t>
    </r>
  </si>
  <si>
    <t>NPV 30y</t>
  </si>
  <si>
    <t>Equity IRR (P90)</t>
  </si>
  <si>
    <t>Translation check</t>
  </si>
  <si>
    <t>SHL Gross Interest</t>
  </si>
  <si>
    <t>SHL Net Interest</t>
  </si>
  <si>
    <t>NPV</t>
  </si>
  <si>
    <t>SHL Gross Interests</t>
  </si>
  <si>
    <t>SHL Principal</t>
  </si>
  <si>
    <t>SHL Net Interests</t>
  </si>
  <si>
    <t>Net Equity NPV 30y</t>
  </si>
  <si>
    <t>Akuo Group valuation</t>
  </si>
  <si>
    <t>Value</t>
  </si>
  <si>
    <t>Comment</t>
  </si>
  <si>
    <t>Copy-paste file</t>
  </si>
  <si>
    <t>Development internal man hour costs (-)</t>
  </si>
  <si>
    <t>Development team, based on timesheets</t>
  </si>
  <si>
    <t>Construction supervision internal man hour cost (-)</t>
  </si>
  <si>
    <t>S&amp;E team or standard margins</t>
  </si>
  <si>
    <t>Market Services Agreement man hour cost (-)</t>
  </si>
  <si>
    <t>Market team</t>
  </si>
  <si>
    <t>Akuo Energy Solar contract internal man hour costs (-)</t>
  </si>
  <si>
    <t>Akuo Industries internal man hour costs (-)</t>
  </si>
  <si>
    <t>Asset Management contract internal man hour cost (-)</t>
  </si>
  <si>
    <t>AM&amp;O team or standard margins</t>
  </si>
  <si>
    <t>Operations contract man hour cost (-)</t>
  </si>
  <si>
    <t>Maintenance contract internal man hour cost (-)</t>
  </si>
  <si>
    <t>Development Services Agreement contract (+)</t>
  </si>
  <si>
    <t>BP, CapEx tab</t>
  </si>
  <si>
    <t>Construction Supervision Contract (+)</t>
  </si>
  <si>
    <t>Market Services Agreement contract (+)</t>
  </si>
  <si>
    <t>Akuo Energy Solar contract (+)</t>
  </si>
  <si>
    <t>Akuo Industries contract (+)</t>
  </si>
  <si>
    <t>Asset Management contract (+)</t>
  </si>
  <si>
    <t>BP, OpEx tab</t>
  </si>
  <si>
    <t>Operations contract (+)</t>
  </si>
  <si>
    <t>Maintenance contract (+)</t>
  </si>
  <si>
    <t>TOTAL IPP FLOWS</t>
  </si>
  <si>
    <t>100% flows</t>
  </si>
  <si>
    <t>Dividends / share capital</t>
  </si>
  <si>
    <t>TOTAL EQUITY FINANCING FLOWS</t>
  </si>
  <si>
    <t>TOTAL AKUO GROUP FLOWS</t>
  </si>
  <si>
    <t>METRICS</t>
  </si>
  <si>
    <t>Equity financing IRR</t>
  </si>
  <si>
    <t>Based on 100% equity cashflows</t>
  </si>
  <si>
    <t>Equity NPV discount rate</t>
  </si>
  <si>
    <t>Assumptions file</t>
  </si>
  <si>
    <t>Akuo Equity NPV</t>
  </si>
  <si>
    <t>Development SHL</t>
  </si>
  <si>
    <t>Akuo Group gross cash position at closing</t>
  </si>
  <si>
    <t>Gross cash position</t>
  </si>
  <si>
    <t>Akuo Group net cash position at closing</t>
  </si>
  <si>
    <t>Net cash position, with margins only</t>
  </si>
  <si>
    <t>NPV Opex</t>
  </si>
  <si>
    <t>Production P50</t>
  </si>
  <si>
    <t>NPV P50</t>
  </si>
  <si>
    <t>Project Capex</t>
  </si>
  <si>
    <t>LCOE P50</t>
  </si>
  <si>
    <t>PRODUCTION</t>
  </si>
  <si>
    <t>opex</t>
  </si>
  <si>
    <t>Interest expense</t>
  </si>
  <si>
    <t>Model Sizing Construction</t>
  </si>
  <si>
    <t>Interests and Taxes during Construction</t>
  </si>
  <si>
    <t>Input</t>
  </si>
  <si>
    <t>Output</t>
  </si>
  <si>
    <t>Other CapEx</t>
  </si>
  <si>
    <t>Refi FEF</t>
  </si>
  <si>
    <t>SHL principal applicable to Stamp Duty</t>
  </si>
  <si>
    <t>Model Sizing Operation</t>
  </si>
  <si>
    <t>Income tax in base case</t>
  </si>
  <si>
    <t>Income tax in bank case</t>
  </si>
  <si>
    <t>Local Taxes</t>
  </si>
  <si>
    <t>Local taxes in base case</t>
  </si>
  <si>
    <t>Local taxes in bank case</t>
  </si>
  <si>
    <t>Cash Flow for Debt Repayment</t>
  </si>
  <si>
    <t>Model Flags</t>
  </si>
  <si>
    <t>Flags Operation</t>
  </si>
  <si>
    <t>Beginning of Period</t>
  </si>
  <si>
    <t>End of Period</t>
  </si>
  <si>
    <t xml:space="preserve">Period </t>
  </si>
  <si>
    <t>Leap Februar in Annual Period</t>
  </si>
  <si>
    <t>Leap Annual Period</t>
  </si>
  <si>
    <t>Operation Period (incl. Leap)</t>
  </si>
  <si>
    <t>Operation Period (excl. Leap)</t>
  </si>
  <si>
    <t>Depreciation Period</t>
  </si>
  <si>
    <t>Senior Debt Maturity</t>
  </si>
  <si>
    <t>Senior Debt Refinancing Maturity</t>
  </si>
  <si>
    <t>Senior Debt Hedge Maturity</t>
  </si>
  <si>
    <t>First Period of Refinancing</t>
  </si>
  <si>
    <t>Senior Debt Maturity Days (%)</t>
  </si>
  <si>
    <t>Junior Debt Maturity</t>
  </si>
  <si>
    <t>Junior Debt Period</t>
  </si>
  <si>
    <t>Junior Debt Maturity Days (%)</t>
  </si>
  <si>
    <t>Equity Period</t>
  </si>
  <si>
    <t>Equity Operation Flows Period</t>
  </si>
  <si>
    <t>Equity Distribution Flows Period</t>
  </si>
  <si>
    <t>True Tax Maturity</t>
  </si>
  <si>
    <t>Flags Construction</t>
  </si>
  <si>
    <t>Month of Year</t>
  </si>
  <si>
    <t>Month of Construction</t>
  </si>
  <si>
    <t>Construction Period</t>
  </si>
  <si>
    <t>Interest Period</t>
  </si>
  <si>
    <t>Aurora OCT25</t>
  </si>
  <si>
    <t>Tracker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</si>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</sst>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0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(&quot;€&quot;* #,##0_);_(&quot;€&quot;* \(#,##0\);_(&quot;€&quot;* &quot;-&quot;_);_(@_)"/>
    <numFmt numFmtId="168" formatCode="_(&quot;€&quot;* #,##0.00_);_(&quot;€&quot;* \(#,##0.00\);_(&quot;€&quot;* &quot;-&quot;??_);_(@_)"/>
    <numFmt numFmtId="169" formatCode="_-* #,##0.00\ _F_-;\-* #,##0.00\ _F_-;_-* &quot;-&quot;??\ _F_-;_-@_-"/>
    <numFmt numFmtId="170" formatCode="0.0%"/>
    <numFmt numFmtId="171" formatCode="_-* #,##0\ _F_-;\-* #,##0\ _F_-;_-* &quot;-&quot;??\ _F_-;_-@_-"/>
    <numFmt numFmtId="172" formatCode="_-* #,##0.0\ _F_-;\-* #,##0.0\ _F_-;_-* &quot;-&quot;??\ _F_-;_-@_-"/>
    <numFmt numFmtId="173" formatCode="#,##0&quot; k€&quot;"/>
    <numFmt numFmtId="174" formatCode="#,##0;\-#,##0;\-"/>
    <numFmt numFmtId="175" formatCode="#,##0;;\-"/>
    <numFmt numFmtId="176" formatCode="0.00000"/>
    <numFmt numFmtId="177" formatCode="#,##0&quot; months&quot;"/>
    <numFmt numFmtId="178" formatCode="#,##0&quot; years&quot;"/>
    <numFmt numFmtId="179" formatCode="#,##0&quot; hours&quot;"/>
    <numFmt numFmtId="180" formatCode="#,##0.00&quot; Cts/KWh&quot;"/>
    <numFmt numFmtId="181" formatCode="#,##0&quot; bps&quot;"/>
    <numFmt numFmtId="182" formatCode="&quot;M&quot;\ 0"/>
    <numFmt numFmtId="183" formatCode="#,##0&quot; k€/MW&quot;"/>
    <numFmt numFmtId="184" formatCode="&quot;Y&quot;\ 0"/>
    <numFmt numFmtId="185" formatCode="#,##0.0000"/>
    <numFmt numFmtId="186" formatCode="#,##0&quot; k$&quot;"/>
    <numFmt numFmtId="187" formatCode="0.0000%"/>
    <numFmt numFmtId="188" formatCode="#,##0.00&quot; $/MWh&quot;"/>
    <numFmt numFmtId="189" formatCode="#,##0&quot; kt CO2&quot;"/>
    <numFmt numFmtId="190" formatCode="0.000%"/>
    <numFmt numFmtId="191" formatCode="#,##0.00&quot; k€&quot;"/>
    <numFmt numFmtId="192" formatCode="_-* #,##0&quot; h&quot;\ _F_-;\-* #,##0\ _F_-;_-* &quot;-&quot;??\ _F_-;_-@_-"/>
    <numFmt numFmtId="193" formatCode="#,##0&quot; MW&quot;"/>
    <numFmt numFmtId="194" formatCode="0.000"/>
    <numFmt numFmtId="195" formatCode="#,###;\-#,###;\-"/>
    <numFmt numFmtId="196" formatCode="#,##0&quot; k€&quot;;\-#,##0&quot; k€&quot;;\-"/>
    <numFmt numFmtId="197" formatCode="0.00%;\-;"/>
    <numFmt numFmtId="198" formatCode="_-* #,##0\ _€_-;\-* #,##0\ _€_-;_-* &quot;-&quot;??\ _€_-;_-@_-"/>
    <numFmt numFmtId="199" formatCode="0.0"/>
    <numFmt numFmtId="200" formatCode="#,##0&quot; days&quot;"/>
    <numFmt numFmtId="201" formatCode="#,##0.0"/>
    <numFmt numFmtId="202" formatCode="0.0000000"/>
    <numFmt numFmtId="203" formatCode="#,##0.0_ ;\-#,##0.0\ "/>
    <numFmt numFmtId="204" formatCode="#,##0&quot; k$&quot;;\-#,##0&quot; k$&quot;;\-"/>
    <numFmt numFmtId="205" formatCode="#,##0.00&quot; kg/kWh&quot;"/>
    <numFmt numFmtId="206" formatCode="0.0000"/>
    <numFmt numFmtId="207" formatCode="&quot; &gt;= &quot;0&quot; Y&quot;"/>
    <numFmt numFmtId="208" formatCode="#,##0.0&quot; GWh&quot;"/>
    <numFmt numFmtId="209" formatCode="#,##0&quot; h&quot;;\-\ #,##0;\-"/>
    <numFmt numFmtId="210" formatCode="#,##0&quot; bps&quot;;\-\ #,##0&quot; bps&quot;;0&quot; bps&quot;"/>
    <numFmt numFmtId="211" formatCode="#,##0.0&quot; k$&quot;"/>
    <numFmt numFmtId="212" formatCode="[$-409]d\-mmm\-yy;@"/>
    <numFmt numFmtId="213" formatCode="#,##0.000000"/>
    <numFmt numFmtId="214" formatCode="#,##0&quot; k$/WTG&quot;"/>
    <numFmt numFmtId="215" formatCode="&quot;Tail &quot;0&quot;Y&quot;"/>
    <numFmt numFmtId="216" formatCode="#,##0.0000000_ ;\-#,##0.0000000\ "/>
    <numFmt numFmtId="217" formatCode="0.00%;\-;\-"/>
    <numFmt numFmtId="218" formatCode="0.00000%"/>
    <numFmt numFmtId="219" formatCode="0.00&quot; x&quot;"/>
    <numFmt numFmtId="220" formatCode="&quot;C + &quot;0&quot; years&quot;"/>
    <numFmt numFmtId="221" formatCode="#,##0.00_ ;\-#,##0.00\ "/>
    <numFmt numFmtId="222" formatCode="0.0&quot; M$&quot;"/>
    <numFmt numFmtId="223" formatCode="0.0%;;\-"/>
    <numFmt numFmtId="224" formatCode="&quot;Y &quot;0"/>
    <numFmt numFmtId="225" formatCode="0.0&quot; years&quot;"/>
    <numFmt numFmtId="226" formatCode="#,##0.00;\-#,##0.00;\-"/>
    <numFmt numFmtId="227" formatCode="#,###.000;\-#,###.000;\-"/>
    <numFmt numFmtId="228" formatCode="0%&quot; margin&quot;"/>
    <numFmt numFmtId="229" formatCode="_-* #,##0.0\ _€_-;\-* #,##0.0\ _€_-;_-* &quot;-&quot;\ _€_-;_-@_-"/>
    <numFmt numFmtId="230" formatCode="0;;\-"/>
    <numFmt numFmtId="231" formatCode="_-* #,##0\ [$€]_-;\-* #,##0\ [$€]_-;_-* &quot;-&quot;??\ [$€]_-;_-@_-"/>
    <numFmt numFmtId="232" formatCode="0%;;\-"/>
    <numFmt numFmtId="233" formatCode="#,##0.0\ _€"/>
    <numFmt numFmtId="234" formatCode="#,##0.0&quot; years&quot;"/>
    <numFmt numFmtId="235" formatCode="#,##0&quot; k$&quot;;;\-"/>
    <numFmt numFmtId="236" formatCode="&quot;x &quot;0.00"/>
    <numFmt numFmtId="237" formatCode="_-* #,##0.000\ _F_-;\-* #,##0.000\ _F_-;_-* &quot;-&quot;??\ _F_-;_-@_-"/>
    <numFmt numFmtId="238" formatCode="&quot;C + &quot;0.0&quot; years&quot;"/>
    <numFmt numFmtId="239" formatCode="_-* #,##0.00000\ _F_-;\-* #,##0.00000\ _F_-;_-* &quot;-&quot;??\ _F_-;_-@_-"/>
    <numFmt numFmtId="240" formatCode="&quot;x &quot;0.000"/>
    <numFmt numFmtId="241" formatCode="0&quot;Y tail&quot;"/>
    <numFmt numFmtId="242" formatCode="\+0.000;\-0.000;\+0.000"/>
    <numFmt numFmtId="243" formatCode="#,##0.0&quot; €/MWh&quot;;;\-"/>
    <numFmt numFmtId="244" formatCode="#,##0\ &quot;k&quot;[$zł-415]"/>
    <numFmt numFmtId="245" formatCode="0.0%;\-0.0%;\-"/>
    <numFmt numFmtId="246" formatCode="0.00%;;\-"/>
    <numFmt numFmtId="247" formatCode="#,##0&quot; kzł/MW&quot;;;\-"/>
    <numFmt numFmtId="248" formatCode="#,##0&quot; kzł&quot;;\-#,##0&quot; kzł&quot;;\-"/>
    <numFmt numFmtId="249" formatCode="#,##0.0;\-#,##0.0;\-"/>
    <numFmt numFmtId="250" formatCode="#,###.0;\-#,###.0;\-"/>
    <numFmt numFmtId="251" formatCode="_-* #,##0.00\ [$€-803]_-;\-* #,##0.00\ [$€-803]_-;_-* &quot;-&quot;??\ [$€-803]_-;_-@_-"/>
    <numFmt numFmtId="252" formatCode="#,##0.000000000000000_ ;\-#,##0.000000000000000\ "/>
    <numFmt numFmtId="253" formatCode="_-* #,##0.0000\ [$€]_-;\-* #,##0.0000\ [$€]_-;_-* &quot;-&quot;??\ [$€]_-;_-@_-"/>
    <numFmt numFmtId="254" formatCode="#,##0&quot; k$/MW&quot;"/>
    <numFmt numFmtId="255" formatCode="#,##0;\-\ #,##0;\-"/>
    <numFmt numFmtId="256" formatCode="#,##0&quot; k/MW&quot;"/>
    <numFmt numFmtId="257" formatCode="#,##0;\-#\ ##0;\-"/>
    <numFmt numFmtId="258" formatCode="#,##0&quot; k/MW&quot;;\-;\-"/>
    <numFmt numFmtId="259" formatCode="_-* #,##0.00000\ [$€]_-;\-* #,##0.00000\ [$€]_-;_-* &quot;-&quot;??\ [$€]_-;_-@_-"/>
    <numFmt numFmtId="260" formatCode="_-* #,##0.0\ [$€]_-;\-* #,##0.0\ [$€]_-;_-* &quot;-&quot;??\ [$€]_-;_-@_-"/>
    <numFmt numFmtId="261" formatCode="_-* #,##0.000\ [$€]_-;\-* #,##0.000\ [$€]_-;_-* &quot;-&quot;??\ [$€]_-;_-@_-"/>
    <numFmt numFmtId="262" formatCode="&quot;Y&quot;0"/>
    <numFmt numFmtId="263" formatCode="0.00%;\-0.00%;\-"/>
    <numFmt numFmtId="264" formatCode="0&quot; GWh&quot;"/>
    <numFmt numFmtId="265" formatCode="#,##0.00&quot; MW&quot;"/>
    <numFmt numFmtId="266" formatCode="#,##0.00&quot; k/MW&quot;;\-;\-"/>
    <numFmt numFmtId="267" formatCode="0.00\x"/>
    <numFmt numFmtId="268" formatCode="&quot;End of year &quot;0"/>
    <numFmt numFmtId="269" formatCode="0.00&quot; GWh&quot;"/>
    <numFmt numFmtId="270" formatCode="&quot;P &quot;##0"/>
    <numFmt numFmtId="271" formatCode="##0%;;\-"/>
    <numFmt numFmtId="272" formatCode="#0.0%;;\-"/>
    <numFmt numFmtId="273" formatCode="#,###,##0;;\-"/>
    <numFmt numFmtId="274" formatCode="###,##0;;\-"/>
    <numFmt numFmtId="275" formatCode="#,##0.000;\-#,##0.000;\-"/>
    <numFmt numFmtId="276" formatCode="##0&quot; days&quot;"/>
    <numFmt numFmtId="277" formatCode="&quot;Period &quot;##0"/>
    <numFmt numFmtId="278" formatCode="###,##0;\-###,##0;\-"/>
    <numFmt numFmtId="279" formatCode="###,##0&quot; GWh&quot;;;\-"/>
    <numFmt numFmtId="280" formatCode="#,##0&quot; MWh&quot;"/>
    <numFmt numFmtId="281" formatCode="##0"/>
    <numFmt numFmtId="282" formatCode="##0.0%;;\-"/>
    <numFmt numFmtId="283" formatCode="##0.00%;;\-"/>
    <numFmt numFmtId="284" formatCode="#,##0.00&quot; €/MWh&quot;;;\-"/>
    <numFmt numFmtId="285" formatCode="#,##0.00&quot; €/MWh&quot;"/>
    <numFmt numFmtId="286" formatCode="#,##0.00&quot; €/GWh&quot;"/>
    <numFmt numFmtId="287" formatCode="#,##0&quot; k€/WTG&quot;"/>
    <numFmt numFmtId="288" formatCode="#,##0.00&quot; K€/MW&quot;"/>
    <numFmt numFmtId="289" formatCode="_-* #,##0.0000000000\ [$€]_-;\-* #,##0.0000000000\ [$€]_-;_-* &quot;-&quot;??\ [$€]_-;_-@_-"/>
    <numFmt numFmtId="290" formatCode="_-* #,##0.00\ [$€]_-;\-* #,##0.00\ [$€]_-;_-* &quot;-&quot;??\ [$€]_-;_-@_-"/>
    <numFmt numFmtId="291" formatCode="#,##0&quot;&quot;\ \k&quot;€&quot;"/>
    <numFmt numFmtId="292" formatCode="0\x;\-0\x;\-"/>
    <numFmt numFmtId="293" formatCode="#,##0&quot; h&quot;"/>
    <numFmt numFmtId="294" formatCode="#,##0.0000;\-#,##0.0000;\-"/>
    <numFmt numFmtId="295" formatCode="##0.000%;;\-"/>
    <numFmt numFmtId="296" formatCode="[$-40C]mmm\-yy;@"/>
    <numFmt numFmtId="297" formatCode="#,##0_ ;\-#,##0\ "/>
    <numFmt numFmtId="298" formatCode="_-* #,##0.000000\ [$€]_-;\-* #,##0.000000\ [$€]_-;_-* &quot;-&quot;??\ [$€]_-;_-@_-"/>
    <numFmt numFmtId="299" formatCode="0.0000000000%"/>
    <numFmt numFmtId="300" formatCode="0.000000%"/>
    <numFmt numFmtId="301" formatCode="0.000&quot; h&quot;"/>
    <numFmt numFmtId="302" formatCode="###,##0&quot; h&quot;;;\-"/>
    <numFmt numFmtId="303" formatCode="0%;\-0%;\-"/>
    <numFmt numFmtId="304" formatCode="#,##0.00&quot; MWp&quot;"/>
    <numFmt numFmtId="305" formatCode="#,##0.0&quot; MW&quot;"/>
    <numFmt numFmtId="306" formatCode="#,##0.0&quot; k€/y&quot;"/>
    <numFmt numFmtId="307" formatCode="#,##0&quot; k€/y&quot;"/>
    <numFmt numFmtId="308" formatCode="#,##0.0&quot; €/MWh&quot;"/>
    <numFmt numFmtId="309" formatCode="#,##0&quot; €/MWh&quot;"/>
    <numFmt numFmtId="310" formatCode="#,##0&quot; PLN&quot;"/>
    <numFmt numFmtId="311" formatCode="#,##0.0&quot; k/MW&quot;;\-;\-"/>
    <numFmt numFmtId="312" formatCode="#,##0.00&quot; c€/Wp&quot;"/>
    <numFmt numFmtId="313" formatCode="#,##0&quot; k/MWp&quot;"/>
    <numFmt numFmtId="314" formatCode="#,##0.00&quot; MWac&quot;"/>
    <numFmt numFmtId="315" formatCode="#,##0&quot; k/MWp&quot;;\-;\-"/>
    <numFmt numFmtId="316" formatCode="#,##0.0&quot; k/MWp&quot;;\-;\-"/>
    <numFmt numFmtId="317" formatCode="#,##0.0&quot; k€/MW/y&quot;"/>
    <numFmt numFmtId="318" formatCode="#,##0&quot; k/MW/y&quot;;\-;\-"/>
    <numFmt numFmtId="319" formatCode="#,##0.0&quot; k/MW/y&quot;;\-;\-"/>
    <numFmt numFmtId="320" formatCode="#,##0&quot; k€/ha/y&quot;"/>
    <numFmt numFmtId="321" formatCode="#,##0.0&quot; k/MW&quot;"/>
    <numFmt numFmtId="322" formatCode="#,##0.0&quot; k€&quot;"/>
    <numFmt numFmtId="323" formatCode="#,##0.0&quot;&quot;"/>
    <numFmt numFmtId="324" formatCode="#,##0.0&quot; MWh&quot;"/>
    <numFmt numFmtId="325" formatCode="#,##0.0&quot; €/MW&quot;"/>
    <numFmt numFmtId="326" formatCode="#,##0&quot; €/MW&quot;"/>
    <numFmt numFmtId="327" formatCode="0_ ;\-0\ "/>
    <numFmt numFmtId="328" formatCode="&quot;[&quot;0%&quot;]&quot;"/>
    <numFmt numFmtId="329" formatCode="_-* #,##0\ _€_-;\-* #,##0\ _€_-;_-* &quot;-&quot;\ _€_-;_-@_-"/>
    <numFmt numFmtId="330" formatCode="#,##0\ &quot;€&quot;"/>
    <numFmt numFmtId="331" formatCode="_ * #,##0.00_)\ [$€-1]_ ;_ * \(#,##0.00\)\ [$€-1]_ ;_ * &quot;-&quot;??_)\ [$€-1]_ ;_ @_ "/>
    <numFmt numFmtId="332" formatCode="0.00_);\(0.00\)"/>
  </numFmts>
  <fonts count="145"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8"/>
      <color theme="3"/>
      <name val="Cambria"/>
      <family val="2"/>
      <scheme val="major"/>
    </font>
    <font>
      <u/>
      <sz val="11"/>
      <color theme="10"/>
      <name val="Calibri"/>
      <family val="2"/>
    </font>
    <font>
      <sz val="10"/>
      <name val="ITC Officina Sans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name val="Arial"/>
      <family val="2"/>
    </font>
    <font>
      <i/>
      <sz val="8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8"/>
      <color theme="0"/>
      <name val="Calibri"/>
      <family val="2"/>
    </font>
    <font>
      <sz val="8"/>
      <color indexed="9"/>
      <name val="Calibri"/>
      <family val="2"/>
      <scheme val="minor"/>
    </font>
    <font>
      <sz val="8"/>
      <color rgb="FFFF0000"/>
      <name val="Calibri"/>
      <family val="2"/>
    </font>
    <font>
      <u/>
      <sz val="8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i/>
      <u/>
      <sz val="8"/>
      <name val="Calibri"/>
      <family val="2"/>
    </font>
    <font>
      <sz val="8"/>
      <name val="Calibri"/>
      <family val="2"/>
    </font>
    <font>
      <sz val="8"/>
      <color rgb="FFFF0000"/>
      <name val="Arial"/>
      <family val="2"/>
    </font>
    <font>
      <b/>
      <i/>
      <sz val="8"/>
      <color indexed="9"/>
      <name val="Calibri"/>
      <family val="2"/>
      <scheme val="minor"/>
    </font>
    <font>
      <sz val="8"/>
      <color rgb="FF00B050"/>
      <name val="Calibri"/>
      <family val="2"/>
      <scheme val="minor"/>
    </font>
    <font>
      <i/>
      <sz val="8"/>
      <color rgb="FF00B050"/>
      <name val="Calibri"/>
      <family val="2"/>
      <scheme val="minor"/>
    </font>
    <font>
      <b/>
      <sz val="8"/>
      <color indexed="9"/>
      <name val="Calibri"/>
      <family val="2"/>
      <scheme val="minor"/>
    </font>
    <font>
      <b/>
      <i/>
      <sz val="8"/>
      <name val="Calibri"/>
      <family val="2"/>
      <scheme val="minor"/>
    </font>
    <font>
      <u/>
      <sz val="8"/>
      <color theme="10"/>
      <name val="Calibri"/>
      <family val="2"/>
    </font>
    <font>
      <b/>
      <i/>
      <sz val="8"/>
      <color indexed="8"/>
      <name val="Calibri"/>
      <family val="2"/>
      <scheme val="minor"/>
    </font>
    <font>
      <b/>
      <sz val="8"/>
      <color indexed="63"/>
      <name val="Calibri"/>
      <family val="2"/>
      <scheme val="minor"/>
    </font>
    <font>
      <b/>
      <u/>
      <sz val="8"/>
      <color indexed="9"/>
      <name val="Calibri"/>
      <family val="2"/>
      <scheme val="minor"/>
    </font>
    <font>
      <b/>
      <sz val="8"/>
      <color rgb="FFFF0000"/>
      <name val="Calibri"/>
      <family val="2"/>
    </font>
    <font>
      <sz val="8"/>
      <color rgb="FF0070C0"/>
      <name val="Calibri"/>
      <family val="2"/>
      <scheme val="minor"/>
    </font>
    <font>
      <i/>
      <sz val="8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u/>
      <sz val="8"/>
      <color rgb="FF0070C0"/>
      <name val="Calibri"/>
      <family val="2"/>
      <scheme val="minor"/>
    </font>
    <font>
      <sz val="8"/>
      <color theme="4"/>
      <name val="Calibri"/>
      <family val="2"/>
      <scheme val="minor"/>
    </font>
    <font>
      <b/>
      <sz val="8"/>
      <color theme="4"/>
      <name val="Calibri"/>
      <family val="2"/>
      <scheme val="minor"/>
    </font>
    <font>
      <b/>
      <sz val="8"/>
      <name val="Calibri"/>
      <family val="2"/>
    </font>
    <font>
      <sz val="8"/>
      <color theme="1" tint="0.14999847407452621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u/>
      <sz val="9"/>
      <color theme="10"/>
      <name val="Calibri"/>
      <family val="2"/>
    </font>
    <font>
      <i/>
      <sz val="8"/>
      <color theme="0"/>
      <name val="Calibri"/>
      <family val="2"/>
    </font>
    <font>
      <i/>
      <sz val="8"/>
      <name val="Calibri"/>
      <family val="2"/>
    </font>
    <font>
      <sz val="8"/>
      <color indexed="63"/>
      <name val="Calibri"/>
      <family val="2"/>
      <scheme val="minor"/>
    </font>
    <font>
      <sz val="8"/>
      <color rgb="FF0070C0"/>
      <name val="Calibri"/>
      <family val="2"/>
    </font>
    <font>
      <i/>
      <sz val="8"/>
      <color theme="4"/>
      <name val="Calibri"/>
      <family val="2"/>
      <scheme val="minor"/>
    </font>
    <font>
      <i/>
      <sz val="8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70C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8"/>
      <color rgb="FFC00000"/>
      <name val="Calibri"/>
      <family val="2"/>
      <scheme val="minor"/>
    </font>
    <font>
      <i/>
      <sz val="8"/>
      <color theme="9"/>
      <name val="Calibri"/>
      <family val="2"/>
      <scheme val="minor"/>
    </font>
    <font>
      <b/>
      <sz val="8"/>
      <color theme="9"/>
      <name val="Calibri"/>
      <family val="2"/>
      <scheme val="minor"/>
    </font>
    <font>
      <sz val="11"/>
      <color rgb="FFFF0000"/>
      <name val="Calibri"/>
      <family val="2"/>
    </font>
    <font>
      <sz val="8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name val="Calibri"/>
      <family val="2"/>
    </font>
    <font>
      <i/>
      <sz val="8"/>
      <color theme="1" tint="0.499984740745262"/>
      <name val="Calibri"/>
      <family val="2"/>
    </font>
    <font>
      <b/>
      <i/>
      <sz val="8"/>
      <color theme="1" tint="0.499984740745262"/>
      <name val="Calibri"/>
      <family val="2"/>
    </font>
    <font>
      <sz val="9"/>
      <name val="Calibri"/>
      <family val="2"/>
    </font>
    <font>
      <sz val="9"/>
      <color theme="0"/>
      <name val="Calibri"/>
      <family val="2"/>
    </font>
    <font>
      <b/>
      <sz val="9"/>
      <color theme="0"/>
      <name val="Arial"/>
      <family val="2"/>
    </font>
    <font>
      <sz val="9"/>
      <color rgb="FFFF0000"/>
      <name val="Calibri"/>
      <family val="2"/>
    </font>
    <font>
      <b/>
      <i/>
      <sz val="9"/>
      <color theme="0"/>
      <name val="Calibri"/>
      <family val="2"/>
    </font>
    <font>
      <b/>
      <sz val="9"/>
      <color theme="0"/>
      <name val="Calibri"/>
      <family val="2"/>
      <scheme val="minor"/>
    </font>
    <font>
      <b/>
      <sz val="9"/>
      <name val="Calibri"/>
      <family val="2"/>
    </font>
    <font>
      <b/>
      <sz val="8"/>
      <color theme="0"/>
      <name val="Calibri"/>
      <family val="2"/>
    </font>
    <font>
      <sz val="8"/>
      <color theme="0" tint="-0.34998626667073579"/>
      <name val="Century Gothic"/>
      <family val="2"/>
    </font>
    <font>
      <b/>
      <sz val="9"/>
      <color theme="0"/>
      <name val="Calibri"/>
      <family val="2"/>
    </font>
    <font>
      <b/>
      <sz val="8"/>
      <color theme="0" tint="-0.34998626667073579"/>
      <name val="Century Gothic"/>
      <family val="2"/>
      <charset val="238"/>
    </font>
    <font>
      <b/>
      <sz val="8"/>
      <color theme="0"/>
      <name val="Calibri"/>
      <family val="2"/>
      <charset val="238"/>
    </font>
    <font>
      <b/>
      <sz val="8"/>
      <name val="Calibri"/>
      <family val="2"/>
      <charset val="238"/>
    </font>
    <font>
      <b/>
      <i/>
      <sz val="8"/>
      <color theme="1" tint="0.499984740745262"/>
      <name val="Calibri"/>
      <family val="2"/>
      <charset val="238"/>
    </font>
    <font>
      <b/>
      <sz val="8"/>
      <color theme="1"/>
      <name val="Calibri"/>
      <family val="2"/>
      <charset val="238"/>
      <scheme val="minor"/>
    </font>
    <font>
      <b/>
      <sz val="8"/>
      <color rgb="FFFF0000"/>
      <name val="Calibri"/>
      <family val="2"/>
      <charset val="238"/>
    </font>
    <font>
      <b/>
      <i/>
      <sz val="8"/>
      <name val="Calibri"/>
      <family val="2"/>
    </font>
    <font>
      <b/>
      <sz val="10"/>
      <color theme="0"/>
      <name val="Arial"/>
      <family val="2"/>
    </font>
    <font>
      <b/>
      <sz val="8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b/>
      <i/>
      <u val="singleAccounting"/>
      <sz val="8"/>
      <color theme="1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b/>
      <sz val="9"/>
      <color rgb="FFFF0000"/>
      <name val="Calibri"/>
      <family val="2"/>
    </font>
    <font>
      <sz val="9"/>
      <name val="Segoe UI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 tint="0.14999847407452621"/>
      <name val="Calibri"/>
      <family val="2"/>
    </font>
    <font>
      <b/>
      <sz val="10"/>
      <color theme="1" tint="0.14999847407452621"/>
      <name val="Calibri"/>
      <family val="2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  <scheme val="minor"/>
    </font>
    <font>
      <sz val="10"/>
      <color rgb="FF3C3C3B"/>
      <name val="Arial"/>
      <family val="2"/>
    </font>
    <font>
      <b/>
      <sz val="10"/>
      <color rgb="FF00B050"/>
      <name val="Calibri"/>
      <family val="2"/>
    </font>
  </fonts>
  <fills count="7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3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gray125">
        <bgColor theme="3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249977111117893"/>
        <bgColor theme="4"/>
      </patternFill>
    </fill>
    <fill>
      <patternFill patternType="solid">
        <fgColor theme="9" tint="-0.499984740745262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theme="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3" tint="0.499984740745262"/>
        <bgColor theme="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0" tint="-0.249977111117893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5">
    <xf numFmtId="231" fontId="0" fillId="0" borderId="0"/>
    <xf numFmtId="16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231" fontId="14" fillId="23" borderId="16" applyNumberFormat="0" applyAlignment="0" applyProtection="0"/>
    <xf numFmtId="231" fontId="21" fillId="0" borderId="21" applyNumberFormat="0" applyFill="0" applyAlignment="0" applyProtection="0"/>
    <xf numFmtId="231" fontId="24" fillId="0" borderId="0" applyNumberFormat="0" applyFill="0" applyBorder="0" applyAlignment="0" applyProtection="0"/>
    <xf numFmtId="231" fontId="26" fillId="27" borderId="22" applyNumberFormat="0" applyFont="0" applyAlignment="0" applyProtection="0"/>
    <xf numFmtId="231" fontId="11" fillId="10" borderId="0" applyNumberFormat="0" applyBorder="0" applyAlignment="0" applyProtection="0"/>
    <xf numFmtId="231" fontId="12" fillId="16" borderId="0" applyNumberFormat="0" applyBorder="0" applyAlignment="0" applyProtection="0"/>
    <xf numFmtId="231" fontId="11" fillId="5" borderId="0" applyNumberFormat="0" applyBorder="0" applyAlignment="0" applyProtection="0"/>
    <xf numFmtId="231" fontId="11" fillId="11" borderId="0" applyNumberFormat="0" applyBorder="0" applyAlignment="0" applyProtection="0"/>
    <xf numFmtId="231" fontId="12" fillId="17" borderId="0" applyNumberFormat="0" applyBorder="0" applyAlignment="0" applyProtection="0"/>
    <xf numFmtId="231" fontId="11" fillId="6" borderId="0" applyNumberFormat="0" applyBorder="0" applyAlignment="0" applyProtection="0"/>
    <xf numFmtId="231" fontId="11" fillId="12" borderId="0" applyNumberFormat="0" applyBorder="0" applyAlignment="0" applyProtection="0"/>
    <xf numFmtId="231" fontId="12" fillId="18" borderId="0" applyNumberFormat="0" applyBorder="0" applyAlignment="0" applyProtection="0"/>
    <xf numFmtId="231" fontId="11" fillId="7" borderId="0" applyNumberFormat="0" applyBorder="0" applyAlignment="0" applyProtection="0"/>
    <xf numFmtId="231" fontId="11" fillId="13" borderId="0" applyNumberFormat="0" applyBorder="0" applyAlignment="0" applyProtection="0"/>
    <xf numFmtId="231" fontId="12" fillId="19" borderId="0" applyNumberFormat="0" applyBorder="0" applyAlignment="0" applyProtection="0"/>
    <xf numFmtId="231" fontId="11" fillId="8" borderId="0" applyNumberFormat="0" applyBorder="0" applyAlignment="0" applyProtection="0"/>
    <xf numFmtId="231" fontId="11" fillId="14" borderId="0" applyNumberFormat="0" applyBorder="0" applyAlignment="0" applyProtection="0"/>
    <xf numFmtId="231" fontId="12" fillId="20" borderId="0" applyNumberFormat="0" applyBorder="0" applyAlignment="0" applyProtection="0"/>
    <xf numFmtId="231" fontId="11" fillId="9" borderId="0" applyNumberFormat="0" applyBorder="0" applyAlignment="0" applyProtection="0"/>
    <xf numFmtId="231" fontId="11" fillId="15" borderId="0" applyNumberFormat="0" applyBorder="0" applyAlignment="0" applyProtection="0"/>
    <xf numFmtId="231" fontId="12" fillId="21" borderId="0" applyNumberFormat="0" applyBorder="0" applyAlignment="0" applyProtection="0"/>
    <xf numFmtId="231" fontId="28" fillId="0" borderId="0" applyNumberFormat="0" applyFill="0" applyBorder="0" applyAlignment="0" applyProtection="0"/>
    <xf numFmtId="164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0" fillId="0" borderId="0" applyNumberFormat="0" applyFill="0" applyBorder="0" applyAlignment="0" applyProtection="0"/>
    <xf numFmtId="0" fontId="17" fillId="25" borderId="0" applyNumberFormat="0" applyBorder="0" applyAlignment="0" applyProtection="0"/>
    <xf numFmtId="0" fontId="13" fillId="22" borderId="0" applyNumberFormat="0" applyBorder="0" applyAlignment="0" applyProtection="0"/>
    <xf numFmtId="0" fontId="22" fillId="26" borderId="0" applyNumberFormat="0" applyBorder="0" applyAlignment="0" applyProtection="0"/>
    <xf numFmtId="0" fontId="27" fillId="32" borderId="16" applyNumberFormat="0" applyAlignment="0" applyProtection="0"/>
    <xf numFmtId="0" fontId="23" fillId="23" borderId="23" applyNumberFormat="0" applyAlignment="0" applyProtection="0"/>
    <xf numFmtId="0" fontId="15" fillId="24" borderId="17" applyNumberFormat="0" applyAlignment="0" applyProtection="0"/>
    <xf numFmtId="0" fontId="16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9" fillId="4" borderId="0" applyNumberFormat="0" applyBorder="0" applyAlignment="0" applyProtection="0"/>
    <xf numFmtId="231" fontId="34" fillId="0" borderId="0" applyNumberFormat="0" applyFill="0" applyBorder="0" applyAlignment="0" applyProtection="0"/>
    <xf numFmtId="174" fontId="30" fillId="43" borderId="0">
      <alignment horizontal="center"/>
      <protection hidden="1"/>
    </xf>
    <xf numFmtId="0" fontId="15" fillId="42" borderId="0">
      <protection hidden="1"/>
    </xf>
    <xf numFmtId="0" fontId="25" fillId="1" borderId="0">
      <alignment horizontal="center"/>
      <protection hidden="1"/>
    </xf>
    <xf numFmtId="174" fontId="25" fillId="0" borderId="0">
      <alignment horizontal="center"/>
      <protection hidden="1"/>
    </xf>
    <xf numFmtId="245" fontId="25" fillId="0" borderId="0">
      <alignment horizontal="center"/>
      <protection hidden="1"/>
    </xf>
    <xf numFmtId="231" fontId="34" fillId="0" borderId="0" applyNumberFormat="0" applyFill="0" applyBorder="0" applyAlignment="0" applyProtection="0"/>
    <xf numFmtId="165" fontId="35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70" fillId="0" borderId="0">
      <alignment horizontal="center"/>
      <protection hidden="1"/>
    </xf>
    <xf numFmtId="231" fontId="36" fillId="0" borderId="0"/>
    <xf numFmtId="169" fontId="10" fillId="0" borderId="0" applyFont="0" applyFill="0" applyBorder="0" applyAlignment="0" applyProtection="0"/>
    <xf numFmtId="231" fontId="10" fillId="0" borderId="0"/>
    <xf numFmtId="231" fontId="10" fillId="0" borderId="0"/>
    <xf numFmtId="9" fontId="36" fillId="0" borderId="0" applyFont="0" applyFill="0" applyBorder="0" applyAlignment="0" applyProtection="0"/>
    <xf numFmtId="0" fontId="8" fillId="0" borderId="0"/>
    <xf numFmtId="0" fontId="7" fillId="0" borderId="0"/>
    <xf numFmtId="231" fontId="10" fillId="0" borderId="0"/>
    <xf numFmtId="231" fontId="10" fillId="0" borderId="0"/>
    <xf numFmtId="231" fontId="10" fillId="0" borderId="0"/>
    <xf numFmtId="231" fontId="10" fillId="0" borderId="0"/>
    <xf numFmtId="169" fontId="10" fillId="0" borderId="0" applyFont="0" applyFill="0" applyBorder="0" applyAlignment="0" applyProtection="0"/>
    <xf numFmtId="28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231" fontId="10" fillId="0" borderId="0"/>
    <xf numFmtId="16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6" fillId="0" borderId="0"/>
    <xf numFmtId="0" fontId="6" fillId="0" borderId="0"/>
    <xf numFmtId="289" fontId="34" fillId="0" borderId="0" applyNumberFormat="0" applyFill="0" applyBorder="0" applyAlignment="0" applyProtection="0"/>
    <xf numFmtId="289" fontId="92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166" fontId="35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88" fontId="10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4" fillId="0" borderId="0"/>
    <xf numFmtId="0" fontId="36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2" fillId="0" borderId="0"/>
  </cellStyleXfs>
  <cellXfs count="1981">
    <xf numFmtId="231" fontId="0" fillId="0" borderId="0" xfId="0"/>
    <xf numFmtId="231" fontId="31" fillId="0" borderId="0" xfId="0" applyFont="1"/>
    <xf numFmtId="171" fontId="38" fillId="2" borderId="0" xfId="0" applyNumberFormat="1" applyFont="1" applyFill="1" applyAlignment="1">
      <alignment horizontal="center"/>
    </xf>
    <xf numFmtId="171" fontId="31" fillId="2" borderId="0" xfId="0" applyNumberFormat="1" applyFont="1" applyFill="1"/>
    <xf numFmtId="231" fontId="31" fillId="2" borderId="0" xfId="0" applyFont="1" applyFill="1"/>
    <xf numFmtId="0" fontId="39" fillId="42" borderId="0" xfId="50" applyFont="1">
      <protection hidden="1"/>
    </xf>
    <xf numFmtId="171" fontId="31" fillId="0" borderId="0" xfId="0" applyNumberFormat="1" applyFont="1"/>
    <xf numFmtId="171" fontId="38" fillId="0" borderId="0" xfId="0" applyNumberFormat="1" applyFont="1" applyAlignment="1">
      <alignment horizontal="center"/>
    </xf>
    <xf numFmtId="177" fontId="31" fillId="0" borderId="0" xfId="0" applyNumberFormat="1" applyFont="1" applyAlignment="1">
      <alignment horizontal="center" vertical="center"/>
    </xf>
    <xf numFmtId="212" fontId="31" fillId="0" borderId="0" xfId="0" applyNumberFormat="1" applyFont="1" applyAlignment="1">
      <alignment horizontal="center"/>
    </xf>
    <xf numFmtId="212" fontId="31" fillId="0" borderId="0" xfId="0" applyNumberFormat="1" applyFont="1" applyAlignment="1">
      <alignment horizontal="center" vertical="center"/>
    </xf>
    <xf numFmtId="231" fontId="37" fillId="0" borderId="0" xfId="0" applyFont="1" applyAlignment="1">
      <alignment horizontal="left"/>
    </xf>
    <xf numFmtId="171" fontId="40" fillId="0" borderId="0" xfId="0" applyNumberFormat="1" applyFont="1" applyAlignment="1" applyProtection="1">
      <alignment horizontal="left"/>
      <protection locked="0"/>
    </xf>
    <xf numFmtId="0" fontId="31" fillId="2" borderId="0" xfId="0" applyNumberFormat="1" applyFont="1" applyFill="1" applyAlignment="1">
      <alignment horizontal="center"/>
    </xf>
    <xf numFmtId="171" fontId="41" fillId="31" borderId="0" xfId="0" applyNumberFormat="1" applyFont="1" applyFill="1" applyAlignment="1" applyProtection="1">
      <alignment horizontal="center"/>
      <protection locked="0"/>
    </xf>
    <xf numFmtId="178" fontId="31" fillId="31" borderId="0" xfId="0" applyNumberFormat="1" applyFont="1" applyFill="1" applyAlignment="1" applyProtection="1">
      <alignment horizontal="center" vertical="center"/>
      <protection locked="0"/>
    </xf>
    <xf numFmtId="177" fontId="38" fillId="0" borderId="0" xfId="0" applyNumberFormat="1" applyFont="1" applyAlignment="1">
      <alignment horizontal="center" vertical="center"/>
    </xf>
    <xf numFmtId="186" fontId="40" fillId="0" borderId="0" xfId="0" applyNumberFormat="1" applyFont="1" applyAlignment="1" applyProtection="1">
      <alignment horizontal="center" vertical="center"/>
      <protection locked="0"/>
    </xf>
    <xf numFmtId="231" fontId="31" fillId="0" borderId="0" xfId="0" applyFont="1" applyAlignment="1">
      <alignment horizontal="center" vertical="center"/>
    </xf>
    <xf numFmtId="186" fontId="40" fillId="28" borderId="0" xfId="0" applyNumberFormat="1" applyFont="1" applyFill="1" applyAlignment="1" applyProtection="1">
      <alignment horizontal="center" vertical="center"/>
      <protection locked="0"/>
    </xf>
    <xf numFmtId="182" fontId="42" fillId="0" borderId="4" xfId="0" applyNumberFormat="1" applyFont="1" applyBorder="1" applyAlignment="1">
      <alignment horizontal="center"/>
    </xf>
    <xf numFmtId="171" fontId="42" fillId="28" borderId="9" xfId="0" applyNumberFormat="1" applyFont="1" applyFill="1" applyBorder="1"/>
    <xf numFmtId="171" fontId="42" fillId="28" borderId="2" xfId="0" applyNumberFormat="1" applyFont="1" applyFill="1" applyBorder="1" applyProtection="1">
      <protection locked="0"/>
    </xf>
    <xf numFmtId="174" fontId="40" fillId="0" borderId="3" xfId="0" applyNumberFormat="1" applyFont="1" applyBorder="1" applyAlignment="1">
      <alignment horizontal="center"/>
    </xf>
    <xf numFmtId="231" fontId="31" fillId="28" borderId="0" xfId="0" applyFont="1" applyFill="1"/>
    <xf numFmtId="171" fontId="42" fillId="28" borderId="7" xfId="0" applyNumberFormat="1" applyFont="1" applyFill="1" applyBorder="1"/>
    <xf numFmtId="171" fontId="42" fillId="28" borderId="0" xfId="0" applyNumberFormat="1" applyFont="1" applyFill="1" applyProtection="1">
      <protection locked="0"/>
    </xf>
    <xf numFmtId="174" fontId="40" fillId="0" borderId="14" xfId="0" applyNumberFormat="1" applyFont="1" applyBorder="1" applyAlignment="1">
      <alignment horizontal="center"/>
    </xf>
    <xf numFmtId="171" fontId="43" fillId="28" borderId="0" xfId="0" applyNumberFormat="1" applyFont="1" applyFill="1" applyProtection="1">
      <protection locked="0"/>
    </xf>
    <xf numFmtId="171" fontId="42" fillId="28" borderId="10" xfId="0" applyNumberFormat="1" applyFont="1" applyFill="1" applyBorder="1"/>
    <xf numFmtId="171" fontId="43" fillId="28" borderId="4" xfId="0" applyNumberFormat="1" applyFont="1" applyFill="1" applyBorder="1" applyProtection="1">
      <protection locked="0"/>
    </xf>
    <xf numFmtId="174" fontId="40" fillId="0" borderId="15" xfId="0" applyNumberFormat="1" applyFont="1" applyBorder="1" applyAlignment="1">
      <alignment horizontal="center"/>
    </xf>
    <xf numFmtId="171" fontId="38" fillId="2" borderId="0" xfId="0" applyNumberFormat="1" applyFont="1" applyFill="1"/>
    <xf numFmtId="10" fontId="31" fillId="2" borderId="0" xfId="0" applyNumberFormat="1" applyFont="1" applyFill="1" applyAlignment="1">
      <alignment horizontal="center"/>
    </xf>
    <xf numFmtId="9" fontId="38" fillId="2" borderId="0" xfId="0" applyNumberFormat="1" applyFont="1" applyFill="1" applyAlignment="1">
      <alignment horizontal="center"/>
    </xf>
    <xf numFmtId="9" fontId="44" fillId="2" borderId="0" xfId="0" applyNumberFormat="1" applyFont="1" applyFill="1" applyAlignment="1">
      <alignment horizontal="center"/>
    </xf>
    <xf numFmtId="171" fontId="45" fillId="2" borderId="0" xfId="0" applyNumberFormat="1" applyFont="1" applyFill="1"/>
    <xf numFmtId="231" fontId="45" fillId="2" borderId="0" xfId="0" applyFont="1" applyFill="1"/>
    <xf numFmtId="231" fontId="45" fillId="0" borderId="0" xfId="0" applyFont="1"/>
    <xf numFmtId="191" fontId="46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/>
    </xf>
    <xf numFmtId="9" fontId="38" fillId="0" borderId="0" xfId="0" applyNumberFormat="1" applyFont="1" applyAlignment="1">
      <alignment horizontal="center"/>
    </xf>
    <xf numFmtId="218" fontId="40" fillId="0" borderId="0" xfId="0" applyNumberFormat="1" applyFont="1" applyAlignment="1" applyProtection="1">
      <alignment horizontal="center" vertical="center"/>
      <protection locked="0"/>
    </xf>
    <xf numFmtId="231" fontId="44" fillId="0" borderId="0" xfId="0" applyFont="1" applyAlignment="1">
      <alignment horizontal="center"/>
    </xf>
    <xf numFmtId="9" fontId="44" fillId="0" borderId="0" xfId="0" applyNumberFormat="1" applyFont="1" applyAlignment="1">
      <alignment horizontal="center"/>
    </xf>
    <xf numFmtId="9" fontId="45" fillId="0" borderId="0" xfId="0" applyNumberFormat="1" applyFont="1" applyAlignment="1" applyProtection="1">
      <alignment horizontal="center"/>
      <protection locked="0"/>
    </xf>
    <xf numFmtId="9" fontId="45" fillId="0" borderId="0" xfId="0" applyNumberFormat="1" applyFont="1" applyAlignment="1">
      <alignment horizontal="center"/>
    </xf>
    <xf numFmtId="10" fontId="45" fillId="0" borderId="0" xfId="0" applyNumberFormat="1" applyFont="1"/>
    <xf numFmtId="231" fontId="39" fillId="42" borderId="0" xfId="0" applyFont="1" applyFill="1"/>
    <xf numFmtId="171" fontId="38" fillId="0" borderId="0" xfId="0" applyNumberFormat="1" applyFont="1" applyProtection="1">
      <protection locked="0"/>
    </xf>
    <xf numFmtId="208" fontId="42" fillId="0" borderId="0" xfId="0" applyNumberFormat="1" applyFont="1" applyAlignment="1">
      <alignment horizontal="center"/>
    </xf>
    <xf numFmtId="171" fontId="42" fillId="0" borderId="0" xfId="0" applyNumberFormat="1" applyFont="1"/>
    <xf numFmtId="171" fontId="31" fillId="0" borderId="0" xfId="0" applyNumberFormat="1" applyFont="1" applyAlignment="1">
      <alignment horizontal="center" vertical="center"/>
    </xf>
    <xf numFmtId="171" fontId="45" fillId="0" borderId="0" xfId="0" applyNumberFormat="1" applyFont="1"/>
    <xf numFmtId="171" fontId="46" fillId="0" borderId="4" xfId="0" applyNumberFormat="1" applyFont="1" applyBorder="1"/>
    <xf numFmtId="231" fontId="31" fillId="0" borderId="4" xfId="0" applyFont="1" applyBorder="1"/>
    <xf numFmtId="171" fontId="42" fillId="28" borderId="4" xfId="0" applyNumberFormat="1" applyFont="1" applyFill="1" applyBorder="1"/>
    <xf numFmtId="186" fontId="41" fillId="28" borderId="4" xfId="0" applyNumberFormat="1" applyFont="1" applyFill="1" applyBorder="1" applyAlignment="1" applyProtection="1">
      <alignment horizontal="center" vertical="center"/>
      <protection locked="0"/>
    </xf>
    <xf numFmtId="171" fontId="42" fillId="2" borderId="4" xfId="0" applyNumberFormat="1" applyFont="1" applyFill="1" applyBorder="1"/>
    <xf numFmtId="171" fontId="31" fillId="2" borderId="4" xfId="0" applyNumberFormat="1" applyFont="1" applyFill="1" applyBorder="1"/>
    <xf numFmtId="231" fontId="31" fillId="2" borderId="4" xfId="0" applyFont="1" applyFill="1" applyBorder="1"/>
    <xf numFmtId="171" fontId="42" fillId="2" borderId="0" xfId="0" applyNumberFormat="1" applyFont="1" applyFill="1"/>
    <xf numFmtId="171" fontId="31" fillId="2" borderId="0" xfId="0" applyNumberFormat="1" applyFont="1" applyFill="1" applyAlignment="1">
      <alignment horizontal="center" vertical="center"/>
    </xf>
    <xf numFmtId="171" fontId="38" fillId="0" borderId="0" xfId="0" applyNumberFormat="1" applyFont="1" applyAlignment="1">
      <alignment horizontal="center" vertical="center"/>
    </xf>
    <xf numFmtId="171" fontId="31" fillId="28" borderId="0" xfId="0" applyNumberFormat="1" applyFont="1" applyFill="1" applyAlignment="1">
      <alignment horizontal="center" vertical="center"/>
    </xf>
    <xf numFmtId="208" fontId="45" fillId="2" borderId="0" xfId="0" applyNumberFormat="1" applyFont="1" applyFill="1" applyAlignment="1">
      <alignment horizontal="center"/>
    </xf>
    <xf numFmtId="171" fontId="31" fillId="28" borderId="0" xfId="0" applyNumberFormat="1" applyFont="1" applyFill="1"/>
    <xf numFmtId="170" fontId="31" fillId="2" borderId="0" xfId="0" applyNumberFormat="1" applyFont="1" applyFill="1" applyAlignment="1">
      <alignment horizontal="center"/>
    </xf>
    <xf numFmtId="231" fontId="45" fillId="28" borderId="0" xfId="0" applyFont="1" applyFill="1"/>
    <xf numFmtId="208" fontId="31" fillId="2" borderId="0" xfId="0" applyNumberFormat="1" applyFont="1" applyFill="1" applyAlignment="1">
      <alignment horizontal="center"/>
    </xf>
    <xf numFmtId="171" fontId="45" fillId="28" borderId="0" xfId="0" applyNumberFormat="1" applyFont="1" applyFill="1"/>
    <xf numFmtId="171" fontId="42" fillId="28" borderId="0" xfId="0" applyNumberFormat="1" applyFont="1" applyFill="1"/>
    <xf numFmtId="179" fontId="46" fillId="0" borderId="0" xfId="0" applyNumberFormat="1" applyFont="1" applyAlignment="1" applyProtection="1">
      <alignment horizontal="center" vertical="center"/>
      <protection locked="0"/>
    </xf>
    <xf numFmtId="207" fontId="31" fillId="31" borderId="9" xfId="0" applyNumberFormat="1" applyFont="1" applyFill="1" applyBorder="1" applyAlignment="1" applyProtection="1">
      <alignment horizontal="center" vertical="center"/>
      <protection locked="0"/>
    </xf>
    <xf numFmtId="231" fontId="38" fillId="0" borderId="0" xfId="0" applyFont="1" applyAlignment="1">
      <alignment horizontal="center"/>
    </xf>
    <xf numFmtId="2" fontId="45" fillId="0" borderId="0" xfId="0" applyNumberFormat="1" applyFont="1"/>
    <xf numFmtId="171" fontId="38" fillId="0" borderId="0" xfId="0" applyNumberFormat="1" applyFont="1" applyAlignment="1">
      <alignment horizontal="left" vertical="center"/>
    </xf>
    <xf numFmtId="171" fontId="31" fillId="31" borderId="4" xfId="0" applyNumberFormat="1" applyFont="1" applyFill="1" applyBorder="1" applyAlignment="1">
      <alignment horizontal="center"/>
    </xf>
    <xf numFmtId="171" fontId="31" fillId="31" borderId="0" xfId="0" applyNumberFormat="1" applyFont="1" applyFill="1"/>
    <xf numFmtId="10" fontId="31" fillId="2" borderId="0" xfId="0" applyNumberFormat="1" applyFont="1" applyFill="1" applyAlignment="1">
      <alignment horizontal="left"/>
    </xf>
    <xf numFmtId="171" fontId="49" fillId="0" borderId="0" xfId="0" applyNumberFormat="1" applyFont="1"/>
    <xf numFmtId="231" fontId="50" fillId="0" borderId="0" xfId="0" applyFont="1"/>
    <xf numFmtId="170" fontId="49" fillId="0" borderId="0" xfId="0" applyNumberFormat="1" applyFont="1" applyAlignment="1">
      <alignment horizontal="center" vertical="center"/>
    </xf>
    <xf numFmtId="10" fontId="50" fillId="0" borderId="0" xfId="0" applyNumberFormat="1" applyFont="1"/>
    <xf numFmtId="171" fontId="50" fillId="0" borderId="0" xfId="0" applyNumberFormat="1" applyFont="1"/>
    <xf numFmtId="231" fontId="38" fillId="0" borderId="4" xfId="0" applyFont="1" applyBorder="1"/>
    <xf numFmtId="171" fontId="42" fillId="0" borderId="4" xfId="0" applyNumberFormat="1" applyFont="1" applyBorder="1"/>
    <xf numFmtId="231" fontId="45" fillId="0" borderId="4" xfId="0" applyFont="1" applyBorder="1"/>
    <xf numFmtId="171" fontId="45" fillId="2" borderId="4" xfId="0" applyNumberFormat="1" applyFont="1" applyFill="1" applyBorder="1" applyAlignment="1">
      <alignment horizontal="center"/>
    </xf>
    <xf numFmtId="180" fontId="45" fillId="2" borderId="4" xfId="0" applyNumberFormat="1" applyFont="1" applyFill="1" applyBorder="1" applyAlignment="1">
      <alignment horizontal="center" vertical="center"/>
    </xf>
    <xf numFmtId="171" fontId="45" fillId="2" borderId="4" xfId="0" applyNumberFormat="1" applyFont="1" applyFill="1" applyBorder="1"/>
    <xf numFmtId="231" fontId="45" fillId="2" borderId="4" xfId="0" applyFont="1" applyFill="1" applyBorder="1"/>
    <xf numFmtId="231" fontId="38" fillId="0" borderId="0" xfId="0" applyFont="1"/>
    <xf numFmtId="180" fontId="45" fillId="2" borderId="0" xfId="0" applyNumberFormat="1" applyFont="1" applyFill="1" applyAlignment="1">
      <alignment horizontal="center" vertical="center"/>
    </xf>
    <xf numFmtId="10" fontId="49" fillId="28" borderId="0" xfId="0" applyNumberFormat="1" applyFont="1" applyFill="1" applyAlignment="1">
      <alignment horizontal="left" vertical="center"/>
    </xf>
    <xf numFmtId="171" fontId="42" fillId="2" borderId="0" xfId="0" applyNumberFormat="1" applyFont="1" applyFill="1" applyAlignment="1">
      <alignment horizontal="left"/>
    </xf>
    <xf numFmtId="171" fontId="47" fillId="2" borderId="0" xfId="0" applyNumberFormat="1" applyFont="1" applyFill="1"/>
    <xf numFmtId="10" fontId="31" fillId="31" borderId="1" xfId="0" applyNumberFormat="1" applyFont="1" applyFill="1" applyBorder="1" applyAlignment="1">
      <alignment horizontal="center"/>
    </xf>
    <xf numFmtId="231" fontId="31" fillId="0" borderId="0" xfId="0" applyFont="1" applyAlignment="1">
      <alignment horizontal="center"/>
    </xf>
    <xf numFmtId="174" fontId="41" fillId="0" borderId="1" xfId="0" applyNumberFormat="1" applyFont="1" applyBorder="1" applyAlignment="1">
      <alignment horizontal="center"/>
    </xf>
    <xf numFmtId="14" fontId="31" fillId="0" borderId="0" xfId="0" applyNumberFormat="1" applyFont="1"/>
    <xf numFmtId="171" fontId="42" fillId="31" borderId="3" xfId="0" applyNumberFormat="1" applyFont="1" applyFill="1" applyBorder="1" applyAlignment="1">
      <alignment horizontal="center"/>
    </xf>
    <xf numFmtId="0" fontId="31" fillId="31" borderId="3" xfId="0" applyNumberFormat="1" applyFont="1" applyFill="1" applyBorder="1" applyAlignment="1">
      <alignment horizontal="center"/>
    </xf>
    <xf numFmtId="10" fontId="31" fillId="31" borderId="14" xfId="0" applyNumberFormat="1" applyFont="1" applyFill="1" applyBorder="1" applyAlignment="1">
      <alignment horizontal="center"/>
    </xf>
    <xf numFmtId="10" fontId="31" fillId="31" borderId="15" xfId="0" applyNumberFormat="1" applyFont="1" applyFill="1" applyBorder="1" applyAlignment="1">
      <alignment horizontal="center"/>
    </xf>
    <xf numFmtId="0" fontId="47" fillId="0" borderId="0" xfId="0" applyNumberFormat="1" applyFont="1" applyAlignment="1">
      <alignment horizontal="center"/>
    </xf>
    <xf numFmtId="0" fontId="47" fillId="28" borderId="0" xfId="0" applyNumberFormat="1" applyFont="1" applyFill="1" applyAlignment="1">
      <alignment horizontal="center"/>
    </xf>
    <xf numFmtId="231" fontId="48" fillId="0" borderId="0" xfId="0" applyFont="1"/>
    <xf numFmtId="199" fontId="31" fillId="28" borderId="0" xfId="0" applyNumberFormat="1" applyFont="1" applyFill="1" applyAlignment="1">
      <alignment horizontal="center" vertical="center"/>
    </xf>
    <xf numFmtId="231" fontId="31" fillId="2" borderId="0" xfId="0" applyFont="1" applyFill="1" applyAlignment="1">
      <alignment horizontal="center" vertical="center"/>
    </xf>
    <xf numFmtId="9" fontId="45" fillId="0" borderId="0" xfId="0" applyNumberFormat="1" applyFont="1"/>
    <xf numFmtId="9" fontId="45" fillId="28" borderId="0" xfId="0" applyNumberFormat="1" applyFont="1" applyFill="1" applyAlignment="1">
      <alignment horizontal="center"/>
    </xf>
    <xf numFmtId="9" fontId="45" fillId="28" borderId="0" xfId="0" applyNumberFormat="1" applyFont="1" applyFill="1" applyAlignment="1" applyProtection="1">
      <alignment horizontal="center"/>
      <protection locked="0"/>
    </xf>
    <xf numFmtId="10" fontId="31" fillId="0" borderId="0" xfId="0" applyNumberFormat="1" applyFont="1"/>
    <xf numFmtId="171" fontId="31" fillId="2" borderId="0" xfId="0" applyNumberFormat="1" applyFont="1" applyFill="1" applyAlignment="1">
      <alignment horizontal="left"/>
    </xf>
    <xf numFmtId="189" fontId="31" fillId="0" borderId="0" xfId="0" applyNumberFormat="1" applyFont="1"/>
    <xf numFmtId="184" fontId="42" fillId="2" borderId="4" xfId="0" applyNumberFormat="1" applyFont="1" applyFill="1" applyBorder="1" applyAlignment="1">
      <alignment horizontal="center"/>
    </xf>
    <xf numFmtId="171" fontId="31" fillId="2" borderId="4" xfId="0" applyNumberFormat="1" applyFont="1" applyFill="1" applyBorder="1" applyAlignment="1">
      <alignment horizontal="center"/>
    </xf>
    <xf numFmtId="184" fontId="42" fillId="2" borderId="0" xfId="0" applyNumberFormat="1" applyFont="1" applyFill="1" applyAlignment="1">
      <alignment horizontal="center"/>
    </xf>
    <xf numFmtId="171" fontId="31" fillId="28" borderId="9" xfId="0" applyNumberFormat="1" applyFont="1" applyFill="1" applyBorder="1"/>
    <xf numFmtId="171" fontId="31" fillId="2" borderId="2" xfId="0" applyNumberFormat="1" applyFont="1" applyFill="1" applyBorder="1" applyAlignment="1">
      <alignment horizontal="right"/>
    </xf>
    <xf numFmtId="10" fontId="49" fillId="0" borderId="2" xfId="0" applyNumberFormat="1" applyFont="1" applyBorder="1" applyAlignment="1">
      <alignment horizontal="center" vertical="center"/>
    </xf>
    <xf numFmtId="171" fontId="31" fillId="28" borderId="7" xfId="0" applyNumberFormat="1" applyFont="1" applyFill="1" applyBorder="1"/>
    <xf numFmtId="171" fontId="31" fillId="2" borderId="0" xfId="0" applyNumberFormat="1" applyFont="1" applyFill="1" applyAlignment="1">
      <alignment horizontal="right"/>
    </xf>
    <xf numFmtId="10" fontId="38" fillId="0" borderId="0" xfId="0" applyNumberFormat="1" applyFont="1" applyAlignment="1">
      <alignment horizontal="center" vertical="center"/>
    </xf>
    <xf numFmtId="174" fontId="41" fillId="0" borderId="5" xfId="0" applyNumberFormat="1" applyFont="1" applyBorder="1" applyAlignment="1">
      <alignment horizontal="center"/>
    </xf>
    <xf numFmtId="10" fontId="49" fillId="0" borderId="0" xfId="0" applyNumberFormat="1" applyFont="1" applyAlignment="1">
      <alignment horizontal="center" vertical="center"/>
    </xf>
    <xf numFmtId="171" fontId="31" fillId="28" borderId="7" xfId="0" applyNumberFormat="1" applyFont="1" applyFill="1" applyBorder="1" applyProtection="1">
      <protection locked="0"/>
    </xf>
    <xf numFmtId="171" fontId="31" fillId="28" borderId="10" xfId="0" applyNumberFormat="1" applyFont="1" applyFill="1" applyBorder="1" applyProtection="1">
      <protection locked="0"/>
    </xf>
    <xf numFmtId="186" fontId="38" fillId="0" borderId="4" xfId="0" applyNumberFormat="1" applyFont="1" applyBorder="1" applyAlignment="1">
      <alignment horizontal="center" vertical="center"/>
    </xf>
    <xf numFmtId="10" fontId="38" fillId="0" borderId="4" xfId="0" applyNumberFormat="1" applyFont="1" applyBorder="1" applyAlignment="1">
      <alignment horizontal="center" vertical="center"/>
    </xf>
    <xf numFmtId="174" fontId="41" fillId="0" borderId="6" xfId="0" applyNumberFormat="1" applyFont="1" applyBorder="1" applyAlignment="1">
      <alignment horizontal="center"/>
    </xf>
    <xf numFmtId="171" fontId="31" fillId="0" borderId="0" xfId="0" applyNumberFormat="1" applyFont="1" applyProtection="1">
      <protection locked="0"/>
    </xf>
    <xf numFmtId="173" fontId="46" fillId="0" borderId="0" xfId="0" applyNumberFormat="1" applyFont="1" applyAlignment="1" applyProtection="1">
      <alignment horizontal="center" vertical="center"/>
      <protection locked="0"/>
    </xf>
    <xf numFmtId="170" fontId="46" fillId="0" borderId="0" xfId="0" applyNumberFormat="1" applyFont="1" applyAlignment="1" applyProtection="1">
      <alignment horizontal="center" vertical="center"/>
      <protection locked="0"/>
    </xf>
    <xf numFmtId="231" fontId="45" fillId="0" borderId="0" xfId="0" applyFont="1" applyAlignment="1" applyProtection="1">
      <alignment horizontal="center" vertical="center"/>
      <protection locked="0"/>
    </xf>
    <xf numFmtId="231" fontId="51" fillId="0" borderId="0" xfId="0" applyFont="1"/>
    <xf numFmtId="171" fontId="38" fillId="0" borderId="0" xfId="0" applyNumberFormat="1" applyFont="1"/>
    <xf numFmtId="171" fontId="52" fillId="0" borderId="0" xfId="0" applyNumberFormat="1" applyFont="1"/>
    <xf numFmtId="231" fontId="53" fillId="0" borderId="0" xfId="0" applyFont="1"/>
    <xf numFmtId="171" fontId="31" fillId="2" borderId="9" xfId="0" applyNumberFormat="1" applyFont="1" applyFill="1" applyBorder="1"/>
    <xf numFmtId="171" fontId="31" fillId="2" borderId="2" xfId="0" applyNumberFormat="1" applyFont="1" applyFill="1" applyBorder="1"/>
    <xf numFmtId="222" fontId="45" fillId="0" borderId="0" xfId="0" applyNumberFormat="1" applyFont="1" applyAlignment="1">
      <alignment horizontal="center"/>
    </xf>
    <xf numFmtId="170" fontId="45" fillId="0" borderId="0" xfId="0" applyNumberFormat="1" applyFont="1" applyAlignment="1">
      <alignment horizontal="center"/>
    </xf>
    <xf numFmtId="171" fontId="31" fillId="2" borderId="7" xfId="0" applyNumberFormat="1" applyFont="1" applyFill="1" applyBorder="1"/>
    <xf numFmtId="170" fontId="42" fillId="0" borderId="0" xfId="0" applyNumberFormat="1" applyFont="1" applyAlignment="1">
      <alignment horizontal="center" vertical="center"/>
    </xf>
    <xf numFmtId="170" fontId="42" fillId="28" borderId="0" xfId="0" applyNumberFormat="1" applyFont="1" applyFill="1" applyAlignment="1">
      <alignment horizontal="center" vertical="center"/>
    </xf>
    <xf numFmtId="170" fontId="42" fillId="2" borderId="0" xfId="0" applyNumberFormat="1" applyFont="1" applyFill="1" applyAlignment="1">
      <alignment horizontal="center" vertical="center"/>
    </xf>
    <xf numFmtId="10" fontId="45" fillId="0" borderId="0" xfId="0" applyNumberFormat="1" applyFont="1" applyAlignment="1">
      <alignment horizontal="center"/>
    </xf>
    <xf numFmtId="231" fontId="31" fillId="0" borderId="7" xfId="0" applyFont="1" applyBorder="1"/>
    <xf numFmtId="171" fontId="31" fillId="0" borderId="10" xfId="0" applyNumberFormat="1" applyFont="1" applyBorder="1"/>
    <xf numFmtId="171" fontId="31" fillId="0" borderId="4" xfId="0" applyNumberFormat="1" applyFont="1" applyBorder="1"/>
    <xf numFmtId="170" fontId="42" fillId="0" borderId="4" xfId="0" applyNumberFormat="1" applyFont="1" applyBorder="1" applyAlignment="1">
      <alignment horizontal="center" vertical="center"/>
    </xf>
    <xf numFmtId="171" fontId="31" fillId="2" borderId="10" xfId="0" applyNumberFormat="1" applyFont="1" applyFill="1" applyBorder="1"/>
    <xf numFmtId="171" fontId="38" fillId="2" borderId="11" xfId="0" applyNumberFormat="1" applyFont="1" applyFill="1" applyBorder="1"/>
    <xf numFmtId="171" fontId="31" fillId="2" borderId="8" xfId="0" applyNumberFormat="1" applyFont="1" applyFill="1" applyBorder="1"/>
    <xf numFmtId="170" fontId="46" fillId="2" borderId="8" xfId="0" applyNumberFormat="1" applyFont="1" applyFill="1" applyBorder="1" applyAlignment="1">
      <alignment horizontal="center" vertical="center"/>
    </xf>
    <xf numFmtId="174" fontId="41" fillId="0" borderId="13" xfId="0" applyNumberFormat="1" applyFont="1" applyBorder="1" applyAlignment="1">
      <alignment horizontal="center"/>
    </xf>
    <xf numFmtId="231" fontId="45" fillId="0" borderId="0" xfId="0" applyFont="1" applyAlignment="1">
      <alignment horizontal="left"/>
    </xf>
    <xf numFmtId="253" fontId="53" fillId="0" borderId="0" xfId="0" applyNumberFormat="1" applyFont="1"/>
    <xf numFmtId="171" fontId="38" fillId="2" borderId="8" xfId="0" applyNumberFormat="1" applyFont="1" applyFill="1" applyBorder="1"/>
    <xf numFmtId="173" fontId="42" fillId="2" borderId="13" xfId="0" applyNumberFormat="1" applyFont="1" applyFill="1" applyBorder="1" applyAlignment="1">
      <alignment horizontal="center" vertical="center"/>
    </xf>
    <xf numFmtId="171" fontId="31" fillId="0" borderId="0" xfId="0" applyNumberFormat="1" applyFont="1" applyAlignment="1">
      <alignment horizontal="left"/>
    </xf>
    <xf numFmtId="171" fontId="45" fillId="0" borderId="0" xfId="0" quotePrefix="1" applyNumberFormat="1" applyFont="1"/>
    <xf numFmtId="231" fontId="54" fillId="0" borderId="0" xfId="0" applyFont="1" applyAlignment="1">
      <alignment horizontal="left"/>
    </xf>
    <xf numFmtId="169" fontId="31" fillId="2" borderId="0" xfId="0" applyNumberFormat="1" applyFont="1" applyFill="1"/>
    <xf numFmtId="171" fontId="42" fillId="2" borderId="2" xfId="0" applyNumberFormat="1" applyFont="1" applyFill="1" applyBorder="1"/>
    <xf numFmtId="231" fontId="31" fillId="0" borderId="2" xfId="0" applyFont="1" applyBorder="1"/>
    <xf numFmtId="231" fontId="31" fillId="0" borderId="12" xfId="0" applyFont="1" applyBorder="1"/>
    <xf numFmtId="171" fontId="42" fillId="2" borderId="0" xfId="0" applyNumberFormat="1" applyFont="1" applyFill="1" applyAlignment="1">
      <alignment horizontal="center"/>
    </xf>
    <xf numFmtId="171" fontId="42" fillId="0" borderId="0" xfId="0" applyNumberFormat="1" applyFont="1" applyAlignment="1">
      <alignment horizontal="center"/>
    </xf>
    <xf numFmtId="171" fontId="42" fillId="28" borderId="0" xfId="0" applyNumberFormat="1" applyFont="1" applyFill="1" applyAlignment="1">
      <alignment horizontal="center"/>
    </xf>
    <xf numFmtId="231" fontId="31" fillId="0" borderId="5" xfId="0" applyFont="1" applyBorder="1"/>
    <xf numFmtId="2" fontId="42" fillId="0" borderId="1" xfId="0" applyNumberFormat="1" applyFont="1" applyBorder="1" applyAlignment="1">
      <alignment horizontal="center"/>
    </xf>
    <xf numFmtId="231" fontId="31" fillId="0" borderId="6" xfId="0" applyFont="1" applyBorder="1"/>
    <xf numFmtId="169" fontId="31" fillId="0" borderId="0" xfId="0" applyNumberFormat="1" applyFont="1"/>
    <xf numFmtId="210" fontId="42" fillId="2" borderId="0" xfId="0" applyNumberFormat="1" applyFont="1" applyFill="1"/>
    <xf numFmtId="0" fontId="42" fillId="31" borderId="0" xfId="0" applyNumberFormat="1" applyFont="1" applyFill="1" applyAlignment="1">
      <alignment horizontal="center"/>
    </xf>
    <xf numFmtId="171" fontId="42" fillId="0" borderId="0" xfId="0" applyNumberFormat="1" applyFont="1" applyAlignment="1">
      <alignment horizontal="right"/>
    </xf>
    <xf numFmtId="181" fontId="44" fillId="0" borderId="0" xfId="0" applyNumberFormat="1" applyFont="1" applyAlignment="1">
      <alignment horizontal="center" vertical="center"/>
    </xf>
    <xf numFmtId="171" fontId="42" fillId="28" borderId="0" xfId="0" applyNumberFormat="1" applyFont="1" applyFill="1" applyAlignment="1">
      <alignment horizontal="right"/>
    </xf>
    <xf numFmtId="171" fontId="42" fillId="2" borderId="0" xfId="0" applyNumberFormat="1" applyFont="1" applyFill="1" applyAlignment="1">
      <alignment horizontal="right"/>
    </xf>
    <xf numFmtId="181" fontId="45" fillId="28" borderId="0" xfId="0" applyNumberFormat="1" applyFont="1" applyFill="1" applyAlignment="1">
      <alignment horizontal="center" vertical="center"/>
    </xf>
    <xf numFmtId="171" fontId="31" fillId="2" borderId="0" xfId="0" applyNumberFormat="1" applyFont="1" applyFill="1" applyAlignment="1">
      <alignment horizontal="center"/>
    </xf>
    <xf numFmtId="171" fontId="46" fillId="2" borderId="0" xfId="0" applyNumberFormat="1" applyFont="1" applyFill="1"/>
    <xf numFmtId="231" fontId="31" fillId="31" borderId="1" xfId="0" applyFont="1" applyFill="1" applyBorder="1" applyAlignment="1">
      <alignment horizontal="center"/>
    </xf>
    <xf numFmtId="231" fontId="42" fillId="28" borderId="0" xfId="0" applyFont="1" applyFill="1"/>
    <xf numFmtId="238" fontId="31" fillId="31" borderId="1" xfId="0" applyNumberFormat="1" applyFont="1" applyFill="1" applyBorder="1" applyAlignment="1" applyProtection="1">
      <alignment horizontal="center" vertical="center"/>
      <protection locked="0"/>
    </xf>
    <xf numFmtId="231" fontId="47" fillId="2" borderId="0" xfId="0" applyFont="1" applyFill="1"/>
    <xf numFmtId="9" fontId="41" fillId="31" borderId="1" xfId="0" applyNumberFormat="1" applyFont="1" applyFill="1" applyBorder="1" applyAlignment="1">
      <alignment horizontal="center" vertical="center"/>
    </xf>
    <xf numFmtId="186" fontId="41" fillId="0" borderId="0" xfId="0" applyNumberFormat="1" applyFont="1" applyAlignment="1">
      <alignment horizontal="center" vertical="center"/>
    </xf>
    <xf numFmtId="181" fontId="31" fillId="0" borderId="0" xfId="0" applyNumberFormat="1" applyFont="1" applyAlignment="1">
      <alignment horizontal="center" vertical="center"/>
    </xf>
    <xf numFmtId="181" fontId="38" fillId="0" borderId="0" xfId="0" applyNumberFormat="1" applyFont="1" applyAlignment="1" applyProtection="1">
      <alignment horizontal="center" vertical="center"/>
      <protection locked="0"/>
    </xf>
    <xf numFmtId="181" fontId="31" fillId="28" borderId="0" xfId="0" applyNumberFormat="1" applyFont="1" applyFill="1" applyAlignment="1">
      <alignment horizontal="center" vertical="center"/>
    </xf>
    <xf numFmtId="184" fontId="42" fillId="0" borderId="0" xfId="0" applyNumberFormat="1" applyFont="1" applyAlignment="1">
      <alignment horizontal="center"/>
    </xf>
    <xf numFmtId="10" fontId="31" fillId="28" borderId="0" xfId="0" applyNumberFormat="1" applyFont="1" applyFill="1" applyAlignment="1">
      <alignment horizontal="center" vertical="center"/>
    </xf>
    <xf numFmtId="10" fontId="31" fillId="31" borderId="1" xfId="0" applyNumberFormat="1" applyFont="1" applyFill="1" applyBorder="1" applyAlignment="1">
      <alignment horizontal="center" vertical="center"/>
    </xf>
    <xf numFmtId="10" fontId="31" fillId="0" borderId="1" xfId="0" applyNumberFormat="1" applyFont="1" applyBorder="1" applyAlignment="1">
      <alignment horizontal="center" vertical="center"/>
    </xf>
    <xf numFmtId="170" fontId="42" fillId="31" borderId="1" xfId="0" applyNumberFormat="1" applyFont="1" applyFill="1" applyBorder="1" applyAlignment="1" applyProtection="1">
      <alignment horizontal="center" vertical="center"/>
      <protection locked="0"/>
    </xf>
    <xf numFmtId="220" fontId="31" fillId="0" borderId="1" xfId="0" applyNumberFormat="1" applyFont="1" applyBorder="1" applyAlignment="1">
      <alignment horizontal="center" vertical="center"/>
    </xf>
    <xf numFmtId="240" fontId="42" fillId="31" borderId="12" xfId="0" applyNumberFormat="1" applyFont="1" applyFill="1" applyBorder="1" applyAlignment="1">
      <alignment horizontal="center"/>
    </xf>
    <xf numFmtId="242" fontId="42" fillId="31" borderId="0" xfId="0" applyNumberFormat="1" applyFont="1" applyFill="1" applyAlignment="1">
      <alignment horizontal="center"/>
    </xf>
    <xf numFmtId="10" fontId="31" fillId="0" borderId="0" xfId="0" applyNumberFormat="1" applyFont="1" applyAlignment="1">
      <alignment horizontal="center" vertical="center"/>
    </xf>
    <xf numFmtId="228" fontId="31" fillId="0" borderId="0" xfId="0" applyNumberFormat="1" applyFont="1" applyAlignment="1">
      <alignment horizontal="center"/>
    </xf>
    <xf numFmtId="215" fontId="31" fillId="31" borderId="1" xfId="0" applyNumberFormat="1" applyFont="1" applyFill="1" applyBorder="1" applyAlignment="1">
      <alignment horizontal="center"/>
    </xf>
    <xf numFmtId="212" fontId="31" fillId="0" borderId="1" xfId="0" applyNumberFormat="1" applyFont="1" applyBorder="1" applyAlignment="1">
      <alignment horizontal="center" vertical="center"/>
    </xf>
    <xf numFmtId="228" fontId="31" fillId="31" borderId="1" xfId="0" applyNumberFormat="1" applyFont="1" applyFill="1" applyBorder="1" applyAlignment="1">
      <alignment horizontal="center"/>
    </xf>
    <xf numFmtId="196" fontId="42" fillId="31" borderId="1" xfId="0" applyNumberFormat="1" applyFont="1" applyFill="1" applyBorder="1" applyAlignment="1">
      <alignment horizontal="center" vertical="center"/>
    </xf>
    <xf numFmtId="178" fontId="31" fillId="31" borderId="1" xfId="0" applyNumberFormat="1" applyFont="1" applyFill="1" applyBorder="1" applyAlignment="1" applyProtection="1">
      <alignment horizontal="center" vertical="center"/>
      <protection locked="0"/>
    </xf>
    <xf numFmtId="170" fontId="42" fillId="0" borderId="0" xfId="0" applyNumberFormat="1" applyFont="1" applyAlignment="1" applyProtection="1">
      <alignment horizontal="center" vertical="center"/>
      <protection locked="0"/>
    </xf>
    <xf numFmtId="170" fontId="41" fillId="0" borderId="0" xfId="0" applyNumberFormat="1" applyFont="1" applyAlignment="1" applyProtection="1">
      <alignment horizontal="center" vertical="center"/>
      <protection locked="0"/>
    </xf>
    <xf numFmtId="170" fontId="42" fillId="0" borderId="0" xfId="0" applyNumberFormat="1" applyFont="1"/>
    <xf numFmtId="170" fontId="31" fillId="31" borderId="1" xfId="0" applyNumberFormat="1" applyFont="1" applyFill="1" applyBorder="1" applyAlignment="1">
      <alignment horizontal="center" vertical="center"/>
    </xf>
    <xf numFmtId="186" fontId="42" fillId="0" borderId="0" xfId="0" applyNumberFormat="1" applyFont="1" applyAlignment="1">
      <alignment horizontal="center" vertical="center"/>
    </xf>
    <xf numFmtId="171" fontId="42" fillId="31" borderId="1" xfId="0" applyNumberFormat="1" applyFont="1" applyFill="1" applyBorder="1"/>
    <xf numFmtId="10" fontId="31" fillId="31" borderId="11" xfId="0" applyNumberFormat="1" applyFont="1" applyFill="1" applyBorder="1" applyAlignment="1">
      <alignment horizontal="center"/>
    </xf>
    <xf numFmtId="10" fontId="31" fillId="31" borderId="8" xfId="0" applyNumberFormat="1" applyFont="1" applyFill="1" applyBorder="1" applyAlignment="1">
      <alignment horizontal="center"/>
    </xf>
    <xf numFmtId="171" fontId="31" fillId="0" borderId="0" xfId="0" applyNumberFormat="1" applyFont="1" applyAlignment="1" applyProtection="1">
      <alignment horizontal="center"/>
      <protection locked="0"/>
    </xf>
    <xf numFmtId="170" fontId="40" fillId="2" borderId="0" xfId="0" applyNumberFormat="1" applyFont="1" applyFill="1" applyAlignment="1" applyProtection="1">
      <alignment horizontal="center" vertical="center"/>
      <protection locked="0"/>
    </xf>
    <xf numFmtId="10" fontId="31" fillId="31" borderId="13" xfId="0" applyNumberFormat="1" applyFont="1" applyFill="1" applyBorder="1" applyAlignment="1">
      <alignment horizontal="center"/>
    </xf>
    <xf numFmtId="171" fontId="31" fillId="28" borderId="4" xfId="0" applyNumberFormat="1" applyFont="1" applyFill="1" applyBorder="1"/>
    <xf numFmtId="231" fontId="31" fillId="28" borderId="4" xfId="0" applyFont="1" applyFill="1" applyBorder="1"/>
    <xf numFmtId="249" fontId="41" fillId="0" borderId="0" xfId="0" applyNumberFormat="1" applyFont="1" applyAlignment="1">
      <alignment horizontal="center"/>
    </xf>
    <xf numFmtId="10" fontId="31" fillId="28" borderId="0" xfId="0" applyNumberFormat="1" applyFont="1" applyFill="1"/>
    <xf numFmtId="170" fontId="42" fillId="28" borderId="4" xfId="0" applyNumberFormat="1" applyFont="1" applyFill="1" applyBorder="1" applyAlignment="1">
      <alignment horizontal="center" vertical="center"/>
    </xf>
    <xf numFmtId="249" fontId="41" fillId="0" borderId="4" xfId="0" applyNumberFormat="1" applyFont="1" applyBorder="1" applyAlignment="1">
      <alignment horizontal="center"/>
    </xf>
    <xf numFmtId="2" fontId="31" fillId="28" borderId="0" xfId="0" applyNumberFormat="1" applyFont="1" applyFill="1" applyAlignment="1" applyProtection="1">
      <alignment horizontal="left"/>
      <protection locked="0"/>
    </xf>
    <xf numFmtId="15" fontId="31" fillId="2" borderId="0" xfId="0" applyNumberFormat="1" applyFont="1" applyFill="1" applyAlignment="1">
      <alignment horizontal="center" vertical="center"/>
    </xf>
    <xf numFmtId="231" fontId="38" fillId="28" borderId="0" xfId="0" applyFont="1" applyFill="1" applyAlignment="1">
      <alignment horizontal="right"/>
    </xf>
    <xf numFmtId="170" fontId="46" fillId="28" borderId="0" xfId="0" applyNumberFormat="1" applyFont="1" applyFill="1" applyAlignment="1">
      <alignment horizontal="center" vertical="center"/>
    </xf>
    <xf numFmtId="231" fontId="42" fillId="2" borderId="0" xfId="0" applyFont="1" applyFill="1" applyAlignment="1" applyProtection="1">
      <alignment horizontal="center" vertical="center"/>
      <protection locked="0"/>
    </xf>
    <xf numFmtId="9" fontId="42" fillId="31" borderId="0" xfId="0" applyNumberFormat="1" applyFont="1" applyFill="1" applyAlignment="1" applyProtection="1">
      <alignment horizontal="center" vertical="center"/>
      <protection locked="0"/>
    </xf>
    <xf numFmtId="174" fontId="40" fillId="0" borderId="1" xfId="0" applyNumberFormat="1" applyFont="1" applyBorder="1" applyAlignment="1">
      <alignment horizontal="center"/>
    </xf>
    <xf numFmtId="174" fontId="31" fillId="2" borderId="0" xfId="0" applyNumberFormat="1" applyFont="1" applyFill="1" applyAlignment="1" applyProtection="1">
      <alignment horizontal="center"/>
      <protection hidden="1"/>
    </xf>
    <xf numFmtId="174" fontId="31" fillId="2" borderId="4" xfId="0" applyNumberFormat="1" applyFont="1" applyFill="1" applyBorder="1" applyAlignment="1" applyProtection="1">
      <alignment horizontal="center"/>
      <protection hidden="1"/>
    </xf>
    <xf numFmtId="239" fontId="42" fillId="2" borderId="0" xfId="0" applyNumberFormat="1" applyFont="1" applyFill="1"/>
    <xf numFmtId="10" fontId="46" fillId="0" borderId="1" xfId="0" applyNumberFormat="1" applyFont="1" applyBorder="1" applyAlignment="1">
      <alignment horizontal="center" vertical="center"/>
    </xf>
    <xf numFmtId="170" fontId="46" fillId="0" borderId="0" xfId="0" applyNumberFormat="1" applyFont="1" applyAlignment="1">
      <alignment horizontal="center" vertical="center"/>
    </xf>
    <xf numFmtId="196" fontId="42" fillId="2" borderId="0" xfId="0" applyNumberFormat="1" applyFont="1" applyFill="1" applyAlignment="1">
      <alignment horizontal="center" vertical="center"/>
    </xf>
    <xf numFmtId="10" fontId="46" fillId="0" borderId="0" xfId="0" applyNumberFormat="1" applyFont="1" applyAlignment="1">
      <alignment horizontal="center" vertical="center"/>
    </xf>
    <xf numFmtId="171" fontId="46" fillId="0" borderId="0" xfId="0" applyNumberFormat="1" applyFont="1"/>
    <xf numFmtId="177" fontId="42" fillId="0" borderId="0" xfId="0" applyNumberFormat="1" applyFont="1" applyAlignment="1" applyProtection="1">
      <alignment horizontal="left" vertical="center"/>
      <protection locked="0"/>
    </xf>
    <xf numFmtId="231" fontId="52" fillId="0" borderId="0" xfId="0" applyFont="1"/>
    <xf numFmtId="177" fontId="42" fillId="31" borderId="1" xfId="0" applyNumberFormat="1" applyFont="1" applyFill="1" applyBorder="1" applyAlignment="1" applyProtection="1">
      <alignment horizontal="center" vertical="center"/>
      <protection locked="0"/>
    </xf>
    <xf numFmtId="177" fontId="42" fillId="2" borderId="0" xfId="0" applyNumberFormat="1" applyFont="1" applyFill="1" applyAlignment="1">
      <alignment horizontal="center" vertical="center"/>
    </xf>
    <xf numFmtId="171" fontId="52" fillId="2" borderId="0" xfId="0" applyNumberFormat="1" applyFont="1" applyFill="1"/>
    <xf numFmtId="231" fontId="52" fillId="2" borderId="0" xfId="0" applyFont="1" applyFill="1"/>
    <xf numFmtId="177" fontId="42" fillId="0" borderId="0" xfId="0" applyNumberFormat="1" applyFont="1" applyAlignment="1">
      <alignment horizontal="left" vertical="center"/>
    </xf>
    <xf numFmtId="231" fontId="47" fillId="28" borderId="0" xfId="0" applyFont="1" applyFill="1" applyAlignment="1">
      <alignment horizontal="center"/>
    </xf>
    <xf numFmtId="171" fontId="43" fillId="2" borderId="0" xfId="0" applyNumberFormat="1" applyFont="1" applyFill="1"/>
    <xf numFmtId="231" fontId="47" fillId="2" borderId="0" xfId="0" applyFont="1" applyFill="1" applyAlignment="1">
      <alignment horizontal="center" vertical="center"/>
    </xf>
    <xf numFmtId="204" fontId="40" fillId="28" borderId="0" xfId="0" applyNumberFormat="1" applyFont="1" applyFill="1" applyAlignment="1">
      <alignment horizontal="center" vertical="center"/>
    </xf>
    <xf numFmtId="178" fontId="46" fillId="0" borderId="0" xfId="0" applyNumberFormat="1" applyFont="1" applyAlignment="1">
      <alignment horizontal="center"/>
    </xf>
    <xf numFmtId="231" fontId="47" fillId="0" borderId="0" xfId="0" applyFont="1" applyAlignment="1">
      <alignment horizontal="center"/>
    </xf>
    <xf numFmtId="231" fontId="47" fillId="0" borderId="0" xfId="0" applyFont="1" applyAlignment="1">
      <alignment horizontal="center" vertical="center"/>
    </xf>
    <xf numFmtId="171" fontId="38" fillId="2" borderId="7" xfId="0" applyNumberFormat="1" applyFont="1" applyFill="1" applyBorder="1"/>
    <xf numFmtId="174" fontId="31" fillId="0" borderId="3" xfId="0" applyNumberFormat="1" applyFont="1" applyBorder="1" applyAlignment="1">
      <alignment horizontal="center"/>
    </xf>
    <xf numFmtId="174" fontId="31" fillId="0" borderId="14" xfId="0" applyNumberFormat="1" applyFont="1" applyBorder="1" applyAlignment="1">
      <alignment horizontal="center"/>
    </xf>
    <xf numFmtId="165" fontId="31" fillId="2" borderId="0" xfId="0" applyNumberFormat="1" applyFont="1" applyFill="1"/>
    <xf numFmtId="174" fontId="31" fillId="31" borderId="14" xfId="0" applyNumberFormat="1" applyFont="1" applyFill="1" applyBorder="1" applyAlignment="1">
      <alignment horizontal="center"/>
    </xf>
    <xf numFmtId="174" fontId="31" fillId="0" borderId="15" xfId="0" applyNumberFormat="1" applyFont="1" applyBorder="1" applyAlignment="1">
      <alignment horizontal="center"/>
    </xf>
    <xf numFmtId="10" fontId="40" fillId="0" borderId="0" xfId="0" applyNumberFormat="1" applyFont="1" applyAlignment="1" applyProtection="1">
      <alignment horizontal="center" vertical="center"/>
      <protection locked="0"/>
    </xf>
    <xf numFmtId="17" fontId="31" fillId="0" borderId="0" xfId="0" applyNumberFormat="1" applyFont="1" applyAlignment="1">
      <alignment horizontal="center"/>
    </xf>
    <xf numFmtId="17" fontId="31" fillId="2" borderId="0" xfId="0" applyNumberFormat="1" applyFont="1" applyFill="1" applyAlignment="1">
      <alignment horizontal="center"/>
    </xf>
    <xf numFmtId="10" fontId="40" fillId="2" borderId="0" xfId="0" applyNumberFormat="1" applyFont="1" applyFill="1" applyAlignment="1" applyProtection="1">
      <alignment horizontal="center" vertical="center"/>
      <protection locked="0"/>
    </xf>
    <xf numFmtId="202" fontId="38" fillId="2" borderId="0" xfId="0" applyNumberFormat="1" applyFont="1" applyFill="1" applyAlignment="1">
      <alignment horizontal="center"/>
    </xf>
    <xf numFmtId="202" fontId="31" fillId="0" borderId="0" xfId="0" applyNumberFormat="1" applyFont="1" applyAlignment="1">
      <alignment horizontal="left"/>
    </xf>
    <xf numFmtId="184" fontId="42" fillId="31" borderId="0" xfId="0" applyNumberFormat="1" applyFont="1" applyFill="1" applyAlignment="1">
      <alignment horizontal="center"/>
    </xf>
    <xf numFmtId="171" fontId="41" fillId="2" borderId="0" xfId="0" applyNumberFormat="1" applyFont="1" applyFill="1"/>
    <xf numFmtId="171" fontId="31" fillId="0" borderId="0" xfId="0" quotePrefix="1" applyNumberFormat="1" applyFont="1"/>
    <xf numFmtId="206" fontId="31" fillId="0" borderId="0" xfId="0" applyNumberFormat="1" applyFont="1" applyAlignment="1">
      <alignment horizontal="center"/>
    </xf>
    <xf numFmtId="174" fontId="49" fillId="43" borderId="0" xfId="49" applyFont="1">
      <alignment horizontal="center"/>
      <protection hidden="1"/>
    </xf>
    <xf numFmtId="243" fontId="31" fillId="0" borderId="0" xfId="0" applyNumberFormat="1" applyFont="1" applyAlignment="1">
      <alignment horizontal="center" vertical="center"/>
    </xf>
    <xf numFmtId="243" fontId="31" fillId="28" borderId="0" xfId="0" applyNumberFormat="1" applyFont="1" applyFill="1" applyAlignment="1">
      <alignment horizontal="center" vertical="center"/>
    </xf>
    <xf numFmtId="206" fontId="45" fillId="2" borderId="0" xfId="0" quotePrefix="1" applyNumberFormat="1" applyFont="1" applyFill="1" applyAlignment="1">
      <alignment horizontal="center"/>
    </xf>
    <xf numFmtId="231" fontId="45" fillId="2" borderId="0" xfId="0" applyFont="1" applyFill="1" applyAlignment="1">
      <alignment horizontal="center"/>
    </xf>
    <xf numFmtId="170" fontId="31" fillId="0" borderId="0" xfId="0" applyNumberFormat="1" applyFont="1" applyAlignment="1">
      <alignment horizontal="center"/>
    </xf>
    <xf numFmtId="171" fontId="38" fillId="28" borderId="4" xfId="0" applyNumberFormat="1" applyFont="1" applyFill="1" applyBorder="1"/>
    <xf numFmtId="231" fontId="38" fillId="28" borderId="0" xfId="0" applyFont="1" applyFill="1"/>
    <xf numFmtId="171" fontId="38" fillId="28" borderId="0" xfId="0" applyNumberFormat="1" applyFont="1" applyFill="1" applyAlignment="1">
      <alignment horizontal="center"/>
    </xf>
    <xf numFmtId="171" fontId="38" fillId="28" borderId="0" xfId="0" applyNumberFormat="1" applyFont="1" applyFill="1"/>
    <xf numFmtId="171" fontId="38" fillId="28" borderId="4" xfId="0" applyNumberFormat="1" applyFont="1" applyFill="1" applyBorder="1" applyAlignment="1">
      <alignment horizontal="center"/>
    </xf>
    <xf numFmtId="171" fontId="31" fillId="28" borderId="0" xfId="0" applyNumberFormat="1" applyFont="1" applyFill="1" applyAlignment="1">
      <alignment horizontal="center"/>
    </xf>
    <xf numFmtId="212" fontId="31" fillId="31" borderId="1" xfId="0" applyNumberFormat="1" applyFont="1" applyFill="1" applyBorder="1" applyAlignment="1">
      <alignment horizontal="center" vertical="center"/>
    </xf>
    <xf numFmtId="200" fontId="31" fillId="0" borderId="1" xfId="0" applyNumberFormat="1" applyFont="1" applyBorder="1" applyAlignment="1">
      <alignment horizontal="center" vertical="center"/>
    </xf>
    <xf numFmtId="170" fontId="31" fillId="31" borderId="1" xfId="0" applyNumberFormat="1" applyFont="1" applyFill="1" applyBorder="1" applyAlignment="1">
      <alignment horizontal="center"/>
    </xf>
    <xf numFmtId="234" fontId="31" fillId="31" borderId="1" xfId="0" applyNumberFormat="1" applyFont="1" applyFill="1" applyBorder="1" applyAlignment="1">
      <alignment horizontal="center" vertical="center"/>
    </xf>
    <xf numFmtId="14" fontId="45" fillId="28" borderId="0" xfId="0" applyNumberFormat="1" applyFont="1" applyFill="1"/>
    <xf numFmtId="178" fontId="31" fillId="28" borderId="1" xfId="0" applyNumberFormat="1" applyFont="1" applyFill="1" applyBorder="1" applyAlignment="1">
      <alignment horizontal="center" vertical="center"/>
    </xf>
    <xf numFmtId="9" fontId="49" fillId="28" borderId="0" xfId="0" applyNumberFormat="1" applyFont="1" applyFill="1" applyAlignment="1">
      <alignment horizontal="center"/>
    </xf>
    <xf numFmtId="200" fontId="38" fillId="0" borderId="0" xfId="0" applyNumberFormat="1" applyFont="1" applyAlignment="1" applyProtection="1">
      <alignment horizontal="center" vertical="center"/>
      <protection locked="0"/>
    </xf>
    <xf numFmtId="188" fontId="31" fillId="0" borderId="0" xfId="0" applyNumberFormat="1" applyFont="1"/>
    <xf numFmtId="172" fontId="31" fillId="0" borderId="0" xfId="0" applyNumberFormat="1" applyFont="1"/>
    <xf numFmtId="0" fontId="31" fillId="0" borderId="0" xfId="0" applyNumberFormat="1" applyFont="1"/>
    <xf numFmtId="2" fontId="31" fillId="2" borderId="0" xfId="0" applyNumberFormat="1" applyFont="1" applyFill="1" applyAlignment="1" applyProtection="1">
      <alignment horizontal="center"/>
      <protection hidden="1"/>
    </xf>
    <xf numFmtId="231" fontId="55" fillId="0" borderId="0" xfId="0" applyFont="1"/>
    <xf numFmtId="190" fontId="31" fillId="0" borderId="0" xfId="0" applyNumberFormat="1" applyFont="1"/>
    <xf numFmtId="231" fontId="39" fillId="42" borderId="0" xfId="0" applyFont="1" applyFill="1" applyAlignment="1">
      <alignment horizontal="center"/>
    </xf>
    <xf numFmtId="203" fontId="31" fillId="31" borderId="0" xfId="0" applyNumberFormat="1" applyFont="1" applyFill="1" applyAlignment="1">
      <alignment horizontal="center"/>
    </xf>
    <xf numFmtId="204" fontId="31" fillId="0" borderId="0" xfId="0" applyNumberFormat="1" applyFont="1" applyAlignment="1">
      <alignment horizontal="center"/>
    </xf>
    <xf numFmtId="3" fontId="31" fillId="35" borderId="0" xfId="0" applyNumberFormat="1" applyFont="1" applyFill="1" applyAlignment="1">
      <alignment horizontal="center"/>
    </xf>
    <xf numFmtId="3" fontId="31" fillId="30" borderId="0" xfId="0" applyNumberFormat="1" applyFont="1" applyFill="1" applyAlignment="1">
      <alignment horizontal="center"/>
    </xf>
    <xf numFmtId="3" fontId="31" fillId="34" borderId="0" xfId="0" applyNumberFormat="1" applyFont="1" applyFill="1" applyAlignment="1">
      <alignment horizontal="center"/>
    </xf>
    <xf numFmtId="3" fontId="31" fillId="1" borderId="0" xfId="0" applyNumberFormat="1" applyFont="1" applyFill="1" applyAlignment="1">
      <alignment horizontal="center"/>
    </xf>
    <xf numFmtId="231" fontId="31" fillId="0" borderId="0" xfId="0" applyFont="1" applyProtection="1">
      <protection hidden="1"/>
    </xf>
    <xf numFmtId="171" fontId="31" fillId="2" borderId="0" xfId="0" applyNumberFormat="1" applyFont="1" applyFill="1" applyProtection="1">
      <protection hidden="1"/>
    </xf>
    <xf numFmtId="171" fontId="52" fillId="2" borderId="0" xfId="0" applyNumberFormat="1" applyFont="1" applyFill="1" applyProtection="1">
      <protection hidden="1"/>
    </xf>
    <xf numFmtId="231" fontId="31" fillId="0" borderId="0" xfId="0" applyFont="1" applyAlignment="1" applyProtection="1">
      <alignment horizontal="left"/>
      <protection hidden="1"/>
    </xf>
    <xf numFmtId="231" fontId="45" fillId="0" borderId="0" xfId="0" applyFont="1" applyAlignment="1" applyProtection="1">
      <alignment horizontal="left"/>
      <protection hidden="1"/>
    </xf>
    <xf numFmtId="231" fontId="44" fillId="0" borderId="0" xfId="0" applyFont="1" applyProtection="1">
      <protection hidden="1"/>
    </xf>
    <xf numFmtId="231" fontId="45" fillId="0" borderId="0" xfId="0" applyFont="1" applyProtection="1">
      <protection hidden="1"/>
    </xf>
    <xf numFmtId="171" fontId="38" fillId="2" borderId="0" xfId="0" applyNumberFormat="1" applyFont="1" applyFill="1" applyAlignment="1" applyProtection="1">
      <alignment horizontal="center"/>
      <protection hidden="1"/>
    </xf>
    <xf numFmtId="170" fontId="38" fillId="28" borderId="0" xfId="0" applyNumberFormat="1" applyFont="1" applyFill="1" applyAlignment="1" applyProtection="1">
      <alignment horizontal="center" vertical="center"/>
      <protection hidden="1"/>
    </xf>
    <xf numFmtId="231" fontId="45" fillId="0" borderId="0" xfId="0" applyFont="1" applyAlignment="1" applyProtection="1">
      <alignment horizontal="center"/>
      <protection hidden="1"/>
    </xf>
    <xf numFmtId="171" fontId="31" fillId="28" borderId="0" xfId="0" applyNumberFormat="1" applyFont="1" applyFill="1" applyProtection="1">
      <protection hidden="1"/>
    </xf>
    <xf numFmtId="171" fontId="45" fillId="2" borderId="0" xfId="0" applyNumberFormat="1" applyFont="1" applyFill="1" applyAlignment="1" applyProtection="1">
      <alignment horizontal="center"/>
      <protection hidden="1"/>
    </xf>
    <xf numFmtId="186" fontId="46" fillId="2" borderId="0" xfId="0" applyNumberFormat="1" applyFont="1" applyFill="1" applyAlignment="1" applyProtection="1">
      <alignment horizontal="center" vertical="center"/>
      <protection hidden="1"/>
    </xf>
    <xf numFmtId="231" fontId="45" fillId="28" borderId="0" xfId="0" applyFont="1" applyFill="1" applyAlignment="1" applyProtection="1">
      <alignment horizontal="right"/>
      <protection hidden="1"/>
    </xf>
    <xf numFmtId="186" fontId="45" fillId="2" borderId="0" xfId="0" applyNumberFormat="1" applyFont="1" applyFill="1" applyAlignment="1" applyProtection="1">
      <alignment horizontal="center" vertical="center"/>
      <protection hidden="1"/>
    </xf>
    <xf numFmtId="10" fontId="40" fillId="28" borderId="0" xfId="0" applyNumberFormat="1" applyFont="1" applyFill="1" applyAlignment="1" applyProtection="1">
      <alignment horizontal="center"/>
      <protection hidden="1"/>
    </xf>
    <xf numFmtId="170" fontId="40" fillId="2" borderId="0" xfId="0" applyNumberFormat="1" applyFont="1" applyFill="1" applyAlignment="1" applyProtection="1">
      <alignment horizontal="center"/>
      <protection hidden="1"/>
    </xf>
    <xf numFmtId="10" fontId="45" fillId="28" borderId="0" xfId="0" applyNumberFormat="1" applyFont="1" applyFill="1" applyAlignment="1" applyProtection="1">
      <alignment horizontal="center"/>
      <protection hidden="1"/>
    </xf>
    <xf numFmtId="171" fontId="38" fillId="28" borderId="0" xfId="0" applyNumberFormat="1" applyFont="1" applyFill="1" applyProtection="1">
      <protection hidden="1"/>
    </xf>
    <xf numFmtId="170" fontId="31" fillId="0" borderId="0" xfId="0" applyNumberFormat="1" applyFont="1" applyProtection="1">
      <protection hidden="1"/>
    </xf>
    <xf numFmtId="231" fontId="56" fillId="0" borderId="0" xfId="0" applyFont="1" applyAlignment="1" applyProtection="1">
      <alignment vertical="center"/>
      <protection hidden="1"/>
    </xf>
    <xf numFmtId="231" fontId="41" fillId="0" borderId="0" xfId="0" applyFont="1" applyProtection="1">
      <protection hidden="1"/>
    </xf>
    <xf numFmtId="174" fontId="38" fillId="0" borderId="0" xfId="52" applyFont="1">
      <alignment horizontal="center"/>
      <protection hidden="1"/>
    </xf>
    <xf numFmtId="231" fontId="57" fillId="0" borderId="0" xfId="0" applyFont="1" applyAlignment="1" applyProtection="1">
      <alignment horizontal="left" vertical="center" indent="4"/>
      <protection hidden="1"/>
    </xf>
    <xf numFmtId="231" fontId="41" fillId="0" borderId="0" xfId="0" applyFont="1" applyAlignment="1" applyProtection="1">
      <alignment horizontal="center" vertical="center"/>
      <protection hidden="1"/>
    </xf>
    <xf numFmtId="231" fontId="45" fillId="0" borderId="0" xfId="0" applyFont="1" applyAlignment="1" applyProtection="1">
      <alignment horizontal="center" vertical="center"/>
      <protection hidden="1"/>
    </xf>
    <xf numFmtId="9" fontId="45" fillId="0" borderId="0" xfId="0" applyNumberFormat="1" applyFont="1" applyAlignment="1" applyProtection="1">
      <alignment horizontal="center" vertical="center"/>
      <protection hidden="1"/>
    </xf>
    <xf numFmtId="231" fontId="38" fillId="0" borderId="0" xfId="0" applyFont="1" applyAlignment="1" applyProtection="1">
      <alignment horizontal="center"/>
      <protection hidden="1"/>
    </xf>
    <xf numFmtId="186" fontId="44" fillId="2" borderId="0" xfId="0" applyNumberFormat="1" applyFont="1" applyFill="1" applyAlignment="1" applyProtection="1">
      <alignment horizontal="center" vertical="center"/>
      <protection hidden="1"/>
    </xf>
    <xf numFmtId="171" fontId="42" fillId="2" borderId="0" xfId="0" applyNumberFormat="1" applyFont="1" applyFill="1" applyProtection="1">
      <protection hidden="1"/>
    </xf>
    <xf numFmtId="231" fontId="52" fillId="0" borderId="0" xfId="0" applyFont="1" applyProtection="1">
      <protection hidden="1"/>
    </xf>
    <xf numFmtId="1" fontId="44" fillId="0" borderId="0" xfId="0" applyNumberFormat="1" applyFont="1" applyAlignment="1" applyProtection="1">
      <alignment horizontal="center"/>
      <protection hidden="1"/>
    </xf>
    <xf numFmtId="231" fontId="44" fillId="0" borderId="0" xfId="0" applyFont="1" applyAlignment="1" applyProtection="1">
      <alignment horizontal="center"/>
      <protection hidden="1"/>
    </xf>
    <xf numFmtId="170" fontId="44" fillId="0" borderId="0" xfId="0" applyNumberFormat="1" applyFont="1" applyAlignment="1" applyProtection="1">
      <alignment horizontal="center"/>
      <protection hidden="1"/>
    </xf>
    <xf numFmtId="231" fontId="58" fillId="0" borderId="0" xfId="0" applyFont="1" applyAlignment="1" applyProtection="1">
      <alignment vertical="center"/>
      <protection hidden="1"/>
    </xf>
    <xf numFmtId="1" fontId="45" fillId="0" borderId="0" xfId="0" applyNumberFormat="1" applyFont="1" applyAlignment="1" applyProtection="1">
      <alignment horizontal="center"/>
      <protection hidden="1"/>
    </xf>
    <xf numFmtId="171" fontId="44" fillId="2" borderId="0" xfId="0" applyNumberFormat="1" applyFont="1" applyFill="1" applyAlignment="1" applyProtection="1">
      <alignment horizontal="center" vertical="center"/>
      <protection hidden="1"/>
    </xf>
    <xf numFmtId="171" fontId="59" fillId="2" borderId="0" xfId="0" applyNumberFormat="1" applyFont="1" applyFill="1" applyProtection="1">
      <protection hidden="1"/>
    </xf>
    <xf numFmtId="231" fontId="44" fillId="2" borderId="0" xfId="0" applyFont="1" applyFill="1" applyAlignment="1" applyProtection="1">
      <alignment horizontal="center" vertical="center"/>
      <protection hidden="1"/>
    </xf>
    <xf numFmtId="171" fontId="38" fillId="2" borderId="0" xfId="0" applyNumberFormat="1" applyFont="1" applyFill="1" applyProtection="1">
      <protection hidden="1"/>
    </xf>
    <xf numFmtId="231" fontId="38" fillId="0" borderId="0" xfId="0" applyFont="1" applyProtection="1">
      <protection hidden="1"/>
    </xf>
    <xf numFmtId="192" fontId="45" fillId="2" borderId="0" xfId="0" applyNumberFormat="1" applyFont="1" applyFill="1" applyAlignment="1" applyProtection="1">
      <alignment horizontal="center" vertical="center"/>
      <protection hidden="1"/>
    </xf>
    <xf numFmtId="173" fontId="46" fillId="2" borderId="0" xfId="0" applyNumberFormat="1" applyFont="1" applyFill="1" applyAlignment="1" applyProtection="1">
      <alignment horizontal="center" vertical="center"/>
      <protection hidden="1"/>
    </xf>
    <xf numFmtId="231" fontId="38" fillId="2" borderId="0" xfId="0" applyFont="1" applyFill="1" applyAlignment="1" applyProtection="1">
      <alignment horizontal="center" vertical="center"/>
      <protection hidden="1"/>
    </xf>
    <xf numFmtId="192" fontId="60" fillId="2" borderId="0" xfId="0" applyNumberFormat="1" applyFont="1" applyFill="1" applyAlignment="1" applyProtection="1">
      <alignment horizontal="center" vertical="center"/>
      <protection hidden="1"/>
    </xf>
    <xf numFmtId="171" fontId="38" fillId="2" borderId="0" xfId="0" applyNumberFormat="1" applyFont="1" applyFill="1" applyAlignment="1" applyProtection="1">
      <alignment horizontal="center" vertical="center"/>
      <protection hidden="1"/>
    </xf>
    <xf numFmtId="231" fontId="45" fillId="2" borderId="0" xfId="0" applyFont="1" applyFill="1" applyAlignment="1" applyProtection="1">
      <alignment horizontal="left" vertical="center"/>
      <protection hidden="1"/>
    </xf>
    <xf numFmtId="192" fontId="61" fillId="2" borderId="0" xfId="0" applyNumberFormat="1" applyFont="1" applyFill="1" applyAlignment="1" applyProtection="1">
      <alignment horizontal="center" vertical="center"/>
      <protection hidden="1"/>
    </xf>
    <xf numFmtId="231" fontId="42" fillId="0" borderId="0" xfId="0" applyFont="1" applyProtection="1">
      <protection hidden="1"/>
    </xf>
    <xf numFmtId="192" fontId="31" fillId="2" borderId="0" xfId="0" applyNumberFormat="1" applyFont="1" applyFill="1" applyAlignment="1" applyProtection="1">
      <alignment horizontal="center" vertical="center"/>
      <protection hidden="1"/>
    </xf>
    <xf numFmtId="184" fontId="45" fillId="2" borderId="0" xfId="0" applyNumberFormat="1" applyFont="1" applyFill="1" applyAlignment="1" applyProtection="1">
      <alignment horizontal="left"/>
      <protection hidden="1"/>
    </xf>
    <xf numFmtId="171" fontId="62" fillId="2" borderId="0" xfId="0" applyNumberFormat="1" applyFont="1" applyFill="1" applyProtection="1">
      <protection hidden="1"/>
    </xf>
    <xf numFmtId="170" fontId="62" fillId="2" borderId="0" xfId="0" applyNumberFormat="1" applyFont="1" applyFill="1" applyAlignment="1" applyProtection="1">
      <alignment horizontal="center" vertical="center"/>
      <protection hidden="1"/>
    </xf>
    <xf numFmtId="231" fontId="42" fillId="2" borderId="0" xfId="0" applyFont="1" applyFill="1" applyProtection="1">
      <protection hidden="1"/>
    </xf>
    <xf numFmtId="170" fontId="46" fillId="2" borderId="0" xfId="0" applyNumberFormat="1" applyFont="1" applyFill="1" applyAlignment="1" applyProtection="1">
      <alignment horizontal="center" vertical="center"/>
      <protection hidden="1"/>
    </xf>
    <xf numFmtId="231" fontId="46" fillId="2" borderId="0" xfId="0" applyFont="1" applyFill="1" applyAlignment="1" applyProtection="1">
      <alignment horizontal="center" vertical="center"/>
      <protection hidden="1"/>
    </xf>
    <xf numFmtId="183" fontId="62" fillId="2" borderId="0" xfId="0" applyNumberFormat="1" applyFont="1" applyFill="1" applyAlignment="1" applyProtection="1">
      <alignment horizontal="center" vertical="center"/>
      <protection hidden="1"/>
    </xf>
    <xf numFmtId="192" fontId="60" fillId="28" borderId="0" xfId="0" applyNumberFormat="1" applyFont="1" applyFill="1" applyAlignment="1" applyProtection="1">
      <alignment horizontal="center" vertical="center"/>
      <protection hidden="1"/>
    </xf>
    <xf numFmtId="231" fontId="60" fillId="2" borderId="0" xfId="0" applyFont="1" applyFill="1" applyAlignment="1" applyProtection="1">
      <alignment horizontal="center" vertical="center"/>
      <protection hidden="1"/>
    </xf>
    <xf numFmtId="170" fontId="31" fillId="0" borderId="9" xfId="0" applyNumberFormat="1" applyFont="1" applyBorder="1" applyAlignment="1" applyProtection="1">
      <alignment horizontal="left" vertical="center"/>
      <protection hidden="1"/>
    </xf>
    <xf numFmtId="171" fontId="31" fillId="0" borderId="2" xfId="0" applyNumberFormat="1" applyFont="1" applyBorder="1" applyProtection="1">
      <protection hidden="1"/>
    </xf>
    <xf numFmtId="170" fontId="31" fillId="0" borderId="2" xfId="0" applyNumberFormat="1" applyFont="1" applyBorder="1" applyAlignment="1" applyProtection="1">
      <alignment horizontal="center"/>
      <protection hidden="1"/>
    </xf>
    <xf numFmtId="174" fontId="31" fillId="0" borderId="12" xfId="0" applyNumberFormat="1" applyFont="1" applyBorder="1" applyAlignment="1" applyProtection="1">
      <alignment horizontal="right"/>
      <protection hidden="1"/>
    </xf>
    <xf numFmtId="171" fontId="31" fillId="0" borderId="9" xfId="0" applyNumberFormat="1" applyFont="1" applyBorder="1" applyProtection="1">
      <protection hidden="1"/>
    </xf>
    <xf numFmtId="171" fontId="44" fillId="2" borderId="0" xfId="0" applyNumberFormat="1" applyFont="1" applyFill="1" applyAlignment="1" applyProtection="1">
      <alignment horizontal="left" vertical="center"/>
      <protection hidden="1"/>
    </xf>
    <xf numFmtId="170" fontId="31" fillId="0" borderId="7" xfId="0" applyNumberFormat="1" applyFont="1" applyBorder="1" applyAlignment="1" applyProtection="1">
      <alignment horizontal="left" vertical="center"/>
      <protection hidden="1"/>
    </xf>
    <xf numFmtId="170" fontId="31" fillId="0" borderId="0" xfId="0" applyNumberFormat="1" applyFont="1" applyAlignment="1" applyProtection="1">
      <alignment horizontal="center"/>
      <protection hidden="1"/>
    </xf>
    <xf numFmtId="174" fontId="31" fillId="0" borderId="5" xfId="0" applyNumberFormat="1" applyFont="1" applyBorder="1" applyAlignment="1" applyProtection="1">
      <alignment horizontal="right"/>
      <protection hidden="1"/>
    </xf>
    <xf numFmtId="171" fontId="31" fillId="0" borderId="7" xfId="0" applyNumberFormat="1" applyFont="1" applyBorder="1" applyProtection="1">
      <protection hidden="1"/>
    </xf>
    <xf numFmtId="171" fontId="31" fillId="0" borderId="0" xfId="0" applyNumberFormat="1" applyFont="1" applyProtection="1">
      <protection hidden="1"/>
    </xf>
    <xf numFmtId="231" fontId="38" fillId="0" borderId="0" xfId="0" applyFont="1" applyAlignment="1" applyProtection="1">
      <alignment horizontal="left"/>
      <protection hidden="1"/>
    </xf>
    <xf numFmtId="231" fontId="31" fillId="0" borderId="10" xfId="0" applyFont="1" applyBorder="1" applyProtection="1">
      <protection hidden="1"/>
    </xf>
    <xf numFmtId="171" fontId="31" fillId="0" borderId="4" xfId="0" applyNumberFormat="1" applyFont="1" applyBorder="1" applyProtection="1">
      <protection hidden="1"/>
    </xf>
    <xf numFmtId="244" fontId="31" fillId="0" borderId="6" xfId="0" applyNumberFormat="1" applyFont="1" applyBorder="1" applyAlignment="1" applyProtection="1">
      <alignment horizontal="right"/>
      <protection hidden="1"/>
    </xf>
    <xf numFmtId="171" fontId="31" fillId="0" borderId="10" xfId="0" applyNumberFormat="1" applyFont="1" applyBorder="1" applyProtection="1">
      <protection hidden="1"/>
    </xf>
    <xf numFmtId="231" fontId="31" fillId="0" borderId="4" xfId="0" applyFont="1" applyBorder="1" applyProtection="1">
      <protection hidden="1"/>
    </xf>
    <xf numFmtId="174" fontId="31" fillId="0" borderId="6" xfId="0" applyNumberFormat="1" applyFont="1" applyBorder="1" applyAlignment="1" applyProtection="1">
      <alignment horizontal="right"/>
      <protection hidden="1"/>
    </xf>
    <xf numFmtId="192" fontId="60" fillId="0" borderId="0" xfId="0" applyNumberFormat="1" applyFont="1" applyAlignment="1" applyProtection="1">
      <alignment horizontal="center" vertical="center"/>
      <protection hidden="1"/>
    </xf>
    <xf numFmtId="231" fontId="31" fillId="28" borderId="0" xfId="0" applyFont="1" applyFill="1" applyAlignment="1" applyProtection="1">
      <alignment horizontal="center" vertical="center"/>
      <protection hidden="1"/>
    </xf>
    <xf numFmtId="231" fontId="31" fillId="0" borderId="11" xfId="0" applyFont="1" applyBorder="1" applyProtection="1">
      <protection hidden="1"/>
    </xf>
    <xf numFmtId="171" fontId="31" fillId="0" borderId="8" xfId="0" applyNumberFormat="1" applyFont="1" applyBorder="1" applyProtection="1">
      <protection hidden="1"/>
    </xf>
    <xf numFmtId="174" fontId="31" fillId="0" borderId="13" xfId="0" applyNumberFormat="1" applyFont="1" applyBorder="1" applyAlignment="1" applyProtection="1">
      <alignment horizontal="right"/>
      <protection hidden="1"/>
    </xf>
    <xf numFmtId="171" fontId="31" fillId="0" borderId="11" xfId="0" applyNumberFormat="1" applyFont="1" applyBorder="1" applyProtection="1">
      <protection hidden="1"/>
    </xf>
    <xf numFmtId="231" fontId="31" fillId="28" borderId="0" xfId="0" applyFont="1" applyFill="1" applyAlignment="1" applyProtection="1">
      <alignment horizontal="center"/>
      <protection hidden="1"/>
    </xf>
    <xf numFmtId="1" fontId="31" fillId="0" borderId="0" xfId="0" applyNumberFormat="1" applyFont="1" applyProtection="1">
      <protection hidden="1"/>
    </xf>
    <xf numFmtId="231" fontId="38" fillId="0" borderId="0" xfId="0" applyFont="1" applyAlignment="1" applyProtection="1">
      <alignment horizontal="center" vertical="center"/>
      <protection hidden="1"/>
    </xf>
    <xf numFmtId="1" fontId="31" fillId="2" borderId="0" xfId="0" applyNumberFormat="1" applyFont="1" applyFill="1" applyProtection="1">
      <protection hidden="1"/>
    </xf>
    <xf numFmtId="172" fontId="31" fillId="0" borderId="0" xfId="0" applyNumberFormat="1" applyFont="1" applyProtection="1">
      <protection hidden="1"/>
    </xf>
    <xf numFmtId="171" fontId="63" fillId="3" borderId="0" xfId="0" applyNumberFormat="1" applyFont="1" applyFill="1" applyProtection="1">
      <protection hidden="1"/>
    </xf>
    <xf numFmtId="171" fontId="31" fillId="3" borderId="0" xfId="0" applyNumberFormat="1" applyFont="1" applyFill="1" applyProtection="1">
      <protection hidden="1"/>
    </xf>
    <xf numFmtId="2" fontId="31" fillId="29" borderId="0" xfId="0" applyNumberFormat="1" applyFont="1" applyFill="1" applyAlignment="1" applyProtection="1">
      <alignment horizontal="center"/>
      <protection hidden="1"/>
    </xf>
    <xf numFmtId="10" fontId="44" fillId="28" borderId="0" xfId="0" applyNumberFormat="1" applyFont="1" applyFill="1" applyAlignment="1" applyProtection="1">
      <alignment horizontal="center"/>
      <protection hidden="1"/>
    </xf>
    <xf numFmtId="231" fontId="31" fillId="0" borderId="0" xfId="0" applyFont="1" applyAlignment="1" applyProtection="1">
      <alignment horizontal="center"/>
      <protection hidden="1"/>
    </xf>
    <xf numFmtId="10" fontId="45" fillId="28" borderId="0" xfId="0" applyNumberFormat="1" applyFont="1" applyFill="1" applyAlignment="1" applyProtection="1">
      <alignment horizontal="left"/>
      <protection hidden="1"/>
    </xf>
    <xf numFmtId="231" fontId="49" fillId="0" borderId="0" xfId="0" applyFont="1" applyProtection="1">
      <protection hidden="1"/>
    </xf>
    <xf numFmtId="1" fontId="38" fillId="2" borderId="4" xfId="0" applyNumberFormat="1" applyFont="1" applyFill="1" applyBorder="1" applyProtection="1">
      <protection hidden="1"/>
    </xf>
    <xf numFmtId="231" fontId="31" fillId="0" borderId="4" xfId="0" applyFont="1" applyBorder="1" applyAlignment="1" applyProtection="1">
      <alignment horizontal="center"/>
      <protection hidden="1"/>
    </xf>
    <xf numFmtId="231" fontId="31" fillId="0" borderId="12" xfId="0" applyFont="1" applyBorder="1" applyAlignment="1" applyProtection="1">
      <alignment horizontal="center"/>
      <protection hidden="1"/>
    </xf>
    <xf numFmtId="231" fontId="51" fillId="0" borderId="0" xfId="0" applyFont="1" applyAlignment="1" applyProtection="1">
      <alignment horizontal="center"/>
      <protection hidden="1"/>
    </xf>
    <xf numFmtId="231" fontId="31" fillId="0" borderId="5" xfId="0" applyFont="1" applyBorder="1" applyAlignment="1" applyProtection="1">
      <alignment horizontal="center"/>
      <protection hidden="1"/>
    </xf>
    <xf numFmtId="231" fontId="64" fillId="0" borderId="0" xfId="54" applyFont="1" applyBorder="1" applyAlignment="1" applyProtection="1">
      <alignment horizontal="center"/>
      <protection hidden="1"/>
    </xf>
    <xf numFmtId="231" fontId="37" fillId="0" borderId="0" xfId="0" applyFont="1" applyAlignment="1" applyProtection="1">
      <alignment horizontal="center"/>
      <protection hidden="1"/>
    </xf>
    <xf numFmtId="231" fontId="49" fillId="0" borderId="0" xfId="0" applyFont="1" applyAlignment="1" applyProtection="1">
      <alignment horizontal="left"/>
      <protection hidden="1"/>
    </xf>
    <xf numFmtId="196" fontId="47" fillId="2" borderId="0" xfId="0" applyNumberFormat="1" applyFont="1" applyFill="1" applyAlignment="1" applyProtection="1">
      <alignment horizontal="center" vertical="center"/>
      <protection hidden="1"/>
    </xf>
    <xf numFmtId="225" fontId="47" fillId="2" borderId="0" xfId="0" applyNumberFormat="1" applyFont="1" applyFill="1" applyAlignment="1" applyProtection="1">
      <alignment horizontal="center" vertical="center"/>
      <protection hidden="1"/>
    </xf>
    <xf numFmtId="231" fontId="37" fillId="0" borderId="12" xfId="0" applyFont="1" applyBorder="1" applyAlignment="1" applyProtection="1">
      <alignment horizontal="center"/>
      <protection hidden="1"/>
    </xf>
    <xf numFmtId="231" fontId="37" fillId="0" borderId="5" xfId="0" applyFont="1" applyBorder="1" applyAlignment="1" applyProtection="1">
      <alignment horizontal="center"/>
      <protection hidden="1"/>
    </xf>
    <xf numFmtId="231" fontId="31" fillId="29" borderId="0" xfId="0" applyFont="1" applyFill="1" applyAlignment="1" applyProtection="1">
      <alignment horizontal="center"/>
      <protection hidden="1"/>
    </xf>
    <xf numFmtId="231" fontId="31" fillId="2" borderId="0" xfId="0" applyFont="1" applyFill="1" applyAlignment="1" applyProtection="1">
      <alignment horizontal="center"/>
      <protection hidden="1"/>
    </xf>
    <xf numFmtId="212" fontId="31" fillId="2" borderId="0" xfId="0" applyNumberFormat="1" applyFont="1" applyFill="1" applyAlignment="1" applyProtection="1">
      <alignment horizontal="center"/>
      <protection hidden="1"/>
    </xf>
    <xf numFmtId="0" fontId="31" fillId="2" borderId="0" xfId="0" applyNumberFormat="1" applyFont="1" applyFill="1" applyAlignment="1" applyProtection="1">
      <alignment horizontal="center"/>
      <protection hidden="1"/>
    </xf>
    <xf numFmtId="4" fontId="31" fillId="0" borderId="0" xfId="0" applyNumberFormat="1" applyFont="1" applyAlignment="1" applyProtection="1">
      <alignment horizontal="center"/>
      <protection hidden="1"/>
    </xf>
    <xf numFmtId="2" fontId="31" fillId="0" borderId="0" xfId="0" applyNumberFormat="1" applyFont="1" applyAlignment="1" applyProtection="1">
      <alignment horizontal="center"/>
      <protection hidden="1"/>
    </xf>
    <xf numFmtId="174" fontId="31" fillId="0" borderId="0" xfId="0" applyNumberFormat="1" applyFont="1" applyProtection="1">
      <protection hidden="1"/>
    </xf>
    <xf numFmtId="187" fontId="31" fillId="0" borderId="0" xfId="0" applyNumberFormat="1" applyFont="1" applyProtection="1">
      <protection hidden="1"/>
    </xf>
    <xf numFmtId="231" fontId="41" fillId="0" borderId="0" xfId="0" applyFont="1" applyAlignment="1">
      <alignment horizontal="center"/>
    </xf>
    <xf numFmtId="231" fontId="41" fillId="0" borderId="0" xfId="0" applyFont="1"/>
    <xf numFmtId="231" fontId="38" fillId="0" borderId="4" xfId="0" applyFont="1" applyBorder="1" applyAlignment="1">
      <alignment horizontal="center" vertical="center" wrapText="1"/>
    </xf>
    <xf numFmtId="231" fontId="31" fillId="0" borderId="1" xfId="0" applyFont="1" applyBorder="1"/>
    <xf numFmtId="10" fontId="41" fillId="0" borderId="0" xfId="0" applyNumberFormat="1" applyFont="1" applyAlignment="1">
      <alignment horizontal="center"/>
    </xf>
    <xf numFmtId="231" fontId="40" fillId="0" borderId="0" xfId="0" applyFont="1"/>
    <xf numFmtId="3" fontId="40" fillId="0" borderId="0" xfId="0" applyNumberFormat="1" applyFont="1" applyAlignment="1">
      <alignment horizontal="center"/>
    </xf>
    <xf numFmtId="224" fontId="38" fillId="0" borderId="4" xfId="0" applyNumberFormat="1" applyFont="1" applyBorder="1" applyAlignment="1">
      <alignment horizontal="center" vertical="center" wrapText="1"/>
    </xf>
    <xf numFmtId="231" fontId="39" fillId="42" borderId="1" xfId="0" applyFont="1" applyFill="1" applyBorder="1"/>
    <xf numFmtId="174" fontId="40" fillId="0" borderId="11" xfId="0" applyNumberFormat="1" applyFont="1" applyBorder="1" applyAlignment="1">
      <alignment horizontal="center"/>
    </xf>
    <xf numFmtId="174" fontId="40" fillId="0" borderId="8" xfId="0" applyNumberFormat="1" applyFont="1" applyBorder="1" applyAlignment="1">
      <alignment horizontal="center"/>
    </xf>
    <xf numFmtId="174" fontId="40" fillId="0" borderId="13" xfId="0" applyNumberFormat="1" applyFont="1" applyBorder="1" applyAlignment="1">
      <alignment horizontal="center"/>
    </xf>
    <xf numFmtId="170" fontId="41" fillId="0" borderId="1" xfId="0" applyNumberFormat="1" applyFont="1" applyBorder="1"/>
    <xf numFmtId="231" fontId="41" fillId="0" borderId="1" xfId="0" applyFont="1" applyBorder="1"/>
    <xf numFmtId="170" fontId="41" fillId="0" borderId="1" xfId="0" quotePrefix="1" applyNumberFormat="1" applyFont="1" applyBorder="1"/>
    <xf numFmtId="174" fontId="40" fillId="0" borderId="5" xfId="0" applyNumberFormat="1" applyFont="1" applyBorder="1" applyAlignment="1">
      <alignment horizontal="center"/>
    </xf>
    <xf numFmtId="174" fontId="40" fillId="0" borderId="9" xfId="0" applyNumberFormat="1" applyFont="1" applyBorder="1" applyAlignment="1">
      <alignment horizontal="center"/>
    </xf>
    <xf numFmtId="174" fontId="40" fillId="0" borderId="2" xfId="0" applyNumberFormat="1" applyFont="1" applyBorder="1" applyAlignment="1">
      <alignment horizontal="center"/>
    </xf>
    <xf numFmtId="174" fontId="40" fillId="0" borderId="12" xfId="0" applyNumberFormat="1" applyFont="1" applyBorder="1" applyAlignment="1">
      <alignment horizontal="center"/>
    </xf>
    <xf numFmtId="231" fontId="40" fillId="0" borderId="1" xfId="0" applyFont="1" applyBorder="1"/>
    <xf numFmtId="231" fontId="40" fillId="0" borderId="3" xfId="0" applyFont="1" applyBorder="1"/>
    <xf numFmtId="231" fontId="41" fillId="0" borderId="14" xfId="0" applyFont="1" applyBorder="1"/>
    <xf numFmtId="248" fontId="41" fillId="0" borderId="0" xfId="0" applyNumberFormat="1" applyFont="1"/>
    <xf numFmtId="231" fontId="38" fillId="0" borderId="1" xfId="0" applyFont="1" applyBorder="1"/>
    <xf numFmtId="198" fontId="40" fillId="0" borderId="0" xfId="0" applyNumberFormat="1" applyFont="1" applyAlignment="1">
      <alignment horizontal="center"/>
    </xf>
    <xf numFmtId="186" fontId="40" fillId="0" borderId="0" xfId="0" applyNumberFormat="1" applyFont="1" applyAlignment="1">
      <alignment horizontal="center"/>
    </xf>
    <xf numFmtId="198" fontId="40" fillId="0" borderId="0" xfId="0" applyNumberFormat="1" applyFont="1" applyAlignment="1">
      <alignment horizontal="center" textRotation="90"/>
    </xf>
    <xf numFmtId="204" fontId="40" fillId="0" borderId="0" xfId="0" applyNumberFormat="1" applyFont="1" applyAlignment="1">
      <alignment horizontal="center"/>
    </xf>
    <xf numFmtId="230" fontId="41" fillId="0" borderId="0" xfId="0" applyNumberFormat="1" applyFont="1" applyAlignment="1">
      <alignment horizontal="center" vertical="center"/>
    </xf>
    <xf numFmtId="220" fontId="31" fillId="0" borderId="0" xfId="0" applyNumberFormat="1" applyFont="1" applyAlignment="1">
      <alignment horizontal="center" vertical="center"/>
    </xf>
    <xf numFmtId="231" fontId="31" fillId="0" borderId="9" xfId="0" applyFont="1" applyBorder="1" applyProtection="1">
      <protection hidden="1"/>
    </xf>
    <xf numFmtId="231" fontId="31" fillId="0" borderId="2" xfId="0" applyFont="1" applyBorder="1" applyProtection="1">
      <protection hidden="1"/>
    </xf>
    <xf numFmtId="231" fontId="31" fillId="0" borderId="7" xfId="0" applyFont="1" applyBorder="1" applyProtection="1">
      <protection hidden="1"/>
    </xf>
    <xf numFmtId="231" fontId="38" fillId="0" borderId="11" xfId="0" applyFont="1" applyBorder="1" applyProtection="1">
      <protection hidden="1"/>
    </xf>
    <xf numFmtId="231" fontId="38" fillId="0" borderId="8" xfId="0" applyFont="1" applyBorder="1" applyProtection="1">
      <protection hidden="1"/>
    </xf>
    <xf numFmtId="190" fontId="31" fillId="0" borderId="0" xfId="0" applyNumberFormat="1" applyFont="1" applyProtection="1">
      <protection hidden="1"/>
    </xf>
    <xf numFmtId="231" fontId="38" fillId="0" borderId="4" xfId="0" applyFont="1" applyBorder="1" applyProtection="1">
      <protection hidden="1"/>
    </xf>
    <xf numFmtId="3" fontId="31" fillId="2" borderId="7" xfId="0" applyNumberFormat="1" applyFont="1" applyFill="1" applyBorder="1" applyAlignment="1" applyProtection="1">
      <alignment horizontal="center"/>
      <protection hidden="1"/>
    </xf>
    <xf numFmtId="3" fontId="38" fillId="2" borderId="10" xfId="0" applyNumberFormat="1" applyFont="1" applyFill="1" applyBorder="1" applyAlignment="1" applyProtection="1">
      <alignment horizontal="center"/>
      <protection hidden="1"/>
    </xf>
    <xf numFmtId="174" fontId="38" fillId="2" borderId="4" xfId="0" applyNumberFormat="1" applyFont="1" applyFill="1" applyBorder="1" applyAlignment="1" applyProtection="1">
      <alignment horizontal="center"/>
      <protection hidden="1"/>
    </xf>
    <xf numFmtId="174" fontId="31" fillId="0" borderId="0" xfId="0" applyNumberFormat="1" applyFont="1" applyAlignment="1" applyProtection="1">
      <alignment horizontal="center"/>
      <protection hidden="1"/>
    </xf>
    <xf numFmtId="186" fontId="31" fillId="0" borderId="0" xfId="0" applyNumberFormat="1" applyFont="1" applyAlignment="1" applyProtection="1">
      <alignment horizontal="center"/>
      <protection hidden="1"/>
    </xf>
    <xf numFmtId="186" fontId="49" fillId="0" borderId="0" xfId="0" applyNumberFormat="1" applyFont="1" applyAlignment="1" applyProtection="1">
      <alignment horizontal="center"/>
      <protection hidden="1"/>
    </xf>
    <xf numFmtId="186" fontId="31" fillId="2" borderId="0" xfId="0" applyNumberFormat="1" applyFont="1" applyFill="1" applyAlignment="1" applyProtection="1">
      <alignment horizontal="center" vertical="center"/>
      <protection hidden="1"/>
    </xf>
    <xf numFmtId="1" fontId="49" fillId="0" borderId="0" xfId="0" applyNumberFormat="1" applyFont="1" applyAlignment="1" applyProtection="1">
      <alignment horizontal="center"/>
      <protection hidden="1"/>
    </xf>
    <xf numFmtId="231" fontId="60" fillId="0" borderId="0" xfId="0" applyFont="1" applyProtection="1">
      <protection hidden="1"/>
    </xf>
    <xf numFmtId="196" fontId="49" fillId="0" borderId="0" xfId="0" applyNumberFormat="1" applyFont="1" applyAlignment="1" applyProtection="1">
      <alignment horizontal="center"/>
      <protection hidden="1"/>
    </xf>
    <xf numFmtId="196" fontId="31" fillId="0" borderId="0" xfId="0" applyNumberFormat="1" applyFont="1" applyAlignment="1" applyProtection="1">
      <alignment horizontal="center"/>
      <protection hidden="1"/>
    </xf>
    <xf numFmtId="186" fontId="49" fillId="2" borderId="0" xfId="0" applyNumberFormat="1" applyFont="1" applyFill="1" applyAlignment="1" applyProtection="1">
      <alignment horizontal="center" vertical="center"/>
      <protection hidden="1"/>
    </xf>
    <xf numFmtId="194" fontId="60" fillId="2" borderId="0" xfId="0" applyNumberFormat="1" applyFont="1" applyFill="1" applyAlignment="1" applyProtection="1">
      <alignment horizontal="center" vertical="center"/>
      <protection hidden="1"/>
    </xf>
    <xf numFmtId="194" fontId="45" fillId="2" borderId="0" xfId="0" applyNumberFormat="1" applyFont="1" applyFill="1" applyAlignment="1" applyProtection="1">
      <alignment horizontal="center" vertical="center"/>
      <protection hidden="1"/>
    </xf>
    <xf numFmtId="231" fontId="38" fillId="0" borderId="4" xfId="0" applyFont="1" applyBorder="1" applyAlignment="1" applyProtection="1">
      <alignment horizontal="center"/>
      <protection hidden="1"/>
    </xf>
    <xf numFmtId="10" fontId="31" fillId="0" borderId="0" xfId="0" applyNumberFormat="1" applyFont="1" applyAlignment="1" applyProtection="1">
      <alignment horizontal="center"/>
      <protection hidden="1"/>
    </xf>
    <xf numFmtId="231" fontId="31" fillId="0" borderId="0" xfId="0" quotePrefix="1" applyFont="1" applyProtection="1">
      <protection hidden="1"/>
    </xf>
    <xf numFmtId="174" fontId="45" fillId="0" borderId="0" xfId="0" applyNumberFormat="1" applyFont="1" applyAlignment="1" applyProtection="1">
      <alignment horizontal="center"/>
      <protection hidden="1"/>
    </xf>
    <xf numFmtId="174" fontId="38" fillId="2" borderId="2" xfId="0" applyNumberFormat="1" applyFont="1" applyFill="1" applyBorder="1" applyAlignment="1" applyProtection="1">
      <alignment horizontal="center"/>
      <protection hidden="1"/>
    </xf>
    <xf numFmtId="174" fontId="38" fillId="2" borderId="0" xfId="0" applyNumberFormat="1" applyFont="1" applyFill="1" applyAlignment="1" applyProtection="1">
      <alignment horizontal="center"/>
      <protection hidden="1"/>
    </xf>
    <xf numFmtId="10" fontId="38" fillId="0" borderId="0" xfId="0" applyNumberFormat="1" applyFont="1" applyAlignment="1" applyProtection="1">
      <alignment horizontal="center"/>
      <protection hidden="1"/>
    </xf>
    <xf numFmtId="3" fontId="49" fillId="2" borderId="0" xfId="0" applyNumberFormat="1" applyFont="1" applyFill="1" applyAlignment="1" applyProtection="1">
      <alignment horizontal="center"/>
      <protection hidden="1"/>
    </xf>
    <xf numFmtId="10" fontId="31" fillId="2" borderId="0" xfId="0" applyNumberFormat="1" applyFont="1" applyFill="1" applyAlignment="1" applyProtection="1">
      <alignment horizontal="center"/>
      <protection hidden="1"/>
    </xf>
    <xf numFmtId="204" fontId="49" fillId="0" borderId="0" xfId="0" applyNumberFormat="1" applyFont="1" applyProtection="1">
      <protection hidden="1"/>
    </xf>
    <xf numFmtId="174" fontId="38" fillId="28" borderId="4" xfId="0" applyNumberFormat="1" applyFont="1" applyFill="1" applyBorder="1" applyAlignment="1" applyProtection="1">
      <alignment horizontal="center"/>
      <protection hidden="1"/>
    </xf>
    <xf numFmtId="231" fontId="31" fillId="28" borderId="0" xfId="0" applyFont="1" applyFill="1" applyProtection="1">
      <protection hidden="1"/>
    </xf>
    <xf numFmtId="231" fontId="38" fillId="28" borderId="0" xfId="0" applyFont="1" applyFill="1" applyProtection="1">
      <protection hidden="1"/>
    </xf>
    <xf numFmtId="216" fontId="31" fillId="0" borderId="0" xfId="0" applyNumberFormat="1" applyFont="1" applyProtection="1">
      <protection hidden="1"/>
    </xf>
    <xf numFmtId="231" fontId="49" fillId="2" borderId="0" xfId="0" applyFont="1" applyFill="1" applyAlignment="1" applyProtection="1">
      <alignment horizontal="left"/>
      <protection hidden="1"/>
    </xf>
    <xf numFmtId="17" fontId="63" fillId="2" borderId="0" xfId="0" quotePrefix="1" applyNumberFormat="1" applyFont="1" applyFill="1" applyAlignment="1" applyProtection="1">
      <alignment horizontal="center" vertical="center"/>
      <protection hidden="1"/>
    </xf>
    <xf numFmtId="231" fontId="49" fillId="2" borderId="0" xfId="0" applyFont="1" applyFill="1" applyAlignment="1" applyProtection="1">
      <alignment horizontal="left" vertical="center"/>
      <protection hidden="1"/>
    </xf>
    <xf numFmtId="174" fontId="63" fillId="2" borderId="0" xfId="0" applyNumberFormat="1" applyFont="1" applyFill="1" applyAlignment="1" applyProtection="1">
      <alignment horizontal="center"/>
      <protection hidden="1"/>
    </xf>
    <xf numFmtId="171" fontId="45" fillId="2" borderId="0" xfId="0" applyNumberFormat="1" applyFont="1" applyFill="1" applyAlignment="1" applyProtection="1">
      <alignment horizontal="left" indent="2"/>
      <protection hidden="1"/>
    </xf>
    <xf numFmtId="185" fontId="45" fillId="2" borderId="0" xfId="0" applyNumberFormat="1" applyFont="1" applyFill="1" applyAlignment="1" applyProtection="1">
      <alignment horizontal="center"/>
      <protection hidden="1"/>
    </xf>
    <xf numFmtId="3" fontId="45" fillId="2" borderId="0" xfId="0" applyNumberFormat="1" applyFont="1" applyFill="1" applyAlignment="1" applyProtection="1">
      <alignment horizontal="center"/>
      <protection hidden="1"/>
    </xf>
    <xf numFmtId="231" fontId="45" fillId="2" borderId="0" xfId="0" applyFont="1" applyFill="1" applyProtection="1">
      <protection hidden="1"/>
    </xf>
    <xf numFmtId="171" fontId="31" fillId="2" borderId="0" xfId="0" applyNumberFormat="1" applyFont="1" applyFill="1" applyAlignment="1" applyProtection="1">
      <alignment horizontal="left" indent="2"/>
      <protection hidden="1"/>
    </xf>
    <xf numFmtId="171" fontId="31" fillId="2" borderId="0" xfId="0" applyNumberFormat="1" applyFont="1" applyFill="1" applyAlignment="1" applyProtection="1">
      <alignment horizontal="center"/>
      <protection hidden="1"/>
    </xf>
    <xf numFmtId="231" fontId="31" fillId="2" borderId="0" xfId="0" applyFont="1" applyFill="1" applyProtection="1">
      <protection hidden="1"/>
    </xf>
    <xf numFmtId="174" fontId="31" fillId="0" borderId="0" xfId="52" applyFont="1">
      <alignment horizontal="center"/>
      <protection hidden="1"/>
    </xf>
    <xf numFmtId="171" fontId="38" fillId="2" borderId="0" xfId="0" applyNumberFormat="1" applyFont="1" applyFill="1" applyAlignment="1" applyProtection="1">
      <alignment horizontal="left" indent="2"/>
      <protection hidden="1"/>
    </xf>
    <xf numFmtId="195" fontId="38" fillId="28" borderId="0" xfId="0" applyNumberFormat="1" applyFont="1" applyFill="1" applyAlignment="1" applyProtection="1">
      <alignment horizontal="center"/>
      <protection hidden="1"/>
    </xf>
    <xf numFmtId="195" fontId="31" fillId="28" borderId="0" xfId="0" applyNumberFormat="1" applyFont="1" applyFill="1" applyAlignment="1" applyProtection="1">
      <alignment horizontal="center"/>
      <protection hidden="1"/>
    </xf>
    <xf numFmtId="171" fontId="38" fillId="28" borderId="0" xfId="0" applyNumberFormat="1" applyFont="1" applyFill="1" applyAlignment="1" applyProtection="1">
      <alignment horizontal="left" indent="2"/>
      <protection hidden="1"/>
    </xf>
    <xf numFmtId="171" fontId="31" fillId="28" borderId="0" xfId="0" applyNumberFormat="1" applyFont="1" applyFill="1" applyAlignment="1" applyProtection="1">
      <alignment horizontal="left" indent="2"/>
      <protection hidden="1"/>
    </xf>
    <xf numFmtId="14" fontId="31" fillId="28" borderId="0" xfId="0" applyNumberFormat="1" applyFont="1" applyFill="1" applyProtection="1">
      <protection hidden="1"/>
    </xf>
    <xf numFmtId="3" fontId="31" fillId="0" borderId="0" xfId="0" applyNumberFormat="1" applyFont="1" applyAlignment="1" applyProtection="1">
      <alignment horizontal="center"/>
      <protection hidden="1"/>
    </xf>
    <xf numFmtId="174" fontId="49" fillId="0" borderId="0" xfId="52" applyFont="1">
      <alignment horizontal="center"/>
      <protection hidden="1"/>
    </xf>
    <xf numFmtId="4" fontId="31" fillId="2" borderId="0" xfId="0" applyNumberFormat="1" applyFont="1" applyFill="1" applyAlignment="1" applyProtection="1">
      <alignment horizontal="center"/>
      <protection hidden="1"/>
    </xf>
    <xf numFmtId="3" fontId="31" fillId="2" borderId="0" xfId="0" applyNumberFormat="1" applyFont="1" applyFill="1" applyAlignment="1" applyProtection="1">
      <alignment horizontal="center"/>
      <protection hidden="1"/>
    </xf>
    <xf numFmtId="171" fontId="49" fillId="2" borderId="0" xfId="0" applyNumberFormat="1" applyFont="1" applyFill="1" applyAlignment="1" applyProtection="1">
      <alignment horizontal="left" indent="2"/>
      <protection hidden="1"/>
    </xf>
    <xf numFmtId="9" fontId="49" fillId="28" borderId="0" xfId="0" applyNumberFormat="1" applyFont="1" applyFill="1" applyAlignment="1" applyProtection="1">
      <alignment horizontal="center"/>
      <protection hidden="1"/>
    </xf>
    <xf numFmtId="3" fontId="55" fillId="2" borderId="0" xfId="0" applyNumberFormat="1" applyFont="1" applyFill="1" applyAlignment="1" applyProtection="1">
      <alignment horizontal="center"/>
      <protection hidden="1"/>
    </xf>
    <xf numFmtId="0" fontId="45" fillId="2" borderId="0" xfId="0" applyNumberFormat="1" applyFont="1" applyFill="1" applyAlignment="1" applyProtection="1">
      <alignment horizontal="center"/>
      <protection hidden="1"/>
    </xf>
    <xf numFmtId="195" fontId="31" fillId="0" borderId="0" xfId="0" applyNumberFormat="1" applyFont="1" applyAlignment="1" applyProtection="1">
      <alignment horizontal="center"/>
      <protection hidden="1"/>
    </xf>
    <xf numFmtId="171" fontId="42" fillId="0" borderId="0" xfId="0" applyNumberFormat="1" applyFont="1" applyAlignment="1" applyProtection="1">
      <alignment horizontal="left" indent="2"/>
      <protection hidden="1"/>
    </xf>
    <xf numFmtId="171" fontId="31" fillId="0" borderId="0" xfId="0" applyNumberFormat="1" applyFont="1" applyAlignment="1" applyProtection="1">
      <alignment horizontal="center"/>
      <protection hidden="1"/>
    </xf>
    <xf numFmtId="195" fontId="38" fillId="0" borderId="0" xfId="0" applyNumberFormat="1" applyFont="1" applyAlignment="1" applyProtection="1">
      <alignment horizontal="center"/>
      <protection hidden="1"/>
    </xf>
    <xf numFmtId="3" fontId="38" fillId="2" borderId="0" xfId="0" applyNumberFormat="1" applyFont="1" applyFill="1" applyAlignment="1" applyProtection="1">
      <alignment horizontal="center"/>
      <protection hidden="1"/>
    </xf>
    <xf numFmtId="231" fontId="31" fillId="2" borderId="0" xfId="0" applyFont="1" applyFill="1" applyAlignment="1" applyProtection="1">
      <alignment horizontal="left" vertical="center" indent="2"/>
      <protection hidden="1"/>
    </xf>
    <xf numFmtId="231" fontId="38" fillId="2" borderId="0" xfId="0" applyFont="1" applyFill="1" applyAlignment="1" applyProtection="1">
      <alignment horizontal="left" vertical="center" indent="2"/>
      <protection hidden="1"/>
    </xf>
    <xf numFmtId="195" fontId="49" fillId="0" borderId="0" xfId="0" applyNumberFormat="1" applyFont="1" applyAlignment="1" applyProtection="1">
      <alignment horizontal="center"/>
      <protection hidden="1"/>
    </xf>
    <xf numFmtId="195" fontId="45" fillId="0" borderId="0" xfId="0" applyNumberFormat="1" applyFont="1" applyAlignment="1" applyProtection="1">
      <alignment horizontal="center"/>
      <protection hidden="1"/>
    </xf>
    <xf numFmtId="227" fontId="45" fillId="0" borderId="0" xfId="0" applyNumberFormat="1" applyFont="1" applyAlignment="1" applyProtection="1">
      <alignment horizontal="center"/>
      <protection hidden="1"/>
    </xf>
    <xf numFmtId="1" fontId="31" fillId="2" borderId="0" xfId="0" applyNumberFormat="1" applyFont="1" applyFill="1" applyAlignment="1" applyProtection="1">
      <alignment horizontal="center" vertical="center"/>
      <protection hidden="1"/>
    </xf>
    <xf numFmtId="3" fontId="31" fillId="2" borderId="0" xfId="0" applyNumberFormat="1" applyFont="1" applyFill="1" applyAlignment="1" applyProtection="1">
      <alignment horizontal="center" vertical="center"/>
      <protection hidden="1"/>
    </xf>
    <xf numFmtId="231" fontId="31" fillId="2" borderId="2" xfId="0" applyFont="1" applyFill="1" applyBorder="1" applyAlignment="1" applyProtection="1">
      <alignment horizontal="left" vertical="center" indent="2"/>
      <protection hidden="1"/>
    </xf>
    <xf numFmtId="172" fontId="31" fillId="2" borderId="2" xfId="0" applyNumberFormat="1" applyFont="1" applyFill="1" applyBorder="1" applyAlignment="1" applyProtection="1">
      <alignment horizontal="center" vertical="center"/>
      <protection hidden="1"/>
    </xf>
    <xf numFmtId="174" fontId="31" fillId="2" borderId="2" xfId="0" applyNumberFormat="1" applyFont="1" applyFill="1" applyBorder="1" applyAlignment="1" applyProtection="1">
      <alignment horizontal="center" vertical="center"/>
      <protection hidden="1"/>
    </xf>
    <xf numFmtId="172" fontId="31" fillId="2" borderId="0" xfId="0" applyNumberFormat="1" applyFont="1" applyFill="1" applyAlignment="1" applyProtection="1">
      <alignment horizontal="center" vertical="center"/>
      <protection hidden="1"/>
    </xf>
    <xf numFmtId="174" fontId="31" fillId="2" borderId="0" xfId="0" applyNumberFormat="1" applyFont="1" applyFill="1" applyAlignment="1" applyProtection="1">
      <alignment horizontal="center" vertical="center"/>
      <protection hidden="1"/>
    </xf>
    <xf numFmtId="231" fontId="31" fillId="0" borderId="0" xfId="0" applyFont="1" applyAlignment="1" applyProtection="1">
      <alignment horizontal="left" vertical="center" indent="2"/>
      <protection hidden="1"/>
    </xf>
    <xf numFmtId="172" fontId="31" fillId="0" borderId="0" xfId="0" applyNumberFormat="1" applyFont="1" applyAlignment="1" applyProtection="1">
      <alignment horizontal="center" vertical="center"/>
      <protection hidden="1"/>
    </xf>
    <xf numFmtId="231" fontId="31" fillId="2" borderId="4" xfId="0" applyFont="1" applyFill="1" applyBorder="1" applyAlignment="1" applyProtection="1">
      <alignment horizontal="left" vertical="center" indent="2"/>
      <protection hidden="1"/>
    </xf>
    <xf numFmtId="172" fontId="31" fillId="2" borderId="4" xfId="0" applyNumberFormat="1" applyFont="1" applyFill="1" applyBorder="1" applyAlignment="1" applyProtection="1">
      <alignment horizontal="center" vertical="center"/>
      <protection hidden="1"/>
    </xf>
    <xf numFmtId="174" fontId="31" fillId="2" borderId="4" xfId="0" applyNumberFormat="1" applyFont="1" applyFill="1" applyBorder="1" applyAlignment="1" applyProtection="1">
      <alignment horizontal="center" vertical="center"/>
      <protection hidden="1"/>
    </xf>
    <xf numFmtId="3" fontId="38" fillId="2" borderId="0" xfId="0" applyNumberFormat="1" applyFont="1" applyFill="1" applyAlignment="1" applyProtection="1">
      <alignment horizontal="left" vertical="center" indent="2"/>
      <protection hidden="1"/>
    </xf>
    <xf numFmtId="172" fontId="52" fillId="2" borderId="0" xfId="0" applyNumberFormat="1" applyFont="1" applyFill="1" applyAlignment="1" applyProtection="1">
      <alignment horizontal="center" vertical="center"/>
      <protection hidden="1"/>
    </xf>
    <xf numFmtId="174" fontId="38" fillId="0" borderId="4" xfId="0" applyNumberFormat="1" applyFont="1" applyBorder="1" applyAlignment="1" applyProtection="1">
      <alignment horizontal="center"/>
      <protection hidden="1"/>
    </xf>
    <xf numFmtId="174" fontId="49" fillId="2" borderId="0" xfId="0" applyNumberFormat="1" applyFont="1" applyFill="1" applyAlignment="1" applyProtection="1">
      <alignment horizontal="center"/>
      <protection hidden="1"/>
    </xf>
    <xf numFmtId="3" fontId="63" fillId="2" borderId="0" xfId="0" applyNumberFormat="1" applyFont="1" applyFill="1" applyAlignment="1" applyProtection="1">
      <alignment horizontal="center" vertical="center"/>
      <protection hidden="1"/>
    </xf>
    <xf numFmtId="231" fontId="51" fillId="0" borderId="0" xfId="0" applyFont="1" applyProtection="1">
      <protection hidden="1"/>
    </xf>
    <xf numFmtId="174" fontId="46" fillId="2" borderId="4" xfId="0" applyNumberFormat="1" applyFont="1" applyFill="1" applyBorder="1" applyAlignment="1" applyProtection="1">
      <alignment horizontal="center"/>
      <protection hidden="1"/>
    </xf>
    <xf numFmtId="1" fontId="31" fillId="0" borderId="0" xfId="0" applyNumberFormat="1" applyFont="1" applyAlignment="1" applyProtection="1">
      <alignment horizontal="left" vertical="center" indent="2"/>
      <protection hidden="1"/>
    </xf>
    <xf numFmtId="1" fontId="38" fillId="0" borderId="0" xfId="0" applyNumberFormat="1" applyFont="1" applyAlignment="1" applyProtection="1">
      <alignment horizontal="left" vertical="center" indent="2"/>
      <protection hidden="1"/>
    </xf>
    <xf numFmtId="1" fontId="38" fillId="0" borderId="0" xfId="0" applyNumberFormat="1" applyFont="1" applyAlignment="1" applyProtection="1">
      <alignment horizontal="center"/>
      <protection hidden="1"/>
    </xf>
    <xf numFmtId="1" fontId="38" fillId="0" borderId="0" xfId="0" applyNumberFormat="1" applyFont="1" applyAlignment="1" applyProtection="1">
      <alignment horizontal="center" vertical="center"/>
      <protection hidden="1"/>
    </xf>
    <xf numFmtId="231" fontId="31" fillId="28" borderId="0" xfId="0" applyFont="1" applyFill="1" applyAlignment="1" applyProtection="1">
      <alignment horizontal="left" vertical="center" indent="2"/>
      <protection hidden="1"/>
    </xf>
    <xf numFmtId="3" fontId="31" fillId="28" borderId="0" xfId="0" applyNumberFormat="1" applyFont="1" applyFill="1" applyAlignment="1" applyProtection="1">
      <alignment horizontal="center"/>
      <protection hidden="1"/>
    </xf>
    <xf numFmtId="231" fontId="31" fillId="28" borderId="0" xfId="0" applyFont="1" applyFill="1" applyAlignment="1" applyProtection="1">
      <alignment vertical="center"/>
      <protection hidden="1"/>
    </xf>
    <xf numFmtId="231" fontId="38" fillId="28" borderId="0" xfId="0" applyFont="1" applyFill="1" applyAlignment="1" applyProtection="1">
      <alignment horizontal="left" vertical="center" indent="2"/>
      <protection hidden="1"/>
    </xf>
    <xf numFmtId="174" fontId="31" fillId="28" borderId="0" xfId="0" applyNumberFormat="1" applyFont="1" applyFill="1" applyAlignment="1" applyProtection="1">
      <alignment horizontal="center"/>
      <protection hidden="1"/>
    </xf>
    <xf numFmtId="231" fontId="38" fillId="28" borderId="0" xfId="0" applyFont="1" applyFill="1" applyAlignment="1" applyProtection="1">
      <alignment horizontal="center"/>
      <protection hidden="1"/>
    </xf>
    <xf numFmtId="174" fontId="38" fillId="28" borderId="0" xfId="0" applyNumberFormat="1" applyFont="1" applyFill="1" applyAlignment="1" applyProtection="1">
      <alignment horizontal="center"/>
      <protection hidden="1"/>
    </xf>
    <xf numFmtId="174" fontId="45" fillId="28" borderId="0" xfId="0" applyNumberFormat="1" applyFont="1" applyFill="1" applyAlignment="1" applyProtection="1">
      <alignment horizontal="center"/>
      <protection hidden="1"/>
    </xf>
    <xf numFmtId="171" fontId="65" fillId="28" borderId="4" xfId="0" applyNumberFormat="1" applyFont="1" applyFill="1" applyBorder="1" applyProtection="1">
      <protection hidden="1"/>
    </xf>
    <xf numFmtId="1" fontId="38" fillId="28" borderId="4" xfId="0" applyNumberFormat="1" applyFont="1" applyFill="1" applyBorder="1" applyAlignment="1" applyProtection="1">
      <alignment horizontal="center"/>
      <protection hidden="1"/>
    </xf>
    <xf numFmtId="171" fontId="65" fillId="28" borderId="0" xfId="0" applyNumberFormat="1" applyFont="1" applyFill="1" applyProtection="1">
      <protection hidden="1"/>
    </xf>
    <xf numFmtId="1" fontId="38" fillId="28" borderId="0" xfId="0" applyNumberFormat="1" applyFont="1" applyFill="1" applyAlignment="1" applyProtection="1">
      <alignment horizontal="center"/>
      <protection hidden="1"/>
    </xf>
    <xf numFmtId="1" fontId="38" fillId="28" borderId="0" xfId="0" applyNumberFormat="1" applyFont="1" applyFill="1" applyAlignment="1" applyProtection="1">
      <alignment horizontal="right" vertical="center"/>
      <protection hidden="1"/>
    </xf>
    <xf numFmtId="212" fontId="49" fillId="28" borderId="0" xfId="0" applyNumberFormat="1" applyFont="1" applyFill="1" applyAlignment="1" applyProtection="1">
      <alignment horizontal="center"/>
      <protection hidden="1"/>
    </xf>
    <xf numFmtId="231" fontId="38" fillId="28" borderId="0" xfId="0" applyFont="1" applyFill="1" applyAlignment="1" applyProtection="1">
      <alignment horizontal="center" vertical="center"/>
      <protection hidden="1"/>
    </xf>
    <xf numFmtId="3" fontId="45" fillId="28" borderId="0" xfId="0" applyNumberFormat="1" applyFont="1" applyFill="1" applyAlignment="1" applyProtection="1">
      <alignment horizontal="center"/>
      <protection hidden="1"/>
    </xf>
    <xf numFmtId="213" fontId="38" fillId="0" borderId="0" xfId="0" applyNumberFormat="1" applyFont="1" applyAlignment="1" applyProtection="1">
      <alignment horizontal="center" vertical="center"/>
      <protection hidden="1"/>
    </xf>
    <xf numFmtId="219" fontId="38" fillId="0" borderId="0" xfId="0" applyNumberFormat="1" applyFont="1" applyAlignment="1" applyProtection="1">
      <alignment horizontal="center"/>
      <protection hidden="1"/>
    </xf>
    <xf numFmtId="4" fontId="46" fillId="0" borderId="0" xfId="0" applyNumberFormat="1" applyFont="1" applyAlignment="1" applyProtection="1">
      <alignment horizontal="center"/>
      <protection hidden="1"/>
    </xf>
    <xf numFmtId="2" fontId="38" fillId="28" borderId="0" xfId="0" applyNumberFormat="1" applyFont="1" applyFill="1" applyAlignment="1" applyProtection="1">
      <alignment horizontal="center"/>
      <protection hidden="1"/>
    </xf>
    <xf numFmtId="231" fontId="42" fillId="28" borderId="0" xfId="0" applyFont="1" applyFill="1" applyProtection="1">
      <protection hidden="1"/>
    </xf>
    <xf numFmtId="231" fontId="42" fillId="2" borderId="0" xfId="0" applyFont="1" applyFill="1" applyAlignment="1" applyProtection="1">
      <alignment horizontal="center" vertical="center"/>
      <protection hidden="1"/>
    </xf>
    <xf numFmtId="4" fontId="42" fillId="2" borderId="0" xfId="0" applyNumberFormat="1" applyFont="1" applyFill="1" applyAlignment="1" applyProtection="1">
      <alignment horizontal="center"/>
      <protection hidden="1"/>
    </xf>
    <xf numFmtId="3" fontId="42" fillId="2" borderId="0" xfId="0" applyNumberFormat="1" applyFont="1" applyFill="1" applyAlignment="1" applyProtection="1">
      <alignment horizontal="center"/>
      <protection hidden="1"/>
    </xf>
    <xf numFmtId="171" fontId="49" fillId="0" borderId="0" xfId="0" applyNumberFormat="1" applyFont="1" applyAlignment="1" applyProtection="1">
      <alignment vertical="center"/>
      <protection hidden="1"/>
    </xf>
    <xf numFmtId="231" fontId="55" fillId="0" borderId="0" xfId="0" applyFont="1" applyProtection="1">
      <protection hidden="1"/>
    </xf>
    <xf numFmtId="3" fontId="49" fillId="0" borderId="0" xfId="0" applyNumberFormat="1" applyFont="1" applyAlignment="1" applyProtection="1">
      <alignment horizontal="center"/>
      <protection hidden="1"/>
    </xf>
    <xf numFmtId="171" fontId="49" fillId="28" borderId="0" xfId="0" applyNumberFormat="1" applyFont="1" applyFill="1" applyAlignment="1" applyProtection="1">
      <alignment vertical="center"/>
      <protection hidden="1"/>
    </xf>
    <xf numFmtId="231" fontId="55" fillId="2" borderId="0" xfId="0" applyFont="1" applyFill="1" applyProtection="1">
      <protection hidden="1"/>
    </xf>
    <xf numFmtId="231" fontId="31" fillId="2" borderId="0" xfId="0" applyFont="1" applyFill="1" applyAlignment="1" applyProtection="1">
      <alignment vertical="center"/>
      <protection hidden="1"/>
    </xf>
    <xf numFmtId="231" fontId="31" fillId="2" borderId="0" xfId="0" applyFont="1" applyFill="1" applyAlignment="1" applyProtection="1">
      <alignment horizontal="left" vertical="center"/>
      <protection hidden="1"/>
    </xf>
    <xf numFmtId="231" fontId="49" fillId="2" borderId="0" xfId="0" applyFont="1" applyFill="1" applyAlignment="1" applyProtection="1">
      <alignment vertical="center"/>
      <protection hidden="1"/>
    </xf>
    <xf numFmtId="174" fontId="38" fillId="0" borderId="0" xfId="0" applyNumberFormat="1" applyFont="1" applyAlignment="1" applyProtection="1">
      <alignment horizontal="center"/>
      <protection hidden="1"/>
    </xf>
    <xf numFmtId="1" fontId="31" fillId="0" borderId="0" xfId="0" applyNumberFormat="1" applyFont="1" applyAlignment="1" applyProtection="1">
      <alignment horizontal="center"/>
      <protection hidden="1"/>
    </xf>
    <xf numFmtId="245" fontId="31" fillId="28" borderId="0" xfId="0" applyNumberFormat="1" applyFont="1" applyFill="1" applyAlignment="1" applyProtection="1">
      <alignment horizontal="center"/>
      <protection hidden="1"/>
    </xf>
    <xf numFmtId="9" fontId="31" fillId="0" borderId="0" xfId="0" applyNumberFormat="1" applyFont="1" applyProtection="1">
      <protection hidden="1"/>
    </xf>
    <xf numFmtId="15" fontId="63" fillId="2" borderId="0" xfId="0" applyNumberFormat="1" applyFont="1" applyFill="1" applyAlignment="1" applyProtection="1">
      <alignment horizontal="center" vertical="center"/>
      <protection hidden="1"/>
    </xf>
    <xf numFmtId="175" fontId="63" fillId="2" borderId="4" xfId="0" applyNumberFormat="1" applyFont="1" applyFill="1" applyBorder="1" applyAlignment="1" applyProtection="1">
      <alignment horizontal="center" vertical="center"/>
      <protection hidden="1"/>
    </xf>
    <xf numFmtId="231" fontId="45" fillId="0" borderId="0" xfId="0" applyFont="1" applyAlignment="1" applyProtection="1">
      <alignment vertical="center"/>
      <protection hidden="1"/>
    </xf>
    <xf numFmtId="231" fontId="52" fillId="2" borderId="4" xfId="0" applyFont="1" applyFill="1" applyBorder="1" applyAlignment="1" applyProtection="1">
      <alignment horizontal="center" vertical="center"/>
      <protection hidden="1"/>
    </xf>
    <xf numFmtId="3" fontId="45" fillId="0" borderId="0" xfId="0" applyNumberFormat="1" applyFont="1" applyAlignment="1" applyProtection="1">
      <alignment horizontal="center" vertical="center"/>
      <protection hidden="1"/>
    </xf>
    <xf numFmtId="171" fontId="31" fillId="0" borderId="0" xfId="0" applyNumberFormat="1" applyFont="1" applyAlignment="1" applyProtection="1">
      <alignment vertical="center"/>
      <protection hidden="1"/>
    </xf>
    <xf numFmtId="3" fontId="31" fillId="0" borderId="0" xfId="0" applyNumberFormat="1" applyFont="1" applyAlignment="1" applyProtection="1">
      <alignment horizontal="center" vertical="center"/>
      <protection hidden="1"/>
    </xf>
    <xf numFmtId="174" fontId="31" fillId="0" borderId="0" xfId="0" applyNumberFormat="1" applyFont="1" applyAlignment="1" applyProtection="1">
      <alignment horizontal="center" vertical="center"/>
      <protection hidden="1"/>
    </xf>
    <xf numFmtId="171" fontId="31" fillId="0" borderId="0" xfId="0" applyNumberFormat="1" applyFont="1" applyAlignment="1" applyProtection="1">
      <alignment horizontal="center" vertical="center"/>
      <protection hidden="1"/>
    </xf>
    <xf numFmtId="171" fontId="38" fillId="0" borderId="0" xfId="0" applyNumberFormat="1" applyFont="1" applyAlignment="1" applyProtection="1">
      <alignment vertical="center"/>
      <protection hidden="1"/>
    </xf>
    <xf numFmtId="174" fontId="38" fillId="0" borderId="0" xfId="0" applyNumberFormat="1" applyFont="1" applyAlignment="1" applyProtection="1">
      <alignment horizontal="center" vertical="center"/>
      <protection hidden="1"/>
    </xf>
    <xf numFmtId="174" fontId="45" fillId="0" borderId="0" xfId="0" applyNumberFormat="1" applyFont="1" applyAlignment="1" applyProtection="1">
      <alignment horizontal="center" vertical="center"/>
      <protection hidden="1"/>
    </xf>
    <xf numFmtId="231" fontId="31" fillId="0" borderId="0" xfId="0" applyFont="1" applyAlignment="1" applyProtection="1">
      <alignment vertical="center"/>
      <protection hidden="1"/>
    </xf>
    <xf numFmtId="231" fontId="38" fillId="0" borderId="0" xfId="0" applyFont="1" applyAlignment="1" applyProtection="1">
      <alignment horizontal="left" vertical="center"/>
      <protection hidden="1"/>
    </xf>
    <xf numFmtId="171" fontId="38" fillId="0" borderId="0" xfId="0" applyNumberFormat="1" applyFont="1" applyAlignment="1" applyProtection="1">
      <alignment horizontal="center" vertical="center"/>
      <protection hidden="1"/>
    </xf>
    <xf numFmtId="174" fontId="52" fillId="2" borderId="4" xfId="0" applyNumberFormat="1" applyFont="1" applyFill="1" applyBorder="1" applyAlignment="1" applyProtection="1">
      <alignment horizontal="center" vertical="center"/>
      <protection hidden="1"/>
    </xf>
    <xf numFmtId="171" fontId="31" fillId="0" borderId="0" xfId="0" applyNumberFormat="1" applyFont="1" applyAlignment="1" applyProtection="1">
      <alignment horizontal="left" vertical="center"/>
      <protection hidden="1"/>
    </xf>
    <xf numFmtId="171" fontId="38" fillId="28" borderId="0" xfId="0" applyNumberFormat="1" applyFont="1" applyFill="1" applyAlignment="1" applyProtection="1">
      <alignment horizontal="left" vertical="center"/>
      <protection hidden="1"/>
    </xf>
    <xf numFmtId="171" fontId="38" fillId="28" borderId="0" xfId="0" applyNumberFormat="1" applyFont="1" applyFill="1" applyAlignment="1" applyProtection="1">
      <alignment horizontal="center" vertical="center"/>
      <protection hidden="1"/>
    </xf>
    <xf numFmtId="3" fontId="38" fillId="0" borderId="0" xfId="0" applyNumberFormat="1" applyFont="1" applyAlignment="1" applyProtection="1">
      <alignment horizontal="center" vertical="center"/>
      <protection hidden="1"/>
    </xf>
    <xf numFmtId="231" fontId="44" fillId="0" borderId="0" xfId="0" applyFont="1" applyAlignment="1" applyProtection="1">
      <alignment horizontal="right" vertical="center"/>
      <protection hidden="1"/>
    </xf>
    <xf numFmtId="3" fontId="44" fillId="0" borderId="0" xfId="0" applyNumberFormat="1" applyFont="1" applyAlignment="1" applyProtection="1">
      <alignment horizontal="center" vertical="center"/>
      <protection hidden="1"/>
    </xf>
    <xf numFmtId="3" fontId="49" fillId="28" borderId="0" xfId="0" applyNumberFormat="1" applyFont="1" applyFill="1" applyAlignment="1" applyProtection="1">
      <alignment horizontal="center" vertical="center"/>
      <protection hidden="1"/>
    </xf>
    <xf numFmtId="170" fontId="45" fillId="0" borderId="0" xfId="0" applyNumberFormat="1" applyFont="1" applyAlignment="1" applyProtection="1">
      <alignment horizontal="center" vertical="center"/>
      <protection hidden="1"/>
    </xf>
    <xf numFmtId="3" fontId="31" fillId="0" borderId="0" xfId="0" applyNumberFormat="1" applyFont="1" applyProtection="1">
      <protection hidden="1"/>
    </xf>
    <xf numFmtId="231" fontId="31" fillId="2" borderId="0" xfId="0" applyFont="1" applyFill="1" applyAlignment="1" applyProtection="1">
      <alignment horizontal="left"/>
      <protection hidden="1"/>
    </xf>
    <xf numFmtId="231" fontId="31" fillId="2" borderId="0" xfId="0" applyFont="1" applyFill="1" applyAlignment="1" applyProtection="1">
      <alignment horizontal="left" vertical="center" indent="1"/>
      <protection hidden="1"/>
    </xf>
    <xf numFmtId="171" fontId="49" fillId="2" borderId="0" xfId="0" applyNumberFormat="1" applyFont="1" applyFill="1" applyProtection="1">
      <protection hidden="1"/>
    </xf>
    <xf numFmtId="3" fontId="46" fillId="2" borderId="4" xfId="0" applyNumberFormat="1" applyFont="1" applyFill="1" applyBorder="1" applyAlignment="1" applyProtection="1">
      <alignment horizontal="center"/>
      <protection hidden="1"/>
    </xf>
    <xf numFmtId="231" fontId="49" fillId="2" borderId="0" xfId="0" applyFont="1" applyFill="1" applyAlignment="1" applyProtection="1">
      <alignment horizontal="center"/>
      <protection hidden="1"/>
    </xf>
    <xf numFmtId="231" fontId="50" fillId="2" borderId="0" xfId="0" applyFont="1" applyFill="1" applyAlignment="1" applyProtection="1">
      <alignment horizontal="left"/>
      <protection hidden="1"/>
    </xf>
    <xf numFmtId="171" fontId="31" fillId="28" borderId="0" xfId="0" applyNumberFormat="1" applyFont="1" applyFill="1" applyAlignment="1" applyProtection="1">
      <alignment horizontal="center"/>
      <protection hidden="1"/>
    </xf>
    <xf numFmtId="0" fontId="31" fillId="1" borderId="0" xfId="51" applyFont="1">
      <alignment horizontal="center"/>
      <protection hidden="1"/>
    </xf>
    <xf numFmtId="171" fontId="38" fillId="0" borderId="0" xfId="0" applyNumberFormat="1" applyFont="1" applyProtection="1">
      <protection hidden="1"/>
    </xf>
    <xf numFmtId="171" fontId="49" fillId="0" borderId="0" xfId="0" applyNumberFormat="1" applyFont="1" applyAlignment="1" applyProtection="1">
      <alignment horizontal="left"/>
      <protection hidden="1"/>
    </xf>
    <xf numFmtId="237" fontId="31" fillId="28" borderId="0" xfId="0" applyNumberFormat="1" applyFont="1" applyFill="1" applyAlignment="1" applyProtection="1">
      <alignment horizontal="center"/>
      <protection hidden="1"/>
    </xf>
    <xf numFmtId="171" fontId="49" fillId="28" borderId="0" xfId="0" applyNumberFormat="1" applyFont="1" applyFill="1" applyProtection="1">
      <protection hidden="1"/>
    </xf>
    <xf numFmtId="3" fontId="38" fillId="0" borderId="0" xfId="0" applyNumberFormat="1" applyFont="1" applyAlignment="1" applyProtection="1">
      <alignment horizontal="center"/>
      <protection hidden="1"/>
    </xf>
    <xf numFmtId="171" fontId="31" fillId="0" borderId="0" xfId="0" applyNumberFormat="1" applyFont="1" applyAlignment="1" applyProtection="1">
      <alignment horizontal="left"/>
      <protection hidden="1"/>
    </xf>
    <xf numFmtId="2" fontId="38" fillId="0" borderId="0" xfId="0" applyNumberFormat="1" applyFont="1" applyAlignment="1" applyProtection="1">
      <alignment horizontal="center"/>
      <protection hidden="1"/>
    </xf>
    <xf numFmtId="171" fontId="42" fillId="0" borderId="0" xfId="0" applyNumberFormat="1" applyFont="1" applyProtection="1">
      <protection hidden="1"/>
    </xf>
    <xf numFmtId="231" fontId="66" fillId="0" borderId="0" xfId="0" applyFont="1" applyAlignment="1" applyProtection="1">
      <alignment horizontal="center"/>
      <protection hidden="1"/>
    </xf>
    <xf numFmtId="171" fontId="31" fillId="28" borderId="0" xfId="0" applyNumberFormat="1" applyFont="1" applyFill="1" applyAlignment="1" applyProtection="1">
      <alignment horizontal="left"/>
      <protection hidden="1"/>
    </xf>
    <xf numFmtId="174" fontId="49" fillId="0" borderId="0" xfId="0" applyNumberFormat="1" applyFont="1" applyAlignment="1" applyProtection="1">
      <alignment horizontal="center"/>
      <protection hidden="1"/>
    </xf>
    <xf numFmtId="231" fontId="49" fillId="28" borderId="0" xfId="0" applyFont="1" applyFill="1" applyProtection="1">
      <protection hidden="1"/>
    </xf>
    <xf numFmtId="10" fontId="40" fillId="0" borderId="0" xfId="0" applyNumberFormat="1" applyFont="1" applyAlignment="1" applyProtection="1">
      <alignment horizontal="center"/>
      <protection hidden="1"/>
    </xf>
    <xf numFmtId="10" fontId="44" fillId="0" borderId="0" xfId="0" applyNumberFormat="1" applyFont="1" applyAlignment="1" applyProtection="1">
      <alignment horizontal="center"/>
      <protection hidden="1"/>
    </xf>
    <xf numFmtId="170" fontId="45" fillId="0" borderId="0" xfId="0" applyNumberFormat="1" applyFont="1" applyProtection="1">
      <protection hidden="1"/>
    </xf>
    <xf numFmtId="1" fontId="49" fillId="0" borderId="0" xfId="0" applyNumberFormat="1" applyFont="1" applyProtection="1">
      <protection hidden="1"/>
    </xf>
    <xf numFmtId="212" fontId="31" fillId="28" borderId="0" xfId="0" applyNumberFormat="1" applyFont="1" applyFill="1" applyAlignment="1" applyProtection="1">
      <alignment horizontal="center"/>
      <protection hidden="1"/>
    </xf>
    <xf numFmtId="212" fontId="31" fillId="0" borderId="0" xfId="0" applyNumberFormat="1" applyFont="1" applyAlignment="1" applyProtection="1">
      <alignment horizontal="center"/>
      <protection hidden="1"/>
    </xf>
    <xf numFmtId="170" fontId="38" fillId="0" borderId="0" xfId="0" applyNumberFormat="1" applyFont="1" applyAlignment="1" applyProtection="1">
      <alignment horizontal="center"/>
      <protection hidden="1"/>
    </xf>
    <xf numFmtId="217" fontId="31" fillId="0" borderId="0" xfId="0" applyNumberFormat="1" applyFont="1" applyAlignment="1" applyProtection="1">
      <alignment horizontal="center"/>
      <protection hidden="1"/>
    </xf>
    <xf numFmtId="217" fontId="31" fillId="28" borderId="0" xfId="0" applyNumberFormat="1" applyFont="1" applyFill="1" applyAlignment="1" applyProtection="1">
      <alignment horizontal="center"/>
      <protection hidden="1"/>
    </xf>
    <xf numFmtId="197" fontId="31" fillId="28" borderId="0" xfId="0" applyNumberFormat="1" applyFont="1" applyFill="1" applyAlignment="1" applyProtection="1">
      <alignment horizontal="center"/>
      <protection hidden="1"/>
    </xf>
    <xf numFmtId="171" fontId="47" fillId="0" borderId="0" xfId="0" applyNumberFormat="1" applyFont="1" applyProtection="1">
      <protection hidden="1"/>
    </xf>
    <xf numFmtId="171" fontId="38" fillId="0" borderId="0" xfId="0" applyNumberFormat="1" applyFont="1" applyAlignment="1" applyProtection="1">
      <alignment horizontal="center"/>
      <protection hidden="1"/>
    </xf>
    <xf numFmtId="231" fontId="63" fillId="2" borderId="0" xfId="0" applyFont="1" applyFill="1" applyAlignment="1" applyProtection="1">
      <alignment horizontal="center"/>
      <protection hidden="1"/>
    </xf>
    <xf numFmtId="231" fontId="39" fillId="0" borderId="0" xfId="0" applyFont="1" applyProtection="1">
      <protection hidden="1"/>
    </xf>
    <xf numFmtId="212" fontId="49" fillId="0" borderId="4" xfId="0" applyNumberFormat="1" applyFont="1" applyBorder="1" applyAlignment="1" applyProtection="1">
      <alignment horizontal="center"/>
      <protection hidden="1"/>
    </xf>
    <xf numFmtId="231" fontId="49" fillId="0" borderId="0" xfId="0" applyFont="1" applyAlignment="1" applyProtection="1">
      <alignment horizontal="center"/>
      <protection hidden="1"/>
    </xf>
    <xf numFmtId="195" fontId="45" fillId="0" borderId="0" xfId="0" applyNumberFormat="1" applyFont="1" applyProtection="1">
      <protection hidden="1"/>
    </xf>
    <xf numFmtId="10" fontId="49" fillId="33" borderId="1" xfId="0" applyNumberFormat="1" applyFont="1" applyFill="1" applyBorder="1" applyAlignment="1" applyProtection="1">
      <alignment horizontal="center"/>
      <protection hidden="1"/>
    </xf>
    <xf numFmtId="195" fontId="50" fillId="0" borderId="0" xfId="0" applyNumberFormat="1" applyFont="1" applyAlignment="1" applyProtection="1">
      <alignment horizontal="center"/>
      <protection hidden="1"/>
    </xf>
    <xf numFmtId="10" fontId="49" fillId="0" borderId="0" xfId="0" applyNumberFormat="1" applyFont="1" applyAlignment="1" applyProtection="1">
      <alignment horizontal="center"/>
      <protection hidden="1"/>
    </xf>
    <xf numFmtId="170" fontId="31" fillId="28" borderId="0" xfId="0" applyNumberFormat="1" applyFont="1" applyFill="1" applyAlignment="1" applyProtection="1">
      <alignment horizontal="center"/>
      <protection hidden="1"/>
    </xf>
    <xf numFmtId="171" fontId="45" fillId="0" borderId="0" xfId="0" applyNumberFormat="1" applyFont="1" applyProtection="1">
      <protection hidden="1"/>
    </xf>
    <xf numFmtId="184" fontId="46" fillId="2" borderId="0" xfId="0" applyNumberFormat="1" applyFont="1" applyFill="1" applyAlignment="1" applyProtection="1">
      <alignment horizontal="center"/>
      <protection hidden="1"/>
    </xf>
    <xf numFmtId="1" fontId="45" fillId="0" borderId="0" xfId="0" applyNumberFormat="1" applyFont="1" applyProtection="1">
      <protection hidden="1"/>
    </xf>
    <xf numFmtId="1" fontId="45" fillId="2" borderId="0" xfId="0" applyNumberFormat="1" applyFont="1" applyFill="1" applyAlignment="1" applyProtection="1">
      <alignment horizontal="center"/>
      <protection hidden="1"/>
    </xf>
    <xf numFmtId="3" fontId="38" fillId="0" borderId="4" xfId="0" applyNumberFormat="1" applyFont="1" applyBorder="1" applyAlignment="1" applyProtection="1">
      <alignment horizontal="left" vertical="center" indent="1"/>
      <protection hidden="1"/>
    </xf>
    <xf numFmtId="231" fontId="53" fillId="0" borderId="4" xfId="0" applyFont="1" applyBorder="1"/>
    <xf numFmtId="252" fontId="31" fillId="0" borderId="4" xfId="0" applyNumberFormat="1" applyFont="1" applyBorder="1" applyAlignment="1" applyProtection="1">
      <alignment horizontal="center"/>
      <protection hidden="1"/>
    </xf>
    <xf numFmtId="231" fontId="57" fillId="0" borderId="0" xfId="0" applyFont="1"/>
    <xf numFmtId="3" fontId="38" fillId="0" borderId="0" xfId="0" applyNumberFormat="1" applyFont="1" applyAlignment="1" applyProtection="1">
      <alignment horizontal="left" vertical="center" indent="1"/>
      <protection hidden="1"/>
    </xf>
    <xf numFmtId="3" fontId="49" fillId="0" borderId="0" xfId="0" applyNumberFormat="1" applyFont="1" applyAlignment="1" applyProtection="1">
      <alignment horizontal="left" vertical="center" indent="1"/>
      <protection hidden="1"/>
    </xf>
    <xf numFmtId="171" fontId="31" fillId="0" borderId="4" xfId="0" applyNumberFormat="1" applyFont="1" applyBorder="1" applyAlignment="1" applyProtection="1">
      <alignment horizontal="center"/>
      <protection hidden="1"/>
    </xf>
    <xf numFmtId="178" fontId="31" fillId="28" borderId="0" xfId="0" applyNumberFormat="1" applyFont="1" applyFill="1" applyAlignment="1">
      <alignment horizontal="center" vertical="center"/>
    </xf>
    <xf numFmtId="231" fontId="31" fillId="0" borderId="0" xfId="0" quotePrefix="1" applyFont="1"/>
    <xf numFmtId="170" fontId="45" fillId="0" borderId="0" xfId="0" applyNumberFormat="1" applyFont="1"/>
    <xf numFmtId="174" fontId="31" fillId="2" borderId="7" xfId="0" applyNumberFormat="1" applyFont="1" applyFill="1" applyBorder="1" applyAlignment="1" applyProtection="1">
      <alignment horizontal="center"/>
      <protection hidden="1"/>
    </xf>
    <xf numFmtId="231" fontId="49" fillId="0" borderId="0" xfId="0" applyFont="1" applyAlignment="1">
      <alignment horizontal="left"/>
    </xf>
    <xf numFmtId="2" fontId="31" fillId="31" borderId="0" xfId="0" applyNumberFormat="1" applyFont="1" applyFill="1" applyAlignment="1">
      <alignment horizontal="center"/>
    </xf>
    <xf numFmtId="171" fontId="42" fillId="2" borderId="4" xfId="0" applyNumberFormat="1" applyFont="1" applyFill="1" applyBorder="1" applyAlignment="1">
      <alignment horizontal="center"/>
    </xf>
    <xf numFmtId="171" fontId="42" fillId="31" borderId="0" xfId="0" applyNumberFormat="1" applyFont="1" applyFill="1" applyAlignment="1" applyProtection="1">
      <alignment horizontal="center"/>
      <protection locked="0"/>
    </xf>
    <xf numFmtId="10" fontId="31" fillId="31" borderId="0" xfId="0" applyNumberFormat="1" applyFont="1" applyFill="1" applyAlignment="1">
      <alignment horizontal="center" vertical="center"/>
    </xf>
    <xf numFmtId="236" fontId="42" fillId="0" borderId="0" xfId="0" applyNumberFormat="1" applyFont="1" applyAlignment="1">
      <alignment horizontal="center"/>
    </xf>
    <xf numFmtId="221" fontId="42" fillId="31" borderId="0" xfId="0" applyNumberFormat="1" applyFont="1" applyFill="1" applyAlignment="1">
      <alignment horizontal="center"/>
    </xf>
    <xf numFmtId="236" fontId="42" fillId="31" borderId="0" xfId="0" applyNumberFormat="1" applyFont="1" applyFill="1" applyAlignment="1">
      <alignment horizontal="center"/>
    </xf>
    <xf numFmtId="241" fontId="31" fillId="31" borderId="0" xfId="0" applyNumberFormat="1" applyFont="1" applyFill="1" applyAlignment="1">
      <alignment horizontal="center"/>
    </xf>
    <xf numFmtId="181" fontId="31" fillId="31" borderId="0" xfId="0" applyNumberFormat="1" applyFont="1" applyFill="1" applyAlignment="1" applyProtection="1">
      <alignment horizontal="center" vertical="center"/>
      <protection locked="0"/>
    </xf>
    <xf numFmtId="10" fontId="69" fillId="2" borderId="0" xfId="0" applyNumberFormat="1" applyFont="1" applyFill="1" applyAlignment="1" applyProtection="1">
      <alignment horizontal="center"/>
      <protection hidden="1"/>
    </xf>
    <xf numFmtId="174" fontId="69" fillId="2" borderId="4" xfId="0" applyNumberFormat="1" applyFont="1" applyFill="1" applyBorder="1" applyAlignment="1" applyProtection="1">
      <alignment horizontal="center"/>
      <protection hidden="1"/>
    </xf>
    <xf numFmtId="171" fontId="69" fillId="2" borderId="0" xfId="0" applyNumberFormat="1" applyFont="1" applyFill="1" applyAlignment="1" applyProtection="1">
      <alignment horizontal="center"/>
      <protection hidden="1"/>
    </xf>
    <xf numFmtId="231" fontId="69" fillId="0" borderId="0" xfId="0" applyFont="1" applyProtection="1">
      <protection hidden="1"/>
    </xf>
    <xf numFmtId="169" fontId="69" fillId="28" borderId="0" xfId="0" applyNumberFormat="1" applyFont="1" applyFill="1" applyProtection="1">
      <protection hidden="1"/>
    </xf>
    <xf numFmtId="14" fontId="69" fillId="28" borderId="0" xfId="0" applyNumberFormat="1" applyFont="1" applyFill="1" applyProtection="1">
      <protection hidden="1"/>
    </xf>
    <xf numFmtId="231" fontId="69" fillId="2" borderId="0" xfId="0" applyFont="1" applyFill="1" applyProtection="1">
      <protection hidden="1"/>
    </xf>
    <xf numFmtId="171" fontId="71" fillId="2" borderId="0" xfId="0" applyNumberFormat="1" applyFont="1" applyFill="1" applyAlignment="1" applyProtection="1">
      <alignment horizontal="center"/>
      <protection hidden="1"/>
    </xf>
    <xf numFmtId="3" fontId="71" fillId="2" borderId="0" xfId="0" applyNumberFormat="1" applyFont="1" applyFill="1" applyAlignment="1" applyProtection="1">
      <alignment horizontal="center"/>
      <protection hidden="1"/>
    </xf>
    <xf numFmtId="4" fontId="69" fillId="2" borderId="0" xfId="0" applyNumberFormat="1" applyFont="1" applyFill="1" applyAlignment="1" applyProtection="1">
      <alignment horizontal="center"/>
      <protection hidden="1"/>
    </xf>
    <xf numFmtId="1" fontId="69" fillId="2" borderId="0" xfId="0" applyNumberFormat="1" applyFont="1" applyFill="1" applyAlignment="1" applyProtection="1">
      <alignment horizontal="center" vertical="center"/>
      <protection hidden="1"/>
    </xf>
    <xf numFmtId="172" fontId="69" fillId="2" borderId="0" xfId="0" applyNumberFormat="1" applyFont="1" applyFill="1" applyAlignment="1" applyProtection="1">
      <alignment horizontal="center" vertical="center"/>
      <protection hidden="1"/>
    </xf>
    <xf numFmtId="172" fontId="69" fillId="0" borderId="0" xfId="0" applyNumberFormat="1" applyFont="1" applyAlignment="1" applyProtection="1">
      <alignment horizontal="center" vertical="center"/>
      <protection hidden="1"/>
    </xf>
    <xf numFmtId="172" fontId="69" fillId="2" borderId="4" xfId="0" applyNumberFormat="1" applyFont="1" applyFill="1" applyBorder="1" applyAlignment="1" applyProtection="1">
      <alignment horizontal="center" vertical="center"/>
      <protection hidden="1"/>
    </xf>
    <xf numFmtId="231" fontId="69" fillId="0" borderId="0" xfId="0" applyFont="1" applyAlignment="1" applyProtection="1">
      <alignment horizontal="center"/>
      <protection hidden="1"/>
    </xf>
    <xf numFmtId="231" fontId="69" fillId="2" borderId="0" xfId="0" applyFont="1" applyFill="1" applyAlignment="1" applyProtection="1">
      <alignment horizontal="center"/>
      <protection hidden="1"/>
    </xf>
    <xf numFmtId="1" fontId="71" fillId="0" borderId="0" xfId="0" applyNumberFormat="1" applyFont="1" applyAlignment="1" applyProtection="1">
      <alignment horizontal="center"/>
      <protection hidden="1"/>
    </xf>
    <xf numFmtId="231" fontId="69" fillId="28" borderId="0" xfId="0" applyFont="1" applyFill="1" applyProtection="1">
      <protection hidden="1"/>
    </xf>
    <xf numFmtId="231" fontId="71" fillId="28" borderId="0" xfId="0" applyFont="1" applyFill="1" applyAlignment="1" applyProtection="1">
      <alignment horizontal="center"/>
      <protection hidden="1"/>
    </xf>
    <xf numFmtId="231" fontId="72" fillId="0" borderId="0" xfId="0" applyFont="1" applyAlignment="1" applyProtection="1">
      <alignment horizontal="left"/>
      <protection hidden="1"/>
    </xf>
    <xf numFmtId="231" fontId="70" fillId="2" borderId="0" xfId="0" applyFont="1" applyFill="1" applyAlignment="1" applyProtection="1">
      <alignment horizontal="left" vertical="center"/>
      <protection hidden="1"/>
    </xf>
    <xf numFmtId="231" fontId="69" fillId="0" borderId="0" xfId="0" applyFont="1" applyAlignment="1" applyProtection="1">
      <alignment vertical="center"/>
      <protection hidden="1"/>
    </xf>
    <xf numFmtId="171" fontId="71" fillId="0" borderId="0" xfId="0" applyNumberFormat="1" applyFont="1" applyAlignment="1" applyProtection="1">
      <alignment vertical="center"/>
      <protection hidden="1"/>
    </xf>
    <xf numFmtId="171" fontId="69" fillId="0" borderId="0" xfId="0" applyNumberFormat="1" applyFont="1" applyAlignment="1" applyProtection="1">
      <alignment vertical="center"/>
      <protection hidden="1"/>
    </xf>
    <xf numFmtId="231" fontId="71" fillId="0" borderId="0" xfId="0" applyFont="1" applyAlignment="1" applyProtection="1">
      <alignment horizontal="left" vertical="center"/>
      <protection hidden="1"/>
    </xf>
    <xf numFmtId="171" fontId="69" fillId="0" borderId="0" xfId="0" applyNumberFormat="1" applyFont="1" applyAlignment="1" applyProtection="1">
      <alignment horizontal="left" vertical="center"/>
      <protection hidden="1"/>
    </xf>
    <xf numFmtId="171" fontId="71" fillId="28" borderId="0" xfId="0" applyNumberFormat="1" applyFont="1" applyFill="1" applyAlignment="1" applyProtection="1">
      <alignment horizontal="left" vertical="center"/>
      <protection hidden="1"/>
    </xf>
    <xf numFmtId="231" fontId="71" fillId="0" borderId="0" xfId="0" applyFont="1" applyAlignment="1" applyProtection="1">
      <alignment horizontal="right" vertical="center"/>
      <protection hidden="1"/>
    </xf>
    <xf numFmtId="171" fontId="70" fillId="28" borderId="0" xfId="0" applyNumberFormat="1" applyFont="1" applyFill="1" applyAlignment="1" applyProtection="1">
      <alignment vertical="center"/>
      <protection hidden="1"/>
    </xf>
    <xf numFmtId="231" fontId="69" fillId="2" borderId="0" xfId="0" applyFont="1" applyFill="1" applyAlignment="1" applyProtection="1">
      <alignment horizontal="left"/>
      <protection hidden="1"/>
    </xf>
    <xf numFmtId="171" fontId="69" fillId="2" borderId="0" xfId="0" applyNumberFormat="1" applyFont="1" applyFill="1" applyProtection="1">
      <protection hidden="1"/>
    </xf>
    <xf numFmtId="171" fontId="71" fillId="2" borderId="0" xfId="0" applyNumberFormat="1" applyFont="1" applyFill="1" applyProtection="1">
      <protection hidden="1"/>
    </xf>
    <xf numFmtId="171" fontId="70" fillId="2" borderId="0" xfId="0" applyNumberFormat="1" applyFont="1" applyFill="1" applyProtection="1">
      <protection hidden="1"/>
    </xf>
    <xf numFmtId="171" fontId="69" fillId="28" borderId="0" xfId="0" applyNumberFormat="1" applyFont="1" applyFill="1" applyProtection="1">
      <protection hidden="1"/>
    </xf>
    <xf numFmtId="171" fontId="69" fillId="0" borderId="0" xfId="0" applyNumberFormat="1" applyFont="1" applyProtection="1">
      <protection hidden="1"/>
    </xf>
    <xf numFmtId="171" fontId="69" fillId="0" borderId="0" xfId="0" applyNumberFormat="1" applyFont="1" applyAlignment="1" applyProtection="1">
      <alignment horizontal="left"/>
      <protection hidden="1"/>
    </xf>
    <xf numFmtId="171" fontId="69" fillId="28" borderId="0" xfId="0" applyNumberFormat="1" applyFont="1" applyFill="1" applyAlignment="1" applyProtection="1">
      <alignment horizontal="left"/>
      <protection hidden="1"/>
    </xf>
    <xf numFmtId="171" fontId="71" fillId="28" borderId="0" xfId="0" applyNumberFormat="1" applyFont="1" applyFill="1" applyProtection="1">
      <protection hidden="1"/>
    </xf>
    <xf numFmtId="231" fontId="71" fillId="0" borderId="0" xfId="0" applyFont="1" applyProtection="1">
      <protection hidden="1"/>
    </xf>
    <xf numFmtId="174" fontId="69" fillId="0" borderId="9" xfId="0" applyNumberFormat="1" applyFont="1" applyBorder="1" applyAlignment="1">
      <alignment horizontal="center"/>
    </xf>
    <xf numFmtId="174" fontId="69" fillId="0" borderId="2" xfId="0" applyNumberFormat="1" applyFont="1" applyBorder="1" applyAlignment="1">
      <alignment horizontal="center"/>
    </xf>
    <xf numFmtId="174" fontId="69" fillId="0" borderId="12" xfId="0" applyNumberFormat="1" applyFont="1" applyBorder="1" applyAlignment="1">
      <alignment horizontal="center"/>
    </xf>
    <xf numFmtId="174" fontId="69" fillId="0" borderId="7" xfId="0" applyNumberFormat="1" applyFont="1" applyBorder="1" applyAlignment="1">
      <alignment horizontal="center"/>
    </xf>
    <xf numFmtId="174" fontId="69" fillId="0" borderId="0" xfId="0" applyNumberFormat="1" applyFont="1" applyAlignment="1">
      <alignment horizontal="center"/>
    </xf>
    <xf numFmtId="174" fontId="69" fillId="0" borderId="5" xfId="0" applyNumberFormat="1" applyFont="1" applyBorder="1" applyAlignment="1">
      <alignment horizontal="center"/>
    </xf>
    <xf numFmtId="174" fontId="69" fillId="0" borderId="10" xfId="0" applyNumberFormat="1" applyFont="1" applyBorder="1" applyAlignment="1">
      <alignment horizontal="center"/>
    </xf>
    <xf numFmtId="174" fontId="69" fillId="0" borderId="4" xfId="0" applyNumberFormat="1" applyFont="1" applyBorder="1" applyAlignment="1">
      <alignment horizontal="center"/>
    </xf>
    <xf numFmtId="174" fontId="69" fillId="0" borderId="6" xfId="0" applyNumberFormat="1" applyFont="1" applyBorder="1" applyAlignment="1">
      <alignment horizontal="center"/>
    </xf>
    <xf numFmtId="170" fontId="69" fillId="2" borderId="0" xfId="0" applyNumberFormat="1" applyFont="1" applyFill="1" applyAlignment="1">
      <alignment horizontal="center" wrapText="1"/>
    </xf>
    <xf numFmtId="203" fontId="69" fillId="0" borderId="0" xfId="0" applyNumberFormat="1" applyFont="1" applyAlignment="1">
      <alignment horizontal="center"/>
    </xf>
    <xf numFmtId="177" fontId="69" fillId="0" borderId="0" xfId="0" applyNumberFormat="1" applyFont="1" applyAlignment="1">
      <alignment horizontal="center" vertical="center"/>
    </xf>
    <xf numFmtId="0" fontId="69" fillId="0" borderId="0" xfId="0" applyNumberFormat="1" applyFont="1" applyAlignment="1">
      <alignment horizontal="center" vertical="center"/>
    </xf>
    <xf numFmtId="170" fontId="69" fillId="0" borderId="0" xfId="0" applyNumberFormat="1" applyFont="1" applyAlignment="1">
      <alignment horizontal="center" vertical="center"/>
    </xf>
    <xf numFmtId="220" fontId="69" fillId="0" borderId="0" xfId="0" applyNumberFormat="1" applyFont="1" applyAlignment="1">
      <alignment horizontal="center" vertical="center"/>
    </xf>
    <xf numFmtId="174" fontId="73" fillId="0" borderId="0" xfId="0" applyNumberFormat="1" applyFont="1" applyAlignment="1" applyProtection="1">
      <alignment horizontal="center" vertical="center"/>
      <protection hidden="1"/>
    </xf>
    <xf numFmtId="245" fontId="73" fillId="28" borderId="0" xfId="0" applyNumberFormat="1" applyFont="1" applyFill="1" applyAlignment="1" applyProtection="1">
      <alignment horizontal="center"/>
      <protection hidden="1"/>
    </xf>
    <xf numFmtId="9" fontId="69" fillId="0" borderId="0" xfId="0" applyNumberFormat="1" applyFont="1" applyAlignment="1" applyProtection="1">
      <alignment horizontal="center"/>
      <protection hidden="1"/>
    </xf>
    <xf numFmtId="174" fontId="73" fillId="0" borderId="0" xfId="52" applyFont="1">
      <alignment horizontal="center"/>
      <protection hidden="1"/>
    </xf>
    <xf numFmtId="231" fontId="31" fillId="28" borderId="0" xfId="0" applyFont="1" applyFill="1" applyAlignment="1">
      <alignment horizontal="left"/>
    </xf>
    <xf numFmtId="231" fontId="73" fillId="0" borderId="0" xfId="0" applyFont="1" applyProtection="1">
      <protection hidden="1"/>
    </xf>
    <xf numFmtId="10" fontId="74" fillId="0" borderId="0" xfId="0" applyNumberFormat="1" applyFont="1" applyAlignment="1" applyProtection="1">
      <alignment horizontal="center"/>
      <protection hidden="1"/>
    </xf>
    <xf numFmtId="231" fontId="39" fillId="42" borderId="0" xfId="58" applyFont="1" applyFill="1"/>
    <xf numFmtId="171" fontId="31" fillId="2" borderId="0" xfId="59" applyNumberFormat="1" applyFont="1" applyFill="1" applyBorder="1"/>
    <xf numFmtId="176" fontId="31" fillId="2" borderId="0" xfId="59" applyNumberFormat="1" applyFont="1" applyFill="1" applyBorder="1"/>
    <xf numFmtId="10" fontId="31" fillId="2" borderId="0" xfId="53" applyNumberFormat="1" applyFont="1" applyFill="1" applyAlignment="1" applyProtection="1"/>
    <xf numFmtId="231" fontId="38" fillId="2" borderId="0" xfId="53" applyNumberFormat="1" applyFont="1" applyFill="1" applyAlignment="1" applyProtection="1"/>
    <xf numFmtId="231" fontId="31" fillId="2" borderId="0" xfId="53" applyNumberFormat="1" applyFont="1" applyFill="1" applyAlignment="1" applyProtection="1"/>
    <xf numFmtId="231" fontId="42" fillId="2" borderId="0" xfId="0" applyFont="1" applyFill="1"/>
    <xf numFmtId="231" fontId="42" fillId="0" borderId="0" xfId="0" applyFont="1"/>
    <xf numFmtId="186" fontId="44" fillId="0" borderId="0" xfId="0" applyNumberFormat="1" applyFont="1" applyAlignment="1">
      <alignment horizontal="center" vertical="center"/>
    </xf>
    <xf numFmtId="240" fontId="42" fillId="0" borderId="6" xfId="0" applyNumberFormat="1" applyFont="1" applyBorder="1" applyAlignment="1">
      <alignment horizontal="center"/>
    </xf>
    <xf numFmtId="171" fontId="76" fillId="2" borderId="0" xfId="59" applyNumberFormat="1" applyFont="1" applyFill="1" applyBorder="1"/>
    <xf numFmtId="171" fontId="77" fillId="2" borderId="0" xfId="59" applyNumberFormat="1" applyFont="1" applyFill="1" applyBorder="1" applyAlignment="1" applyProtection="1">
      <alignment horizontal="center"/>
    </xf>
    <xf numFmtId="231" fontId="76" fillId="0" borderId="0" xfId="0" applyFont="1"/>
    <xf numFmtId="171" fontId="76" fillId="28" borderId="0" xfId="59" applyNumberFormat="1" applyFont="1" applyFill="1" applyBorder="1"/>
    <xf numFmtId="170" fontId="77" fillId="28" borderId="0" xfId="53" applyNumberFormat="1" applyFont="1" applyFill="1" applyAlignment="1" applyProtection="1">
      <alignment horizontal="center" vertical="center"/>
    </xf>
    <xf numFmtId="0" fontId="76" fillId="2" borderId="0" xfId="59" applyNumberFormat="1" applyFont="1" applyFill="1" applyBorder="1" applyAlignment="1">
      <alignment horizontal="center"/>
    </xf>
    <xf numFmtId="178" fontId="77" fillId="0" borderId="0" xfId="60" applyNumberFormat="1" applyFont="1" applyAlignment="1">
      <alignment horizontal="center" vertical="center"/>
    </xf>
    <xf numFmtId="193" fontId="77" fillId="0" borderId="0" xfId="0" applyNumberFormat="1" applyFont="1" applyAlignment="1">
      <alignment horizontal="center" vertical="center"/>
    </xf>
    <xf numFmtId="10" fontId="76" fillId="0" borderId="0" xfId="53" applyNumberFormat="1" applyFont="1" applyProtection="1">
      <alignment horizontal="center"/>
    </xf>
    <xf numFmtId="231" fontId="76" fillId="0" borderId="0" xfId="0" applyFont="1" applyProtection="1">
      <protection hidden="1"/>
    </xf>
    <xf numFmtId="231" fontId="77" fillId="0" borderId="0" xfId="0" applyFont="1" applyAlignment="1">
      <alignment horizontal="center"/>
    </xf>
    <xf numFmtId="10" fontId="76" fillId="2" borderId="0" xfId="53" applyNumberFormat="1" applyFont="1" applyFill="1" applyProtection="1">
      <alignment horizontal="center"/>
    </xf>
    <xf numFmtId="170" fontId="77" fillId="2" borderId="0" xfId="59" applyNumberFormat="1" applyFont="1" applyFill="1" applyBorder="1" applyAlignment="1">
      <alignment horizontal="center"/>
    </xf>
    <xf numFmtId="170" fontId="77" fillId="0" borderId="0" xfId="0" applyNumberFormat="1" applyFont="1" applyAlignment="1">
      <alignment horizontal="center"/>
    </xf>
    <xf numFmtId="231" fontId="76" fillId="0" borderId="4" xfId="0" applyFont="1" applyBorder="1"/>
    <xf numFmtId="171" fontId="76" fillId="2" borderId="4" xfId="59" applyNumberFormat="1" applyFont="1" applyFill="1" applyBorder="1"/>
    <xf numFmtId="238" fontId="76" fillId="0" borderId="0" xfId="0" applyNumberFormat="1" applyFont="1" applyAlignment="1">
      <alignment horizontal="center" vertical="center"/>
    </xf>
    <xf numFmtId="10" fontId="76" fillId="2" borderId="0" xfId="59" applyNumberFormat="1" applyFont="1" applyFill="1" applyBorder="1" applyAlignment="1" applyProtection="1">
      <alignment horizontal="center"/>
    </xf>
    <xf numFmtId="181" fontId="76" fillId="0" borderId="0" xfId="0" applyNumberFormat="1" applyFont="1" applyAlignment="1">
      <alignment horizontal="center" vertical="center"/>
    </xf>
    <xf numFmtId="10" fontId="76" fillId="28" borderId="0" xfId="59" applyNumberFormat="1" applyFont="1" applyFill="1" applyBorder="1" applyAlignment="1">
      <alignment horizontal="center"/>
    </xf>
    <xf numFmtId="178" fontId="76" fillId="0" borderId="0" xfId="60" applyNumberFormat="1" applyFont="1" applyAlignment="1">
      <alignment horizontal="center" vertical="center"/>
    </xf>
    <xf numFmtId="10" fontId="76" fillId="0" borderId="0" xfId="59" applyNumberFormat="1" applyFont="1" applyFill="1" applyBorder="1" applyAlignment="1">
      <alignment horizontal="center"/>
    </xf>
    <xf numFmtId="2" fontId="76" fillId="28" borderId="0" xfId="0" applyNumberFormat="1" applyFont="1" applyFill="1" applyAlignment="1">
      <alignment horizontal="center"/>
    </xf>
    <xf numFmtId="231" fontId="76" fillId="0" borderId="0" xfId="0" applyFont="1" applyAlignment="1">
      <alignment horizontal="left" indent="1"/>
    </xf>
    <xf numFmtId="186" fontId="76" fillId="0" borderId="0" xfId="0" applyNumberFormat="1" applyFont="1" applyAlignment="1">
      <alignment horizontal="center" vertical="center"/>
    </xf>
    <xf numFmtId="238" fontId="76" fillId="0" borderId="0" xfId="0" applyNumberFormat="1" applyFont="1" applyAlignment="1" applyProtection="1">
      <alignment horizontal="center" vertical="center"/>
      <protection locked="0"/>
    </xf>
    <xf numFmtId="10" fontId="77" fillId="0" borderId="0" xfId="53" applyNumberFormat="1" applyFont="1" applyAlignment="1" applyProtection="1">
      <alignment horizontal="center" vertical="center"/>
    </xf>
    <xf numFmtId="254" fontId="76" fillId="2" borderId="0" xfId="0" applyNumberFormat="1" applyFont="1" applyFill="1" applyAlignment="1">
      <alignment horizontal="center" vertical="center"/>
    </xf>
    <xf numFmtId="170" fontId="77" fillId="2" borderId="0" xfId="53" applyNumberFormat="1" applyFont="1" applyFill="1" applyAlignment="1" applyProtection="1">
      <alignment horizontal="center" vertical="center"/>
    </xf>
    <xf numFmtId="186" fontId="41" fillId="28" borderId="0" xfId="0" applyNumberFormat="1" applyFont="1" applyFill="1" applyAlignment="1" applyProtection="1">
      <alignment horizontal="center" vertical="center"/>
      <protection locked="0"/>
    </xf>
    <xf numFmtId="181" fontId="31" fillId="31" borderId="0" xfId="0" applyNumberFormat="1" applyFont="1" applyFill="1" applyAlignment="1">
      <alignment horizontal="center" vertical="center"/>
    </xf>
    <xf numFmtId="196" fontId="42" fillId="31" borderId="0" xfId="0" applyNumberFormat="1" applyFont="1" applyFill="1" applyAlignment="1">
      <alignment horizontal="center" vertical="center"/>
    </xf>
    <xf numFmtId="225" fontId="69" fillId="2" borderId="0" xfId="0" applyNumberFormat="1" applyFont="1" applyFill="1" applyAlignment="1">
      <alignment horizontal="center" vertical="center"/>
    </xf>
    <xf numFmtId="9" fontId="41" fillId="31" borderId="0" xfId="0" applyNumberFormat="1" applyFont="1" applyFill="1" applyAlignment="1">
      <alignment horizontal="center" vertical="center"/>
    </xf>
    <xf numFmtId="171" fontId="42" fillId="31" borderId="15" xfId="0" applyNumberFormat="1" applyFont="1" applyFill="1" applyBorder="1"/>
    <xf numFmtId="170" fontId="38" fillId="28" borderId="0" xfId="0" applyNumberFormat="1" applyFont="1" applyFill="1" applyAlignment="1">
      <alignment horizontal="center"/>
    </xf>
    <xf numFmtId="249" fontId="40" fillId="0" borderId="0" xfId="0" applyNumberFormat="1" applyFont="1" applyAlignment="1">
      <alignment horizontal="center"/>
    </xf>
    <xf numFmtId="174" fontId="40" fillId="0" borderId="0" xfId="0" applyNumberFormat="1" applyFont="1" applyAlignment="1">
      <alignment horizontal="center"/>
    </xf>
    <xf numFmtId="196" fontId="40" fillId="31" borderId="0" xfId="0" applyNumberFormat="1" applyFont="1" applyFill="1" applyAlignment="1">
      <alignment horizontal="center" vertical="center"/>
    </xf>
    <xf numFmtId="204" fontId="40" fillId="0" borderId="0" xfId="0" applyNumberFormat="1" applyFont="1" applyAlignment="1">
      <alignment horizontal="center" vertical="center"/>
    </xf>
    <xf numFmtId="186" fontId="41" fillId="0" borderId="0" xfId="0" applyNumberFormat="1" applyFont="1" applyAlignment="1" applyProtection="1">
      <alignment horizontal="center" vertical="center"/>
      <protection locked="0"/>
    </xf>
    <xf numFmtId="171" fontId="31" fillId="0" borderId="0" xfId="0" applyNumberFormat="1" applyFont="1" applyAlignment="1">
      <alignment vertical="center"/>
    </xf>
    <xf numFmtId="0" fontId="45" fillId="0" borderId="0" xfId="0" applyNumberFormat="1" applyFont="1" applyAlignment="1">
      <alignment horizontal="left"/>
    </xf>
    <xf numFmtId="174" fontId="41" fillId="31" borderId="11" xfId="0" applyNumberFormat="1" applyFont="1" applyFill="1" applyBorder="1" applyAlignment="1">
      <alignment horizontal="center" vertical="center"/>
    </xf>
    <xf numFmtId="174" fontId="41" fillId="0" borderId="11" xfId="0" applyNumberFormat="1" applyFont="1" applyBorder="1" applyAlignment="1">
      <alignment horizontal="center"/>
    </xf>
    <xf numFmtId="174" fontId="41" fillId="31" borderId="11" xfId="0" applyNumberFormat="1" applyFont="1" applyFill="1" applyBorder="1" applyAlignment="1">
      <alignment horizontal="center"/>
    </xf>
    <xf numFmtId="174" fontId="41" fillId="31" borderId="9" xfId="0" applyNumberFormat="1" applyFont="1" applyFill="1" applyBorder="1" applyAlignment="1">
      <alignment horizontal="center" vertical="center"/>
    </xf>
    <xf numFmtId="229" fontId="41" fillId="0" borderId="9" xfId="0" applyNumberFormat="1" applyFont="1" applyBorder="1" applyAlignment="1">
      <alignment horizontal="center"/>
    </xf>
    <xf numFmtId="229" fontId="41" fillId="0" borderId="12" xfId="0" applyNumberFormat="1" applyFont="1" applyBorder="1" applyAlignment="1">
      <alignment horizontal="center"/>
    </xf>
    <xf numFmtId="229" fontId="41" fillId="0" borderId="7" xfId="0" applyNumberFormat="1" applyFont="1" applyBorder="1" applyAlignment="1">
      <alignment horizontal="center"/>
    </xf>
    <xf numFmtId="229" fontId="41" fillId="0" borderId="5" xfId="0" applyNumberFormat="1" applyFont="1" applyBorder="1" applyAlignment="1">
      <alignment horizontal="center"/>
    </xf>
    <xf numFmtId="229" fontId="41" fillId="0" borderId="10" xfId="0" applyNumberFormat="1" applyFont="1" applyBorder="1" applyAlignment="1">
      <alignment horizontal="center"/>
    </xf>
    <xf numFmtId="229" fontId="41" fillId="0" borderId="6" xfId="0" applyNumberFormat="1" applyFont="1" applyBorder="1" applyAlignment="1">
      <alignment horizontal="center"/>
    </xf>
    <xf numFmtId="246" fontId="41" fillId="0" borderId="9" xfId="0" applyNumberFormat="1" applyFont="1" applyBorder="1" applyAlignment="1">
      <alignment horizontal="center"/>
    </xf>
    <xf numFmtId="246" fontId="41" fillId="0" borderId="7" xfId="0" applyNumberFormat="1" applyFont="1" applyBorder="1" applyAlignment="1">
      <alignment horizontal="center"/>
    </xf>
    <xf numFmtId="170" fontId="41" fillId="0" borderId="9" xfId="0" applyNumberFormat="1" applyFont="1" applyBorder="1" applyAlignment="1">
      <alignment horizontal="center"/>
    </xf>
    <xf numFmtId="170" fontId="41" fillId="0" borderId="12" xfId="0" applyNumberFormat="1" applyFont="1" applyBorder="1" applyAlignment="1">
      <alignment horizontal="center"/>
    </xf>
    <xf numFmtId="170" fontId="41" fillId="0" borderId="7" xfId="0" applyNumberFormat="1" applyFont="1" applyBorder="1" applyAlignment="1">
      <alignment horizontal="center"/>
    </xf>
    <xf numFmtId="170" fontId="41" fillId="0" borderId="5" xfId="0" applyNumberFormat="1" applyFont="1" applyBorder="1" applyAlignment="1">
      <alignment horizontal="center"/>
    </xf>
    <xf numFmtId="198" fontId="40" fillId="0" borderId="9" xfId="0" applyNumberFormat="1" applyFont="1" applyBorder="1" applyAlignment="1">
      <alignment horizontal="center" textRotation="90"/>
    </xf>
    <xf numFmtId="198" fontId="40" fillId="0" borderId="12" xfId="0" applyNumberFormat="1" applyFont="1" applyBorder="1" applyAlignment="1">
      <alignment horizontal="center" textRotation="90"/>
    </xf>
    <xf numFmtId="198" fontId="40" fillId="0" borderId="10" xfId="0" applyNumberFormat="1" applyFont="1" applyBorder="1" applyAlignment="1">
      <alignment horizontal="center" textRotation="90"/>
    </xf>
    <xf numFmtId="198" fontId="40" fillId="0" borderId="6" xfId="0" applyNumberFormat="1" applyFont="1" applyBorder="1" applyAlignment="1">
      <alignment horizontal="center" textRotation="90"/>
    </xf>
    <xf numFmtId="225" fontId="42" fillId="2" borderId="0" xfId="0" applyNumberFormat="1" applyFont="1" applyFill="1" applyAlignment="1" applyProtection="1">
      <alignment horizontal="center" vertical="center"/>
      <protection hidden="1"/>
    </xf>
    <xf numFmtId="170" fontId="76" fillId="28" borderId="0" xfId="53" applyNumberFormat="1" applyFont="1" applyFill="1" applyAlignment="1" applyProtection="1">
      <alignment horizontal="center" vertical="center"/>
    </xf>
    <xf numFmtId="174" fontId="70" fillId="0" borderId="0" xfId="0" applyNumberFormat="1" applyFont="1" applyAlignment="1" applyProtection="1">
      <alignment horizontal="center"/>
      <protection hidden="1"/>
    </xf>
    <xf numFmtId="217" fontId="69" fillId="0" borderId="0" xfId="0" applyNumberFormat="1" applyFont="1" applyAlignment="1" applyProtection="1">
      <alignment horizontal="center"/>
      <protection hidden="1"/>
    </xf>
    <xf numFmtId="217" fontId="69" fillId="28" borderId="4" xfId="0" applyNumberFormat="1" applyFont="1" applyFill="1" applyBorder="1" applyAlignment="1" applyProtection="1">
      <alignment horizontal="center"/>
      <protection hidden="1"/>
    </xf>
    <xf numFmtId="217" fontId="69" fillId="28" borderId="0" xfId="0" applyNumberFormat="1" applyFont="1" applyFill="1" applyAlignment="1" applyProtection="1">
      <alignment horizontal="center"/>
      <protection hidden="1"/>
    </xf>
    <xf numFmtId="174" fontId="69" fillId="0" borderId="0" xfId="0" applyNumberFormat="1" applyFont="1" applyAlignment="1" applyProtection="1">
      <alignment horizontal="center"/>
      <protection hidden="1"/>
    </xf>
    <xf numFmtId="174" fontId="69" fillId="2" borderId="0" xfId="0" applyNumberFormat="1" applyFont="1" applyFill="1" applyAlignment="1" applyProtection="1">
      <alignment horizontal="center"/>
      <protection hidden="1"/>
    </xf>
    <xf numFmtId="212" fontId="70" fillId="0" borderId="0" xfId="0" applyNumberFormat="1" applyFont="1" applyAlignment="1" applyProtection="1">
      <alignment horizontal="center"/>
      <protection hidden="1"/>
    </xf>
    <xf numFmtId="255" fontId="46" fillId="0" borderId="0" xfId="0" applyNumberFormat="1" applyFont="1" applyAlignment="1">
      <alignment horizontal="center" vertical="center"/>
    </xf>
    <xf numFmtId="255" fontId="42" fillId="0" borderId="0" xfId="0" applyNumberFormat="1" applyFont="1" applyAlignment="1">
      <alignment horizontal="center" vertical="center"/>
    </xf>
    <xf numFmtId="255" fontId="77" fillId="2" borderId="4" xfId="0" applyNumberFormat="1" applyFont="1" applyFill="1" applyBorder="1" applyAlignment="1">
      <alignment horizontal="center" vertical="center"/>
    </xf>
    <xf numFmtId="255" fontId="77" fillId="2" borderId="0" xfId="0" applyNumberFormat="1" applyFont="1" applyFill="1" applyAlignment="1">
      <alignment horizontal="center" vertical="center"/>
    </xf>
    <xf numFmtId="10" fontId="40" fillId="28" borderId="0" xfId="59" applyNumberFormat="1" applyFont="1" applyFill="1" applyBorder="1" applyAlignment="1">
      <alignment horizontal="center"/>
    </xf>
    <xf numFmtId="10" fontId="38" fillId="0" borderId="0" xfId="59" applyNumberFormat="1" applyFont="1" applyFill="1" applyBorder="1" applyAlignment="1">
      <alignment horizontal="center"/>
    </xf>
    <xf numFmtId="256" fontId="76" fillId="2" borderId="0" xfId="0" applyNumberFormat="1" applyFont="1" applyFill="1" applyAlignment="1">
      <alignment horizontal="center" vertical="center"/>
    </xf>
    <xf numFmtId="256" fontId="76" fillId="2" borderId="4" xfId="0" applyNumberFormat="1" applyFont="1" applyFill="1" applyBorder="1" applyAlignment="1">
      <alignment horizontal="center" vertical="center"/>
    </xf>
    <xf numFmtId="257" fontId="31" fillId="31" borderId="1" xfId="0" applyNumberFormat="1" applyFont="1" applyFill="1" applyBorder="1" applyAlignment="1">
      <alignment horizontal="center" vertical="center"/>
    </xf>
    <xf numFmtId="171" fontId="42" fillId="28" borderId="0" xfId="59" applyNumberFormat="1" applyFont="1" applyFill="1" applyBorder="1"/>
    <xf numFmtId="171" fontId="31" fillId="0" borderId="0" xfId="59" applyNumberFormat="1" applyFont="1" applyFill="1" applyBorder="1"/>
    <xf numFmtId="194" fontId="50" fillId="2" borderId="0" xfId="59" applyNumberFormat="1" applyFont="1" applyFill="1" applyBorder="1" applyProtection="1">
      <protection hidden="1"/>
    </xf>
    <xf numFmtId="194" fontId="50" fillId="2" borderId="4" xfId="59" applyNumberFormat="1" applyFont="1" applyFill="1" applyBorder="1" applyProtection="1">
      <protection hidden="1"/>
    </xf>
    <xf numFmtId="0" fontId="45" fillId="0" borderId="0" xfId="59" applyNumberFormat="1" applyFont="1" applyProtection="1">
      <protection hidden="1"/>
    </xf>
    <xf numFmtId="0" fontId="31" fillId="31" borderId="0" xfId="0" applyNumberFormat="1" applyFont="1" applyFill="1" applyAlignment="1">
      <alignment horizontal="center"/>
    </xf>
    <xf numFmtId="257" fontId="31" fillId="0" borderId="1" xfId="0" applyNumberFormat="1" applyFont="1" applyBorder="1" applyAlignment="1">
      <alignment horizontal="center" vertical="center"/>
    </xf>
    <xf numFmtId="176" fontId="45" fillId="2" borderId="0" xfId="0" applyNumberFormat="1" applyFont="1" applyFill="1" applyProtection="1">
      <protection hidden="1"/>
    </xf>
    <xf numFmtId="231" fontId="45" fillId="28" borderId="0" xfId="0" applyFont="1" applyFill="1" applyAlignment="1" applyProtection="1">
      <alignment horizontal="center"/>
      <protection hidden="1"/>
    </xf>
    <xf numFmtId="170" fontId="31" fillId="0" borderId="0" xfId="0" applyNumberFormat="1" applyFont="1" applyAlignment="1">
      <alignment horizontal="center" vertical="center"/>
    </xf>
    <xf numFmtId="224" fontId="31" fillId="31" borderId="9" xfId="0" applyNumberFormat="1" applyFont="1" applyFill="1" applyBorder="1" applyAlignment="1">
      <alignment horizontal="center"/>
    </xf>
    <xf numFmtId="224" fontId="42" fillId="31" borderId="10" xfId="0" applyNumberFormat="1" applyFont="1" applyFill="1" applyBorder="1" applyAlignment="1">
      <alignment horizontal="center"/>
    </xf>
    <xf numFmtId="204" fontId="41" fillId="0" borderId="6" xfId="0" applyNumberFormat="1" applyFont="1" applyBorder="1" applyAlignment="1">
      <alignment horizontal="center" vertical="center"/>
    </xf>
    <xf numFmtId="178" fontId="42" fillId="31" borderId="0" xfId="0" applyNumberFormat="1" applyFont="1" applyFill="1" applyAlignment="1">
      <alignment horizontal="center"/>
    </xf>
    <xf numFmtId="10" fontId="42" fillId="31" borderId="1" xfId="0" applyNumberFormat="1" applyFont="1" applyFill="1" applyBorder="1" applyAlignment="1" applyProtection="1">
      <alignment horizontal="center" vertical="center"/>
      <protection locked="0"/>
    </xf>
    <xf numFmtId="170" fontId="42" fillId="31" borderId="1" xfId="0" applyNumberFormat="1" applyFont="1" applyFill="1" applyBorder="1" applyAlignment="1">
      <alignment horizontal="center" vertical="center"/>
    </xf>
    <xf numFmtId="170" fontId="42" fillId="31" borderId="0" xfId="0" applyNumberFormat="1" applyFont="1" applyFill="1" applyAlignment="1">
      <alignment horizontal="center" vertical="center"/>
    </xf>
    <xf numFmtId="174" fontId="41" fillId="31" borderId="0" xfId="0" applyNumberFormat="1" applyFont="1" applyFill="1" applyAlignment="1">
      <alignment horizontal="center"/>
    </xf>
    <xf numFmtId="170" fontId="69" fillId="2" borderId="0" xfId="0" applyNumberFormat="1" applyFont="1" applyFill="1" applyAlignment="1" applyProtection="1">
      <alignment horizontal="center"/>
      <protection hidden="1"/>
    </xf>
    <xf numFmtId="209" fontId="69" fillId="28" borderId="0" xfId="0" applyNumberFormat="1" applyFont="1" applyFill="1" applyAlignment="1" applyProtection="1">
      <alignment horizontal="center" vertical="center"/>
      <protection hidden="1"/>
    </xf>
    <xf numFmtId="174" fontId="69" fillId="0" borderId="0" xfId="52" applyFont="1">
      <alignment horizontal="center"/>
      <protection hidden="1"/>
    </xf>
    <xf numFmtId="9" fontId="69" fillId="28" borderId="0" xfId="0" applyNumberFormat="1" applyFont="1" applyFill="1" applyAlignment="1" applyProtection="1">
      <alignment horizontal="center"/>
      <protection hidden="1"/>
    </xf>
    <xf numFmtId="195" fontId="38" fillId="0" borderId="4" xfId="0" applyNumberFormat="1" applyFont="1" applyBorder="1" applyAlignment="1" applyProtection="1">
      <alignment horizontal="center"/>
      <protection hidden="1"/>
    </xf>
    <xf numFmtId="171" fontId="42" fillId="31" borderId="1" xfId="0" applyNumberFormat="1" applyFont="1" applyFill="1" applyBorder="1" applyAlignment="1">
      <alignment horizontal="center"/>
    </xf>
    <xf numFmtId="170" fontId="45" fillId="2" borderId="0" xfId="53" applyNumberFormat="1" applyFont="1" applyFill="1" applyProtection="1">
      <alignment horizontal="center"/>
    </xf>
    <xf numFmtId="10" fontId="40" fillId="0" borderId="0" xfId="0" applyNumberFormat="1" applyFont="1" applyAlignment="1">
      <alignment horizontal="center"/>
    </xf>
    <xf numFmtId="174" fontId="41" fillId="31" borderId="1" xfId="0" applyNumberFormat="1" applyFont="1" applyFill="1" applyBorder="1" applyAlignment="1">
      <alignment horizontal="center"/>
    </xf>
    <xf numFmtId="10" fontId="38" fillId="0" borderId="1" xfId="0" applyNumberFormat="1" applyFont="1" applyBorder="1" applyAlignment="1">
      <alignment horizontal="center"/>
    </xf>
    <xf numFmtId="10" fontId="31" fillId="0" borderId="0" xfId="0" applyNumberFormat="1" applyFont="1" applyAlignment="1" applyProtection="1">
      <alignment horizontal="center" vertical="center"/>
      <protection locked="0"/>
    </xf>
    <xf numFmtId="260" fontId="31" fillId="0" borderId="0" xfId="0" applyNumberFormat="1" applyFont="1"/>
    <xf numFmtId="261" fontId="31" fillId="0" borderId="0" xfId="0" applyNumberFormat="1" applyFont="1"/>
    <xf numFmtId="201" fontId="31" fillId="2" borderId="7" xfId="0" applyNumberFormat="1" applyFont="1" applyFill="1" applyBorder="1" applyAlignment="1" applyProtection="1">
      <alignment horizontal="center"/>
      <protection hidden="1"/>
    </xf>
    <xf numFmtId="0" fontId="45" fillId="2" borderId="0" xfId="53" applyNumberFormat="1" applyFont="1" applyFill="1" applyProtection="1">
      <alignment horizontal="center"/>
    </xf>
    <xf numFmtId="3" fontId="38" fillId="2" borderId="15" xfId="0" applyNumberFormat="1" applyFont="1" applyFill="1" applyBorder="1" applyAlignment="1" applyProtection="1">
      <alignment horizontal="center"/>
      <protection hidden="1"/>
    </xf>
    <xf numFmtId="231" fontId="38" fillId="0" borderId="2" xfId="0" applyFont="1" applyBorder="1" applyAlignment="1">
      <alignment horizontal="center"/>
    </xf>
    <xf numFmtId="171" fontId="31" fillId="0" borderId="0" xfId="59" applyNumberFormat="1" applyFont="1" applyProtection="1">
      <protection hidden="1"/>
    </xf>
    <xf numFmtId="171" fontId="31" fillId="28" borderId="0" xfId="0" applyNumberFormat="1" applyFont="1" applyFill="1" applyAlignment="1" applyProtection="1">
      <alignment horizontal="left" indent="1"/>
      <protection hidden="1"/>
    </xf>
    <xf numFmtId="171" fontId="49" fillId="28" borderId="0" xfId="0" applyNumberFormat="1" applyFont="1" applyFill="1" applyAlignment="1" applyProtection="1">
      <alignment horizontal="left" indent="1"/>
      <protection hidden="1"/>
    </xf>
    <xf numFmtId="171" fontId="38" fillId="0" borderId="0" xfId="0" applyNumberFormat="1" applyFont="1" applyAlignment="1" applyProtection="1">
      <alignment horizontal="left"/>
      <protection hidden="1"/>
    </xf>
    <xf numFmtId="231" fontId="39" fillId="42" borderId="11" xfId="0" applyFont="1" applyFill="1" applyBorder="1" applyProtection="1">
      <protection hidden="1"/>
    </xf>
    <xf numFmtId="231" fontId="71" fillId="42" borderId="8" xfId="0" applyFont="1" applyFill="1" applyBorder="1" applyProtection="1">
      <protection hidden="1"/>
    </xf>
    <xf numFmtId="231" fontId="39" fillId="42" borderId="13" xfId="0" applyFont="1" applyFill="1" applyBorder="1" applyProtection="1">
      <protection hidden="1"/>
    </xf>
    <xf numFmtId="231" fontId="39" fillId="42" borderId="8" xfId="0" applyFont="1" applyFill="1" applyBorder="1" applyProtection="1">
      <protection hidden="1"/>
    </xf>
    <xf numFmtId="262" fontId="38" fillId="2" borderId="0" xfId="0" applyNumberFormat="1" applyFont="1" applyFill="1" applyAlignment="1" applyProtection="1">
      <alignment horizontal="center"/>
      <protection hidden="1"/>
    </xf>
    <xf numFmtId="171" fontId="31" fillId="0" borderId="0" xfId="59" applyNumberFormat="1" applyFont="1" applyFill="1" applyAlignment="1" applyProtection="1">
      <alignment horizontal="center"/>
      <protection hidden="1"/>
    </xf>
    <xf numFmtId="174" fontId="71" fillId="0" borderId="0" xfId="52" applyFont="1">
      <alignment horizontal="center"/>
      <protection hidden="1"/>
    </xf>
    <xf numFmtId="14" fontId="38" fillId="28" borderId="0" xfId="0" applyNumberFormat="1" applyFont="1" applyFill="1" applyProtection="1">
      <protection hidden="1"/>
    </xf>
    <xf numFmtId="255" fontId="40" fillId="2" borderId="0" xfId="0" applyNumberFormat="1" applyFont="1" applyFill="1" applyAlignment="1">
      <alignment horizontal="center" vertical="center"/>
    </xf>
    <xf numFmtId="0" fontId="31" fillId="44" borderId="13" xfId="51" applyFont="1" applyFill="1" applyBorder="1">
      <alignment horizontal="center"/>
      <protection hidden="1"/>
    </xf>
    <xf numFmtId="231" fontId="49" fillId="0" borderId="0" xfId="0" applyFont="1" applyAlignment="1" applyProtection="1">
      <alignment horizontal="left" indent="1"/>
      <protection hidden="1"/>
    </xf>
    <xf numFmtId="10" fontId="63" fillId="0" borderId="0" xfId="0" applyNumberFormat="1" applyFont="1" applyAlignment="1" applyProtection="1">
      <alignment horizontal="center"/>
      <protection hidden="1"/>
    </xf>
    <xf numFmtId="231" fontId="79" fillId="0" borderId="0" xfId="0" applyFont="1" applyProtection="1">
      <protection hidden="1"/>
    </xf>
    <xf numFmtId="171" fontId="31" fillId="0" borderId="0" xfId="0" applyNumberFormat="1" applyFont="1" applyAlignment="1" applyProtection="1">
      <alignment horizontal="left" indent="1"/>
      <protection hidden="1"/>
    </xf>
    <xf numFmtId="10" fontId="38" fillId="31" borderId="1" xfId="0" applyNumberFormat="1" applyFont="1" applyFill="1" applyBorder="1" applyAlignment="1">
      <alignment horizontal="center"/>
    </xf>
    <xf numFmtId="229" fontId="41" fillId="0" borderId="1" xfId="0" applyNumberFormat="1" applyFont="1" applyBorder="1" applyAlignment="1">
      <alignment horizontal="center"/>
    </xf>
    <xf numFmtId="171" fontId="31" fillId="31" borderId="15" xfId="0" applyNumberFormat="1" applyFont="1" applyFill="1" applyBorder="1" applyAlignment="1">
      <alignment horizontal="center"/>
    </xf>
    <xf numFmtId="208" fontId="47" fillId="0" borderId="0" xfId="0" applyNumberFormat="1" applyFont="1" applyAlignment="1">
      <alignment horizontal="center"/>
    </xf>
    <xf numFmtId="231" fontId="45" fillId="0" borderId="0" xfId="0" applyFont="1" applyAlignment="1">
      <alignment horizontal="center"/>
    </xf>
    <xf numFmtId="172" fontId="41" fillId="0" borderId="0" xfId="59" applyNumberFormat="1" applyFont="1" applyFill="1" applyBorder="1" applyAlignment="1">
      <alignment horizontal="center"/>
    </xf>
    <xf numFmtId="171" fontId="31" fillId="0" borderId="0" xfId="0" applyNumberFormat="1" applyFont="1" applyAlignment="1" applyProtection="1">
      <alignment horizontal="left" indent="2"/>
      <protection hidden="1"/>
    </xf>
    <xf numFmtId="10" fontId="38" fillId="28" borderId="4" xfId="0" applyNumberFormat="1" applyFont="1" applyFill="1" applyBorder="1" applyAlignment="1">
      <alignment horizontal="center" vertical="center"/>
    </xf>
    <xf numFmtId="263" fontId="31" fillId="31" borderId="0" xfId="53" applyNumberFormat="1" applyFont="1" applyFill="1">
      <alignment horizontal="center"/>
      <protection hidden="1"/>
    </xf>
    <xf numFmtId="171" fontId="49" fillId="2" borderId="0" xfId="0" applyNumberFormat="1" applyFont="1" applyFill="1" applyAlignment="1">
      <alignment horizontal="left" indent="2"/>
    </xf>
    <xf numFmtId="263" fontId="31" fillId="0" borderId="4" xfId="53" applyNumberFormat="1" applyFont="1" applyBorder="1">
      <alignment horizontal="center"/>
      <protection hidden="1"/>
    </xf>
    <xf numFmtId="171" fontId="31" fillId="2" borderId="0" xfId="0" applyNumberFormat="1" applyFont="1" applyFill="1" applyAlignment="1">
      <alignment horizontal="left" indent="1"/>
    </xf>
    <xf numFmtId="171" fontId="38" fillId="0" borderId="4" xfId="0" applyNumberFormat="1" applyFont="1" applyBorder="1"/>
    <xf numFmtId="3" fontId="31" fillId="2" borderId="0" xfId="0" quotePrefix="1" applyNumberFormat="1" applyFont="1" applyFill="1" applyAlignment="1" applyProtection="1">
      <alignment horizontal="center" vertical="center"/>
      <protection hidden="1"/>
    </xf>
    <xf numFmtId="171" fontId="31" fillId="0" borderId="0" xfId="59" applyNumberFormat="1" applyFont="1" applyFill="1" applyProtection="1">
      <protection hidden="1"/>
    </xf>
    <xf numFmtId="190" fontId="41" fillId="2" borderId="11" xfId="0" applyNumberFormat="1" applyFont="1" applyFill="1" applyBorder="1" applyAlignment="1" applyProtection="1">
      <alignment horizontal="center"/>
      <protection hidden="1"/>
    </xf>
    <xf numFmtId="190" fontId="41" fillId="2" borderId="8" xfId="0" applyNumberFormat="1" applyFont="1" applyFill="1" applyBorder="1" applyAlignment="1" applyProtection="1">
      <alignment horizontal="center"/>
      <protection hidden="1"/>
    </xf>
    <xf numFmtId="10" fontId="49" fillId="0" borderId="0" xfId="0" applyNumberFormat="1" applyFont="1" applyAlignment="1" applyProtection="1">
      <alignment horizontal="center" vertical="center"/>
      <protection locked="0"/>
    </xf>
    <xf numFmtId="10" fontId="49" fillId="31" borderId="0" xfId="0" applyNumberFormat="1" applyFont="1" applyFill="1" applyAlignment="1" applyProtection="1">
      <alignment horizontal="center" vertical="center"/>
      <protection locked="0"/>
    </xf>
    <xf numFmtId="231" fontId="31" fillId="28" borderId="0" xfId="0" applyFont="1" applyFill="1" applyAlignment="1">
      <alignment horizontal="center"/>
    </xf>
    <xf numFmtId="174" fontId="69" fillId="0" borderId="1" xfId="0" applyNumberFormat="1" applyFont="1" applyBorder="1" applyAlignment="1">
      <alignment horizontal="center"/>
    </xf>
    <xf numFmtId="171" fontId="31" fillId="2" borderId="0" xfId="0" quotePrefix="1" applyNumberFormat="1" applyFont="1" applyFill="1"/>
    <xf numFmtId="174" fontId="31" fillId="0" borderId="5" xfId="0" applyNumberFormat="1" applyFont="1" applyBorder="1" applyAlignment="1">
      <alignment horizontal="center"/>
    </xf>
    <xf numFmtId="174" fontId="31" fillId="0" borderId="6" xfId="0" applyNumberFormat="1" applyFont="1" applyBorder="1" applyAlignment="1">
      <alignment horizontal="center"/>
    </xf>
    <xf numFmtId="171" fontId="38" fillId="0" borderId="0" xfId="0" applyNumberFormat="1" applyFont="1" applyAlignment="1">
      <alignment horizontal="left"/>
    </xf>
    <xf numFmtId="174" fontId="31" fillId="0" borderId="12" xfId="0" applyNumberFormat="1" applyFont="1" applyBorder="1" applyAlignment="1">
      <alignment horizontal="center"/>
    </xf>
    <xf numFmtId="174" fontId="31" fillId="31" borderId="5" xfId="0" applyNumberFormat="1" applyFont="1" applyFill="1" applyBorder="1" applyAlignment="1">
      <alignment horizontal="center"/>
    </xf>
    <xf numFmtId="174" fontId="31" fillId="0" borderId="7" xfId="0" applyNumberFormat="1" applyFont="1" applyBorder="1" applyAlignment="1">
      <alignment horizontal="center"/>
    </xf>
    <xf numFmtId="174" fontId="31" fillId="0" borderId="10" xfId="0" applyNumberFormat="1" applyFont="1" applyBorder="1" applyAlignment="1">
      <alignment horizontal="center"/>
    </xf>
    <xf numFmtId="10" fontId="31" fillId="0" borderId="0" xfId="0" applyNumberFormat="1" applyFont="1" applyProtection="1">
      <protection hidden="1"/>
    </xf>
    <xf numFmtId="270" fontId="38" fillId="2" borderId="0" xfId="0" applyNumberFormat="1" applyFont="1" applyFill="1" applyAlignment="1" applyProtection="1">
      <alignment horizontal="center" vertical="center"/>
      <protection hidden="1"/>
    </xf>
    <xf numFmtId="3" fontId="31" fillId="0" borderId="0" xfId="0" applyNumberFormat="1" applyFont="1" applyAlignment="1" applyProtection="1">
      <alignment horizontal="right" vertical="center"/>
      <protection hidden="1"/>
    </xf>
    <xf numFmtId="174" fontId="70" fillId="0" borderId="0" xfId="0" applyNumberFormat="1" applyFont="1" applyAlignment="1" applyProtection="1">
      <alignment horizontal="center" vertical="center"/>
      <protection hidden="1"/>
    </xf>
    <xf numFmtId="174" fontId="74" fillId="28" borderId="0" xfId="0" applyNumberFormat="1" applyFont="1" applyFill="1" applyAlignment="1" applyProtection="1">
      <alignment horizontal="center"/>
      <protection hidden="1"/>
    </xf>
    <xf numFmtId="174" fontId="74" fillId="0" borderId="0" xfId="0" applyNumberFormat="1" applyFont="1" applyAlignment="1" applyProtection="1">
      <alignment horizontal="center"/>
      <protection hidden="1"/>
    </xf>
    <xf numFmtId="10" fontId="70" fillId="0" borderId="0" xfId="0" applyNumberFormat="1" applyFont="1" applyAlignment="1" applyProtection="1">
      <alignment horizontal="center"/>
      <protection hidden="1"/>
    </xf>
    <xf numFmtId="171" fontId="31" fillId="0" borderId="0" xfId="59" applyNumberFormat="1" applyFont="1" applyBorder="1" applyProtection="1">
      <protection hidden="1"/>
    </xf>
    <xf numFmtId="251" fontId="31" fillId="0" borderId="0" xfId="0" applyNumberFormat="1" applyFont="1" applyProtection="1">
      <protection hidden="1"/>
    </xf>
    <xf numFmtId="169" fontId="31" fillId="0" borderId="0" xfId="59" applyFont="1" applyBorder="1" applyProtection="1">
      <protection hidden="1"/>
    </xf>
    <xf numFmtId="3" fontId="38" fillId="0" borderId="0" xfId="0" applyNumberFormat="1" applyFont="1" applyProtection="1">
      <protection hidden="1"/>
    </xf>
    <xf numFmtId="231" fontId="39" fillId="42" borderId="4" xfId="0" applyFont="1" applyFill="1" applyBorder="1" applyProtection="1">
      <protection hidden="1"/>
    </xf>
    <xf numFmtId="10" fontId="45" fillId="0" borderId="0" xfId="0" applyNumberFormat="1" applyFont="1" applyAlignment="1" applyProtection="1">
      <alignment horizontal="center" vertical="center"/>
      <protection hidden="1"/>
    </xf>
    <xf numFmtId="10" fontId="31" fillId="0" borderId="0" xfId="0" applyNumberFormat="1" applyFont="1" applyAlignment="1" applyProtection="1">
      <alignment horizontal="center" vertical="center"/>
      <protection hidden="1"/>
    </xf>
    <xf numFmtId="272" fontId="31" fillId="2" borderId="0" xfId="0" applyNumberFormat="1" applyFont="1" applyFill="1" applyAlignment="1" applyProtection="1">
      <alignment horizontal="center"/>
      <protection hidden="1"/>
    </xf>
    <xf numFmtId="15" fontId="49" fillId="2" borderId="0" xfId="0" applyNumberFormat="1" applyFont="1" applyFill="1" applyAlignment="1" applyProtection="1">
      <alignment horizontal="center" vertical="center"/>
      <protection hidden="1"/>
    </xf>
    <xf numFmtId="174" fontId="49" fillId="0" borderId="0" xfId="49" applyFont="1" applyFill="1">
      <alignment horizontal="center"/>
      <protection hidden="1"/>
    </xf>
    <xf numFmtId="171" fontId="31" fillId="0" borderId="0" xfId="0" applyNumberFormat="1" applyFont="1" applyAlignment="1">
      <alignment horizontal="center"/>
    </xf>
    <xf numFmtId="231" fontId="53" fillId="0" borderId="0" xfId="0" applyFont="1" applyAlignment="1">
      <alignment horizontal="center"/>
    </xf>
    <xf numFmtId="3" fontId="31" fillId="28" borderId="10" xfId="0" applyNumberFormat="1" applyFont="1" applyFill="1" applyBorder="1" applyAlignment="1" applyProtection="1">
      <alignment horizontal="center"/>
      <protection hidden="1"/>
    </xf>
    <xf numFmtId="171" fontId="31" fillId="28" borderId="4" xfId="0" applyNumberFormat="1" applyFont="1" applyFill="1" applyBorder="1" applyAlignment="1" applyProtection="1">
      <alignment horizontal="center"/>
      <protection hidden="1"/>
    </xf>
    <xf numFmtId="273" fontId="38" fillId="0" borderId="0" xfId="59" applyNumberFormat="1" applyFont="1" applyFill="1" applyBorder="1" applyAlignment="1" applyProtection="1">
      <alignment horizontal="center"/>
      <protection hidden="1"/>
    </xf>
    <xf numFmtId="3" fontId="46" fillId="0" borderId="0" xfId="0" applyNumberFormat="1" applyFont="1" applyAlignment="1" applyProtection="1">
      <alignment horizontal="center"/>
      <protection hidden="1"/>
    </xf>
    <xf numFmtId="174" fontId="69" fillId="0" borderId="0" xfId="0" applyNumberFormat="1" applyFont="1" applyAlignment="1" applyProtection="1">
      <alignment horizontal="center" vertical="center"/>
      <protection hidden="1"/>
    </xf>
    <xf numFmtId="9" fontId="31" fillId="31" borderId="11" xfId="0" applyNumberFormat="1" applyFont="1" applyFill="1" applyBorder="1" applyAlignment="1">
      <alignment horizontal="center"/>
    </xf>
    <xf numFmtId="9" fontId="31" fillId="0" borderId="11" xfId="0" applyNumberFormat="1" applyFont="1" applyBorder="1" applyAlignment="1">
      <alignment horizontal="center"/>
    </xf>
    <xf numFmtId="186" fontId="41" fillId="0" borderId="7" xfId="0" applyNumberFormat="1" applyFont="1" applyBorder="1" applyAlignment="1">
      <alignment horizontal="center" vertical="center"/>
    </xf>
    <xf numFmtId="231" fontId="31" fillId="31" borderId="0" xfId="0" applyFont="1" applyFill="1"/>
    <xf numFmtId="274" fontId="69" fillId="0" borderId="1" xfId="59" applyNumberFormat="1" applyFont="1" applyFill="1" applyBorder="1" applyAlignment="1" applyProtection="1">
      <alignment horizontal="center" vertical="center"/>
    </xf>
    <xf numFmtId="235" fontId="38" fillId="28" borderId="0" xfId="0" applyNumberFormat="1" applyFont="1" applyFill="1" applyProtection="1">
      <protection hidden="1"/>
    </xf>
    <xf numFmtId="172" fontId="52" fillId="0" borderId="0" xfId="0" applyNumberFormat="1" applyFont="1" applyAlignment="1" applyProtection="1">
      <alignment horizontal="center" vertical="center"/>
      <protection hidden="1"/>
    </xf>
    <xf numFmtId="1" fontId="31" fillId="0" borderId="0" xfId="0" applyNumberFormat="1" applyFont="1" applyAlignment="1" applyProtection="1">
      <alignment horizontal="center" vertical="center"/>
      <protection hidden="1"/>
    </xf>
    <xf numFmtId="172" fontId="31" fillId="0" borderId="2" xfId="0" applyNumberFormat="1" applyFont="1" applyBorder="1" applyAlignment="1" applyProtection="1">
      <alignment horizontal="center" vertical="center"/>
      <protection hidden="1"/>
    </xf>
    <xf numFmtId="172" fontId="31" fillId="0" borderId="4" xfId="0" applyNumberFormat="1" applyFont="1" applyBorder="1" applyAlignment="1" applyProtection="1">
      <alignment horizontal="center" vertical="center"/>
      <protection hidden="1"/>
    </xf>
    <xf numFmtId="171" fontId="45" fillId="0" borderId="0" xfId="0" applyNumberFormat="1" applyFont="1" applyAlignment="1" applyProtection="1">
      <alignment horizontal="center"/>
      <protection hidden="1"/>
    </xf>
    <xf numFmtId="169" fontId="31" fillId="0" borderId="0" xfId="0" applyNumberFormat="1" applyFont="1" applyProtection="1">
      <protection hidden="1"/>
    </xf>
    <xf numFmtId="14" fontId="31" fillId="0" borderId="0" xfId="0" applyNumberFormat="1" applyFont="1" applyProtection="1">
      <protection hidden="1"/>
    </xf>
    <xf numFmtId="14" fontId="38" fillId="0" borderId="0" xfId="0" applyNumberFormat="1" applyFont="1" applyProtection="1">
      <protection hidden="1"/>
    </xf>
    <xf numFmtId="1" fontId="38" fillId="0" borderId="4" xfId="0" applyNumberFormat="1" applyFont="1" applyBorder="1" applyAlignment="1" applyProtection="1">
      <alignment horizontal="center"/>
      <protection hidden="1"/>
    </xf>
    <xf numFmtId="4" fontId="42" fillId="0" borderId="0" xfId="0" applyNumberFormat="1" applyFont="1" applyAlignment="1" applyProtection="1">
      <alignment horizontal="center"/>
      <protection hidden="1"/>
    </xf>
    <xf numFmtId="231" fontId="31" fillId="42" borderId="8" xfId="0" applyFont="1" applyFill="1" applyBorder="1" applyAlignment="1" applyProtection="1">
      <alignment horizontal="center"/>
      <protection hidden="1"/>
    </xf>
    <xf numFmtId="195" fontId="69" fillId="0" borderId="2" xfId="0" applyNumberFormat="1" applyFont="1" applyBorder="1" applyAlignment="1" applyProtection="1">
      <alignment horizontal="center"/>
      <protection hidden="1"/>
    </xf>
    <xf numFmtId="264" fontId="45" fillId="0" borderId="0" xfId="59" applyNumberFormat="1" applyFont="1" applyFill="1" applyBorder="1" applyAlignment="1">
      <alignment horizontal="center"/>
    </xf>
    <xf numFmtId="269" fontId="45" fillId="0" borderId="0" xfId="59" applyNumberFormat="1" applyFont="1" applyFill="1" applyBorder="1" applyAlignment="1">
      <alignment horizontal="center"/>
    </xf>
    <xf numFmtId="184" fontId="42" fillId="0" borderId="5" xfId="0" applyNumberFormat="1" applyFont="1" applyBorder="1" applyAlignment="1">
      <alignment horizontal="center"/>
    </xf>
    <xf numFmtId="237" fontId="31" fillId="2" borderId="0" xfId="0" applyNumberFormat="1" applyFont="1" applyFill="1" applyAlignment="1">
      <alignment horizontal="center" vertical="center"/>
    </xf>
    <xf numFmtId="1" fontId="31" fillId="0" borderId="0" xfId="0" applyNumberFormat="1" applyFont="1"/>
    <xf numFmtId="177" fontId="42" fillId="0" borderId="0" xfId="0" applyNumberFormat="1" applyFont="1" applyAlignment="1" applyProtection="1">
      <alignment horizontal="center" vertical="center"/>
      <protection locked="0"/>
    </xf>
    <xf numFmtId="177" fontId="42" fillId="31" borderId="15" xfId="0" applyNumberFormat="1" applyFont="1" applyFill="1" applyBorder="1" applyAlignment="1" applyProtection="1">
      <alignment horizontal="center" vertical="center"/>
      <protection locked="0"/>
    </xf>
    <xf numFmtId="177" fontId="42" fillId="0" borderId="4" xfId="0" applyNumberFormat="1" applyFont="1" applyBorder="1" applyAlignment="1" applyProtection="1">
      <alignment horizontal="center" vertical="center"/>
      <protection locked="0"/>
    </xf>
    <xf numFmtId="174" fontId="31" fillId="0" borderId="0" xfId="0" quotePrefix="1" applyNumberFormat="1" applyFont="1" applyAlignment="1" applyProtection="1">
      <alignment horizontal="center" vertical="center"/>
      <protection hidden="1"/>
    </xf>
    <xf numFmtId="275" fontId="31" fillId="0" borderId="0" xfId="0" applyNumberFormat="1" applyFont="1" applyAlignment="1" applyProtection="1">
      <alignment horizontal="center" vertical="center"/>
      <protection hidden="1"/>
    </xf>
    <xf numFmtId="231" fontId="78" fillId="28" borderId="0" xfId="54" applyFont="1" applyFill="1" applyBorder="1" applyAlignment="1">
      <alignment horizontal="center"/>
    </xf>
    <xf numFmtId="3" fontId="31" fillId="1" borderId="4" xfId="0" applyNumberFormat="1" applyFont="1" applyFill="1" applyBorder="1" applyAlignment="1">
      <alignment horizontal="center"/>
    </xf>
    <xf numFmtId="238" fontId="31" fillId="28" borderId="1" xfId="0" applyNumberFormat="1" applyFont="1" applyFill="1" applyBorder="1" applyAlignment="1" applyProtection="1">
      <alignment horizontal="center" vertical="center"/>
      <protection locked="0"/>
    </xf>
    <xf numFmtId="268" fontId="42" fillId="31" borderId="3" xfId="0" applyNumberFormat="1" applyFont="1" applyFill="1" applyBorder="1" applyAlignment="1">
      <alignment horizontal="center"/>
    </xf>
    <xf numFmtId="172" fontId="31" fillId="0" borderId="0" xfId="0" applyNumberFormat="1" applyFont="1" applyAlignment="1" applyProtection="1">
      <alignment horizontal="left" indent="1"/>
      <protection hidden="1"/>
    </xf>
    <xf numFmtId="171" fontId="31" fillId="0" borderId="0" xfId="0" applyNumberFormat="1" applyFont="1" applyAlignment="1" applyProtection="1">
      <alignment horizontal="left" indent="3"/>
      <protection hidden="1"/>
    </xf>
    <xf numFmtId="171" fontId="42" fillId="0" borderId="0" xfId="0" applyNumberFormat="1" applyFont="1" applyAlignment="1" applyProtection="1">
      <alignment horizontal="left" indent="1"/>
      <protection hidden="1"/>
    </xf>
    <xf numFmtId="231" fontId="55" fillId="42" borderId="8" xfId="0" applyFont="1" applyFill="1" applyBorder="1" applyProtection="1">
      <protection hidden="1"/>
    </xf>
    <xf numFmtId="231" fontId="81" fillId="0" borderId="0" xfId="0" applyFont="1" applyAlignment="1" applyProtection="1">
      <alignment horizontal="center"/>
      <protection hidden="1"/>
    </xf>
    <xf numFmtId="10" fontId="41" fillId="28" borderId="0" xfId="0" applyNumberFormat="1" applyFont="1" applyFill="1" applyAlignment="1" applyProtection="1">
      <alignment horizontal="center"/>
      <protection hidden="1"/>
    </xf>
    <xf numFmtId="10" fontId="41" fillId="0" borderId="0" xfId="0" applyNumberFormat="1" applyFont="1" applyAlignment="1" applyProtection="1">
      <alignment horizontal="center"/>
      <protection hidden="1"/>
    </xf>
    <xf numFmtId="10" fontId="45" fillId="0" borderId="0" xfId="0" applyNumberFormat="1" applyFont="1" applyAlignment="1" applyProtection="1">
      <alignment horizontal="center"/>
      <protection hidden="1"/>
    </xf>
    <xf numFmtId="231" fontId="82" fillId="0" borderId="0" xfId="0" applyFont="1" applyProtection="1">
      <protection hidden="1"/>
    </xf>
    <xf numFmtId="231" fontId="69" fillId="0" borderId="0" xfId="0" applyFont="1" applyAlignment="1" applyProtection="1">
      <alignment horizontal="right"/>
      <protection hidden="1"/>
    </xf>
    <xf numFmtId="10" fontId="69" fillId="0" borderId="0" xfId="0" applyNumberFormat="1" applyFont="1" applyAlignment="1" applyProtection="1">
      <alignment horizontal="center"/>
      <protection hidden="1"/>
    </xf>
    <xf numFmtId="10" fontId="71" fillId="0" borderId="0" xfId="0" applyNumberFormat="1" applyFont="1" applyAlignment="1" applyProtection="1">
      <alignment horizontal="center"/>
      <protection hidden="1"/>
    </xf>
    <xf numFmtId="212" fontId="49" fillId="2" borderId="0" xfId="0" applyNumberFormat="1" applyFont="1" applyFill="1" applyAlignment="1" applyProtection="1">
      <alignment horizontal="center"/>
      <protection hidden="1"/>
    </xf>
    <xf numFmtId="174" fontId="49" fillId="0" borderId="0" xfId="0" applyNumberFormat="1" applyFont="1" applyAlignment="1" applyProtection="1">
      <alignment horizontal="center" vertical="center"/>
      <protection hidden="1"/>
    </xf>
    <xf numFmtId="231" fontId="38" fillId="42" borderId="8" xfId="0" applyFont="1" applyFill="1" applyBorder="1" applyProtection="1">
      <protection hidden="1"/>
    </xf>
    <xf numFmtId="231" fontId="38" fillId="0" borderId="0" xfId="0" applyFont="1" applyAlignment="1" applyProtection="1">
      <alignment horizontal="right" vertical="center"/>
      <protection hidden="1"/>
    </xf>
    <xf numFmtId="195" fontId="69" fillId="0" borderId="0" xfId="0" applyNumberFormat="1" applyFont="1" applyAlignment="1" applyProtection="1">
      <alignment horizontal="center"/>
      <protection hidden="1"/>
    </xf>
    <xf numFmtId="174" fontId="71" fillId="28" borderId="0" xfId="0" applyNumberFormat="1" applyFont="1" applyFill="1" applyAlignment="1" applyProtection="1">
      <alignment horizontal="center"/>
      <protection hidden="1"/>
    </xf>
    <xf numFmtId="174" fontId="71" fillId="0" borderId="0" xfId="0" applyNumberFormat="1" applyFont="1" applyAlignment="1" applyProtection="1">
      <alignment horizontal="center"/>
      <protection hidden="1"/>
    </xf>
    <xf numFmtId="245" fontId="69" fillId="28" borderId="0" xfId="0" applyNumberFormat="1" applyFont="1" applyFill="1" applyAlignment="1" applyProtection="1">
      <alignment horizontal="center"/>
      <protection hidden="1"/>
    </xf>
    <xf numFmtId="171" fontId="31" fillId="28" borderId="0" xfId="0" applyNumberFormat="1" applyFont="1" applyFill="1" applyAlignment="1" applyProtection="1">
      <alignment vertical="center"/>
      <protection hidden="1"/>
    </xf>
    <xf numFmtId="231" fontId="69" fillId="42" borderId="4" xfId="0" applyFont="1" applyFill="1" applyBorder="1" applyProtection="1">
      <protection hidden="1"/>
    </xf>
    <xf numFmtId="231" fontId="69" fillId="0" borderId="0" xfId="0" applyFont="1" applyAlignment="1" applyProtection="1">
      <alignment horizontal="left" vertical="center"/>
      <protection hidden="1"/>
    </xf>
    <xf numFmtId="212" fontId="69" fillId="2" borderId="0" xfId="0" applyNumberFormat="1" applyFont="1" applyFill="1" applyAlignment="1" applyProtection="1">
      <alignment horizontal="center"/>
      <protection hidden="1"/>
    </xf>
    <xf numFmtId="267" fontId="69" fillId="0" borderId="0" xfId="0" applyNumberFormat="1" applyFont="1" applyAlignment="1" applyProtection="1">
      <alignment horizontal="center"/>
      <protection hidden="1"/>
    </xf>
    <xf numFmtId="171" fontId="69" fillId="0" borderId="0" xfId="0" applyNumberFormat="1" applyFont="1" applyAlignment="1" applyProtection="1">
      <alignment horizontal="center"/>
      <protection hidden="1"/>
    </xf>
    <xf numFmtId="10" fontId="69" fillId="28" borderId="0" xfId="0" applyNumberFormat="1" applyFont="1" applyFill="1" applyAlignment="1" applyProtection="1">
      <alignment horizontal="center"/>
      <protection hidden="1"/>
    </xf>
    <xf numFmtId="231" fontId="69" fillId="42" borderId="8" xfId="0" applyFont="1" applyFill="1" applyBorder="1" applyProtection="1">
      <protection hidden="1"/>
    </xf>
    <xf numFmtId="1" fontId="69" fillId="0" borderId="0" xfId="0" applyNumberFormat="1" applyFont="1" applyProtection="1">
      <protection hidden="1"/>
    </xf>
    <xf numFmtId="0" fontId="69" fillId="2" borderId="0" xfId="0" applyNumberFormat="1" applyFont="1" applyFill="1" applyAlignment="1" applyProtection="1">
      <alignment horizontal="center" vertical="center"/>
      <protection hidden="1"/>
    </xf>
    <xf numFmtId="174" fontId="69" fillId="28" borderId="0" xfId="0" applyNumberFormat="1" applyFont="1" applyFill="1" applyAlignment="1" applyProtection="1">
      <alignment horizontal="center"/>
      <protection hidden="1"/>
    </xf>
    <xf numFmtId="3" fontId="69" fillId="0" borderId="0" xfId="0" applyNumberFormat="1" applyFont="1" applyAlignment="1" applyProtection="1">
      <alignment horizontal="center" vertical="center"/>
      <protection hidden="1"/>
    </xf>
    <xf numFmtId="4" fontId="38" fillId="2" borderId="0" xfId="0" applyNumberFormat="1" applyFont="1" applyFill="1" applyAlignment="1" applyProtection="1">
      <alignment horizontal="center"/>
      <protection hidden="1"/>
    </xf>
    <xf numFmtId="231" fontId="31" fillId="28" borderId="0" xfId="0" applyFont="1" applyFill="1" applyAlignment="1" applyProtection="1">
      <alignment horizontal="left" vertical="center" indent="3"/>
      <protection hidden="1"/>
    </xf>
    <xf numFmtId="174" fontId="38" fillId="2" borderId="0" xfId="0" applyNumberFormat="1" applyFont="1" applyFill="1" applyAlignment="1" applyProtection="1">
      <alignment horizontal="center" vertical="center"/>
      <protection hidden="1"/>
    </xf>
    <xf numFmtId="231" fontId="49" fillId="2" borderId="0" xfId="0" applyFont="1" applyFill="1" applyAlignment="1" applyProtection="1">
      <alignment horizontal="left" vertical="center" indent="3"/>
      <protection hidden="1"/>
    </xf>
    <xf numFmtId="231" fontId="49" fillId="2" borderId="0" xfId="0" applyFont="1" applyFill="1" applyAlignment="1" applyProtection="1">
      <alignment horizontal="left" indent="1"/>
      <protection hidden="1"/>
    </xf>
    <xf numFmtId="231" fontId="49" fillId="2" borderId="0" xfId="0" applyFont="1" applyFill="1" applyAlignment="1" applyProtection="1">
      <alignment horizontal="left" vertical="center" indent="1"/>
      <protection hidden="1"/>
    </xf>
    <xf numFmtId="231" fontId="80" fillId="0" borderId="0" xfId="0" applyFont="1" applyAlignment="1">
      <alignment horizontal="left" indent="1"/>
    </xf>
    <xf numFmtId="203" fontId="49" fillId="0" borderId="0" xfId="0" applyNumberFormat="1" applyFont="1" applyAlignment="1">
      <alignment horizontal="center"/>
    </xf>
    <xf numFmtId="212" fontId="49" fillId="0" borderId="0" xfId="0" applyNumberFormat="1" applyFont="1" applyAlignment="1" applyProtection="1">
      <alignment horizontal="center"/>
      <protection hidden="1"/>
    </xf>
    <xf numFmtId="224" fontId="49" fillId="2" borderId="0" xfId="0" applyNumberFormat="1" applyFont="1" applyFill="1" applyAlignment="1" applyProtection="1">
      <alignment horizontal="center"/>
      <protection hidden="1"/>
    </xf>
    <xf numFmtId="270" fontId="49" fillId="2" borderId="0" xfId="0" applyNumberFormat="1" applyFont="1" applyFill="1" applyAlignment="1" applyProtection="1">
      <alignment horizontal="center" vertical="center"/>
      <protection hidden="1"/>
    </xf>
    <xf numFmtId="271" fontId="49" fillId="2" borderId="0" xfId="0" applyNumberFormat="1" applyFont="1" applyFill="1" applyAlignment="1" applyProtection="1">
      <alignment horizontal="center" vertical="center"/>
      <protection hidden="1"/>
    </xf>
    <xf numFmtId="9" fontId="49" fillId="2" borderId="0" xfId="0" applyNumberFormat="1" applyFont="1" applyFill="1" applyAlignment="1" applyProtection="1">
      <alignment horizontal="center"/>
      <protection hidden="1"/>
    </xf>
    <xf numFmtId="10" fontId="49" fillId="0" borderId="0" xfId="0" applyNumberFormat="1" applyFont="1" applyAlignment="1" applyProtection="1">
      <alignment horizontal="center" vertical="center"/>
      <protection hidden="1"/>
    </xf>
    <xf numFmtId="9" fontId="49" fillId="0" borderId="0" xfId="0" applyNumberFormat="1" applyFont="1" applyAlignment="1" applyProtection="1">
      <alignment horizontal="center"/>
      <protection hidden="1"/>
    </xf>
    <xf numFmtId="223" fontId="49" fillId="2" borderId="0" xfId="0" applyNumberFormat="1" applyFont="1" applyFill="1" applyAlignment="1" applyProtection="1">
      <alignment horizontal="center"/>
      <protection hidden="1"/>
    </xf>
    <xf numFmtId="274" fontId="40" fillId="0" borderId="11" xfId="0" applyNumberFormat="1" applyFont="1" applyBorder="1" applyAlignment="1">
      <alignment horizontal="center" vertical="center"/>
    </xf>
    <xf numFmtId="274" fontId="40" fillId="0" borderId="8" xfId="0" applyNumberFormat="1" applyFont="1" applyBorder="1" applyAlignment="1">
      <alignment horizontal="center" vertical="center"/>
    </xf>
    <xf numFmtId="231" fontId="40" fillId="0" borderId="14" xfId="0" applyFont="1" applyBorder="1"/>
    <xf numFmtId="174" fontId="69" fillId="0" borderId="3" xfId="0" applyNumberFormat="1" applyFont="1" applyBorder="1" applyAlignment="1">
      <alignment horizontal="center"/>
    </xf>
    <xf numFmtId="174" fontId="69" fillId="0" borderId="14" xfId="0" applyNumberFormat="1" applyFont="1" applyBorder="1" applyAlignment="1">
      <alignment horizontal="center"/>
    </xf>
    <xf numFmtId="174" fontId="69" fillId="0" borderId="15" xfId="0" applyNumberFormat="1" applyFont="1" applyBorder="1" applyAlignment="1">
      <alignment horizontal="center"/>
    </xf>
    <xf numFmtId="257" fontId="31" fillId="0" borderId="0" xfId="0" applyNumberFormat="1" applyFont="1" applyAlignment="1">
      <alignment horizontal="center" vertical="center"/>
    </xf>
    <xf numFmtId="257" fontId="31" fillId="28" borderId="0" xfId="0" applyNumberFormat="1" applyFont="1" applyFill="1" applyAlignment="1">
      <alignment horizontal="center" vertical="center"/>
    </xf>
    <xf numFmtId="177" fontId="41" fillId="31" borderId="1" xfId="0" applyNumberFormat="1" applyFont="1" applyFill="1" applyBorder="1" applyAlignment="1" applyProtection="1">
      <alignment horizontal="center" vertical="center"/>
      <protection locked="0"/>
    </xf>
    <xf numFmtId="276" fontId="31" fillId="31" borderId="1" xfId="0" applyNumberFormat="1" applyFont="1" applyFill="1" applyBorder="1" applyAlignment="1">
      <alignment horizontal="center"/>
    </xf>
    <xf numFmtId="170" fontId="39" fillId="42" borderId="8" xfId="0" applyNumberFormat="1" applyFont="1" applyFill="1" applyBorder="1" applyAlignment="1" applyProtection="1">
      <alignment horizontal="center"/>
      <protection hidden="1"/>
    </xf>
    <xf numFmtId="231" fontId="31" fillId="0" borderId="0" xfId="0" applyFont="1" applyAlignment="1" applyProtection="1">
      <alignment horizontal="left" indent="1"/>
      <protection hidden="1"/>
    </xf>
    <xf numFmtId="231" fontId="31" fillId="0" borderId="0" xfId="0" applyFont="1" applyAlignment="1" applyProtection="1">
      <alignment horizontal="left" indent="2"/>
      <protection hidden="1"/>
    </xf>
    <xf numFmtId="270" fontId="63" fillId="2" borderId="0" xfId="0" applyNumberFormat="1" applyFont="1" applyFill="1" applyAlignment="1" applyProtection="1">
      <alignment horizontal="center" vertical="center"/>
      <protection hidden="1"/>
    </xf>
    <xf numFmtId="9" fontId="49" fillId="0" borderId="0" xfId="0" applyNumberFormat="1" applyFont="1" applyAlignment="1" applyProtection="1">
      <alignment horizontal="center" vertical="center"/>
      <protection hidden="1"/>
    </xf>
    <xf numFmtId="174" fontId="83" fillId="0" borderId="0" xfId="0" applyNumberFormat="1" applyFont="1" applyAlignment="1" applyProtection="1">
      <alignment horizontal="center" vertical="center"/>
      <protection hidden="1"/>
    </xf>
    <xf numFmtId="231" fontId="49" fillId="0" borderId="4" xfId="0" applyFont="1" applyBorder="1" applyProtection="1">
      <protection hidden="1"/>
    </xf>
    <xf numFmtId="174" fontId="63" fillId="0" borderId="0" xfId="0" applyNumberFormat="1" applyFont="1" applyAlignment="1" applyProtection="1">
      <alignment horizontal="center" vertical="center"/>
      <protection hidden="1"/>
    </xf>
    <xf numFmtId="174" fontId="50" fillId="0" borderId="0" xfId="0" applyNumberFormat="1" applyFont="1" applyAlignment="1" applyProtection="1">
      <alignment horizontal="center" vertical="center"/>
      <protection hidden="1"/>
    </xf>
    <xf numFmtId="10" fontId="49" fillId="2" borderId="0" xfId="0" applyNumberFormat="1" applyFont="1" applyFill="1" applyAlignment="1" applyProtection="1">
      <alignment horizontal="center" vertical="center"/>
      <protection hidden="1"/>
    </xf>
    <xf numFmtId="174" fontId="84" fillId="2" borderId="0" xfId="0" applyNumberFormat="1" applyFont="1" applyFill="1" applyAlignment="1" applyProtection="1">
      <alignment horizontal="center" vertical="center"/>
      <protection hidden="1"/>
    </xf>
    <xf numFmtId="240" fontId="42" fillId="0" borderId="0" xfId="0" applyNumberFormat="1" applyFont="1" applyAlignment="1">
      <alignment horizontal="center"/>
    </xf>
    <xf numFmtId="207" fontId="31" fillId="31" borderId="7" xfId="0" applyNumberFormat="1" applyFont="1" applyFill="1" applyBorder="1" applyAlignment="1" applyProtection="1">
      <alignment horizontal="center" vertical="center"/>
      <protection locked="0"/>
    </xf>
    <xf numFmtId="181" fontId="31" fillId="0" borderId="15" xfId="0" applyNumberFormat="1" applyFont="1" applyBorder="1" applyAlignment="1">
      <alignment horizontal="center" vertical="center"/>
    </xf>
    <xf numFmtId="207" fontId="31" fillId="0" borderId="8" xfId="0" applyNumberFormat="1" applyFont="1" applyBorder="1" applyAlignment="1" applyProtection="1">
      <alignment horizontal="center" vertical="center"/>
      <protection locked="0"/>
    </xf>
    <xf numFmtId="181" fontId="31" fillId="31" borderId="1" xfId="0" applyNumberFormat="1" applyFont="1" applyFill="1" applyBorder="1" applyAlignment="1">
      <alignment horizontal="center" vertical="center"/>
    </xf>
    <xf numFmtId="14" fontId="38" fillId="28" borderId="0" xfId="0" quotePrefix="1" applyNumberFormat="1" applyFont="1" applyFill="1" applyProtection="1">
      <protection hidden="1"/>
    </xf>
    <xf numFmtId="230" fontId="41" fillId="0" borderId="9" xfId="0" applyNumberFormat="1" applyFont="1" applyBorder="1" applyAlignment="1">
      <alignment horizontal="center" vertical="center"/>
    </xf>
    <xf numFmtId="230" fontId="41" fillId="0" borderId="2" xfId="0" applyNumberFormat="1" applyFont="1" applyBorder="1" applyAlignment="1">
      <alignment horizontal="center" vertical="center"/>
    </xf>
    <xf numFmtId="230" fontId="41" fillId="0" borderId="7" xfId="0" applyNumberFormat="1" applyFont="1" applyBorder="1" applyAlignment="1">
      <alignment horizontal="center" vertical="center"/>
    </xf>
    <xf numFmtId="230" fontId="41" fillId="0" borderId="10" xfId="0" applyNumberFormat="1" applyFont="1" applyBorder="1" applyAlignment="1">
      <alignment horizontal="center" vertical="center"/>
    </xf>
    <xf numFmtId="230" fontId="41" fillId="0" borderId="4" xfId="0" applyNumberFormat="1" applyFont="1" applyBorder="1" applyAlignment="1">
      <alignment horizontal="center" vertical="center"/>
    </xf>
    <xf numFmtId="278" fontId="38" fillId="28" borderId="0" xfId="59" applyNumberFormat="1" applyFont="1" applyFill="1" applyAlignment="1" applyProtection="1">
      <alignment horizontal="center"/>
      <protection hidden="1"/>
    </xf>
    <xf numFmtId="231" fontId="45" fillId="0" borderId="0" xfId="0" quotePrefix="1" applyFont="1" applyProtection="1">
      <protection hidden="1"/>
    </xf>
    <xf numFmtId="279" fontId="31" fillId="31" borderId="0" xfId="0" applyNumberFormat="1" applyFont="1" applyFill="1" applyAlignment="1">
      <alignment horizontal="center" vertical="center"/>
    </xf>
    <xf numFmtId="279" fontId="31" fillId="31" borderId="14" xfId="0" applyNumberFormat="1" applyFont="1" applyFill="1" applyBorder="1" applyAlignment="1">
      <alignment horizontal="center" vertical="center"/>
    </xf>
    <xf numFmtId="279" fontId="48" fillId="31" borderId="14" xfId="0" applyNumberFormat="1" applyFont="1" applyFill="1" applyBorder="1"/>
    <xf numFmtId="280" fontId="69" fillId="0" borderId="0" xfId="0" applyNumberFormat="1" applyFont="1" applyAlignment="1" applyProtection="1">
      <alignment horizontal="center" vertical="center"/>
      <protection hidden="1"/>
    </xf>
    <xf numFmtId="194" fontId="69" fillId="0" borderId="1" xfId="0" applyNumberFormat="1" applyFont="1" applyBorder="1" applyAlignment="1">
      <alignment horizontal="center"/>
    </xf>
    <xf numFmtId="277" fontId="69" fillId="0" borderId="14" xfId="0" applyNumberFormat="1" applyFont="1" applyBorder="1" applyAlignment="1">
      <alignment horizontal="center"/>
    </xf>
    <xf numFmtId="174" fontId="31" fillId="0" borderId="0" xfId="0" applyNumberFormat="1" applyFont="1" applyAlignment="1">
      <alignment horizontal="center"/>
    </xf>
    <xf numFmtId="250" fontId="69" fillId="28" borderId="0" xfId="0" applyNumberFormat="1" applyFont="1" applyFill="1" applyAlignment="1" applyProtection="1">
      <alignment horizontal="center"/>
      <protection hidden="1"/>
    </xf>
    <xf numFmtId="195" fontId="69" fillId="28" borderId="0" xfId="0" applyNumberFormat="1" applyFont="1" applyFill="1" applyAlignment="1" applyProtection="1">
      <alignment horizontal="center"/>
      <protection hidden="1"/>
    </xf>
    <xf numFmtId="195" fontId="71" fillId="0" borderId="0" xfId="0" applyNumberFormat="1" applyFont="1" applyAlignment="1" applyProtection="1">
      <alignment horizontal="center"/>
      <protection hidden="1"/>
    </xf>
    <xf numFmtId="174" fontId="69" fillId="0" borderId="2" xfId="52" applyFont="1" applyBorder="1">
      <alignment horizontal="center"/>
      <protection hidden="1"/>
    </xf>
    <xf numFmtId="226" fontId="69" fillId="0" borderId="0" xfId="52" applyNumberFormat="1" applyFont="1">
      <alignment horizontal="center"/>
      <protection hidden="1"/>
    </xf>
    <xf numFmtId="9" fontId="69" fillId="2" borderId="0" xfId="0" applyNumberFormat="1" applyFont="1" applyFill="1" applyAlignment="1" applyProtection="1">
      <alignment horizontal="center"/>
      <protection hidden="1"/>
    </xf>
    <xf numFmtId="278" fontId="71" fillId="28" borderId="0" xfId="59" applyNumberFormat="1" applyFont="1" applyFill="1" applyAlignment="1" applyProtection="1">
      <alignment horizontal="center"/>
      <protection hidden="1"/>
    </xf>
    <xf numFmtId="3" fontId="69" fillId="2" borderId="0" xfId="0" applyNumberFormat="1" applyFont="1" applyFill="1" applyAlignment="1" applyProtection="1">
      <alignment horizontal="center"/>
      <protection hidden="1"/>
    </xf>
    <xf numFmtId="231" fontId="68" fillId="0" borderId="0" xfId="0" applyFont="1"/>
    <xf numFmtId="217" fontId="31" fillId="28" borderId="4" xfId="0" applyNumberFormat="1" applyFont="1" applyFill="1" applyBorder="1" applyAlignment="1" applyProtection="1">
      <alignment horizontal="center"/>
      <protection hidden="1"/>
    </xf>
    <xf numFmtId="274" fontId="49" fillId="0" borderId="0" xfId="0" applyNumberFormat="1" applyFont="1" applyAlignment="1" applyProtection="1">
      <alignment horizontal="center"/>
      <protection hidden="1"/>
    </xf>
    <xf numFmtId="9" fontId="39" fillId="42" borderId="8" xfId="0" applyNumberFormat="1" applyFont="1" applyFill="1" applyBorder="1" applyAlignment="1" applyProtection="1">
      <alignment horizontal="center"/>
      <protection hidden="1"/>
    </xf>
    <xf numFmtId="181" fontId="69" fillId="0" borderId="0" xfId="0" applyNumberFormat="1" applyFont="1" applyAlignment="1" applyProtection="1">
      <alignment horizontal="center" vertical="center"/>
      <protection hidden="1"/>
    </xf>
    <xf numFmtId="181" fontId="69" fillId="28" borderId="0" xfId="0" applyNumberFormat="1" applyFont="1" applyFill="1" applyAlignment="1" applyProtection="1">
      <alignment horizontal="center" vertical="center"/>
      <protection hidden="1"/>
    </xf>
    <xf numFmtId="174" fontId="69" fillId="0" borderId="2" xfId="0" applyNumberFormat="1" applyFont="1" applyBorder="1" applyAlignment="1" applyProtection="1">
      <alignment horizontal="center"/>
      <protection hidden="1"/>
    </xf>
    <xf numFmtId="171" fontId="69" fillId="0" borderId="0" xfId="59" applyNumberFormat="1" applyFont="1" applyFill="1" applyBorder="1" applyAlignment="1">
      <alignment horizontal="center"/>
    </xf>
    <xf numFmtId="171" fontId="69" fillId="0" borderId="0" xfId="59" applyNumberFormat="1" applyFont="1" applyFill="1" applyBorder="1" applyAlignment="1" applyProtection="1">
      <alignment horizontal="center" vertical="center"/>
    </xf>
    <xf numFmtId="212" fontId="49" fillId="2" borderId="2" xfId="0" applyNumberFormat="1" applyFont="1" applyFill="1" applyBorder="1" applyAlignment="1" applyProtection="1">
      <alignment horizontal="center"/>
      <protection hidden="1"/>
    </xf>
    <xf numFmtId="231" fontId="53" fillId="0" borderId="10" xfId="0" applyFont="1" applyBorder="1"/>
    <xf numFmtId="174" fontId="31" fillId="28" borderId="10" xfId="0" applyNumberFormat="1" applyFont="1" applyFill="1" applyBorder="1" applyAlignment="1" applyProtection="1">
      <alignment horizontal="center"/>
      <protection hidden="1"/>
    </xf>
    <xf numFmtId="174" fontId="31" fillId="28" borderId="4" xfId="0" applyNumberFormat="1" applyFont="1" applyFill="1" applyBorder="1" applyAlignment="1" applyProtection="1">
      <alignment horizontal="center"/>
      <protection hidden="1"/>
    </xf>
    <xf numFmtId="274" fontId="69" fillId="0" borderId="0" xfId="0" applyNumberFormat="1" applyFont="1" applyAlignment="1">
      <alignment horizontal="center"/>
    </xf>
    <xf numFmtId="184" fontId="42" fillId="31" borderId="1" xfId="0" applyNumberFormat="1" applyFont="1" applyFill="1" applyBorder="1" applyAlignment="1">
      <alignment horizontal="center"/>
    </xf>
    <xf numFmtId="178" fontId="41" fillId="31" borderId="1" xfId="0" applyNumberFormat="1" applyFont="1" applyFill="1" applyBorder="1" applyAlignment="1" applyProtection="1">
      <alignment horizontal="center" vertical="center"/>
      <protection locked="0"/>
    </xf>
    <xf numFmtId="205" fontId="31" fillId="31" borderId="1" xfId="0" applyNumberFormat="1" applyFont="1" applyFill="1" applyBorder="1" applyAlignment="1" applyProtection="1">
      <alignment horizontal="center" vertical="center"/>
      <protection locked="0"/>
    </xf>
    <xf numFmtId="209" fontId="42" fillId="31" borderId="15" xfId="0" applyNumberFormat="1" applyFont="1" applyFill="1" applyBorder="1" applyAlignment="1" applyProtection="1">
      <alignment horizontal="center" vertical="center"/>
      <protection locked="0"/>
    </xf>
    <xf numFmtId="182" fontId="42" fillId="28" borderId="4" xfId="0" applyNumberFormat="1" applyFont="1" applyFill="1" applyBorder="1" applyAlignment="1">
      <alignment horizontal="center"/>
    </xf>
    <xf numFmtId="281" fontId="49" fillId="2" borderId="0" xfId="0" applyNumberFormat="1" applyFont="1" applyFill="1" applyAlignment="1" applyProtection="1">
      <alignment horizontal="center" vertical="center"/>
      <protection hidden="1"/>
    </xf>
    <xf numFmtId="281" fontId="47" fillId="2" borderId="0" xfId="0" applyNumberFormat="1" applyFont="1" applyFill="1" applyAlignment="1" applyProtection="1">
      <alignment horizontal="center"/>
      <protection hidden="1"/>
    </xf>
    <xf numFmtId="281" fontId="47" fillId="0" borderId="0" xfId="0" applyNumberFormat="1" applyFont="1" applyAlignment="1">
      <alignment horizontal="center"/>
    </xf>
    <xf numFmtId="178" fontId="31" fillId="0" borderId="0" xfId="0" applyNumberFormat="1" applyFont="1" applyAlignment="1" applyProtection="1">
      <alignment horizontal="center" vertical="center"/>
      <protection locked="0"/>
    </xf>
    <xf numFmtId="271" fontId="69" fillId="0" borderId="9" xfId="0" applyNumberFormat="1" applyFont="1" applyBorder="1" applyAlignment="1">
      <alignment horizontal="center"/>
    </xf>
    <xf numFmtId="271" fontId="69" fillId="0" borderId="2" xfId="0" applyNumberFormat="1" applyFont="1" applyBorder="1" applyAlignment="1">
      <alignment horizontal="center"/>
    </xf>
    <xf numFmtId="271" fontId="69" fillId="0" borderId="7" xfId="0" applyNumberFormat="1" applyFont="1" applyBorder="1" applyAlignment="1">
      <alignment horizontal="center"/>
    </xf>
    <xf numFmtId="271" fontId="69" fillId="0" borderId="0" xfId="0" applyNumberFormat="1" applyFont="1" applyAlignment="1">
      <alignment horizontal="center"/>
    </xf>
    <xf numFmtId="271" fontId="31" fillId="0" borderId="7" xfId="0" applyNumberFormat="1" applyFont="1" applyBorder="1" applyAlignment="1">
      <alignment horizontal="center"/>
    </xf>
    <xf numFmtId="271" fontId="31" fillId="0" borderId="0" xfId="0" applyNumberFormat="1" applyFont="1" applyAlignment="1">
      <alignment horizontal="center"/>
    </xf>
    <xf numFmtId="282" fontId="69" fillId="0" borderId="7" xfId="0" applyNumberFormat="1" applyFont="1" applyBorder="1" applyAlignment="1" applyProtection="1">
      <alignment horizontal="center"/>
      <protection hidden="1"/>
    </xf>
    <xf numFmtId="282" fontId="69" fillId="0" borderId="0" xfId="0" applyNumberFormat="1" applyFont="1" applyAlignment="1" applyProtection="1">
      <alignment horizontal="center"/>
      <protection hidden="1"/>
    </xf>
    <xf numFmtId="282" fontId="69" fillId="2" borderId="7" xfId="0" applyNumberFormat="1" applyFont="1" applyFill="1" applyBorder="1" applyAlignment="1" applyProtection="1">
      <alignment horizontal="center"/>
      <protection hidden="1"/>
    </xf>
    <xf numFmtId="282" fontId="69" fillId="2" borderId="0" xfId="0" applyNumberFormat="1" applyFont="1" applyFill="1" applyAlignment="1" applyProtection="1">
      <alignment horizontal="center"/>
      <protection hidden="1"/>
    </xf>
    <xf numFmtId="282" fontId="31" fillId="2" borderId="7" xfId="0" applyNumberFormat="1" applyFont="1" applyFill="1" applyBorder="1" applyAlignment="1" applyProtection="1">
      <alignment horizontal="center"/>
      <protection hidden="1"/>
    </xf>
    <xf numFmtId="282" fontId="31" fillId="2" borderId="0" xfId="0" applyNumberFormat="1" applyFont="1" applyFill="1" applyAlignment="1" applyProtection="1">
      <alignment horizontal="center"/>
      <protection hidden="1"/>
    </xf>
    <xf numFmtId="274" fontId="69" fillId="2" borderId="3" xfId="0" applyNumberFormat="1" applyFont="1" applyFill="1" applyBorder="1" applyAlignment="1" applyProtection="1">
      <alignment horizontal="center"/>
      <protection hidden="1"/>
    </xf>
    <xf numFmtId="274" fontId="69" fillId="2" borderId="14" xfId="0" applyNumberFormat="1" applyFont="1" applyFill="1" applyBorder="1" applyAlignment="1" applyProtection="1">
      <alignment horizontal="center"/>
      <protection hidden="1"/>
    </xf>
    <xf numFmtId="274" fontId="69" fillId="2" borderId="15" xfId="0" applyNumberFormat="1" applyFont="1" applyFill="1" applyBorder="1" applyAlignment="1" applyProtection="1">
      <alignment horizontal="center"/>
      <protection hidden="1"/>
    </xf>
    <xf numFmtId="283" fontId="31" fillId="2" borderId="0" xfId="0" applyNumberFormat="1" applyFont="1" applyFill="1" applyAlignment="1" applyProtection="1">
      <alignment horizontal="center"/>
      <protection hidden="1"/>
    </xf>
    <xf numFmtId="283" fontId="69" fillId="2" borderId="0" xfId="0" applyNumberFormat="1" applyFont="1" applyFill="1" applyAlignment="1" applyProtection="1">
      <alignment horizontal="center"/>
      <protection hidden="1"/>
    </xf>
    <xf numFmtId="0" fontId="31" fillId="0" borderId="0" xfId="51" applyFont="1" applyFill="1">
      <alignment horizontal="center"/>
      <protection hidden="1"/>
    </xf>
    <xf numFmtId="212" fontId="69" fillId="0" borderId="0" xfId="0" applyNumberFormat="1" applyFont="1" applyAlignment="1" applyProtection="1">
      <alignment horizontal="center"/>
      <protection hidden="1"/>
    </xf>
    <xf numFmtId="170" fontId="49" fillId="0" borderId="0" xfId="0" applyNumberFormat="1" applyFont="1" applyAlignment="1" applyProtection="1">
      <alignment horizontal="center"/>
      <protection hidden="1"/>
    </xf>
    <xf numFmtId="201" fontId="31" fillId="2" borderId="0" xfId="0" applyNumberFormat="1" applyFont="1" applyFill="1" applyAlignment="1" applyProtection="1">
      <alignment horizontal="center"/>
      <protection hidden="1"/>
    </xf>
    <xf numFmtId="231" fontId="31" fillId="28" borderId="4" xfId="0" applyFont="1" applyFill="1" applyBorder="1" applyProtection="1">
      <protection hidden="1"/>
    </xf>
    <xf numFmtId="3" fontId="38" fillId="2" borderId="4" xfId="0" applyNumberFormat="1" applyFont="1" applyFill="1" applyBorder="1" applyAlignment="1" applyProtection="1">
      <alignment horizontal="center"/>
      <protection hidden="1"/>
    </xf>
    <xf numFmtId="10" fontId="31" fillId="28" borderId="1" xfId="0" applyNumberFormat="1" applyFont="1" applyFill="1" applyBorder="1" applyAlignment="1">
      <alignment horizontal="center"/>
    </xf>
    <xf numFmtId="231" fontId="85" fillId="0" borderId="0" xfId="0" applyFont="1" applyAlignment="1">
      <alignment horizontal="center" vertical="center"/>
    </xf>
    <xf numFmtId="231" fontId="86" fillId="0" borderId="0" xfId="0" applyFont="1" applyAlignment="1">
      <alignment vertical="center"/>
    </xf>
    <xf numFmtId="231" fontId="85" fillId="0" borderId="0" xfId="0" applyFont="1" applyAlignment="1">
      <alignment vertical="center"/>
    </xf>
    <xf numFmtId="231" fontId="85" fillId="28" borderId="0" xfId="0" applyFont="1" applyFill="1" applyAlignment="1">
      <alignment vertical="center"/>
    </xf>
    <xf numFmtId="231" fontId="87" fillId="0" borderId="0" xfId="0" applyFont="1" applyProtection="1">
      <protection hidden="1"/>
    </xf>
    <xf numFmtId="231" fontId="88" fillId="0" borderId="0" xfId="0" applyFont="1" applyProtection="1">
      <protection hidden="1"/>
    </xf>
    <xf numFmtId="231" fontId="87" fillId="2" borderId="0" xfId="0" applyFont="1" applyFill="1" applyProtection="1">
      <protection hidden="1"/>
    </xf>
    <xf numFmtId="231" fontId="41" fillId="0" borderId="1" xfId="0" applyFont="1" applyBorder="1" applyAlignment="1">
      <alignment horizontal="left" vertical="center" wrapText="1"/>
    </xf>
    <xf numFmtId="0" fontId="89" fillId="0" borderId="0" xfId="63" applyFont="1" applyAlignment="1">
      <alignment wrapText="1"/>
    </xf>
    <xf numFmtId="165" fontId="90" fillId="0" borderId="1" xfId="56" applyFont="1" applyBorder="1"/>
    <xf numFmtId="49" fontId="90" fillId="0" borderId="1" xfId="56" applyNumberFormat="1" applyFont="1" applyBorder="1" applyAlignment="1">
      <alignment wrapText="1"/>
    </xf>
    <xf numFmtId="165" fontId="90" fillId="0" borderId="1" xfId="56" applyFont="1" applyBorder="1" applyAlignment="1">
      <alignment wrapText="1"/>
    </xf>
    <xf numFmtId="165" fontId="90" fillId="0" borderId="1" xfId="56" applyFont="1" applyFill="1" applyBorder="1"/>
    <xf numFmtId="231" fontId="38" fillId="0" borderId="0" xfId="0" applyFont="1" applyAlignment="1">
      <alignment horizontal="center" vertical="center" wrapText="1"/>
    </xf>
    <xf numFmtId="231" fontId="41" fillId="0" borderId="15" xfId="0" applyFont="1" applyBorder="1"/>
    <xf numFmtId="231" fontId="40" fillId="0" borderId="4" xfId="0" applyFont="1" applyBorder="1" applyAlignment="1">
      <alignment horizontal="center"/>
    </xf>
    <xf numFmtId="284" fontId="31" fillId="31" borderId="1" xfId="0" applyNumberFormat="1" applyFont="1" applyFill="1" applyBorder="1" applyAlignment="1">
      <alignment horizontal="center" vertical="center"/>
    </xf>
    <xf numFmtId="178" fontId="41" fillId="31" borderId="15" xfId="0" applyNumberFormat="1" applyFont="1" applyFill="1" applyBorder="1" applyAlignment="1" applyProtection="1">
      <alignment horizontal="center" vertical="center"/>
      <protection locked="0"/>
    </xf>
    <xf numFmtId="3" fontId="91" fillId="0" borderId="0" xfId="0" applyNumberFormat="1" applyFont="1" applyAlignment="1" applyProtection="1">
      <alignment horizontal="center"/>
      <protection hidden="1"/>
    </xf>
    <xf numFmtId="231" fontId="50" fillId="0" borderId="0" xfId="0" applyFont="1" applyAlignment="1" applyProtection="1">
      <alignment horizontal="left"/>
      <protection hidden="1"/>
    </xf>
    <xf numFmtId="3" fontId="31" fillId="0" borderId="0" xfId="0" applyNumberFormat="1" applyFont="1" applyAlignment="1" applyProtection="1">
      <alignment horizontal="left" vertical="center" indent="1"/>
      <protection hidden="1"/>
    </xf>
    <xf numFmtId="231" fontId="75" fillId="0" borderId="0" xfId="0" applyFont="1"/>
    <xf numFmtId="212" fontId="31" fillId="44" borderId="13" xfId="51" applyNumberFormat="1" applyFont="1" applyFill="1" applyBorder="1">
      <alignment horizontal="center"/>
      <protection hidden="1"/>
    </xf>
    <xf numFmtId="173" fontId="76" fillId="2" borderId="0" xfId="0" applyNumberFormat="1" applyFont="1" applyFill="1" applyAlignment="1">
      <alignment horizontal="center" vertical="center"/>
    </xf>
    <xf numFmtId="285" fontId="77" fillId="2" borderId="4" xfId="0" applyNumberFormat="1" applyFont="1" applyFill="1" applyBorder="1" applyAlignment="1">
      <alignment horizontal="center" vertical="center"/>
    </xf>
    <xf numFmtId="285" fontId="77" fillId="2" borderId="0" xfId="0" applyNumberFormat="1" applyFont="1" applyFill="1" applyAlignment="1">
      <alignment horizontal="center" vertical="center"/>
    </xf>
    <xf numFmtId="286" fontId="77" fillId="2" borderId="0" xfId="0" applyNumberFormat="1" applyFont="1" applyFill="1" applyAlignment="1">
      <alignment horizontal="center" vertical="center"/>
    </xf>
    <xf numFmtId="287" fontId="76" fillId="0" borderId="0" xfId="62" applyNumberFormat="1" applyFont="1" applyBorder="1" applyAlignment="1">
      <alignment horizontal="center" vertical="center"/>
    </xf>
    <xf numFmtId="196" fontId="41" fillId="0" borderId="12" xfId="0" applyNumberFormat="1" applyFont="1" applyBorder="1" applyAlignment="1">
      <alignment horizontal="center" vertical="center"/>
    </xf>
    <xf numFmtId="0" fontId="31" fillId="0" borderId="0" xfId="53" applyNumberFormat="1" applyFont="1">
      <alignment horizontal="center"/>
      <protection hidden="1"/>
    </xf>
    <xf numFmtId="178" fontId="41" fillId="0" borderId="0" xfId="0" applyNumberFormat="1" applyFont="1" applyAlignment="1" applyProtection="1">
      <alignment horizontal="center" vertical="center"/>
      <protection locked="0"/>
    </xf>
    <xf numFmtId="178" fontId="41" fillId="31" borderId="14" xfId="0" applyNumberFormat="1" applyFont="1" applyFill="1" applyBorder="1" applyAlignment="1" applyProtection="1">
      <alignment horizontal="center" vertical="center"/>
      <protection locked="0"/>
    </xf>
    <xf numFmtId="170" fontId="42" fillId="0" borderId="2" xfId="0" applyNumberFormat="1" applyFont="1" applyBorder="1" applyAlignment="1">
      <alignment horizontal="center" vertical="center"/>
    </xf>
    <xf numFmtId="245" fontId="31" fillId="0" borderId="8" xfId="53" applyFont="1" applyBorder="1">
      <alignment horizontal="center"/>
      <protection hidden="1"/>
    </xf>
    <xf numFmtId="1" fontId="31" fillId="28" borderId="0" xfId="0" applyNumberFormat="1" applyFont="1" applyFill="1"/>
    <xf numFmtId="231" fontId="52" fillId="28" borderId="0" xfId="0" applyFont="1" applyFill="1"/>
    <xf numFmtId="177" fontId="42" fillId="28" borderId="0" xfId="0" applyNumberFormat="1" applyFont="1" applyFill="1" applyAlignment="1" applyProtection="1">
      <alignment horizontal="left" vertical="center"/>
      <protection locked="0"/>
    </xf>
    <xf numFmtId="195" fontId="31" fillId="28" borderId="0" xfId="73" applyNumberFormat="1" applyFont="1" applyFill="1" applyBorder="1" applyAlignment="1">
      <alignment horizontal="center"/>
    </xf>
    <xf numFmtId="195" fontId="38" fillId="28" borderId="0" xfId="73" applyNumberFormat="1" applyFont="1" applyFill="1" applyBorder="1" applyAlignment="1">
      <alignment horizontal="center"/>
    </xf>
    <xf numFmtId="231" fontId="45" fillId="28" borderId="0" xfId="66" applyFont="1" applyFill="1"/>
    <xf numFmtId="190" fontId="77" fillId="2" borderId="0" xfId="59" applyNumberFormat="1" applyFont="1" applyFill="1" applyBorder="1" applyAlignment="1">
      <alignment horizontal="center"/>
    </xf>
    <xf numFmtId="10" fontId="45" fillId="28" borderId="0" xfId="0" applyNumberFormat="1" applyFont="1" applyFill="1"/>
    <xf numFmtId="171" fontId="31" fillId="2" borderId="1" xfId="0" applyNumberFormat="1" applyFont="1" applyFill="1" applyBorder="1" applyAlignment="1" applyProtection="1">
      <alignment vertical="center"/>
      <protection locked="0"/>
    </xf>
    <xf numFmtId="245" fontId="31" fillId="0" borderId="0" xfId="53" applyFont="1">
      <alignment horizontal="center"/>
      <protection hidden="1"/>
    </xf>
    <xf numFmtId="174" fontId="31" fillId="0" borderId="0" xfId="0" applyNumberFormat="1" applyFont="1" applyAlignment="1" applyProtection="1">
      <alignment horizontal="right"/>
      <protection hidden="1"/>
    </xf>
    <xf numFmtId="245" fontId="25" fillId="0" borderId="0" xfId="53">
      <alignment horizontal="center"/>
      <protection hidden="1"/>
    </xf>
    <xf numFmtId="170" fontId="42" fillId="0" borderId="1" xfId="0" applyNumberFormat="1" applyFont="1" applyBorder="1" applyAlignment="1">
      <alignment horizontal="center" vertical="center"/>
    </xf>
    <xf numFmtId="170" fontId="71" fillId="0" borderId="0" xfId="0" applyNumberFormat="1" applyFont="1" applyAlignment="1" applyProtection="1">
      <alignment horizontal="center"/>
      <protection hidden="1"/>
    </xf>
    <xf numFmtId="231" fontId="31" fillId="0" borderId="1" xfId="0" applyFont="1" applyBorder="1" applyAlignment="1">
      <alignment horizontal="left" vertical="center"/>
    </xf>
    <xf numFmtId="231" fontId="38" fillId="0" borderId="0" xfId="0" applyFont="1" applyAlignment="1">
      <alignment horizontal="right"/>
    </xf>
    <xf numFmtId="174" fontId="40" fillId="28" borderId="0" xfId="0" applyNumberFormat="1" applyFont="1" applyFill="1" applyAlignment="1">
      <alignment horizontal="center"/>
    </xf>
    <xf numFmtId="231" fontId="39" fillId="28" borderId="0" xfId="58" applyFont="1" applyFill="1"/>
    <xf numFmtId="171" fontId="52" fillId="28" borderId="0" xfId="0" applyNumberFormat="1" applyFont="1" applyFill="1" applyProtection="1">
      <protection hidden="1"/>
    </xf>
    <xf numFmtId="170" fontId="31" fillId="28" borderId="0" xfId="0" applyNumberFormat="1" applyFont="1" applyFill="1" applyAlignment="1" applyProtection="1">
      <alignment horizontal="right"/>
      <protection hidden="1"/>
    </xf>
    <xf numFmtId="171" fontId="49" fillId="28" borderId="0" xfId="0" applyNumberFormat="1" applyFont="1" applyFill="1" applyAlignment="1" applyProtection="1">
      <alignment horizontal="right"/>
      <protection hidden="1"/>
    </xf>
    <xf numFmtId="195" fontId="45" fillId="28" borderId="0" xfId="73" applyNumberFormat="1" applyFont="1" applyFill="1" applyBorder="1" applyAlignment="1">
      <alignment horizontal="center"/>
    </xf>
    <xf numFmtId="195" fontId="38" fillId="28" borderId="0" xfId="66" applyNumberFormat="1" applyFont="1" applyFill="1" applyAlignment="1">
      <alignment horizontal="center"/>
    </xf>
    <xf numFmtId="231" fontId="40" fillId="28" borderId="0" xfId="0" quotePrefix="1" applyFont="1" applyFill="1" applyAlignment="1">
      <alignment horizontal="center"/>
    </xf>
    <xf numFmtId="226" fontId="69" fillId="0" borderId="0" xfId="0" applyNumberFormat="1" applyFont="1" applyAlignment="1" applyProtection="1">
      <alignment horizontal="center" vertical="center"/>
      <protection hidden="1"/>
    </xf>
    <xf numFmtId="0" fontId="69" fillId="0" borderId="0" xfId="0" applyNumberFormat="1" applyFont="1" applyAlignment="1" applyProtection="1">
      <alignment horizontal="center"/>
      <protection hidden="1"/>
    </xf>
    <xf numFmtId="231" fontId="57" fillId="28" borderId="0" xfId="0" applyFont="1" applyFill="1"/>
    <xf numFmtId="231" fontId="53" fillId="28" borderId="0" xfId="0" applyFont="1" applyFill="1"/>
    <xf numFmtId="174" fontId="49" fillId="28" borderId="0" xfId="49" applyFont="1" applyFill="1">
      <alignment horizontal="center"/>
      <protection hidden="1"/>
    </xf>
    <xf numFmtId="231" fontId="39" fillId="42" borderId="11" xfId="0" applyFont="1" applyFill="1" applyBorder="1" applyAlignment="1">
      <alignment vertical="center"/>
    </xf>
    <xf numFmtId="184" fontId="42" fillId="28" borderId="0" xfId="0" applyNumberFormat="1" applyFont="1" applyFill="1" applyAlignment="1" applyProtection="1">
      <alignment horizontal="center" vertical="center"/>
      <protection locked="0"/>
    </xf>
    <xf numFmtId="171" fontId="46" fillId="28" borderId="0" xfId="0" applyNumberFormat="1" applyFont="1" applyFill="1"/>
    <xf numFmtId="174" fontId="41" fillId="28" borderId="0" xfId="0" applyNumberFormat="1" applyFont="1" applyFill="1" applyAlignment="1">
      <alignment horizontal="center"/>
    </xf>
    <xf numFmtId="249" fontId="41" fillId="28" borderId="0" xfId="0" applyNumberFormat="1" applyFont="1" applyFill="1" applyAlignment="1">
      <alignment horizontal="center"/>
    </xf>
    <xf numFmtId="249" fontId="40" fillId="28" borderId="0" xfId="0" applyNumberFormat="1" applyFont="1" applyFill="1" applyAlignment="1">
      <alignment horizontal="center"/>
    </xf>
    <xf numFmtId="174" fontId="31" fillId="0" borderId="1" xfId="0" applyNumberFormat="1" applyFont="1" applyBorder="1" applyAlignment="1">
      <alignment horizontal="center" vertical="center"/>
    </xf>
    <xf numFmtId="290" fontId="31" fillId="0" borderId="0" xfId="0" applyNumberFormat="1" applyFont="1"/>
    <xf numFmtId="173" fontId="77" fillId="2" borderId="4" xfId="0" applyNumberFormat="1" applyFont="1" applyFill="1" applyBorder="1" applyAlignment="1">
      <alignment horizontal="center" vertical="center"/>
    </xf>
    <xf numFmtId="10" fontId="31" fillId="0" borderId="15" xfId="0" applyNumberFormat="1" applyFont="1" applyBorder="1" applyAlignment="1">
      <alignment horizontal="center"/>
    </xf>
    <xf numFmtId="231" fontId="49" fillId="0" borderId="1" xfId="0" applyFont="1" applyBorder="1" applyAlignment="1">
      <alignment horizontal="right" vertical="center"/>
    </xf>
    <xf numFmtId="291" fontId="69" fillId="2" borderId="0" xfId="0" applyNumberFormat="1" applyFont="1" applyFill="1" applyAlignment="1" applyProtection="1">
      <alignment horizontal="center"/>
      <protection hidden="1"/>
    </xf>
    <xf numFmtId="231" fontId="95" fillId="0" borderId="0" xfId="0" applyFont="1" applyAlignment="1">
      <alignment horizontal="right" vertical="center"/>
    </xf>
    <xf numFmtId="174" fontId="49" fillId="28" borderId="0" xfId="49" applyFont="1" applyFill="1" applyAlignment="1">
      <alignment horizontal="left"/>
      <protection hidden="1"/>
    </xf>
    <xf numFmtId="226" fontId="49" fillId="28" borderId="0" xfId="49" applyNumberFormat="1" applyFont="1" applyFill="1">
      <alignment horizontal="center"/>
      <protection hidden="1"/>
    </xf>
    <xf numFmtId="231" fontId="39" fillId="28" borderId="0" xfId="0" applyFont="1" applyFill="1" applyProtection="1">
      <protection hidden="1"/>
    </xf>
    <xf numFmtId="231" fontId="31" fillId="31" borderId="1" xfId="0" applyFont="1" applyFill="1" applyBorder="1" applyAlignment="1">
      <alignment horizontal="center" vertical="center"/>
    </xf>
    <xf numFmtId="171" fontId="31" fillId="28" borderId="0" xfId="59" applyNumberFormat="1" applyFont="1" applyFill="1" applyBorder="1"/>
    <xf numFmtId="10" fontId="38" fillId="28" borderId="0" xfId="59" applyNumberFormat="1" applyFont="1" applyFill="1" applyBorder="1" applyAlignment="1">
      <alignment horizontal="center"/>
    </xf>
    <xf numFmtId="255" fontId="46" fillId="28" borderId="0" xfId="0" applyNumberFormat="1" applyFont="1" applyFill="1" applyAlignment="1">
      <alignment horizontal="center" vertical="center"/>
    </xf>
    <xf numFmtId="231" fontId="52" fillId="28" borderId="0" xfId="0" applyFont="1" applyFill="1" applyProtection="1">
      <protection hidden="1"/>
    </xf>
    <xf numFmtId="9" fontId="31" fillId="28" borderId="0" xfId="0" applyNumberFormat="1" applyFont="1" applyFill="1" applyAlignment="1">
      <alignment horizontal="center" vertical="center"/>
    </xf>
    <xf numFmtId="170" fontId="31" fillId="28" borderId="0" xfId="0" applyNumberFormat="1" applyFont="1" applyFill="1" applyAlignment="1">
      <alignment horizontal="center"/>
    </xf>
    <xf numFmtId="178" fontId="41" fillId="31" borderId="3" xfId="0" applyNumberFormat="1" applyFont="1" applyFill="1" applyBorder="1" applyAlignment="1" applyProtection="1">
      <alignment horizontal="center" vertical="center"/>
      <protection locked="0"/>
    </xf>
    <xf numFmtId="10" fontId="41" fillId="31" borderId="1" xfId="0" applyNumberFormat="1" applyFont="1" applyFill="1" applyBorder="1" applyAlignment="1">
      <alignment horizontal="center" vertical="center"/>
    </xf>
    <xf numFmtId="279" fontId="45" fillId="31" borderId="14" xfId="0" applyNumberFormat="1" applyFont="1" applyFill="1" applyBorder="1" applyAlignment="1">
      <alignment horizontal="center" vertical="center"/>
    </xf>
    <xf numFmtId="279" fontId="58" fillId="31" borderId="14" xfId="0" applyNumberFormat="1" applyFont="1" applyFill="1" applyBorder="1"/>
    <xf numFmtId="199" fontId="38" fillId="28" borderId="0" xfId="0" applyNumberFormat="1" applyFont="1" applyFill="1" applyAlignment="1">
      <alignment horizontal="center" vertical="center"/>
    </xf>
    <xf numFmtId="292" fontId="69" fillId="28" borderId="0" xfId="0" applyNumberFormat="1" applyFont="1" applyFill="1" applyAlignment="1" applyProtection="1">
      <alignment horizontal="center"/>
      <protection hidden="1"/>
    </xf>
    <xf numFmtId="231" fontId="93" fillId="0" borderId="0" xfId="0" applyFont="1"/>
    <xf numFmtId="9" fontId="31" fillId="0" borderId="0" xfId="0" applyNumberFormat="1" applyFont="1" applyAlignment="1" applyProtection="1">
      <alignment horizontal="center"/>
      <protection hidden="1"/>
    </xf>
    <xf numFmtId="245" fontId="31" fillId="31" borderId="12" xfId="53" applyFont="1" applyFill="1" applyBorder="1">
      <alignment horizontal="center"/>
      <protection hidden="1"/>
    </xf>
    <xf numFmtId="245" fontId="31" fillId="31" borderId="5" xfId="53" quotePrefix="1" applyFont="1" applyFill="1" applyBorder="1">
      <alignment horizontal="center"/>
      <protection hidden="1"/>
    </xf>
    <xf numFmtId="245" fontId="31" fillId="31" borderId="5" xfId="53" applyFont="1" applyFill="1" applyBorder="1">
      <alignment horizontal="center"/>
      <protection hidden="1"/>
    </xf>
    <xf numFmtId="245" fontId="31" fillId="31" borderId="6" xfId="53" applyFont="1" applyFill="1" applyBorder="1">
      <alignment horizontal="center"/>
      <protection hidden="1"/>
    </xf>
    <xf numFmtId="170" fontId="42" fillId="31" borderId="3" xfId="0" applyNumberFormat="1" applyFont="1" applyFill="1" applyBorder="1" applyAlignment="1">
      <alignment horizontal="center" vertical="center"/>
    </xf>
    <xf numFmtId="170" fontId="31" fillId="31" borderId="15" xfId="0" applyNumberFormat="1" applyFont="1" applyFill="1" applyBorder="1" applyAlignment="1" applyProtection="1">
      <alignment horizontal="center" vertical="center"/>
      <protection locked="0"/>
    </xf>
    <xf numFmtId="231" fontId="41" fillId="28" borderId="0" xfId="0" quotePrefix="1" applyFont="1" applyFill="1"/>
    <xf numFmtId="275" fontId="69" fillId="2" borderId="0" xfId="0" applyNumberFormat="1" applyFont="1" applyFill="1" applyAlignment="1" applyProtection="1">
      <alignment horizontal="center"/>
      <protection hidden="1"/>
    </xf>
    <xf numFmtId="294" fontId="38" fillId="2" borderId="0" xfId="0" applyNumberFormat="1" applyFont="1" applyFill="1" applyAlignment="1" applyProtection="1">
      <alignment horizontal="center"/>
      <protection hidden="1"/>
    </xf>
    <xf numFmtId="293" fontId="31" fillId="31" borderId="1" xfId="0" applyNumberFormat="1" applyFont="1" applyFill="1" applyBorder="1" applyAlignment="1">
      <alignment horizontal="center" vertical="center"/>
    </xf>
    <xf numFmtId="284" fontId="31" fillId="28" borderId="1" xfId="0" applyNumberFormat="1" applyFont="1" applyFill="1" applyBorder="1" applyAlignment="1">
      <alignment horizontal="center" vertical="center"/>
    </xf>
    <xf numFmtId="184" fontId="42" fillId="31" borderId="4" xfId="0" applyNumberFormat="1" applyFont="1" applyFill="1" applyBorder="1" applyAlignment="1">
      <alignment horizontal="center"/>
    </xf>
    <xf numFmtId="174" fontId="31" fillId="28" borderId="1" xfId="0" applyNumberFormat="1" applyFont="1" applyFill="1" applyBorder="1" applyAlignment="1">
      <alignment horizontal="center"/>
    </xf>
    <xf numFmtId="174" fontId="40" fillId="31" borderId="0" xfId="0" applyNumberFormat="1" applyFont="1" applyFill="1" applyAlignment="1">
      <alignment horizontal="center"/>
    </xf>
    <xf numFmtId="174" fontId="31" fillId="31" borderId="0" xfId="0" applyNumberFormat="1" applyFont="1" applyFill="1" applyAlignment="1">
      <alignment horizontal="center"/>
    </xf>
    <xf numFmtId="231" fontId="96" fillId="0" borderId="0" xfId="0" applyFont="1"/>
    <xf numFmtId="2" fontId="49" fillId="2" borderId="0" xfId="0" applyNumberFormat="1" applyFont="1" applyFill="1" applyAlignment="1" applyProtection="1">
      <alignment horizontal="left" vertical="center"/>
      <protection hidden="1"/>
    </xf>
    <xf numFmtId="231" fontId="41" fillId="0" borderId="0" xfId="0" applyFont="1" applyAlignment="1">
      <alignment vertical="center"/>
    </xf>
    <xf numFmtId="295" fontId="49" fillId="30" borderId="0" xfId="0" applyNumberFormat="1" applyFont="1" applyFill="1" applyAlignment="1" applyProtection="1">
      <alignment horizontal="center" vertical="center"/>
      <protection hidden="1"/>
    </xf>
    <xf numFmtId="231" fontId="51" fillId="28" borderId="0" xfId="0" applyFont="1" applyFill="1"/>
    <xf numFmtId="295" fontId="49" fillId="28" borderId="0" xfId="0" applyNumberFormat="1" applyFont="1" applyFill="1" applyAlignment="1" applyProtection="1">
      <alignment horizontal="center" vertical="center"/>
      <protection hidden="1"/>
    </xf>
    <xf numFmtId="178" fontId="31" fillId="31" borderId="11" xfId="0" applyNumberFormat="1" applyFont="1" applyFill="1" applyBorder="1" applyAlignment="1" applyProtection="1">
      <alignment horizontal="center" vertical="center"/>
      <protection locked="0"/>
    </xf>
    <xf numFmtId="10" fontId="31" fillId="31" borderId="1" xfId="0" applyNumberFormat="1" applyFont="1" applyFill="1" applyBorder="1" applyAlignment="1" applyProtection="1">
      <alignment horizontal="center" vertical="center"/>
      <protection locked="0"/>
    </xf>
    <xf numFmtId="170" fontId="31" fillId="31" borderId="3" xfId="0" applyNumberFormat="1" applyFont="1" applyFill="1" applyBorder="1" applyAlignment="1">
      <alignment horizontal="center"/>
    </xf>
    <xf numFmtId="170" fontId="31" fillId="31" borderId="14" xfId="0" applyNumberFormat="1" applyFont="1" applyFill="1" applyBorder="1" applyAlignment="1">
      <alignment horizontal="center"/>
    </xf>
    <xf numFmtId="170" fontId="31" fillId="31" borderId="15" xfId="0" applyNumberFormat="1" applyFont="1" applyFill="1" applyBorder="1" applyAlignment="1">
      <alignment horizontal="center"/>
    </xf>
    <xf numFmtId="10" fontId="31" fillId="31" borderId="15" xfId="0" applyNumberFormat="1" applyFont="1" applyFill="1" applyBorder="1" applyAlignment="1" applyProtection="1">
      <alignment horizontal="center" vertical="center"/>
      <protection locked="0"/>
    </xf>
    <xf numFmtId="10" fontId="42" fillId="31" borderId="1" xfId="0" applyNumberFormat="1" applyFont="1" applyFill="1" applyBorder="1" applyAlignment="1">
      <alignment horizontal="center" vertical="center"/>
    </xf>
    <xf numFmtId="178" fontId="31" fillId="31" borderId="3" xfId="0" applyNumberFormat="1" applyFont="1" applyFill="1" applyBorder="1" applyAlignment="1" applyProtection="1">
      <alignment horizontal="center" vertical="center"/>
      <protection locked="0"/>
    </xf>
    <xf numFmtId="182" fontId="42" fillId="0" borderId="0" xfId="0" applyNumberFormat="1" applyFont="1" applyAlignment="1">
      <alignment horizontal="center"/>
    </xf>
    <xf numFmtId="174" fontId="69" fillId="28" borderId="1" xfId="0" applyNumberFormat="1" applyFont="1" applyFill="1" applyBorder="1" applyAlignment="1">
      <alignment horizontal="center" vertical="center"/>
    </xf>
    <xf numFmtId="210" fontId="31" fillId="31" borderId="3" xfId="0" applyNumberFormat="1" applyFont="1" applyFill="1" applyBorder="1" applyAlignment="1" applyProtection="1">
      <alignment horizontal="center" vertical="center"/>
      <protection locked="0"/>
    </xf>
    <xf numFmtId="209" fontId="31" fillId="28" borderId="0" xfId="0" applyNumberFormat="1" applyFont="1" applyFill="1" applyAlignment="1">
      <alignment horizontal="center" vertical="center"/>
    </xf>
    <xf numFmtId="209" fontId="69" fillId="28" borderId="0" xfId="0" applyNumberFormat="1" applyFont="1" applyFill="1" applyAlignment="1">
      <alignment horizontal="center" vertical="center"/>
    </xf>
    <xf numFmtId="231" fontId="31" fillId="31" borderId="1" xfId="0" applyFont="1" applyFill="1" applyBorder="1"/>
    <xf numFmtId="231" fontId="31" fillId="0" borderId="0" xfId="0" applyFont="1" applyAlignment="1">
      <alignment horizontal="left" indent="1"/>
    </xf>
    <xf numFmtId="231" fontId="38" fillId="28" borderId="0" xfId="0" applyFont="1" applyFill="1" applyAlignment="1" applyProtection="1">
      <alignment horizontal="left"/>
      <protection hidden="1"/>
    </xf>
    <xf numFmtId="231" fontId="39" fillId="28" borderId="0" xfId="0" applyFont="1" applyFill="1"/>
    <xf numFmtId="0" fontId="97" fillId="28" borderId="0" xfId="50" applyFont="1" applyFill="1">
      <protection hidden="1"/>
    </xf>
    <xf numFmtId="231" fontId="49" fillId="0" borderId="0" xfId="0" applyFont="1"/>
    <xf numFmtId="1" fontId="31" fillId="31" borderId="8" xfId="0" applyNumberFormat="1" applyFont="1" applyFill="1" applyBorder="1" applyAlignment="1">
      <alignment horizontal="center" vertical="center"/>
    </xf>
    <xf numFmtId="1" fontId="31" fillId="0" borderId="8" xfId="0" applyNumberFormat="1" applyFont="1" applyBorder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14" fontId="31" fillId="0" borderId="2" xfId="0" applyNumberFormat="1" applyFont="1" applyBorder="1"/>
    <xf numFmtId="2" fontId="31" fillId="31" borderId="2" xfId="0" applyNumberFormat="1" applyFont="1" applyFill="1" applyBorder="1" applyAlignment="1">
      <alignment horizontal="center" vertical="center"/>
    </xf>
    <xf numFmtId="2" fontId="31" fillId="31" borderId="0" xfId="0" applyNumberFormat="1" applyFont="1" applyFill="1" applyAlignment="1">
      <alignment horizontal="center" vertical="center"/>
    </xf>
    <xf numFmtId="14" fontId="31" fillId="0" borderId="4" xfId="0" applyNumberFormat="1" applyFont="1" applyBorder="1"/>
    <xf numFmtId="298" fontId="31" fillId="0" borderId="0" xfId="0" applyNumberFormat="1" applyFont="1" applyProtection="1">
      <protection hidden="1"/>
    </xf>
    <xf numFmtId="194" fontId="49" fillId="0" borderId="0" xfId="0" applyNumberFormat="1" applyFont="1" applyAlignment="1" applyProtection="1">
      <alignment horizontal="center"/>
      <protection hidden="1"/>
    </xf>
    <xf numFmtId="185" fontId="31" fillId="2" borderId="7" xfId="0" applyNumberFormat="1" applyFont="1" applyFill="1" applyBorder="1" applyAlignment="1" applyProtection="1">
      <alignment horizontal="center"/>
      <protection hidden="1"/>
    </xf>
    <xf numFmtId="185" fontId="31" fillId="2" borderId="0" xfId="0" applyNumberFormat="1" applyFont="1" applyFill="1" applyAlignment="1" applyProtection="1">
      <alignment horizontal="center"/>
      <protection hidden="1"/>
    </xf>
    <xf numFmtId="185" fontId="31" fillId="0" borderId="0" xfId="0" applyNumberFormat="1" applyFont="1" applyProtection="1">
      <protection hidden="1"/>
    </xf>
    <xf numFmtId="185" fontId="60" fillId="0" borderId="0" xfId="0" applyNumberFormat="1" applyFont="1" applyProtection="1">
      <protection hidden="1"/>
    </xf>
    <xf numFmtId="185" fontId="45" fillId="0" borderId="0" xfId="0" applyNumberFormat="1" applyFont="1" applyProtection="1">
      <protection hidden="1"/>
    </xf>
    <xf numFmtId="185" fontId="38" fillId="2" borderId="4" xfId="0" applyNumberFormat="1" applyFont="1" applyFill="1" applyBorder="1" applyAlignment="1" applyProtection="1">
      <alignment horizontal="center"/>
      <protection hidden="1"/>
    </xf>
    <xf numFmtId="185" fontId="31" fillId="0" borderId="4" xfId="0" applyNumberFormat="1" applyFont="1" applyBorder="1" applyProtection="1">
      <protection hidden="1"/>
    </xf>
    <xf numFmtId="299" fontId="45" fillId="28" borderId="0" xfId="0" applyNumberFormat="1" applyFont="1" applyFill="1" applyAlignment="1" applyProtection="1">
      <alignment horizontal="left"/>
      <protection hidden="1"/>
    </xf>
    <xf numFmtId="10" fontId="49" fillId="0" borderId="3" xfId="0" applyNumberFormat="1" applyFont="1" applyBorder="1" applyAlignment="1" applyProtection="1">
      <alignment horizontal="center"/>
      <protection hidden="1"/>
    </xf>
    <xf numFmtId="10" fontId="49" fillId="0" borderId="5" xfId="0" applyNumberFormat="1" applyFont="1" applyBorder="1" applyAlignment="1" applyProtection="1">
      <alignment horizontal="center"/>
      <protection hidden="1"/>
    </xf>
    <xf numFmtId="10" fontId="49" fillId="0" borderId="13" xfId="0" applyNumberFormat="1" applyFont="1" applyBorder="1" applyAlignment="1" applyProtection="1">
      <alignment horizontal="center"/>
      <protection hidden="1"/>
    </xf>
    <xf numFmtId="300" fontId="31" fillId="28" borderId="12" xfId="0" applyNumberFormat="1" applyFont="1" applyFill="1" applyBorder="1" applyAlignment="1">
      <alignment horizontal="center"/>
    </xf>
    <xf numFmtId="300" fontId="31" fillId="28" borderId="5" xfId="0" applyNumberFormat="1" applyFont="1" applyFill="1" applyBorder="1" applyAlignment="1">
      <alignment horizontal="center"/>
    </xf>
    <xf numFmtId="300" fontId="31" fillId="28" borderId="4" xfId="0" applyNumberFormat="1" applyFont="1" applyFill="1" applyBorder="1" applyAlignment="1">
      <alignment horizontal="center"/>
    </xf>
    <xf numFmtId="226" fontId="69" fillId="2" borderId="0" xfId="0" applyNumberFormat="1" applyFont="1" applyFill="1" applyAlignment="1" applyProtection="1">
      <alignment horizontal="center"/>
      <protection hidden="1"/>
    </xf>
    <xf numFmtId="226" fontId="69" fillId="0" borderId="0" xfId="57" applyNumberFormat="1" applyFont="1">
      <alignment horizontal="center"/>
      <protection hidden="1"/>
    </xf>
    <xf numFmtId="226" fontId="31" fillId="0" borderId="0" xfId="0" applyNumberFormat="1" applyFont="1" applyProtection="1">
      <protection hidden="1"/>
    </xf>
    <xf numFmtId="226" fontId="69" fillId="0" borderId="0" xfId="57" applyNumberFormat="1" applyFont="1" applyAlignment="1">
      <alignment horizontal="center" wrapText="1"/>
      <protection hidden="1"/>
    </xf>
    <xf numFmtId="275" fontId="69" fillId="0" borderId="0" xfId="0" applyNumberFormat="1" applyFont="1" applyAlignment="1" applyProtection="1">
      <alignment horizontal="center"/>
      <protection hidden="1"/>
    </xf>
    <xf numFmtId="275" fontId="31" fillId="2" borderId="0" xfId="0" applyNumberFormat="1" applyFont="1" applyFill="1" applyAlignment="1" applyProtection="1">
      <alignment horizontal="center"/>
      <protection hidden="1"/>
    </xf>
    <xf numFmtId="9" fontId="41" fillId="31" borderId="10" xfId="0" applyNumberFormat="1" applyFont="1" applyFill="1" applyBorder="1" applyAlignment="1" applyProtection="1">
      <alignment horizontal="center"/>
      <protection locked="0"/>
    </xf>
    <xf numFmtId="9" fontId="41" fillId="31" borderId="4" xfId="0" applyNumberFormat="1" applyFont="1" applyFill="1" applyBorder="1" applyAlignment="1" applyProtection="1">
      <alignment horizontal="center"/>
      <protection locked="0"/>
    </xf>
    <xf numFmtId="263" fontId="31" fillId="0" borderId="0" xfId="53" applyNumberFormat="1" applyFont="1">
      <alignment horizontal="center"/>
      <protection hidden="1"/>
    </xf>
    <xf numFmtId="290" fontId="52" fillId="0" borderId="0" xfId="0" applyNumberFormat="1" applyFont="1"/>
    <xf numFmtId="208" fontId="45" fillId="0" borderId="0" xfId="0" applyNumberFormat="1" applyFont="1"/>
    <xf numFmtId="208" fontId="45" fillId="0" borderId="0" xfId="0" applyNumberFormat="1" applyFont="1" applyAlignment="1">
      <alignment horizontal="center"/>
    </xf>
    <xf numFmtId="301" fontId="45" fillId="0" borderId="0" xfId="59" applyNumberFormat="1" applyFont="1" applyFill="1" applyBorder="1" applyAlignment="1">
      <alignment horizontal="center"/>
    </xf>
    <xf numFmtId="301" fontId="45" fillId="0" borderId="0" xfId="0" applyNumberFormat="1" applyFont="1" applyAlignment="1">
      <alignment horizontal="center"/>
    </xf>
    <xf numFmtId="301" fontId="31" fillId="2" borderId="0" xfId="0" applyNumberFormat="1" applyFont="1" applyFill="1" applyAlignment="1">
      <alignment horizontal="center"/>
    </xf>
    <xf numFmtId="170" fontId="38" fillId="0" borderId="0" xfId="59" applyNumberFormat="1" applyFont="1" applyFill="1" applyBorder="1" applyAlignment="1">
      <alignment horizontal="center"/>
    </xf>
    <xf numFmtId="170" fontId="31" fillId="28" borderId="0" xfId="59" applyNumberFormat="1" applyFont="1" applyFill="1" applyBorder="1" applyAlignment="1">
      <alignment horizontal="center"/>
    </xf>
    <xf numFmtId="10" fontId="45" fillId="31" borderId="1" xfId="0" applyNumberFormat="1" applyFont="1" applyFill="1" applyBorder="1" applyAlignment="1">
      <alignment horizontal="center" vertical="center"/>
    </xf>
    <xf numFmtId="297" fontId="45" fillId="31" borderId="1" xfId="0" applyNumberFormat="1" applyFont="1" applyFill="1" applyBorder="1" applyAlignment="1">
      <alignment horizontal="center"/>
    </xf>
    <xf numFmtId="231" fontId="31" fillId="30" borderId="0" xfId="0" applyFont="1" applyFill="1"/>
    <xf numFmtId="283" fontId="49" fillId="2" borderId="0" xfId="0" applyNumberFormat="1" applyFont="1" applyFill="1" applyAlignment="1" applyProtection="1">
      <alignment horizontal="center" vertical="center"/>
      <protection hidden="1"/>
    </xf>
    <xf numFmtId="231" fontId="41" fillId="0" borderId="0" xfId="0" applyFont="1" applyAlignment="1">
      <alignment horizontal="center" vertical="center"/>
    </xf>
    <xf numFmtId="231" fontId="31" fillId="28" borderId="0" xfId="0" applyFont="1" applyFill="1" applyAlignment="1">
      <alignment horizontal="left" vertical="center"/>
    </xf>
    <xf numFmtId="231" fontId="31" fillId="0" borderId="0" xfId="0" applyFont="1" applyAlignment="1">
      <alignment vertical="center"/>
    </xf>
    <xf numFmtId="231" fontId="38" fillId="0" borderId="3" xfId="0" applyFont="1" applyBorder="1" applyAlignment="1">
      <alignment horizontal="center" vertical="center"/>
    </xf>
    <xf numFmtId="182" fontId="31" fillId="0" borderId="0" xfId="0" applyNumberFormat="1" applyFont="1" applyAlignment="1">
      <alignment horizontal="center" vertical="center" wrapText="1"/>
    </xf>
    <xf numFmtId="231" fontId="40" fillId="0" borderId="0" xfId="0" applyFont="1" applyAlignment="1">
      <alignment vertical="center"/>
    </xf>
    <xf numFmtId="190" fontId="41" fillId="0" borderId="0" xfId="0" applyNumberFormat="1" applyFont="1" applyAlignment="1">
      <alignment vertical="center"/>
    </xf>
    <xf numFmtId="231" fontId="63" fillId="0" borderId="0" xfId="0" applyFont="1" applyAlignment="1">
      <alignment vertical="center"/>
    </xf>
    <xf numFmtId="231" fontId="38" fillId="0" borderId="0" xfId="0" applyFont="1" applyAlignment="1">
      <alignment horizontal="center" vertical="center"/>
    </xf>
    <xf numFmtId="231" fontId="31" fillId="0" borderId="10" xfId="0" applyFont="1" applyBorder="1" applyAlignment="1">
      <alignment horizontal="center" vertical="center" wrapText="1"/>
    </xf>
    <xf numFmtId="231" fontId="31" fillId="0" borderId="6" xfId="0" applyFont="1" applyBorder="1" applyAlignment="1">
      <alignment horizontal="center" vertical="center" wrapText="1"/>
    </xf>
    <xf numFmtId="231" fontId="41" fillId="0" borderId="6" xfId="0" applyFont="1" applyBorder="1" applyAlignment="1">
      <alignment horizontal="center" vertical="center"/>
    </xf>
    <xf numFmtId="231" fontId="31" fillId="0" borderId="4" xfId="0" applyFont="1" applyBorder="1" applyAlignment="1">
      <alignment horizontal="center" vertical="center" wrapText="1"/>
    </xf>
    <xf numFmtId="231" fontId="31" fillId="0" borderId="15" xfId="0" applyFont="1" applyBorder="1" applyAlignment="1">
      <alignment horizontal="center" vertical="center" wrapText="1"/>
    </xf>
    <xf numFmtId="182" fontId="46" fillId="2" borderId="0" xfId="0" applyNumberFormat="1" applyFont="1" applyFill="1" applyAlignment="1">
      <alignment horizontal="center" vertical="center"/>
    </xf>
    <xf numFmtId="182" fontId="38" fillId="0" borderId="0" xfId="0" applyNumberFormat="1" applyFont="1" applyAlignment="1">
      <alignment horizontal="center" vertical="center" wrapText="1"/>
    </xf>
    <xf numFmtId="0" fontId="39" fillId="42" borderId="0" xfId="50" applyFont="1" applyAlignment="1">
      <alignment vertical="center"/>
      <protection hidden="1"/>
    </xf>
    <xf numFmtId="174" fontId="39" fillId="42" borderId="0" xfId="50" applyNumberFormat="1" applyFont="1" applyAlignment="1">
      <alignment horizontal="center" vertical="center"/>
      <protection hidden="1"/>
    </xf>
    <xf numFmtId="258" fontId="39" fillId="42" borderId="0" xfId="0" applyNumberFormat="1" applyFont="1" applyFill="1" applyAlignment="1">
      <alignment horizontal="center" vertical="center"/>
    </xf>
    <xf numFmtId="231" fontId="31" fillId="0" borderId="0" xfId="0" applyFont="1" applyAlignment="1">
      <alignment horizontal="center" vertical="center" wrapText="1"/>
    </xf>
    <xf numFmtId="182" fontId="42" fillId="2" borderId="0" xfId="0" applyNumberFormat="1" applyFont="1" applyFill="1" applyAlignment="1">
      <alignment horizontal="center" vertical="center"/>
    </xf>
    <xf numFmtId="174" fontId="38" fillId="0" borderId="4" xfId="0" applyNumberFormat="1" applyFont="1" applyBorder="1" applyAlignment="1">
      <alignment horizontal="center" vertical="center" wrapText="1"/>
    </xf>
    <xf numFmtId="247" fontId="38" fillId="0" borderId="0" xfId="0" applyNumberFormat="1" applyFont="1" applyAlignment="1">
      <alignment horizontal="center" vertical="center" wrapText="1"/>
    </xf>
    <xf numFmtId="174" fontId="31" fillId="0" borderId="0" xfId="0" applyNumberFormat="1" applyFont="1" applyAlignment="1">
      <alignment horizontal="center" vertical="center" wrapText="1"/>
    </xf>
    <xf numFmtId="231" fontId="31" fillId="0" borderId="0" xfId="0" applyFont="1" applyAlignment="1">
      <alignment horizontal="left" vertical="center"/>
    </xf>
    <xf numFmtId="174" fontId="39" fillId="42" borderId="13" xfId="0" applyNumberFormat="1" applyFont="1" applyFill="1" applyBorder="1" applyAlignment="1">
      <alignment horizontal="center" vertical="center"/>
    </xf>
    <xf numFmtId="258" fontId="31" fillId="0" borderId="0" xfId="0" applyNumberFormat="1" applyFont="1" applyAlignment="1">
      <alignment horizontal="center" vertical="center"/>
    </xf>
    <xf numFmtId="0" fontId="38" fillId="0" borderId="4" xfId="0" applyNumberFormat="1" applyFont="1" applyBorder="1" applyAlignment="1">
      <alignment horizontal="center" vertical="center"/>
    </xf>
    <xf numFmtId="231" fontId="44" fillId="0" borderId="4" xfId="0" applyFont="1" applyBorder="1" applyAlignment="1">
      <alignment horizontal="center" vertical="center"/>
    </xf>
    <xf numFmtId="174" fontId="38" fillId="0" borderId="4" xfId="0" applyNumberFormat="1" applyFont="1" applyBorder="1" applyAlignment="1">
      <alignment horizontal="center" vertical="center"/>
    </xf>
    <xf numFmtId="174" fontId="44" fillId="0" borderId="0" xfId="0" applyNumberFormat="1" applyFont="1" applyAlignment="1">
      <alignment horizontal="center" vertical="center"/>
    </xf>
    <xf numFmtId="231" fontId="44" fillId="0" borderId="0" xfId="0" applyFont="1" applyAlignment="1">
      <alignment horizontal="center" vertical="center"/>
    </xf>
    <xf numFmtId="231" fontId="31" fillId="0" borderId="9" xfId="0" applyFont="1" applyBorder="1" applyAlignment="1">
      <alignment horizontal="center" vertical="center"/>
    </xf>
    <xf numFmtId="232" fontId="40" fillId="0" borderId="2" xfId="0" applyNumberFormat="1" applyFont="1" applyBorder="1" applyAlignment="1">
      <alignment horizontal="center" vertical="center"/>
    </xf>
    <xf numFmtId="0" fontId="41" fillId="0" borderId="0" xfId="0" applyNumberFormat="1" applyFont="1" applyAlignment="1">
      <alignment vertical="center"/>
    </xf>
    <xf numFmtId="231" fontId="31" fillId="0" borderId="11" xfId="0" applyFont="1" applyBorder="1" applyAlignment="1">
      <alignment vertical="center"/>
    </xf>
    <xf numFmtId="9" fontId="31" fillId="31" borderId="1" xfId="0" applyNumberFormat="1" applyFont="1" applyFill="1" applyBorder="1" applyAlignment="1">
      <alignment horizontal="center" vertical="center"/>
    </xf>
    <xf numFmtId="174" fontId="31" fillId="28" borderId="1" xfId="0" applyNumberFormat="1" applyFont="1" applyFill="1" applyBorder="1" applyAlignment="1">
      <alignment horizontal="center" vertical="center"/>
    </xf>
    <xf numFmtId="0" fontId="31" fillId="31" borderId="11" xfId="0" applyNumberFormat="1" applyFont="1" applyFill="1" applyBorder="1" applyAlignment="1">
      <alignment horizontal="center" vertical="center"/>
    </xf>
    <xf numFmtId="232" fontId="41" fillId="31" borderId="0" xfId="0" applyNumberFormat="1" applyFont="1" applyFill="1" applyAlignment="1">
      <alignment horizontal="center" vertical="center"/>
    </xf>
    <xf numFmtId="266" fontId="31" fillId="0" borderId="0" xfId="0" applyNumberFormat="1" applyFont="1" applyAlignment="1">
      <alignment horizontal="center" vertical="center"/>
    </xf>
    <xf numFmtId="0" fontId="31" fillId="31" borderId="10" xfId="0" applyNumberFormat="1" applyFont="1" applyFill="1" applyBorder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9" fontId="38" fillId="0" borderId="0" xfId="0" applyNumberFormat="1" applyFont="1" applyAlignment="1">
      <alignment horizontal="center" vertical="center"/>
    </xf>
    <xf numFmtId="174" fontId="38" fillId="0" borderId="0" xfId="0" applyNumberFormat="1" applyFont="1" applyAlignment="1">
      <alignment horizontal="center" vertical="center"/>
    </xf>
    <xf numFmtId="174" fontId="31" fillId="28" borderId="11" xfId="0" applyNumberFormat="1" applyFont="1" applyFill="1" applyBorder="1" applyAlignment="1">
      <alignment horizontal="center" vertical="center"/>
    </xf>
    <xf numFmtId="0" fontId="31" fillId="31" borderId="1" xfId="0" applyNumberFormat="1" applyFont="1" applyFill="1" applyBorder="1" applyAlignment="1">
      <alignment horizontal="center" vertical="center"/>
    </xf>
    <xf numFmtId="231" fontId="41" fillId="0" borderId="3" xfId="0" applyFont="1" applyBorder="1" applyAlignment="1">
      <alignment horizontal="left" vertical="center" wrapText="1"/>
    </xf>
    <xf numFmtId="170" fontId="31" fillId="28" borderId="0" xfId="0" applyNumberFormat="1" applyFont="1" applyFill="1" applyAlignment="1">
      <alignment horizontal="center" vertical="center"/>
    </xf>
    <xf numFmtId="174" fontId="31" fillId="28" borderId="0" xfId="0" applyNumberFormat="1" applyFont="1" applyFill="1" applyAlignment="1">
      <alignment horizontal="center" vertical="center"/>
    </xf>
    <xf numFmtId="211" fontId="31" fillId="28" borderId="0" xfId="0" applyNumberFormat="1" applyFont="1" applyFill="1" applyAlignment="1">
      <alignment horizontal="center" vertical="center"/>
    </xf>
    <xf numFmtId="231" fontId="31" fillId="28" borderId="0" xfId="0" applyFont="1" applyFill="1" applyAlignment="1">
      <alignment horizontal="center" vertical="center"/>
    </xf>
    <xf numFmtId="231" fontId="31" fillId="0" borderId="1" xfId="0" applyFont="1" applyBorder="1" applyAlignment="1">
      <alignment vertical="center"/>
    </xf>
    <xf numFmtId="231" fontId="31" fillId="0" borderId="4" xfId="0" applyFont="1" applyBorder="1" applyAlignment="1">
      <alignment horizontal="center" vertical="center"/>
    </xf>
    <xf numFmtId="9" fontId="38" fillId="0" borderId="4" xfId="0" applyNumberFormat="1" applyFont="1" applyBorder="1" applyAlignment="1">
      <alignment horizontal="center" vertical="center"/>
    </xf>
    <xf numFmtId="9" fontId="41" fillId="0" borderId="0" xfId="0" applyNumberFormat="1" applyFont="1" applyAlignment="1">
      <alignment vertical="center"/>
    </xf>
    <xf numFmtId="232" fontId="41" fillId="0" borderId="0" xfId="0" applyNumberFormat="1" applyFont="1" applyAlignment="1">
      <alignment horizontal="center" vertical="center"/>
    </xf>
    <xf numFmtId="231" fontId="41" fillId="28" borderId="3" xfId="0" applyFont="1" applyFill="1" applyBorder="1" applyAlignment="1">
      <alignment horizontal="left" vertical="center" wrapText="1"/>
    </xf>
    <xf numFmtId="259" fontId="31" fillId="28" borderId="0" xfId="0" applyNumberFormat="1" applyFont="1" applyFill="1" applyAlignment="1">
      <alignment horizontal="center" vertical="center"/>
    </xf>
    <xf numFmtId="259" fontId="31" fillId="0" borderId="9" xfId="0" applyNumberFormat="1" applyFont="1" applyBorder="1" applyAlignment="1">
      <alignment horizontal="center" vertical="center"/>
    </xf>
    <xf numFmtId="232" fontId="40" fillId="0" borderId="8" xfId="0" applyNumberFormat="1" applyFont="1" applyBorder="1" applyAlignment="1">
      <alignment horizontal="center" vertical="center"/>
    </xf>
    <xf numFmtId="231" fontId="38" fillId="0" borderId="4" xfId="0" applyFont="1" applyBorder="1" applyAlignment="1">
      <alignment horizontal="center" vertical="center"/>
    </xf>
    <xf numFmtId="231" fontId="41" fillId="28" borderId="0" xfId="0" applyFont="1" applyFill="1" applyAlignment="1">
      <alignment vertical="center"/>
    </xf>
    <xf numFmtId="258" fontId="31" fillId="28" borderId="0" xfId="0" applyNumberFormat="1" applyFont="1" applyFill="1" applyAlignment="1">
      <alignment horizontal="center" vertical="center"/>
    </xf>
    <xf numFmtId="0" fontId="31" fillId="28" borderId="0" xfId="0" applyNumberFormat="1" applyFont="1" applyFill="1" applyAlignment="1">
      <alignment horizontal="center" vertical="center"/>
    </xf>
    <xf numFmtId="232" fontId="41" fillId="28" borderId="0" xfId="0" applyNumberFormat="1" applyFont="1" applyFill="1" applyAlignment="1">
      <alignment horizontal="center" vertical="center"/>
    </xf>
    <xf numFmtId="231" fontId="41" fillId="0" borderId="0" xfId="0" quotePrefix="1" applyFont="1" applyAlignment="1">
      <alignment horizontal="center" vertical="center"/>
    </xf>
    <xf numFmtId="231" fontId="38" fillId="0" borderId="11" xfId="0" applyFont="1" applyBorder="1" applyAlignment="1">
      <alignment vertical="center"/>
    </xf>
    <xf numFmtId="174" fontId="38" fillId="0" borderId="13" xfId="0" applyNumberFormat="1" applyFont="1" applyBorder="1" applyAlignment="1">
      <alignment horizontal="center" vertical="center"/>
    </xf>
    <xf numFmtId="231" fontId="38" fillId="0" borderId="0" xfId="0" applyFont="1" applyAlignment="1">
      <alignment vertical="center"/>
    </xf>
    <xf numFmtId="231" fontId="39" fillId="42" borderId="0" xfId="0" applyFont="1" applyFill="1" applyAlignment="1">
      <alignment vertical="center"/>
    </xf>
    <xf numFmtId="9" fontId="31" fillId="0" borderId="0" xfId="0" applyNumberFormat="1" applyFont="1" applyAlignment="1">
      <alignment horizontal="center" vertical="center" wrapText="1"/>
    </xf>
    <xf numFmtId="247" fontId="31" fillId="28" borderId="0" xfId="0" applyNumberFormat="1" applyFont="1" applyFill="1" applyAlignment="1">
      <alignment horizontal="center" vertical="center"/>
    </xf>
    <xf numFmtId="9" fontId="41" fillId="28" borderId="0" xfId="0" applyNumberFormat="1" applyFont="1" applyFill="1" applyAlignment="1">
      <alignment vertical="center"/>
    </xf>
    <xf numFmtId="174" fontId="31" fillId="31" borderId="1" xfId="0" applyNumberFormat="1" applyFont="1" applyFill="1" applyBorder="1" applyAlignment="1">
      <alignment horizontal="center" vertical="center"/>
    </xf>
    <xf numFmtId="174" fontId="69" fillId="0" borderId="1" xfId="0" applyNumberFormat="1" applyFont="1" applyBorder="1" applyAlignment="1">
      <alignment horizontal="center" vertical="center"/>
    </xf>
    <xf numFmtId="174" fontId="31" fillId="0" borderId="0" xfId="0" applyNumberFormat="1" applyFont="1" applyAlignment="1">
      <alignment horizontal="center" vertical="center"/>
    </xf>
    <xf numFmtId="214" fontId="31" fillId="0" borderId="0" xfId="0" applyNumberFormat="1" applyFont="1" applyAlignment="1">
      <alignment horizontal="center" vertical="center"/>
    </xf>
    <xf numFmtId="233" fontId="31" fillId="0" borderId="0" xfId="0" applyNumberFormat="1" applyFont="1" applyAlignment="1">
      <alignment horizontal="center" vertical="center"/>
    </xf>
    <xf numFmtId="171" fontId="38" fillId="0" borderId="13" xfId="59" applyNumberFormat="1" applyFont="1" applyBorder="1" applyAlignment="1">
      <alignment horizontal="center" vertical="center"/>
    </xf>
    <xf numFmtId="174" fontId="41" fillId="0" borderId="0" xfId="0" applyNumberFormat="1" applyFont="1" applyAlignment="1">
      <alignment horizontal="center" vertical="center"/>
    </xf>
    <xf numFmtId="182" fontId="46" fillId="31" borderId="0" xfId="0" applyNumberFormat="1" applyFont="1" applyFill="1" applyAlignment="1">
      <alignment horizontal="center" vertical="center"/>
    </xf>
    <xf numFmtId="231" fontId="31" fillId="0" borderId="9" xfId="0" applyFont="1" applyBorder="1" applyAlignment="1">
      <alignment vertical="center"/>
    </xf>
    <xf numFmtId="174" fontId="38" fillId="28" borderId="12" xfId="0" applyNumberFormat="1" applyFont="1" applyFill="1" applyBorder="1" applyAlignment="1">
      <alignment horizontal="center" vertical="center"/>
    </xf>
    <xf numFmtId="231" fontId="40" fillId="0" borderId="0" xfId="0" applyFont="1" applyAlignment="1">
      <alignment horizontal="center" vertical="center"/>
    </xf>
    <xf numFmtId="10" fontId="41" fillId="0" borderId="0" xfId="0" applyNumberFormat="1" applyFont="1" applyAlignment="1">
      <alignment vertical="center"/>
    </xf>
    <xf numFmtId="231" fontId="38" fillId="0" borderId="10" xfId="0" applyFont="1" applyBorder="1" applyAlignment="1">
      <alignment vertical="center"/>
    </xf>
    <xf numFmtId="174" fontId="38" fillId="28" borderId="6" xfId="0" applyNumberFormat="1" applyFont="1" applyFill="1" applyBorder="1" applyAlignment="1">
      <alignment horizontal="center" vertical="center"/>
    </xf>
    <xf numFmtId="174" fontId="38" fillId="28" borderId="0" xfId="0" applyNumberFormat="1" applyFont="1" applyFill="1" applyAlignment="1">
      <alignment horizontal="center" vertical="center"/>
    </xf>
    <xf numFmtId="231" fontId="45" fillId="0" borderId="0" xfId="0" applyFont="1" applyAlignment="1">
      <alignment horizontal="center" vertical="center"/>
    </xf>
    <xf numFmtId="231" fontId="45" fillId="0" borderId="0" xfId="0" applyFont="1" applyAlignment="1">
      <alignment vertical="center"/>
    </xf>
    <xf numFmtId="9" fontId="69" fillId="0" borderId="0" xfId="0" applyNumberFormat="1" applyFont="1" applyAlignment="1">
      <alignment horizontal="center" vertical="center"/>
    </xf>
    <xf numFmtId="1" fontId="69" fillId="0" borderId="0" xfId="0" applyNumberFormat="1" applyFont="1" applyAlignment="1">
      <alignment horizontal="center" vertical="center"/>
    </xf>
    <xf numFmtId="9" fontId="45" fillId="0" borderId="0" xfId="0" applyNumberFormat="1" applyFont="1" applyAlignment="1">
      <alignment horizontal="center" vertical="center"/>
    </xf>
    <xf numFmtId="212" fontId="31" fillId="0" borderId="0" xfId="0" applyNumberFormat="1" applyFont="1" applyProtection="1">
      <protection hidden="1"/>
    </xf>
    <xf numFmtId="231" fontId="69" fillId="2" borderId="0" xfId="0" applyFont="1" applyFill="1" applyAlignment="1" applyProtection="1">
      <alignment horizontal="left" vertical="center"/>
      <protection hidden="1"/>
    </xf>
    <xf numFmtId="3" fontId="71" fillId="0" borderId="0" xfId="0" applyNumberFormat="1" applyFont="1" applyAlignment="1" applyProtection="1">
      <alignment horizontal="left" vertical="center" indent="1"/>
      <protection hidden="1"/>
    </xf>
    <xf numFmtId="3" fontId="69" fillId="0" borderId="0" xfId="0" applyNumberFormat="1" applyFont="1" applyAlignment="1" applyProtection="1">
      <alignment horizontal="left" vertical="center" indent="1"/>
      <protection hidden="1"/>
    </xf>
    <xf numFmtId="3" fontId="38" fillId="0" borderId="0" xfId="0" quotePrefix="1" applyNumberFormat="1" applyFont="1" applyAlignment="1" applyProtection="1">
      <alignment horizontal="left" vertical="center" indent="1"/>
      <protection hidden="1"/>
    </xf>
    <xf numFmtId="3" fontId="71" fillId="0" borderId="0" xfId="0" quotePrefix="1" applyNumberFormat="1" applyFont="1" applyAlignment="1" applyProtection="1">
      <alignment horizontal="left" vertical="center" indent="1"/>
      <protection hidden="1"/>
    </xf>
    <xf numFmtId="3" fontId="31" fillId="0" borderId="0" xfId="0" applyNumberFormat="1" applyFont="1" applyAlignment="1" applyProtection="1">
      <alignment vertical="center"/>
      <protection hidden="1"/>
    </xf>
    <xf numFmtId="3" fontId="69" fillId="0" borderId="0" xfId="0" applyNumberFormat="1" applyFont="1" applyAlignment="1" applyProtection="1">
      <alignment vertical="center"/>
      <protection hidden="1"/>
    </xf>
    <xf numFmtId="3" fontId="42" fillId="28" borderId="0" xfId="0" applyNumberFormat="1" applyFont="1" applyFill="1" applyAlignment="1" applyProtection="1">
      <alignment horizontal="left" vertical="center" indent="1"/>
      <protection hidden="1"/>
    </xf>
    <xf numFmtId="170" fontId="69" fillId="0" borderId="0" xfId="0" applyNumberFormat="1" applyFont="1" applyAlignment="1" applyProtection="1">
      <alignment horizontal="center" vertical="center"/>
      <protection hidden="1"/>
    </xf>
    <xf numFmtId="3" fontId="42" fillId="0" borderId="0" xfId="0" applyNumberFormat="1" applyFont="1" applyAlignment="1" applyProtection="1">
      <alignment horizontal="left" vertical="center" indent="1"/>
      <protection hidden="1"/>
    </xf>
    <xf numFmtId="3" fontId="47" fillId="0" borderId="0" xfId="0" applyNumberFormat="1" applyFont="1" applyAlignment="1" applyProtection="1">
      <alignment horizontal="left" vertical="center" indent="1"/>
      <protection hidden="1"/>
    </xf>
    <xf numFmtId="226" fontId="45" fillId="0" borderId="0" xfId="0" applyNumberFormat="1" applyFont="1" applyAlignment="1" applyProtection="1">
      <alignment horizontal="center"/>
      <protection hidden="1"/>
    </xf>
    <xf numFmtId="3" fontId="31" fillId="0" borderId="0" xfId="0" quotePrefix="1" applyNumberFormat="1" applyFont="1" applyAlignment="1" applyProtection="1">
      <alignment horizontal="left" vertical="center" indent="1"/>
      <protection hidden="1"/>
    </xf>
    <xf numFmtId="9" fontId="69" fillId="0" borderId="0" xfId="0" applyNumberFormat="1" applyFont="1" applyAlignment="1" applyProtection="1">
      <alignment horizontal="center" vertical="center"/>
      <protection hidden="1"/>
    </xf>
    <xf numFmtId="245" fontId="49" fillId="28" borderId="0" xfId="53" applyFont="1" applyFill="1">
      <alignment horizontal="center"/>
      <protection hidden="1"/>
    </xf>
    <xf numFmtId="10" fontId="69" fillId="0" borderId="0" xfId="0" applyNumberFormat="1" applyFont="1" applyAlignment="1" applyProtection="1">
      <alignment horizontal="center" vertical="center"/>
      <protection hidden="1"/>
    </xf>
    <xf numFmtId="3" fontId="38" fillId="0" borderId="0" xfId="0" applyNumberFormat="1" applyFont="1" applyAlignment="1" applyProtection="1">
      <alignment horizontal="left" vertical="center"/>
      <protection hidden="1"/>
    </xf>
    <xf numFmtId="3" fontId="71" fillId="0" borderId="0" xfId="0" applyNumberFormat="1" applyFont="1" applyAlignment="1" applyProtection="1">
      <alignment horizontal="left" vertical="center"/>
      <protection hidden="1"/>
    </xf>
    <xf numFmtId="3" fontId="49" fillId="0" borderId="0" xfId="0" applyNumberFormat="1" applyFont="1" applyAlignment="1" applyProtection="1">
      <alignment vertical="center"/>
      <protection hidden="1"/>
    </xf>
    <xf numFmtId="231" fontId="38" fillId="2" borderId="0" xfId="0" applyFont="1" applyFill="1" applyProtection="1">
      <protection hidden="1"/>
    </xf>
    <xf numFmtId="303" fontId="31" fillId="0" borderId="0" xfId="53" applyNumberFormat="1" applyFont="1">
      <alignment horizontal="center"/>
      <protection hidden="1"/>
    </xf>
    <xf numFmtId="231" fontId="98" fillId="0" borderId="0" xfId="0" applyFont="1"/>
    <xf numFmtId="231" fontId="57" fillId="28" borderId="0" xfId="0" applyFont="1" applyFill="1" applyAlignment="1">
      <alignment vertical="center"/>
    </xf>
    <xf numFmtId="231" fontId="57" fillId="0" borderId="0" xfId="0" applyFont="1" applyAlignment="1">
      <alignment vertical="center"/>
    </xf>
    <xf numFmtId="231" fontId="53" fillId="0" borderId="0" xfId="0" applyFont="1" applyAlignment="1">
      <alignment vertical="center"/>
    </xf>
    <xf numFmtId="231" fontId="51" fillId="42" borderId="0" xfId="0" applyFont="1" applyFill="1"/>
    <xf numFmtId="297" fontId="57" fillId="31" borderId="0" xfId="0" applyNumberFormat="1" applyFont="1" applyFill="1" applyAlignment="1">
      <alignment horizontal="center"/>
    </xf>
    <xf numFmtId="297" fontId="57" fillId="28" borderId="4" xfId="0" applyNumberFormat="1" applyFont="1" applyFill="1" applyBorder="1" applyAlignment="1">
      <alignment horizontal="center"/>
    </xf>
    <xf numFmtId="297" fontId="57" fillId="28" borderId="0" xfId="0" applyNumberFormat="1" applyFont="1" applyFill="1" applyAlignment="1">
      <alignment horizontal="center"/>
    </xf>
    <xf numFmtId="169" fontId="53" fillId="0" borderId="0" xfId="59" applyFont="1"/>
    <xf numFmtId="209" fontId="31" fillId="0" borderId="14" xfId="0" applyNumberFormat="1" applyFont="1" applyBorder="1" applyAlignment="1">
      <alignment horizontal="center" vertical="center"/>
    </xf>
    <xf numFmtId="209" fontId="31" fillId="29" borderId="0" xfId="0" applyNumberFormat="1" applyFont="1" applyFill="1" applyAlignment="1">
      <alignment horizontal="center" vertical="center"/>
    </xf>
    <xf numFmtId="9" fontId="31" fillId="29" borderId="0" xfId="53" applyNumberFormat="1" applyFont="1" applyFill="1">
      <alignment horizontal="center"/>
      <protection hidden="1"/>
    </xf>
    <xf numFmtId="9" fontId="31" fillId="0" borderId="0" xfId="53" applyNumberFormat="1" applyFont="1">
      <alignment horizontal="center"/>
      <protection hidden="1"/>
    </xf>
    <xf numFmtId="171" fontId="53" fillId="0" borderId="0" xfId="59" applyNumberFormat="1" applyFont="1"/>
    <xf numFmtId="173" fontId="57" fillId="28" borderId="14" xfId="0" applyNumberFormat="1" applyFont="1" applyFill="1" applyBorder="1" applyAlignment="1">
      <alignment horizontal="center"/>
    </xf>
    <xf numFmtId="173" fontId="41" fillId="29" borderId="0" xfId="0" applyNumberFormat="1" applyFont="1" applyFill="1" applyAlignment="1">
      <alignment horizontal="center" vertical="center"/>
    </xf>
    <xf numFmtId="245" fontId="31" fillId="0" borderId="14" xfId="53" applyFont="1" applyBorder="1">
      <alignment horizontal="center"/>
      <protection hidden="1"/>
    </xf>
    <xf numFmtId="170" fontId="31" fillId="29" borderId="0" xfId="53" applyNumberFormat="1" applyFont="1" applyFill="1">
      <alignment horizontal="center"/>
      <protection hidden="1"/>
    </xf>
    <xf numFmtId="178" fontId="31" fillId="0" borderId="0" xfId="0" applyNumberFormat="1" applyFont="1"/>
    <xf numFmtId="307" fontId="31" fillId="0" borderId="14" xfId="53" applyNumberFormat="1" applyFont="1" applyBorder="1">
      <alignment horizontal="center"/>
      <protection hidden="1"/>
    </xf>
    <xf numFmtId="307" fontId="31" fillId="0" borderId="0" xfId="53" applyNumberFormat="1" applyFont="1">
      <alignment horizontal="center"/>
      <protection hidden="1"/>
    </xf>
    <xf numFmtId="170" fontId="31" fillId="0" borderId="14" xfId="53" applyNumberFormat="1" applyFont="1" applyBorder="1">
      <alignment horizontal="center"/>
      <protection hidden="1"/>
    </xf>
    <xf numFmtId="308" fontId="31" fillId="28" borderId="14" xfId="53" applyNumberFormat="1" applyFont="1" applyFill="1" applyBorder="1">
      <alignment horizontal="center"/>
      <protection hidden="1"/>
    </xf>
    <xf numFmtId="9" fontId="57" fillId="28" borderId="14" xfId="0" applyNumberFormat="1" applyFont="1" applyFill="1" applyBorder="1" applyAlignment="1">
      <alignment horizontal="center"/>
    </xf>
    <xf numFmtId="170" fontId="31" fillId="0" borderId="0" xfId="53" applyNumberFormat="1" applyFont="1">
      <alignment horizontal="center"/>
      <protection hidden="1"/>
    </xf>
    <xf numFmtId="310" fontId="31" fillId="0" borderId="0" xfId="53" applyNumberFormat="1" applyFont="1">
      <alignment horizontal="center"/>
      <protection hidden="1"/>
    </xf>
    <xf numFmtId="181" fontId="31" fillId="0" borderId="14" xfId="0" applyNumberFormat="1" applyFont="1" applyBorder="1" applyAlignment="1" applyProtection="1">
      <alignment horizontal="center" vertical="center"/>
      <protection locked="0"/>
    </xf>
    <xf numFmtId="219" fontId="57" fillId="0" borderId="14" xfId="0" applyNumberFormat="1" applyFont="1" applyBorder="1" applyAlignment="1">
      <alignment horizontal="center"/>
    </xf>
    <xf numFmtId="296" fontId="57" fillId="28" borderId="14" xfId="59" applyNumberFormat="1" applyFont="1" applyFill="1" applyBorder="1" applyAlignment="1">
      <alignment horizontal="center" vertical="center"/>
    </xf>
    <xf numFmtId="231" fontId="57" fillId="28" borderId="5" xfId="0" applyFont="1" applyFill="1" applyBorder="1"/>
    <xf numFmtId="177" fontId="57" fillId="28" borderId="14" xfId="59" applyNumberFormat="1" applyFont="1" applyFill="1" applyBorder="1" applyAlignment="1">
      <alignment horizontal="center" vertical="center"/>
    </xf>
    <xf numFmtId="297" fontId="57" fillId="0" borderId="0" xfId="0" applyNumberFormat="1" applyFont="1" applyAlignment="1">
      <alignment horizontal="center"/>
    </xf>
    <xf numFmtId="231" fontId="57" fillId="28" borderId="4" xfId="0" applyFont="1" applyFill="1" applyBorder="1"/>
    <xf numFmtId="245" fontId="99" fillId="0" borderId="14" xfId="53" applyFont="1" applyBorder="1">
      <alignment horizontal="center"/>
      <protection hidden="1"/>
    </xf>
    <xf numFmtId="173" fontId="75" fillId="28" borderId="14" xfId="0" applyNumberFormat="1" applyFont="1" applyFill="1" applyBorder="1" applyAlignment="1">
      <alignment horizontal="center"/>
    </xf>
    <xf numFmtId="173" fontId="100" fillId="0" borderId="0" xfId="0" applyNumberFormat="1" applyFont="1" applyAlignment="1">
      <alignment horizontal="center" vertical="center"/>
    </xf>
    <xf numFmtId="169" fontId="57" fillId="0" borderId="0" xfId="59" applyFont="1"/>
    <xf numFmtId="0" fontId="57" fillId="0" borderId="0" xfId="0" applyNumberFormat="1" applyFont="1"/>
    <xf numFmtId="265" fontId="41" fillId="35" borderId="0" xfId="0" applyNumberFormat="1" applyFont="1" applyFill="1" applyAlignment="1">
      <alignment horizontal="center" vertical="center"/>
    </xf>
    <xf numFmtId="209" fontId="31" fillId="35" borderId="0" xfId="0" applyNumberFormat="1" applyFont="1" applyFill="1" applyAlignment="1">
      <alignment horizontal="center" vertical="center"/>
    </xf>
    <xf numFmtId="302" fontId="31" fillId="35" borderId="0" xfId="0" applyNumberFormat="1" applyFont="1" applyFill="1" applyAlignment="1">
      <alignment horizontal="center" vertical="center"/>
    </xf>
    <xf numFmtId="284" fontId="31" fillId="35" borderId="1" xfId="0" applyNumberFormat="1" applyFont="1" applyFill="1" applyBorder="1" applyAlignment="1">
      <alignment horizontal="center" vertical="center"/>
    </xf>
    <xf numFmtId="199" fontId="31" fillId="31" borderId="4" xfId="0" applyNumberFormat="1" applyFont="1" applyFill="1" applyBorder="1" applyAlignment="1">
      <alignment horizontal="center" vertical="center"/>
    </xf>
    <xf numFmtId="199" fontId="31" fillId="0" borderId="0" xfId="0" applyNumberFormat="1" applyFont="1"/>
    <xf numFmtId="2" fontId="31" fillId="35" borderId="0" xfId="0" applyNumberFormat="1" applyFont="1" applyFill="1" applyAlignment="1">
      <alignment horizontal="center"/>
    </xf>
    <xf numFmtId="10" fontId="38" fillId="35" borderId="1" xfId="0" applyNumberFormat="1" applyFont="1" applyFill="1" applyBorder="1" applyAlignment="1">
      <alignment horizontal="center"/>
    </xf>
    <xf numFmtId="234" fontId="38" fillId="35" borderId="15" xfId="0" applyNumberFormat="1" applyFont="1" applyFill="1" applyBorder="1" applyAlignment="1" applyProtection="1">
      <alignment horizontal="center" vertical="center"/>
      <protection locked="0"/>
    </xf>
    <xf numFmtId="238" fontId="31" fillId="35" borderId="1" xfId="0" applyNumberFormat="1" applyFont="1" applyFill="1" applyBorder="1" applyAlignment="1" applyProtection="1">
      <alignment horizontal="center" vertical="center"/>
      <protection locked="0"/>
    </xf>
    <xf numFmtId="10" fontId="31" fillId="35" borderId="0" xfId="0" applyNumberFormat="1" applyFont="1" applyFill="1" applyAlignment="1">
      <alignment horizontal="center" vertical="center"/>
    </xf>
    <xf numFmtId="10" fontId="31" fillId="35" borderId="14" xfId="0" applyNumberFormat="1" applyFont="1" applyFill="1" applyBorder="1" applyAlignment="1">
      <alignment horizontal="center"/>
    </xf>
    <xf numFmtId="209" fontId="31" fillId="31" borderId="8" xfId="0" applyNumberFormat="1" applyFont="1" applyFill="1" applyBorder="1" applyAlignment="1">
      <alignment horizontal="center" vertical="center"/>
    </xf>
    <xf numFmtId="245" fontId="38" fillId="35" borderId="0" xfId="53" applyFont="1" applyFill="1">
      <alignment horizontal="center"/>
      <protection hidden="1"/>
    </xf>
    <xf numFmtId="169" fontId="71" fillId="28" borderId="0" xfId="0" applyNumberFormat="1" applyFont="1" applyFill="1" applyProtection="1">
      <protection hidden="1"/>
    </xf>
    <xf numFmtId="169" fontId="38" fillId="28" borderId="0" xfId="0" applyNumberFormat="1" applyFont="1" applyFill="1" applyProtection="1">
      <protection hidden="1"/>
    </xf>
    <xf numFmtId="169" fontId="38" fillId="0" borderId="0" xfId="0" applyNumberFormat="1" applyFont="1" applyProtection="1">
      <protection hidden="1"/>
    </xf>
    <xf numFmtId="171" fontId="41" fillId="0" borderId="0" xfId="0" applyNumberFormat="1" applyFont="1"/>
    <xf numFmtId="171" fontId="99" fillId="2" borderId="0" xfId="0" applyNumberFormat="1" applyFont="1" applyFill="1"/>
    <xf numFmtId="2" fontId="38" fillId="0" borderId="1" xfId="0" applyNumberFormat="1" applyFont="1" applyBorder="1" applyAlignment="1">
      <alignment horizontal="center"/>
    </xf>
    <xf numFmtId="263" fontId="31" fillId="0" borderId="1" xfId="53" quotePrefix="1" applyNumberFormat="1" applyFont="1" applyBorder="1">
      <alignment horizontal="center"/>
      <protection hidden="1"/>
    </xf>
    <xf numFmtId="2" fontId="31" fillId="0" borderId="1" xfId="0" applyNumberFormat="1" applyFont="1" applyBorder="1" applyAlignment="1">
      <alignment horizontal="center"/>
    </xf>
    <xf numFmtId="250" fontId="31" fillId="28" borderId="0" xfId="0" applyNumberFormat="1" applyFont="1" applyFill="1" applyAlignment="1" applyProtection="1">
      <alignment horizontal="center"/>
      <protection hidden="1"/>
    </xf>
    <xf numFmtId="181" fontId="31" fillId="35" borderId="0" xfId="0" applyNumberFormat="1" applyFont="1" applyFill="1" applyAlignment="1" applyProtection="1">
      <alignment horizontal="center" vertical="center"/>
      <protection locked="0"/>
    </xf>
    <xf numFmtId="181" fontId="31" fillId="35" borderId="0" xfId="0" applyNumberFormat="1" applyFont="1" applyFill="1" applyAlignment="1">
      <alignment horizontal="center" vertical="center"/>
    </xf>
    <xf numFmtId="311" fontId="31" fillId="0" borderId="0" xfId="0" applyNumberFormat="1" applyFont="1" applyAlignment="1">
      <alignment horizontal="center" vertical="center"/>
    </xf>
    <xf numFmtId="170" fontId="41" fillId="46" borderId="1" xfId="0" applyNumberFormat="1" applyFont="1" applyFill="1" applyBorder="1"/>
    <xf numFmtId="231" fontId="39" fillId="47" borderId="1" xfId="0" applyFont="1" applyFill="1" applyBorder="1"/>
    <xf numFmtId="174" fontId="39" fillId="47" borderId="14" xfId="0" applyNumberFormat="1" applyFont="1" applyFill="1" applyBorder="1" applyAlignment="1">
      <alignment horizontal="center"/>
    </xf>
    <xf numFmtId="229" fontId="101" fillId="0" borderId="5" xfId="0" applyNumberFormat="1" applyFont="1" applyBorder="1" applyAlignment="1">
      <alignment horizontal="right"/>
    </xf>
    <xf numFmtId="312" fontId="57" fillId="28" borderId="14" xfId="0" applyNumberFormat="1" applyFont="1" applyFill="1" applyBorder="1" applyAlignment="1">
      <alignment horizontal="center"/>
    </xf>
    <xf numFmtId="9" fontId="31" fillId="35" borderId="1" xfId="0" applyNumberFormat="1" applyFont="1" applyFill="1" applyBorder="1" applyAlignment="1">
      <alignment horizontal="center" vertical="center"/>
    </xf>
    <xf numFmtId="173" fontId="40" fillId="0" borderId="0" xfId="0" applyNumberFormat="1" applyFont="1" applyAlignment="1">
      <alignment horizontal="center" vertical="center"/>
    </xf>
    <xf numFmtId="0" fontId="105" fillId="0" borderId="0" xfId="0" applyNumberFormat="1" applyFont="1"/>
    <xf numFmtId="0" fontId="106" fillId="0" borderId="0" xfId="0" applyNumberFormat="1" applyFont="1"/>
    <xf numFmtId="0" fontId="108" fillId="0" borderId="0" xfId="0" applyNumberFormat="1" applyFont="1"/>
    <xf numFmtId="231" fontId="75" fillId="49" borderId="0" xfId="0" applyFont="1" applyFill="1"/>
    <xf numFmtId="173" fontId="41" fillId="48" borderId="0" xfId="0" applyNumberFormat="1" applyFont="1" applyFill="1" applyAlignment="1">
      <alignment horizontal="center" vertical="center"/>
    </xf>
    <xf numFmtId="314" fontId="57" fillId="28" borderId="14" xfId="0" applyNumberFormat="1" applyFont="1" applyFill="1" applyBorder="1" applyAlignment="1">
      <alignment horizontal="center"/>
    </xf>
    <xf numFmtId="0" fontId="105" fillId="47" borderId="0" xfId="0" applyNumberFormat="1" applyFont="1" applyFill="1"/>
    <xf numFmtId="169" fontId="57" fillId="0" borderId="0" xfId="59" applyFont="1" applyFill="1"/>
    <xf numFmtId="231" fontId="57" fillId="28" borderId="25" xfId="0" applyFont="1" applyFill="1" applyBorder="1"/>
    <xf numFmtId="231" fontId="57" fillId="28" borderId="7" xfId="0" applyFont="1" applyFill="1" applyBorder="1"/>
    <xf numFmtId="231" fontId="57" fillId="0" borderId="7" xfId="0" applyFont="1" applyBorder="1"/>
    <xf numFmtId="313" fontId="109" fillId="0" borderId="0" xfId="0" applyNumberFormat="1" applyFont="1" applyAlignment="1">
      <alignment horizontal="center"/>
    </xf>
    <xf numFmtId="173" fontId="110" fillId="47" borderId="14" xfId="53" applyNumberFormat="1" applyFont="1" applyFill="1" applyBorder="1">
      <alignment horizontal="center"/>
      <protection hidden="1"/>
    </xf>
    <xf numFmtId="173" fontId="110" fillId="47" borderId="0" xfId="53" applyNumberFormat="1" applyFont="1" applyFill="1">
      <alignment horizontal="center"/>
      <protection hidden="1"/>
    </xf>
    <xf numFmtId="304" fontId="38" fillId="0" borderId="3" xfId="53" applyNumberFormat="1" applyFont="1" applyBorder="1">
      <alignment horizontal="center"/>
      <protection hidden="1"/>
    </xf>
    <xf numFmtId="231" fontId="75" fillId="0" borderId="28" xfId="0" applyFont="1" applyBorder="1"/>
    <xf numFmtId="231" fontId="111" fillId="48" borderId="29" xfId="0" applyFont="1" applyFill="1" applyBorder="1" applyAlignment="1">
      <alignment horizontal="center" vertical="center"/>
    </xf>
    <xf numFmtId="173" fontId="75" fillId="0" borderId="14" xfId="0" applyNumberFormat="1" applyFont="1" applyBorder="1" applyAlignment="1">
      <alignment horizontal="center"/>
    </xf>
    <xf numFmtId="171" fontId="53" fillId="0" borderId="0" xfId="59" applyNumberFormat="1" applyFont="1" applyFill="1"/>
    <xf numFmtId="231" fontId="111" fillId="50" borderId="27" xfId="0" applyFont="1" applyFill="1" applyBorder="1" applyAlignment="1">
      <alignment horizontal="center" vertical="center"/>
    </xf>
    <xf numFmtId="304" fontId="38" fillId="50" borderId="0" xfId="53" applyNumberFormat="1" applyFont="1" applyFill="1">
      <alignment horizontal="center"/>
      <protection hidden="1"/>
    </xf>
    <xf numFmtId="314" fontId="31" fillId="50" borderId="0" xfId="53" applyNumberFormat="1" applyFont="1" applyFill="1">
      <alignment horizontal="center"/>
      <protection hidden="1"/>
    </xf>
    <xf numFmtId="312" fontId="41" fillId="50" borderId="0" xfId="0" applyNumberFormat="1" applyFont="1" applyFill="1" applyAlignment="1">
      <alignment horizontal="center" vertical="center"/>
    </xf>
    <xf numFmtId="173" fontId="41" fillId="50" borderId="0" xfId="0" applyNumberFormat="1" applyFont="1" applyFill="1" applyAlignment="1">
      <alignment horizontal="center" vertical="center"/>
    </xf>
    <xf numFmtId="173" fontId="40" fillId="50" borderId="0" xfId="0" applyNumberFormat="1" applyFont="1" applyFill="1" applyAlignment="1">
      <alignment horizontal="center" vertical="center"/>
    </xf>
    <xf numFmtId="14" fontId="111" fillId="0" borderId="0" xfId="0" applyNumberFormat="1" applyFont="1" applyAlignment="1">
      <alignment horizontal="center"/>
    </xf>
    <xf numFmtId="231" fontId="112" fillId="28" borderId="0" xfId="0" applyFont="1" applyFill="1"/>
    <xf numFmtId="171" fontId="68" fillId="0" borderId="0" xfId="59" applyNumberFormat="1" applyFont="1"/>
    <xf numFmtId="231" fontId="75" fillId="0" borderId="26" xfId="0" applyFont="1" applyBorder="1" applyAlignment="1">
      <alignment horizontal="center"/>
    </xf>
    <xf numFmtId="315" fontId="103" fillId="28" borderId="25" xfId="0" applyNumberFormat="1" applyFont="1" applyFill="1" applyBorder="1" applyAlignment="1">
      <alignment horizontal="center"/>
    </xf>
    <xf numFmtId="315" fontId="104" fillId="28" borderId="25" xfId="0" applyNumberFormat="1" applyFont="1" applyFill="1" applyBorder="1" applyAlignment="1">
      <alignment horizontal="center"/>
    </xf>
    <xf numFmtId="173" fontId="40" fillId="48" borderId="0" xfId="0" applyNumberFormat="1" applyFont="1" applyFill="1" applyAlignment="1">
      <alignment horizontal="center" vertical="center"/>
    </xf>
    <xf numFmtId="315" fontId="109" fillId="47" borderId="25" xfId="0" applyNumberFormat="1" applyFont="1" applyFill="1" applyBorder="1" applyAlignment="1">
      <alignment horizontal="center"/>
    </xf>
    <xf numFmtId="170" fontId="31" fillId="48" borderId="0" xfId="53" applyNumberFormat="1" applyFont="1" applyFill="1">
      <alignment horizontal="center"/>
      <protection hidden="1"/>
    </xf>
    <xf numFmtId="245" fontId="110" fillId="47" borderId="0" xfId="53" applyFont="1" applyFill="1">
      <alignment horizontal="center"/>
      <protection hidden="1"/>
    </xf>
    <xf numFmtId="316" fontId="109" fillId="47" borderId="25" xfId="0" applyNumberFormat="1" applyFont="1" applyFill="1" applyBorder="1" applyAlignment="1">
      <alignment horizontal="center"/>
    </xf>
    <xf numFmtId="316" fontId="103" fillId="28" borderId="25" xfId="0" applyNumberFormat="1" applyFont="1" applyFill="1" applyBorder="1" applyAlignment="1">
      <alignment horizontal="center"/>
    </xf>
    <xf numFmtId="231" fontId="57" fillId="49" borderId="0" xfId="0" applyFont="1" applyFill="1"/>
    <xf numFmtId="0" fontId="107" fillId="47" borderId="7" xfId="0" applyNumberFormat="1" applyFont="1" applyFill="1" applyBorder="1" applyAlignment="1">
      <alignment horizontal="center" vertical="center"/>
    </xf>
    <xf numFmtId="231" fontId="75" fillId="49" borderId="7" xfId="0" applyFont="1" applyFill="1" applyBorder="1"/>
    <xf numFmtId="231" fontId="80" fillId="28" borderId="7" xfId="0" applyFont="1" applyFill="1" applyBorder="1"/>
    <xf numFmtId="231" fontId="75" fillId="0" borderId="7" xfId="0" applyFont="1" applyBorder="1"/>
    <xf numFmtId="231" fontId="75" fillId="28" borderId="7" xfId="0" applyFont="1" applyFill="1" applyBorder="1"/>
    <xf numFmtId="231" fontId="80" fillId="28" borderId="7" xfId="0" applyFont="1" applyFill="1" applyBorder="1" applyAlignment="1">
      <alignment horizontal="center"/>
    </xf>
    <xf numFmtId="231" fontId="57" fillId="28" borderId="9" xfId="0" applyFont="1" applyFill="1" applyBorder="1"/>
    <xf numFmtId="231" fontId="57" fillId="28" borderId="12" xfId="0" applyFont="1" applyFill="1" applyBorder="1"/>
    <xf numFmtId="231" fontId="113" fillId="0" borderId="0" xfId="0" quotePrefix="1" applyFont="1" applyAlignment="1">
      <alignment horizontal="center" vertical="center"/>
    </xf>
    <xf numFmtId="231" fontId="106" fillId="42" borderId="0" xfId="0" applyFont="1" applyFill="1"/>
    <xf numFmtId="231" fontId="114" fillId="42" borderId="0" xfId="0" applyFont="1" applyFill="1"/>
    <xf numFmtId="231" fontId="57" fillId="0" borderId="0" xfId="0" applyFont="1" applyAlignment="1">
      <alignment horizontal="center"/>
    </xf>
    <xf numFmtId="231" fontId="57" fillId="28" borderId="0" xfId="0" applyFont="1" applyFill="1" applyAlignment="1">
      <alignment horizontal="center" vertical="center"/>
    </xf>
    <xf numFmtId="231" fontId="114" fillId="42" borderId="0" xfId="0" applyFont="1" applyFill="1" applyAlignment="1">
      <alignment horizontal="center"/>
    </xf>
    <xf numFmtId="231" fontId="57" fillId="28" borderId="0" xfId="0" applyFont="1" applyFill="1" applyAlignment="1">
      <alignment horizontal="center"/>
    </xf>
    <xf numFmtId="174" fontId="69" fillId="48" borderId="1" xfId="0" applyNumberFormat="1" applyFont="1" applyFill="1" applyBorder="1" applyAlignment="1">
      <alignment horizontal="center" vertical="center"/>
    </xf>
    <xf numFmtId="174" fontId="31" fillId="35" borderId="1" xfId="0" applyNumberFormat="1" applyFont="1" applyFill="1" applyBorder="1" applyAlignment="1">
      <alignment horizontal="center" vertical="center"/>
    </xf>
    <xf numFmtId="231" fontId="115" fillId="0" borderId="0" xfId="0" quotePrefix="1" applyFont="1" applyAlignment="1">
      <alignment horizontal="center" vertical="center"/>
    </xf>
    <xf numFmtId="231" fontId="116" fillId="28" borderId="0" xfId="0" applyFont="1" applyFill="1"/>
    <xf numFmtId="231" fontId="117" fillId="28" borderId="7" xfId="0" applyFont="1" applyFill="1" applyBorder="1"/>
    <xf numFmtId="231" fontId="117" fillId="28" borderId="0" xfId="0" applyFont="1" applyFill="1"/>
    <xf numFmtId="173" fontId="117" fillId="28" borderId="14" xfId="0" applyNumberFormat="1" applyFont="1" applyFill="1" applyBorder="1" applyAlignment="1">
      <alignment horizontal="center"/>
    </xf>
    <xf numFmtId="315" fontId="118" fillId="28" borderId="25" xfId="0" applyNumberFormat="1" applyFont="1" applyFill="1" applyBorder="1" applyAlignment="1">
      <alignment horizontal="center"/>
    </xf>
    <xf numFmtId="231" fontId="117" fillId="0" borderId="0" xfId="0" applyFont="1"/>
    <xf numFmtId="173" fontId="119" fillId="0" borderId="0" xfId="0" applyNumberFormat="1" applyFont="1" applyAlignment="1">
      <alignment horizontal="center" vertical="center"/>
    </xf>
    <xf numFmtId="171" fontId="120" fillId="0" borderId="0" xfId="59" applyNumberFormat="1" applyFont="1"/>
    <xf numFmtId="231" fontId="75" fillId="31" borderId="7" xfId="0" applyFont="1" applyFill="1" applyBorder="1"/>
    <xf numFmtId="231" fontId="75" fillId="31" borderId="0" xfId="0" applyFont="1" applyFill="1"/>
    <xf numFmtId="231" fontId="57" fillId="31" borderId="0" xfId="0" applyFont="1" applyFill="1"/>
    <xf numFmtId="231" fontId="80" fillId="31" borderId="7" xfId="0" applyFont="1" applyFill="1" applyBorder="1"/>
    <xf numFmtId="231" fontId="80" fillId="28" borderId="7" xfId="0" applyFont="1" applyFill="1" applyBorder="1" applyAlignment="1">
      <alignment horizontal="left"/>
    </xf>
    <xf numFmtId="231" fontId="121" fillId="28" borderId="7" xfId="0" applyFont="1" applyFill="1" applyBorder="1"/>
    <xf numFmtId="231" fontId="75" fillId="28" borderId="0" xfId="0" applyFont="1" applyFill="1"/>
    <xf numFmtId="231" fontId="53" fillId="28" borderId="0" xfId="0" applyFont="1" applyFill="1" applyAlignment="1">
      <alignment horizontal="left"/>
    </xf>
    <xf numFmtId="316" fontId="104" fillId="28" borderId="25" xfId="0" applyNumberFormat="1" applyFont="1" applyFill="1" applyBorder="1" applyAlignment="1">
      <alignment horizontal="center"/>
    </xf>
    <xf numFmtId="174" fontId="38" fillId="35" borderId="13" xfId="0" applyNumberFormat="1" applyFont="1" applyFill="1" applyBorder="1" applyAlignment="1">
      <alignment horizontal="center" vertical="center"/>
    </xf>
    <xf numFmtId="231" fontId="113" fillId="0" borderId="0" xfId="0" quotePrefix="1" applyFont="1" applyAlignment="1">
      <alignment horizontal="left" vertical="center"/>
    </xf>
    <xf numFmtId="305" fontId="31" fillId="0" borderId="0" xfId="53" applyNumberFormat="1" applyFont="1">
      <alignment horizontal="center"/>
      <protection hidden="1"/>
    </xf>
    <xf numFmtId="305" fontId="31" fillId="51" borderId="0" xfId="53" applyNumberFormat="1" applyFont="1" applyFill="1">
      <alignment horizontal="center"/>
      <protection hidden="1"/>
    </xf>
    <xf numFmtId="305" fontId="31" fillId="52" borderId="0" xfId="53" applyNumberFormat="1" applyFont="1" applyFill="1">
      <alignment horizontal="center"/>
      <protection hidden="1"/>
    </xf>
    <xf numFmtId="253" fontId="57" fillId="0" borderId="0" xfId="0" applyNumberFormat="1" applyFont="1"/>
    <xf numFmtId="317" fontId="40" fillId="0" borderId="0" xfId="0" applyNumberFormat="1" applyFont="1" applyAlignment="1">
      <alignment horizontal="center" vertical="center"/>
    </xf>
    <xf numFmtId="318" fontId="103" fillId="28" borderId="25" xfId="0" applyNumberFormat="1" applyFont="1" applyFill="1" applyBorder="1" applyAlignment="1">
      <alignment horizontal="center"/>
    </xf>
    <xf numFmtId="318" fontId="109" fillId="47" borderId="25" xfId="0" applyNumberFormat="1" applyFont="1" applyFill="1" applyBorder="1" applyAlignment="1">
      <alignment horizontal="center"/>
    </xf>
    <xf numFmtId="174" fontId="31" fillId="35" borderId="11" xfId="0" applyNumberFormat="1" applyFont="1" applyFill="1" applyBorder="1" applyAlignment="1">
      <alignment horizontal="center"/>
    </xf>
    <xf numFmtId="307" fontId="110" fillId="47" borderId="14" xfId="53" applyNumberFormat="1" applyFont="1" applyFill="1" applyBorder="1">
      <alignment horizontal="center"/>
      <protection hidden="1"/>
    </xf>
    <xf numFmtId="307" fontId="57" fillId="28" borderId="14" xfId="0" applyNumberFormat="1" applyFont="1" applyFill="1" applyBorder="1" applyAlignment="1">
      <alignment horizontal="center"/>
    </xf>
    <xf numFmtId="173" fontId="41" fillId="0" borderId="0" xfId="0" applyNumberFormat="1" applyFont="1" applyAlignment="1">
      <alignment horizontal="center" vertical="center"/>
    </xf>
    <xf numFmtId="173" fontId="57" fillId="0" borderId="0" xfId="0" applyNumberFormat="1" applyFont="1" applyAlignment="1">
      <alignment horizontal="center"/>
    </xf>
    <xf numFmtId="231" fontId="122" fillId="52" borderId="0" xfId="0" applyFont="1" applyFill="1" applyAlignment="1">
      <alignment horizontal="center" vertical="center"/>
    </xf>
    <xf numFmtId="231" fontId="57" fillId="52" borderId="0" xfId="0" applyFont="1" applyFill="1"/>
    <xf numFmtId="231" fontId="75" fillId="31" borderId="10" xfId="0" applyFont="1" applyFill="1" applyBorder="1"/>
    <xf numFmtId="231" fontId="75" fillId="31" borderId="4" xfId="0" applyFont="1" applyFill="1" applyBorder="1"/>
    <xf numFmtId="173" fontId="75" fillId="28" borderId="15" xfId="0" applyNumberFormat="1" applyFont="1" applyFill="1" applyBorder="1" applyAlignment="1">
      <alignment horizontal="center"/>
    </xf>
    <xf numFmtId="316" fontId="104" fillId="28" borderId="30" xfId="0" applyNumberFormat="1" applyFont="1" applyFill="1" applyBorder="1" applyAlignment="1">
      <alignment horizontal="center"/>
    </xf>
    <xf numFmtId="231" fontId="57" fillId="28" borderId="10" xfId="0" applyFont="1" applyFill="1" applyBorder="1"/>
    <xf numFmtId="9" fontId="31" fillId="0" borderId="15" xfId="53" applyNumberFormat="1" applyFont="1" applyBorder="1">
      <alignment horizontal="center"/>
      <protection hidden="1"/>
    </xf>
    <xf numFmtId="231" fontId="57" fillId="28" borderId="6" xfId="0" applyFont="1" applyFill="1" applyBorder="1"/>
    <xf numFmtId="231" fontId="57" fillId="0" borderId="2" xfId="0" applyFont="1" applyBorder="1"/>
    <xf numFmtId="9" fontId="31" fillId="0" borderId="2" xfId="53" applyNumberFormat="1" applyFont="1" applyBorder="1">
      <alignment horizontal="center"/>
      <protection hidden="1"/>
    </xf>
    <xf numFmtId="319" fontId="103" fillId="28" borderId="25" xfId="0" applyNumberFormat="1" applyFont="1" applyFill="1" applyBorder="1" applyAlignment="1">
      <alignment horizontal="center"/>
    </xf>
    <xf numFmtId="231" fontId="57" fillId="48" borderId="7" xfId="0" applyFont="1" applyFill="1" applyBorder="1"/>
    <xf numFmtId="178" fontId="31" fillId="48" borderId="0" xfId="0" applyNumberFormat="1" applyFont="1" applyFill="1"/>
    <xf numFmtId="0" fontId="41" fillId="50" borderId="0" xfId="0" applyNumberFormat="1" applyFont="1" applyFill="1" applyAlignment="1">
      <alignment horizontal="center" vertical="center"/>
    </xf>
    <xf numFmtId="178" fontId="123" fillId="0" borderId="0" xfId="0" applyNumberFormat="1" applyFont="1"/>
    <xf numFmtId="307" fontId="117" fillId="28" borderId="14" xfId="0" applyNumberFormat="1" applyFont="1" applyFill="1" applyBorder="1" applyAlignment="1">
      <alignment horizontal="center"/>
    </xf>
    <xf numFmtId="319" fontId="118" fillId="28" borderId="25" xfId="0" applyNumberFormat="1" applyFont="1" applyFill="1" applyBorder="1" applyAlignment="1">
      <alignment horizontal="center"/>
    </xf>
    <xf numFmtId="231" fontId="124" fillId="0" borderId="0" xfId="0" applyFont="1"/>
    <xf numFmtId="320" fontId="57" fillId="28" borderId="14" xfId="0" applyNumberFormat="1" applyFont="1" applyFill="1" applyBorder="1" applyAlignment="1">
      <alignment horizontal="center"/>
    </xf>
    <xf numFmtId="0" fontId="57" fillId="28" borderId="14" xfId="0" applyNumberFormat="1" applyFont="1" applyFill="1" applyBorder="1" applyAlignment="1">
      <alignment horizontal="center"/>
    </xf>
    <xf numFmtId="173" fontId="119" fillId="50" borderId="0" xfId="0" applyNumberFormat="1" applyFont="1" applyFill="1" applyAlignment="1">
      <alignment horizontal="center" vertical="center"/>
    </xf>
    <xf numFmtId="319" fontId="104" fillId="28" borderId="25" xfId="0" applyNumberFormat="1" applyFont="1" applyFill="1" applyBorder="1" applyAlignment="1">
      <alignment horizontal="center"/>
    </xf>
    <xf numFmtId="307" fontId="75" fillId="28" borderId="14" xfId="0" applyNumberFormat="1" applyFont="1" applyFill="1" applyBorder="1" applyAlignment="1">
      <alignment horizontal="center"/>
    </xf>
    <xf numFmtId="308" fontId="57" fillId="28" borderId="14" xfId="0" applyNumberFormat="1" applyFont="1" applyFill="1" applyBorder="1" applyAlignment="1">
      <alignment horizontal="center"/>
    </xf>
    <xf numFmtId="174" fontId="41" fillId="35" borderId="11" xfId="0" applyNumberFormat="1" applyFont="1" applyFill="1" applyBorder="1" applyAlignment="1">
      <alignment horizontal="center"/>
    </xf>
    <xf numFmtId="245" fontId="31" fillId="0" borderId="15" xfId="53" applyFont="1" applyBorder="1">
      <alignment horizontal="center"/>
      <protection hidden="1"/>
    </xf>
    <xf numFmtId="231" fontId="57" fillId="28" borderId="30" xfId="0" applyFont="1" applyFill="1" applyBorder="1"/>
    <xf numFmtId="9" fontId="57" fillId="28" borderId="15" xfId="0" applyNumberFormat="1" applyFont="1" applyFill="1" applyBorder="1" applyAlignment="1">
      <alignment horizontal="center"/>
    </xf>
    <xf numFmtId="170" fontId="31" fillId="0" borderId="15" xfId="53" applyNumberFormat="1" applyFont="1" applyBorder="1">
      <alignment horizontal="center"/>
      <protection hidden="1"/>
    </xf>
    <xf numFmtId="9" fontId="57" fillId="0" borderId="2" xfId="0" applyNumberFormat="1" applyFont="1" applyBorder="1" applyAlignment="1">
      <alignment horizontal="center"/>
    </xf>
    <xf numFmtId="310" fontId="31" fillId="0" borderId="2" xfId="53" applyNumberFormat="1" applyFont="1" applyBorder="1">
      <alignment horizontal="center"/>
      <protection hidden="1"/>
    </xf>
    <xf numFmtId="177" fontId="57" fillId="0" borderId="2" xfId="0" applyNumberFormat="1" applyFont="1" applyBorder="1" applyAlignment="1">
      <alignment horizontal="center"/>
    </xf>
    <xf numFmtId="231" fontId="122" fillId="51" borderId="0" xfId="0" applyFont="1" applyFill="1" applyAlignment="1">
      <alignment horizontal="center" vertical="center"/>
    </xf>
    <xf numFmtId="231" fontId="57" fillId="51" borderId="0" xfId="0" applyFont="1" applyFill="1"/>
    <xf numFmtId="231" fontId="57" fillId="0" borderId="10" xfId="0" applyFont="1" applyBorder="1"/>
    <xf numFmtId="231" fontId="57" fillId="0" borderId="9" xfId="0" applyFont="1" applyBorder="1"/>
    <xf numFmtId="231" fontId="122" fillId="0" borderId="0" xfId="0" applyFont="1" applyAlignment="1">
      <alignment horizontal="center" vertical="center"/>
    </xf>
    <xf numFmtId="231" fontId="57" fillId="28" borderId="2" xfId="0" applyFont="1" applyFill="1" applyBorder="1"/>
    <xf numFmtId="225" fontId="31" fillId="0" borderId="3" xfId="53" applyNumberFormat="1" applyFont="1" applyBorder="1">
      <alignment horizontal="center"/>
      <protection hidden="1"/>
    </xf>
    <xf numFmtId="307" fontId="31" fillId="0" borderId="3" xfId="53" applyNumberFormat="1" applyFont="1" applyBorder="1">
      <alignment horizontal="center"/>
      <protection hidden="1"/>
    </xf>
    <xf numFmtId="220" fontId="31" fillId="0" borderId="3" xfId="53" applyNumberFormat="1" applyFont="1" applyBorder="1">
      <alignment horizontal="center"/>
      <protection hidden="1"/>
    </xf>
    <xf numFmtId="225" fontId="31" fillId="50" borderId="0" xfId="53" applyNumberFormat="1" applyFont="1" applyFill="1">
      <alignment horizontal="center"/>
      <protection hidden="1"/>
    </xf>
    <xf numFmtId="170" fontId="31" fillId="50" borderId="0" xfId="53" applyNumberFormat="1" applyFont="1" applyFill="1">
      <alignment horizontal="center"/>
      <protection hidden="1"/>
    </xf>
    <xf numFmtId="309" fontId="31" fillId="50" borderId="0" xfId="53" applyNumberFormat="1" applyFont="1" applyFill="1">
      <alignment horizontal="center"/>
      <protection hidden="1"/>
    </xf>
    <xf numFmtId="9" fontId="31" fillId="50" borderId="0" xfId="53" applyNumberFormat="1" applyFont="1" applyFill="1">
      <alignment horizontal="center"/>
      <protection hidden="1"/>
    </xf>
    <xf numFmtId="306" fontId="31" fillId="50" borderId="0" xfId="53" applyNumberFormat="1" applyFont="1" applyFill="1">
      <alignment horizontal="center"/>
      <protection hidden="1"/>
    </xf>
    <xf numFmtId="181" fontId="31" fillId="50" borderId="0" xfId="0" applyNumberFormat="1" applyFont="1" applyFill="1" applyAlignment="1" applyProtection="1">
      <alignment horizontal="center" vertical="center"/>
      <protection locked="0"/>
    </xf>
    <xf numFmtId="219" fontId="57" fillId="50" borderId="0" xfId="0" applyNumberFormat="1" applyFont="1" applyFill="1" applyAlignment="1">
      <alignment horizontal="center"/>
    </xf>
    <xf numFmtId="296" fontId="57" fillId="50" borderId="0" xfId="0" applyNumberFormat="1" applyFont="1" applyFill="1" applyAlignment="1">
      <alignment horizontal="center"/>
    </xf>
    <xf numFmtId="177" fontId="57" fillId="50" borderId="0" xfId="0" applyNumberFormat="1" applyFont="1" applyFill="1" applyAlignment="1">
      <alignment horizontal="center"/>
    </xf>
    <xf numFmtId="245" fontId="31" fillId="48" borderId="0" xfId="53" applyFont="1" applyFill="1">
      <alignment horizontal="center"/>
      <protection hidden="1"/>
    </xf>
    <xf numFmtId="220" fontId="31" fillId="0" borderId="0" xfId="53" applyNumberFormat="1" applyFont="1">
      <alignment horizontal="center"/>
      <protection hidden="1"/>
    </xf>
    <xf numFmtId="170" fontId="42" fillId="35" borderId="0" xfId="0" applyNumberFormat="1" applyFont="1" applyFill="1" applyAlignment="1" applyProtection="1">
      <alignment horizontal="center" vertical="center"/>
      <protection locked="0"/>
    </xf>
    <xf numFmtId="212" fontId="31" fillId="35" borderId="0" xfId="0" applyNumberFormat="1" applyFont="1" applyFill="1" applyAlignment="1" applyProtection="1">
      <alignment horizontal="center" vertical="center"/>
      <protection locked="0"/>
    </xf>
    <xf numFmtId="177" fontId="31" fillId="35" borderId="0" xfId="0" applyNumberFormat="1" applyFont="1" applyFill="1" applyAlignment="1">
      <alignment horizontal="center" vertical="center"/>
    </xf>
    <xf numFmtId="321" fontId="77" fillId="2" borderId="0" xfId="0" applyNumberFormat="1" applyFont="1" applyFill="1" applyAlignment="1">
      <alignment horizontal="center" vertical="center"/>
    </xf>
    <xf numFmtId="231" fontId="39" fillId="42" borderId="0" xfId="0" applyFont="1" applyFill="1" applyProtection="1">
      <protection hidden="1"/>
    </xf>
    <xf numFmtId="231" fontId="55" fillId="42" borderId="0" xfId="0" applyFont="1" applyFill="1" applyProtection="1">
      <protection hidden="1"/>
    </xf>
    <xf numFmtId="212" fontId="55" fillId="42" borderId="0" xfId="0" applyNumberFormat="1" applyFont="1" applyFill="1" applyAlignment="1" applyProtection="1">
      <alignment horizontal="center"/>
      <protection hidden="1"/>
    </xf>
    <xf numFmtId="212" fontId="31" fillId="0" borderId="4" xfId="0" applyNumberFormat="1" applyFont="1" applyBorder="1" applyAlignment="1" applyProtection="1">
      <alignment horizontal="center" vertical="center"/>
      <protection locked="0"/>
    </xf>
    <xf numFmtId="231" fontId="125" fillId="0" borderId="0" xfId="0" applyFont="1" applyProtection="1">
      <protection hidden="1"/>
    </xf>
    <xf numFmtId="195" fontId="126" fillId="0" borderId="0" xfId="0" applyNumberFormat="1" applyFont="1" applyAlignment="1" applyProtection="1">
      <alignment horizontal="left"/>
      <protection hidden="1"/>
    </xf>
    <xf numFmtId="171" fontId="31" fillId="29" borderId="0" xfId="59" applyNumberFormat="1" applyFont="1" applyFill="1" applyAlignment="1" applyProtection="1">
      <alignment horizontal="center"/>
      <protection hidden="1"/>
    </xf>
    <xf numFmtId="245" fontId="31" fillId="29" borderId="0" xfId="53" applyFont="1" applyFill="1" applyAlignment="1">
      <alignment horizontal="right"/>
      <protection hidden="1"/>
    </xf>
    <xf numFmtId="171" fontId="69" fillId="0" borderId="0" xfId="59" applyNumberFormat="1" applyFont="1" applyAlignment="1" applyProtection="1">
      <alignment horizontal="center"/>
      <protection hidden="1"/>
    </xf>
    <xf numFmtId="231" fontId="38" fillId="0" borderId="2" xfId="0" applyFont="1" applyBorder="1" applyProtection="1">
      <protection hidden="1"/>
    </xf>
    <xf numFmtId="253" fontId="31" fillId="0" borderId="2" xfId="0" applyNumberFormat="1" applyFont="1" applyBorder="1" applyProtection="1">
      <protection hidden="1"/>
    </xf>
    <xf numFmtId="195" fontId="38" fillId="0" borderId="2" xfId="0" applyNumberFormat="1" applyFont="1" applyBorder="1" applyAlignment="1" applyProtection="1">
      <alignment horizontal="center"/>
      <protection hidden="1"/>
    </xf>
    <xf numFmtId="253" fontId="31" fillId="0" borderId="0" xfId="0" applyNumberFormat="1" applyFont="1" applyProtection="1">
      <protection hidden="1"/>
    </xf>
    <xf numFmtId="231" fontId="31" fillId="0" borderId="3" xfId="0" applyFont="1" applyBorder="1" applyProtection="1">
      <protection hidden="1"/>
    </xf>
    <xf numFmtId="10" fontId="31" fillId="0" borderId="12" xfId="0" applyNumberFormat="1" applyFont="1" applyBorder="1" applyAlignment="1" applyProtection="1">
      <alignment horizontal="center"/>
      <protection hidden="1"/>
    </xf>
    <xf numFmtId="231" fontId="31" fillId="0" borderId="14" xfId="0" applyFont="1" applyBorder="1" applyProtection="1">
      <protection hidden="1"/>
    </xf>
    <xf numFmtId="195" fontId="31" fillId="0" borderId="5" xfId="0" applyNumberFormat="1" applyFont="1" applyBorder="1" applyAlignment="1" applyProtection="1">
      <alignment horizontal="center"/>
      <protection hidden="1"/>
    </xf>
    <xf numFmtId="253" fontId="45" fillId="0" borderId="0" xfId="0" applyNumberFormat="1" applyFont="1" applyAlignment="1" applyProtection="1">
      <alignment horizontal="center"/>
      <protection hidden="1"/>
    </xf>
    <xf numFmtId="231" fontId="31" fillId="53" borderId="0" xfId="0" applyFont="1" applyFill="1" applyProtection="1">
      <protection hidden="1"/>
    </xf>
    <xf numFmtId="231" fontId="31" fillId="0" borderId="15" xfId="0" applyFont="1" applyBorder="1" applyProtection="1">
      <protection hidden="1"/>
    </xf>
    <xf numFmtId="195" fontId="31" fillId="0" borderId="6" xfId="0" applyNumberFormat="1" applyFont="1" applyBorder="1" applyAlignment="1" applyProtection="1">
      <alignment horizontal="center"/>
      <protection hidden="1"/>
    </xf>
    <xf numFmtId="195" fontId="69" fillId="28" borderId="5" xfId="0" applyNumberFormat="1" applyFont="1" applyFill="1" applyBorder="1" applyAlignment="1" applyProtection="1">
      <alignment horizontal="center"/>
      <protection hidden="1"/>
    </xf>
    <xf numFmtId="10" fontId="31" fillId="29" borderId="0" xfId="0" applyNumberFormat="1" applyFont="1" applyFill="1" applyAlignment="1">
      <alignment horizontal="center"/>
    </xf>
    <xf numFmtId="171" fontId="69" fillId="30" borderId="0" xfId="59" applyNumberFormat="1" applyFont="1" applyFill="1" applyAlignment="1" applyProtection="1">
      <alignment horizontal="center"/>
      <protection hidden="1"/>
    </xf>
    <xf numFmtId="245" fontId="45" fillId="29" borderId="0" xfId="53" applyFont="1" applyFill="1" applyAlignment="1">
      <alignment horizontal="right"/>
      <protection hidden="1"/>
    </xf>
    <xf numFmtId="322" fontId="41" fillId="50" borderId="0" xfId="0" applyNumberFormat="1" applyFont="1" applyFill="1" applyAlignment="1">
      <alignment horizontal="center" vertical="center"/>
    </xf>
    <xf numFmtId="14" fontId="127" fillId="0" borderId="0" xfId="0" applyNumberFormat="1" applyFont="1" applyAlignment="1">
      <alignment horizontal="center"/>
    </xf>
    <xf numFmtId="231" fontId="98" fillId="0" borderId="0" xfId="0" applyFont="1" applyAlignment="1">
      <alignment horizontal="center"/>
    </xf>
    <xf numFmtId="173" fontId="40" fillId="29" borderId="0" xfId="0" applyNumberFormat="1" applyFont="1" applyFill="1" applyAlignment="1">
      <alignment horizontal="center" vertical="center"/>
    </xf>
    <xf numFmtId="231" fontId="102" fillId="0" borderId="0" xfId="0" applyFont="1" applyAlignment="1">
      <alignment horizontal="center" vertical="center" wrapText="1"/>
    </xf>
    <xf numFmtId="231" fontId="57" fillId="30" borderId="0" xfId="0" applyFont="1" applyFill="1"/>
    <xf numFmtId="170" fontId="69" fillId="0" borderId="0" xfId="0" applyNumberFormat="1" applyFont="1" applyAlignment="1" applyProtection="1">
      <alignment horizontal="center"/>
      <protection hidden="1"/>
    </xf>
    <xf numFmtId="173" fontId="40" fillId="28" borderId="0" xfId="0" applyNumberFormat="1" applyFont="1" applyFill="1" applyAlignment="1">
      <alignment horizontal="center" vertical="center"/>
    </xf>
    <xf numFmtId="178" fontId="50" fillId="28" borderId="0" xfId="0" applyNumberFormat="1" applyFont="1" applyFill="1" applyAlignment="1">
      <alignment horizontal="center" vertical="center"/>
    </xf>
    <xf numFmtId="178" fontId="50" fillId="0" borderId="0" xfId="0" applyNumberFormat="1" applyFont="1" applyAlignment="1">
      <alignment horizontal="center" vertical="center"/>
    </xf>
    <xf numFmtId="231" fontId="50" fillId="2" borderId="0" xfId="0" applyFont="1" applyFill="1" applyProtection="1">
      <protection hidden="1"/>
    </xf>
    <xf numFmtId="2" fontId="31" fillId="28" borderId="0" xfId="0" applyNumberFormat="1" applyFont="1" applyFill="1" applyAlignment="1">
      <alignment horizontal="center" vertical="center"/>
    </xf>
    <xf numFmtId="170" fontId="44" fillId="31" borderId="3" xfId="0" applyNumberFormat="1" applyFont="1" applyFill="1" applyBorder="1" applyAlignment="1">
      <alignment horizontal="center"/>
    </xf>
    <xf numFmtId="177" fontId="44" fillId="31" borderId="14" xfId="0" applyNumberFormat="1" applyFont="1" applyFill="1" applyBorder="1" applyAlignment="1">
      <alignment horizontal="center" vertical="center"/>
    </xf>
    <xf numFmtId="170" fontId="44" fillId="31" borderId="1" xfId="0" applyNumberFormat="1" applyFont="1" applyFill="1" applyBorder="1" applyAlignment="1" applyProtection="1">
      <alignment horizontal="center" vertical="center"/>
      <protection locked="0"/>
    </xf>
    <xf numFmtId="0" fontId="106" fillId="28" borderId="0" xfId="0" applyNumberFormat="1" applyFont="1" applyFill="1"/>
    <xf numFmtId="173" fontId="40" fillId="54" borderId="0" xfId="0" applyNumberFormat="1" applyFont="1" applyFill="1" applyAlignment="1">
      <alignment horizontal="center" vertical="center"/>
    </xf>
    <xf numFmtId="173" fontId="44" fillId="28" borderId="0" xfId="0" applyNumberFormat="1" applyFont="1" applyFill="1" applyAlignment="1">
      <alignment horizontal="center" vertical="center"/>
    </xf>
    <xf numFmtId="171" fontId="53" fillId="34" borderId="0" xfId="59" applyNumberFormat="1" applyFont="1" applyFill="1"/>
    <xf numFmtId="290" fontId="57" fillId="0" borderId="0" xfId="0" applyNumberFormat="1" applyFont="1"/>
    <xf numFmtId="171" fontId="57" fillId="34" borderId="0" xfId="59" applyNumberFormat="1" applyFont="1" applyFill="1"/>
    <xf numFmtId="231" fontId="128" fillId="0" borderId="0" xfId="0" applyFont="1"/>
    <xf numFmtId="173" fontId="41" fillId="54" borderId="0" xfId="0" applyNumberFormat="1" applyFont="1" applyFill="1" applyAlignment="1">
      <alignment horizontal="center" vertical="center"/>
    </xf>
    <xf numFmtId="231" fontId="57" fillId="34" borderId="0" xfId="0" applyFont="1" applyFill="1"/>
    <xf numFmtId="231" fontId="98" fillId="34" borderId="0" xfId="0" applyFont="1" applyFill="1"/>
    <xf numFmtId="171" fontId="53" fillId="30" borderId="0" xfId="59" applyNumberFormat="1" applyFont="1" applyFill="1"/>
    <xf numFmtId="173" fontId="45" fillId="48" borderId="0" xfId="0" applyNumberFormat="1" applyFont="1" applyFill="1" applyAlignment="1">
      <alignment horizontal="center" vertical="center"/>
    </xf>
    <xf numFmtId="10" fontId="31" fillId="29" borderId="0" xfId="53" applyNumberFormat="1" applyFont="1" applyFill="1">
      <alignment horizontal="center"/>
      <protection hidden="1"/>
    </xf>
    <xf numFmtId="231" fontId="98" fillId="28" borderId="0" xfId="0" applyFont="1" applyFill="1"/>
    <xf numFmtId="231" fontId="34" fillId="28" borderId="0" xfId="54" applyFill="1"/>
    <xf numFmtId="231" fontId="31" fillId="0" borderId="11" xfId="0" applyFont="1" applyBorder="1" applyAlignment="1">
      <alignment horizontal="left" vertical="center"/>
    </xf>
    <xf numFmtId="174" fontId="31" fillId="35" borderId="13" xfId="0" applyNumberFormat="1" applyFont="1" applyFill="1" applyBorder="1" applyAlignment="1">
      <alignment horizontal="center" vertical="center"/>
    </xf>
    <xf numFmtId="245" fontId="31" fillId="50" borderId="0" xfId="53" applyFont="1" applyFill="1">
      <alignment horizontal="center"/>
      <protection hidden="1"/>
    </xf>
    <xf numFmtId="323" fontId="31" fillId="29" borderId="9" xfId="0" applyNumberFormat="1" applyFont="1" applyFill="1" applyBorder="1" applyAlignment="1">
      <alignment horizontal="center" vertical="center"/>
    </xf>
    <xf numFmtId="178" fontId="31" fillId="29" borderId="7" xfId="0" applyNumberFormat="1" applyFont="1" applyFill="1" applyBorder="1" applyAlignment="1">
      <alignment horizontal="center" vertical="center"/>
    </xf>
    <xf numFmtId="324" fontId="76" fillId="29" borderId="7" xfId="0" applyNumberFormat="1" applyFont="1" applyFill="1" applyBorder="1" applyAlignment="1">
      <alignment horizontal="center" vertical="center"/>
    </xf>
    <xf numFmtId="305" fontId="76" fillId="29" borderId="7" xfId="0" applyNumberFormat="1" applyFont="1" applyFill="1" applyBorder="1" applyAlignment="1">
      <alignment horizontal="center" vertical="center"/>
    </xf>
    <xf numFmtId="305" fontId="76" fillId="29" borderId="10" xfId="0" applyNumberFormat="1" applyFont="1" applyFill="1" applyBorder="1" applyAlignment="1">
      <alignment horizontal="center" vertical="center"/>
    </xf>
    <xf numFmtId="323" fontId="31" fillId="29" borderId="12" xfId="0" applyNumberFormat="1" applyFont="1" applyFill="1" applyBorder="1" applyAlignment="1">
      <alignment horizontal="center" vertical="center"/>
    </xf>
    <xf numFmtId="178" fontId="31" fillId="29" borderId="5" xfId="0" applyNumberFormat="1" applyFont="1" applyFill="1" applyBorder="1" applyAlignment="1">
      <alignment horizontal="center" vertical="center"/>
    </xf>
    <xf numFmtId="324" fontId="76" fillId="29" borderId="5" xfId="0" applyNumberFormat="1" applyFont="1" applyFill="1" applyBorder="1" applyAlignment="1">
      <alignment horizontal="center" vertical="center"/>
    </xf>
    <xf numFmtId="305" fontId="76" fillId="29" borderId="5" xfId="0" applyNumberFormat="1" applyFont="1" applyFill="1" applyBorder="1" applyAlignment="1">
      <alignment horizontal="center" vertical="center"/>
    </xf>
    <xf numFmtId="305" fontId="76" fillId="29" borderId="6" xfId="0" applyNumberFormat="1" applyFont="1" applyFill="1" applyBorder="1" applyAlignment="1">
      <alignment horizontal="center" vertical="center"/>
    </xf>
    <xf numFmtId="323" fontId="31" fillId="29" borderId="2" xfId="0" applyNumberFormat="1" applyFont="1" applyFill="1" applyBorder="1" applyAlignment="1">
      <alignment horizontal="center" vertical="center"/>
    </xf>
    <xf numFmtId="178" fontId="31" fillId="29" borderId="0" xfId="0" applyNumberFormat="1" applyFont="1" applyFill="1" applyAlignment="1">
      <alignment horizontal="center" vertical="center"/>
    </xf>
    <xf numFmtId="324" fontId="76" fillId="29" borderId="0" xfId="0" applyNumberFormat="1" applyFont="1" applyFill="1" applyAlignment="1">
      <alignment horizontal="center" vertical="center"/>
    </xf>
    <xf numFmtId="305" fontId="76" fillId="29" borderId="0" xfId="0" applyNumberFormat="1" applyFont="1" applyFill="1" applyAlignment="1">
      <alignment horizontal="center" vertical="center"/>
    </xf>
    <xf numFmtId="305" fontId="76" fillId="29" borderId="4" xfId="0" applyNumberFormat="1" applyFont="1" applyFill="1" applyBorder="1" applyAlignment="1">
      <alignment horizontal="center" vertical="center"/>
    </xf>
    <xf numFmtId="297" fontId="31" fillId="29" borderId="7" xfId="0" applyNumberFormat="1" applyFont="1" applyFill="1" applyBorder="1" applyAlignment="1">
      <alignment horizontal="center" vertical="center"/>
    </xf>
    <xf numFmtId="297" fontId="31" fillId="29" borderId="0" xfId="0" applyNumberFormat="1" applyFont="1" applyFill="1" applyAlignment="1">
      <alignment horizontal="center" vertical="center"/>
    </xf>
    <xf numFmtId="297" fontId="31" fillId="29" borderId="5" xfId="0" applyNumberFormat="1" applyFont="1" applyFill="1" applyBorder="1" applyAlignment="1">
      <alignment horizontal="center" vertical="center"/>
    </xf>
    <xf numFmtId="231" fontId="57" fillId="0" borderId="4" xfId="0" applyFont="1" applyBorder="1"/>
    <xf numFmtId="323" fontId="31" fillId="28" borderId="3" xfId="0" applyNumberFormat="1" applyFont="1" applyFill="1" applyBorder="1" applyAlignment="1">
      <alignment horizontal="center" vertical="center"/>
    </xf>
    <xf numFmtId="178" fontId="31" fillId="28" borderId="14" xfId="0" applyNumberFormat="1" applyFont="1" applyFill="1" applyBorder="1" applyAlignment="1">
      <alignment horizontal="center" vertical="center"/>
    </xf>
    <xf numFmtId="297" fontId="31" fillId="28" borderId="14" xfId="0" applyNumberFormat="1" applyFont="1" applyFill="1" applyBorder="1" applyAlignment="1">
      <alignment horizontal="center" vertical="center"/>
    </xf>
    <xf numFmtId="324" fontId="76" fillId="28" borderId="14" xfId="0" applyNumberFormat="1" applyFont="1" applyFill="1" applyBorder="1" applyAlignment="1">
      <alignment horizontal="center" vertical="center"/>
    </xf>
    <xf numFmtId="305" fontId="76" fillId="28" borderId="14" xfId="0" applyNumberFormat="1" applyFont="1" applyFill="1" applyBorder="1" applyAlignment="1">
      <alignment horizontal="center" vertical="center"/>
    </xf>
    <xf numFmtId="305" fontId="76" fillId="28" borderId="15" xfId="0" applyNumberFormat="1" applyFont="1" applyFill="1" applyBorder="1" applyAlignment="1">
      <alignment horizontal="center" vertical="center"/>
    </xf>
    <xf numFmtId="2" fontId="57" fillId="28" borderId="14" xfId="0" applyNumberFormat="1" applyFont="1" applyFill="1" applyBorder="1" applyAlignment="1">
      <alignment horizontal="center"/>
    </xf>
    <xf numFmtId="2" fontId="109" fillId="0" borderId="0" xfId="0" applyNumberFormat="1" applyFont="1" applyAlignment="1">
      <alignment horizontal="center"/>
    </xf>
    <xf numFmtId="2" fontId="41" fillId="50" borderId="0" xfId="0" applyNumberFormat="1" applyFont="1" applyFill="1" applyAlignment="1">
      <alignment horizontal="center" vertical="center"/>
    </xf>
    <xf numFmtId="9" fontId="57" fillId="28" borderId="0" xfId="0" applyNumberFormat="1" applyFont="1" applyFill="1" applyAlignment="1">
      <alignment horizontal="center"/>
    </xf>
    <xf numFmtId="325" fontId="31" fillId="28" borderId="14" xfId="53" applyNumberFormat="1" applyFont="1" applyFill="1" applyBorder="1">
      <alignment horizontal="center"/>
      <protection hidden="1"/>
    </xf>
    <xf numFmtId="326" fontId="31" fillId="50" borderId="0" xfId="53" applyNumberFormat="1" applyFont="1" applyFill="1">
      <alignment horizontal="center"/>
      <protection hidden="1"/>
    </xf>
    <xf numFmtId="231" fontId="31" fillId="35" borderId="0" xfId="0" applyFont="1" applyFill="1"/>
    <xf numFmtId="171" fontId="42" fillId="2" borderId="4" xfId="0" applyNumberFormat="1" applyFont="1" applyFill="1" applyBorder="1" applyAlignment="1">
      <alignment horizontal="left"/>
    </xf>
    <xf numFmtId="171" fontId="46" fillId="35" borderId="0" xfId="0" applyNumberFormat="1" applyFont="1" applyFill="1" applyAlignment="1">
      <alignment horizontal="left"/>
    </xf>
    <xf numFmtId="199" fontId="31" fillId="29" borderId="0" xfId="0" applyNumberFormat="1" applyFont="1" applyFill="1" applyAlignment="1">
      <alignment horizontal="center" vertical="center"/>
    </xf>
    <xf numFmtId="171" fontId="42" fillId="30" borderId="0" xfId="0" applyNumberFormat="1" applyFont="1" applyFill="1" applyAlignment="1">
      <alignment horizontal="left"/>
    </xf>
    <xf numFmtId="231" fontId="31" fillId="30" borderId="0" xfId="0" applyFont="1" applyFill="1" applyAlignment="1">
      <alignment horizontal="center"/>
    </xf>
    <xf numFmtId="199" fontId="31" fillId="30" borderId="0" xfId="0" applyNumberFormat="1" applyFont="1" applyFill="1" applyAlignment="1">
      <alignment horizontal="center" vertical="center"/>
    </xf>
    <xf numFmtId="231" fontId="57" fillId="28" borderId="0" xfId="0" applyFont="1" applyFill="1" applyAlignment="1">
      <alignment wrapText="1"/>
    </xf>
    <xf numFmtId="313" fontId="109" fillId="0" borderId="0" xfId="0" applyNumberFormat="1" applyFont="1" applyAlignment="1">
      <alignment horizontal="center" wrapText="1"/>
    </xf>
    <xf numFmtId="9" fontId="31" fillId="50" borderId="0" xfId="53" applyNumberFormat="1" applyFont="1" applyFill="1" applyAlignment="1">
      <alignment horizontal="center" wrapText="1"/>
      <protection hidden="1"/>
    </xf>
    <xf numFmtId="325" fontId="31" fillId="28" borderId="14" xfId="53" applyNumberFormat="1" applyFont="1" applyFill="1" applyBorder="1" applyAlignment="1">
      <alignment horizontal="center" wrapText="1"/>
      <protection hidden="1"/>
    </xf>
    <xf numFmtId="231" fontId="57" fillId="28" borderId="7" xfId="0" applyFont="1" applyFill="1" applyBorder="1" applyAlignment="1">
      <alignment vertical="center"/>
    </xf>
    <xf numFmtId="327" fontId="47" fillId="30" borderId="0" xfId="0" applyNumberFormat="1" applyFont="1" applyFill="1" applyAlignment="1">
      <alignment horizontal="center"/>
    </xf>
    <xf numFmtId="245" fontId="31" fillId="29" borderId="0" xfId="53" applyFont="1" applyFill="1">
      <alignment horizontal="center"/>
      <protection hidden="1"/>
    </xf>
    <xf numFmtId="14" fontId="71" fillId="28" borderId="0" xfId="0" applyNumberFormat="1" applyFont="1" applyFill="1" applyProtection="1">
      <protection hidden="1"/>
    </xf>
    <xf numFmtId="305" fontId="31" fillId="35" borderId="15" xfId="0" applyNumberFormat="1" applyFont="1" applyFill="1" applyBorder="1" applyAlignment="1">
      <alignment horizontal="center" vertical="center"/>
    </xf>
    <xf numFmtId="325" fontId="31" fillId="35" borderId="14" xfId="53" applyNumberFormat="1" applyFont="1" applyFill="1" applyBorder="1">
      <alignment horizontal="center"/>
      <protection hidden="1"/>
    </xf>
    <xf numFmtId="245" fontId="31" fillId="31" borderId="0" xfId="53" applyFont="1" applyFill="1">
      <alignment horizontal="center"/>
      <protection hidden="1"/>
    </xf>
    <xf numFmtId="0" fontId="131" fillId="0" borderId="4" xfId="101" applyFont="1" applyBorder="1" applyAlignment="1">
      <alignment vertical="center"/>
    </xf>
    <xf numFmtId="0" fontId="25" fillId="0" borderId="0" xfId="101" applyFont="1" applyAlignment="1">
      <alignment vertical="center"/>
    </xf>
    <xf numFmtId="0" fontId="25" fillId="0" borderId="4" xfId="101" applyFont="1" applyBorder="1" applyAlignment="1">
      <alignment vertical="center"/>
    </xf>
    <xf numFmtId="0" fontId="25" fillId="0" borderId="4" xfId="101" applyFont="1" applyBorder="1" applyAlignment="1">
      <alignment horizontal="center" vertical="center"/>
    </xf>
    <xf numFmtId="170" fontId="93" fillId="0" borderId="0" xfId="102" applyNumberFormat="1" applyFont="1" applyAlignment="1">
      <alignment vertical="center"/>
    </xf>
    <xf numFmtId="0" fontId="25" fillId="0" borderId="0" xfId="101" applyFont="1" applyAlignment="1">
      <alignment horizontal="center" vertical="center"/>
    </xf>
    <xf numFmtId="0" fontId="132" fillId="0" borderId="0" xfId="101" applyFont="1" applyAlignment="1">
      <alignment vertical="center" wrapText="1"/>
    </xf>
    <xf numFmtId="0" fontId="132" fillId="0" borderId="31" xfId="101" applyFont="1" applyBorder="1" applyAlignment="1">
      <alignment vertical="center" wrapText="1"/>
    </xf>
    <xf numFmtId="0" fontId="133" fillId="57" borderId="32" xfId="101" applyFont="1" applyFill="1" applyBorder="1" applyAlignment="1">
      <alignment horizontal="center" vertical="center" wrapText="1"/>
    </xf>
    <xf numFmtId="0" fontId="133" fillId="57" borderId="0" xfId="101" applyFont="1" applyFill="1" applyAlignment="1">
      <alignment horizontal="center" vertical="center" wrapText="1"/>
    </xf>
    <xf numFmtId="0" fontId="133" fillId="57" borderId="33" xfId="101" applyFont="1" applyFill="1" applyBorder="1" applyAlignment="1">
      <alignment horizontal="center" vertical="center" wrapText="1"/>
    </xf>
    <xf numFmtId="170" fontId="25" fillId="59" borderId="0" xfId="102" applyNumberFormat="1" applyFont="1" applyFill="1" applyBorder="1" applyAlignment="1">
      <alignment horizontal="center" vertical="center" wrapText="1"/>
    </xf>
    <xf numFmtId="0" fontId="25" fillId="56" borderId="31" xfId="101" applyFont="1" applyFill="1" applyBorder="1" applyAlignment="1">
      <alignment horizontal="center" vertical="center" wrapText="1"/>
    </xf>
    <xf numFmtId="0" fontId="133" fillId="57" borderId="36" xfId="101" applyFont="1" applyFill="1" applyBorder="1" applyAlignment="1">
      <alignment horizontal="center" vertical="center" wrapText="1"/>
    </xf>
    <xf numFmtId="0" fontId="133" fillId="57" borderId="37" xfId="101" applyFont="1" applyFill="1" applyBorder="1" applyAlignment="1">
      <alignment horizontal="center" vertical="center" wrapText="1"/>
    </xf>
    <xf numFmtId="0" fontId="133" fillId="57" borderId="38" xfId="101" applyFont="1" applyFill="1" applyBorder="1" applyAlignment="1">
      <alignment horizontal="center" vertical="center" wrapText="1"/>
    </xf>
    <xf numFmtId="0" fontId="133" fillId="61" borderId="33" xfId="101" applyFont="1" applyFill="1" applyBorder="1" applyAlignment="1">
      <alignment horizontal="center" vertical="center" wrapText="1"/>
    </xf>
    <xf numFmtId="170" fontId="25" fillId="59" borderId="39" xfId="102" applyNumberFormat="1" applyFont="1" applyFill="1" applyBorder="1" applyAlignment="1">
      <alignment horizontal="center" vertical="center" wrapText="1"/>
    </xf>
    <xf numFmtId="0" fontId="38" fillId="57" borderId="34" xfId="101" applyFont="1" applyFill="1" applyBorder="1" applyAlignment="1">
      <alignment horizontal="center" vertical="center" wrapText="1"/>
    </xf>
    <xf numFmtId="0" fontId="25" fillId="0" borderId="35" xfId="101" applyFont="1" applyBorder="1" applyAlignment="1">
      <alignment vertical="center"/>
    </xf>
    <xf numFmtId="0" fontId="25" fillId="0" borderId="35" xfId="101" applyFont="1" applyBorder="1" applyAlignment="1">
      <alignment horizontal="center" vertical="center"/>
    </xf>
    <xf numFmtId="0" fontId="25" fillId="0" borderId="38" xfId="101" applyFont="1" applyBorder="1" applyAlignment="1">
      <alignment vertical="center"/>
    </xf>
    <xf numFmtId="0" fontId="133" fillId="0" borderId="40" xfId="101" applyFont="1" applyBorder="1" applyAlignment="1">
      <alignment vertical="center" wrapText="1"/>
    </xf>
    <xf numFmtId="0" fontId="133" fillId="0" borderId="39" xfId="103" applyNumberFormat="1" applyFont="1" applyBorder="1" applyAlignment="1">
      <alignment horizontal="center" vertical="center" wrapText="1"/>
    </xf>
    <xf numFmtId="0" fontId="133" fillId="0" borderId="41" xfId="103" applyNumberFormat="1" applyFont="1" applyBorder="1" applyAlignment="1">
      <alignment horizontal="center" vertical="center" wrapText="1"/>
    </xf>
    <xf numFmtId="170" fontId="133" fillId="0" borderId="39" xfId="102" applyNumberFormat="1" applyFont="1" applyBorder="1" applyAlignment="1">
      <alignment vertical="center" wrapText="1"/>
    </xf>
    <xf numFmtId="170" fontId="93" fillId="0" borderId="39" xfId="102" applyNumberFormat="1" applyFont="1" applyBorder="1" applyAlignment="1">
      <alignment vertical="center"/>
    </xf>
    <xf numFmtId="9" fontId="133" fillId="62" borderId="40" xfId="101" applyNumberFormat="1" applyFont="1" applyFill="1" applyBorder="1" applyAlignment="1">
      <alignment horizontal="center" vertical="center" wrapText="1"/>
    </xf>
    <xf numFmtId="0" fontId="133" fillId="64" borderId="42" xfId="101" applyFont="1" applyFill="1" applyBorder="1" applyAlignment="1">
      <alignment horizontal="center" vertical="center" wrapText="1"/>
    </xf>
    <xf numFmtId="0" fontId="133" fillId="64" borderId="43" xfId="101" applyFont="1" applyFill="1" applyBorder="1" applyAlignment="1">
      <alignment horizontal="center" vertical="center" wrapText="1"/>
    </xf>
    <xf numFmtId="0" fontId="133" fillId="65" borderId="44" xfId="101" applyFont="1" applyFill="1" applyBorder="1" applyAlignment="1">
      <alignment horizontal="center" vertical="center" wrapText="1"/>
    </xf>
    <xf numFmtId="0" fontId="133" fillId="64" borderId="45" xfId="101" applyFont="1" applyFill="1" applyBorder="1" applyAlignment="1">
      <alignment horizontal="center" vertical="center" wrapText="1"/>
    </xf>
    <xf numFmtId="0" fontId="133" fillId="64" borderId="39" xfId="101" applyFont="1" applyFill="1" applyBorder="1" applyAlignment="1">
      <alignment horizontal="center" vertical="center" wrapText="1"/>
    </xf>
    <xf numFmtId="0" fontId="134" fillId="66" borderId="39" xfId="101" applyFont="1" applyFill="1" applyBorder="1" applyAlignment="1">
      <alignment horizontal="center" vertical="center" wrapText="1"/>
    </xf>
    <xf numFmtId="14" fontId="31" fillId="66" borderId="39" xfId="101" applyNumberFormat="1" applyFont="1" applyFill="1" applyBorder="1" applyAlignment="1">
      <alignment horizontal="center" vertical="center" wrapText="1"/>
    </xf>
    <xf numFmtId="4" fontId="130" fillId="66" borderId="39" xfId="101" applyNumberFormat="1" applyFont="1" applyFill="1" applyBorder="1" applyAlignment="1">
      <alignment horizontal="center" vertical="center"/>
    </xf>
    <xf numFmtId="9" fontId="134" fillId="66" borderId="39" xfId="102" applyFont="1" applyFill="1" applyBorder="1" applyAlignment="1">
      <alignment horizontal="center" vertical="center" wrapText="1"/>
    </xf>
    <xf numFmtId="328" fontId="134" fillId="66" borderId="39" xfId="102" applyNumberFormat="1" applyFont="1" applyFill="1" applyBorder="1" applyAlignment="1">
      <alignment horizontal="center" vertical="center" wrapText="1"/>
    </xf>
    <xf numFmtId="0" fontId="135" fillId="67" borderId="41" xfId="101" applyFont="1" applyFill="1" applyBorder="1" applyAlignment="1">
      <alignment horizontal="center" vertical="center" wrapText="1"/>
    </xf>
    <xf numFmtId="0" fontId="134" fillId="68" borderId="39" xfId="101" applyFont="1" applyFill="1" applyBorder="1" applyAlignment="1">
      <alignment horizontal="center" vertical="center" wrapText="1"/>
    </xf>
    <xf numFmtId="0" fontId="25" fillId="0" borderId="0" xfId="101" applyFont="1" applyAlignment="1">
      <alignment horizontal="center" vertical="center" wrapText="1"/>
    </xf>
    <xf numFmtId="170" fontId="93" fillId="0" borderId="0" xfId="102" applyNumberFormat="1" applyFont="1" applyAlignment="1">
      <alignment horizontal="center" vertical="center" wrapText="1"/>
    </xf>
    <xf numFmtId="0" fontId="133" fillId="66" borderId="39" xfId="101" applyFont="1" applyFill="1" applyBorder="1" applyAlignment="1">
      <alignment horizontal="center" vertical="center" wrapText="1"/>
    </xf>
    <xf numFmtId="0" fontId="133" fillId="60" borderId="39" xfId="101" applyFont="1" applyFill="1" applyBorder="1" applyAlignment="1">
      <alignment horizontal="center" vertical="center" wrapText="1"/>
    </xf>
    <xf numFmtId="0" fontId="133" fillId="60" borderId="41" xfId="101" applyFont="1" applyFill="1" applyBorder="1" applyAlignment="1">
      <alignment horizontal="center" vertical="center" wrapText="1"/>
    </xf>
    <xf numFmtId="0" fontId="25" fillId="0" borderId="45" xfId="101" applyFont="1" applyBorder="1" applyAlignment="1">
      <alignment horizontal="center" vertical="center"/>
    </xf>
    <xf numFmtId="0" fontId="25" fillId="0" borderId="45" xfId="101" applyFont="1" applyBorder="1" applyAlignment="1">
      <alignment vertical="center"/>
    </xf>
    <xf numFmtId="0" fontId="25" fillId="0" borderId="39" xfId="101" applyFont="1" applyBorder="1" applyAlignment="1">
      <alignment horizontal="center" vertical="center"/>
    </xf>
    <xf numFmtId="0" fontId="25" fillId="0" borderId="39" xfId="101" applyFont="1" applyBorder="1" applyAlignment="1">
      <alignment vertical="center"/>
    </xf>
    <xf numFmtId="170" fontId="25" fillId="0" borderId="39" xfId="102" applyNumberFormat="1" applyFont="1" applyBorder="1" applyAlignment="1">
      <alignment horizontal="center" vertical="center"/>
    </xf>
    <xf numFmtId="10" fontId="25" fillId="0" borderId="39" xfId="102" applyNumberFormat="1" applyFont="1" applyBorder="1" applyAlignment="1">
      <alignment horizontal="center" vertical="center"/>
    </xf>
    <xf numFmtId="199" fontId="25" fillId="0" borderId="39" xfId="102" applyNumberFormat="1" applyFont="1" applyBorder="1" applyAlignment="1">
      <alignment horizontal="center" vertical="center"/>
    </xf>
    <xf numFmtId="2" fontId="25" fillId="0" borderId="39" xfId="102" applyNumberFormat="1" applyFont="1" applyBorder="1" applyAlignment="1">
      <alignment horizontal="right" vertical="center" indent="1"/>
    </xf>
    <xf numFmtId="9" fontId="25" fillId="0" borderId="39" xfId="102" applyFont="1" applyBorder="1" applyAlignment="1">
      <alignment horizontal="center" vertical="center"/>
    </xf>
    <xf numFmtId="170" fontId="93" fillId="69" borderId="39" xfId="102" applyNumberFormat="1" applyFont="1" applyFill="1" applyBorder="1" applyAlignment="1">
      <alignment horizontal="right" vertical="center" indent="1"/>
    </xf>
    <xf numFmtId="170" fontId="93" fillId="55" borderId="39" xfId="102" applyNumberFormat="1" applyFont="1" applyFill="1" applyBorder="1" applyAlignment="1">
      <alignment horizontal="right" vertical="center" indent="1"/>
    </xf>
    <xf numFmtId="10" fontId="93" fillId="0" borderId="0" xfId="102" applyNumberFormat="1" applyFont="1" applyAlignment="1">
      <alignment vertical="center"/>
    </xf>
    <xf numFmtId="10" fontId="93" fillId="0" borderId="0" xfId="102" applyNumberFormat="1" applyFont="1" applyAlignment="1">
      <alignment horizontal="center" vertical="center" wrapText="1"/>
    </xf>
    <xf numFmtId="170" fontId="93" fillId="0" borderId="0" xfId="102" applyNumberFormat="1" applyFont="1" applyFill="1" applyAlignment="1">
      <alignment vertical="center"/>
    </xf>
    <xf numFmtId="170" fontId="93" fillId="0" borderId="39" xfId="102" applyNumberFormat="1" applyFont="1" applyBorder="1" applyAlignment="1">
      <alignment horizontal="center" vertical="center"/>
    </xf>
    <xf numFmtId="170" fontId="93" fillId="63" borderId="39" xfId="102" applyNumberFormat="1" applyFont="1" applyFill="1" applyBorder="1" applyAlignment="1">
      <alignment horizontal="right" vertical="center" indent="1"/>
    </xf>
    <xf numFmtId="10" fontId="93" fillId="0" borderId="0" xfId="102" applyNumberFormat="1" applyFont="1" applyFill="1" applyAlignment="1">
      <alignment vertical="center"/>
    </xf>
    <xf numFmtId="10" fontId="93" fillId="55" borderId="0" xfId="102" applyNumberFormat="1" applyFont="1" applyFill="1" applyAlignment="1">
      <alignment vertical="center"/>
    </xf>
    <xf numFmtId="0" fontId="25" fillId="0" borderId="46" xfId="101" applyFont="1" applyBorder="1" applyAlignment="1">
      <alignment horizontal="center" vertical="center"/>
    </xf>
    <xf numFmtId="0" fontId="25" fillId="0" borderId="46" xfId="101" applyFont="1" applyBorder="1" applyAlignment="1">
      <alignment vertical="center"/>
    </xf>
    <xf numFmtId="0" fontId="25" fillId="0" borderId="47" xfId="101" applyFont="1" applyBorder="1" applyAlignment="1">
      <alignment horizontal="center" vertical="center"/>
    </xf>
    <xf numFmtId="0" fontId="25" fillId="0" borderId="47" xfId="101" applyFont="1" applyBorder="1" applyAlignment="1">
      <alignment vertical="center"/>
    </xf>
    <xf numFmtId="170" fontId="25" fillId="0" borderId="47" xfId="102" applyNumberFormat="1" applyFont="1" applyBorder="1" applyAlignment="1">
      <alignment horizontal="center" vertical="center"/>
    </xf>
    <xf numFmtId="10" fontId="25" fillId="0" borderId="47" xfId="102" applyNumberFormat="1" applyFont="1" applyBorder="1" applyAlignment="1">
      <alignment horizontal="center" vertical="center"/>
    </xf>
    <xf numFmtId="199" fontId="25" fillId="0" borderId="47" xfId="102" applyNumberFormat="1" applyFont="1" applyBorder="1" applyAlignment="1">
      <alignment horizontal="center" vertical="center"/>
    </xf>
    <xf numFmtId="2" fontId="25" fillId="0" borderId="47" xfId="102" applyNumberFormat="1" applyFont="1" applyBorder="1" applyAlignment="1">
      <alignment horizontal="right" vertical="center" indent="1"/>
    </xf>
    <xf numFmtId="9" fontId="25" fillId="0" borderId="47" xfId="102" applyFont="1" applyBorder="1" applyAlignment="1">
      <alignment horizontal="center" vertical="center"/>
    </xf>
    <xf numFmtId="170" fontId="93" fillId="69" borderId="47" xfId="102" applyNumberFormat="1" applyFont="1" applyFill="1" applyBorder="1" applyAlignment="1">
      <alignment horizontal="right" vertical="center" indent="1"/>
    </xf>
    <xf numFmtId="170" fontId="93" fillId="55" borderId="47" xfId="102" applyNumberFormat="1" applyFont="1" applyFill="1" applyBorder="1" applyAlignment="1">
      <alignment horizontal="right" vertical="center" indent="1"/>
    </xf>
    <xf numFmtId="170" fontId="93" fillId="0" borderId="47" xfId="102" applyNumberFormat="1" applyFont="1" applyBorder="1" applyAlignment="1">
      <alignment horizontal="center" vertical="center"/>
    </xf>
    <xf numFmtId="170" fontId="93" fillId="63" borderId="47" xfId="102" applyNumberFormat="1" applyFont="1" applyFill="1" applyBorder="1" applyAlignment="1">
      <alignment horizontal="right" vertical="center" indent="1"/>
    </xf>
    <xf numFmtId="170" fontId="25" fillId="0" borderId="33" xfId="101" applyNumberFormat="1" applyFont="1" applyBorder="1" applyAlignment="1">
      <alignment vertical="center"/>
    </xf>
    <xf numFmtId="170" fontId="25" fillId="0" borderId="38" xfId="102" applyNumberFormat="1" applyFont="1" applyBorder="1" applyAlignment="1">
      <alignment horizontal="center" vertical="center"/>
    </xf>
    <xf numFmtId="199" fontId="25" fillId="0" borderId="38" xfId="102" applyNumberFormat="1" applyFont="1" applyBorder="1" applyAlignment="1">
      <alignment horizontal="center" vertical="center"/>
    </xf>
    <xf numFmtId="2" fontId="25" fillId="0" borderId="38" xfId="102" applyNumberFormat="1" applyFont="1" applyBorder="1" applyAlignment="1">
      <alignment horizontal="right" vertical="center" indent="1"/>
    </xf>
    <xf numFmtId="9" fontId="25" fillId="0" borderId="38" xfId="102" applyFont="1" applyBorder="1" applyAlignment="1">
      <alignment horizontal="center" vertical="center"/>
    </xf>
    <xf numFmtId="170" fontId="93" fillId="69" borderId="38" xfId="102" applyNumberFormat="1" applyFont="1" applyFill="1" applyBorder="1" applyAlignment="1">
      <alignment horizontal="right" vertical="center" indent="1"/>
    </xf>
    <xf numFmtId="170" fontId="93" fillId="55" borderId="38" xfId="102" applyNumberFormat="1" applyFont="1" applyFill="1" applyBorder="1" applyAlignment="1">
      <alignment horizontal="right" vertical="center" indent="1"/>
    </xf>
    <xf numFmtId="170" fontId="93" fillId="0" borderId="38" xfId="102" applyNumberFormat="1" applyFont="1" applyBorder="1" applyAlignment="1">
      <alignment horizontal="center" vertical="center"/>
    </xf>
    <xf numFmtId="170" fontId="93" fillId="63" borderId="38" xfId="102" applyNumberFormat="1" applyFont="1" applyFill="1" applyBorder="1" applyAlignment="1">
      <alignment horizontal="right" vertical="center" indent="1"/>
    </xf>
    <xf numFmtId="170" fontId="25" fillId="0" borderId="41" xfId="101" applyNumberFormat="1" applyFont="1" applyBorder="1" applyAlignment="1">
      <alignment vertical="center"/>
    </xf>
    <xf numFmtId="0" fontId="25" fillId="0" borderId="38" xfId="101" applyFont="1" applyBorder="1" applyAlignment="1">
      <alignment horizontal="center" vertical="center"/>
    </xf>
    <xf numFmtId="10" fontId="25" fillId="0" borderId="38" xfId="102" applyNumberFormat="1" applyFont="1" applyBorder="1" applyAlignment="1">
      <alignment horizontal="center" vertical="center"/>
    </xf>
    <xf numFmtId="10" fontId="93" fillId="70" borderId="0" xfId="102" applyNumberFormat="1" applyFont="1" applyFill="1" applyAlignment="1">
      <alignment vertical="center"/>
    </xf>
    <xf numFmtId="170" fontId="133" fillId="0" borderId="41" xfId="101" applyNumberFormat="1" applyFont="1" applyBorder="1" applyAlignment="1">
      <alignment vertical="center"/>
    </xf>
    <xf numFmtId="0" fontId="133" fillId="57" borderId="39" xfId="101" applyFont="1" applyFill="1" applyBorder="1" applyAlignment="1">
      <alignment horizontal="center" vertical="center" wrapText="1"/>
    </xf>
    <xf numFmtId="0" fontId="134" fillId="56" borderId="39" xfId="101" applyFont="1" applyFill="1" applyBorder="1" applyAlignment="1">
      <alignment horizontal="center" vertical="center" wrapText="1"/>
    </xf>
    <xf numFmtId="0" fontId="31" fillId="56" borderId="39" xfId="101" applyFont="1" applyFill="1" applyBorder="1" applyAlignment="1">
      <alignment horizontal="center" vertical="center" wrapText="1"/>
    </xf>
    <xf numFmtId="0" fontId="133" fillId="0" borderId="40" xfId="103" applyNumberFormat="1" applyFont="1" applyBorder="1" applyAlignment="1">
      <alignment horizontal="center" vertical="center" wrapText="1"/>
    </xf>
    <xf numFmtId="0" fontId="136" fillId="66" borderId="39" xfId="101" applyFont="1" applyFill="1" applyBorder="1" applyAlignment="1">
      <alignment horizontal="center" vertical="center" wrapText="1"/>
    </xf>
    <xf numFmtId="2" fontId="93" fillId="0" borderId="39" xfId="102" applyNumberFormat="1" applyFont="1" applyBorder="1" applyAlignment="1">
      <alignment horizontal="right" vertical="center" indent="1"/>
    </xf>
    <xf numFmtId="9" fontId="93" fillId="0" borderId="39" xfId="102" applyFont="1" applyBorder="1" applyAlignment="1">
      <alignment horizontal="center" vertical="center"/>
    </xf>
    <xf numFmtId="9" fontId="30" fillId="0" borderId="39" xfId="102" applyFont="1" applyBorder="1" applyAlignment="1">
      <alignment horizontal="center"/>
    </xf>
    <xf numFmtId="2" fontId="30" fillId="69" borderId="39" xfId="102" applyNumberFormat="1" applyFont="1" applyFill="1" applyBorder="1" applyAlignment="1">
      <alignment horizontal="right" vertical="center" indent="1"/>
    </xf>
    <xf numFmtId="170" fontId="30" fillId="69" borderId="39" xfId="102" applyNumberFormat="1" applyFont="1" applyFill="1" applyBorder="1" applyAlignment="1">
      <alignment horizontal="right" vertical="center" indent="1"/>
    </xf>
    <xf numFmtId="170" fontId="30" fillId="55" borderId="39" xfId="102" applyNumberFormat="1" applyFont="1" applyFill="1" applyBorder="1" applyAlignment="1">
      <alignment horizontal="right" vertical="center" indent="1"/>
    </xf>
    <xf numFmtId="9" fontId="30" fillId="0" borderId="39" xfId="102" applyFont="1" applyBorder="1" applyAlignment="1">
      <alignment horizontal="center" vertical="center"/>
    </xf>
    <xf numFmtId="2" fontId="93" fillId="0" borderId="47" xfId="102" applyNumberFormat="1" applyFont="1" applyBorder="1" applyAlignment="1">
      <alignment horizontal="right" vertical="center" indent="1"/>
    </xf>
    <xf numFmtId="9" fontId="93" fillId="0" borderId="47" xfId="102" applyFont="1" applyBorder="1" applyAlignment="1">
      <alignment horizontal="center" vertical="center"/>
    </xf>
    <xf numFmtId="9" fontId="30" fillId="0" borderId="47" xfId="102" applyFont="1" applyBorder="1" applyAlignment="1">
      <alignment horizontal="center" vertical="center"/>
    </xf>
    <xf numFmtId="2" fontId="30" fillId="69" borderId="47" xfId="102" applyNumberFormat="1" applyFont="1" applyFill="1" applyBorder="1" applyAlignment="1">
      <alignment horizontal="right" vertical="center" indent="1"/>
    </xf>
    <xf numFmtId="170" fontId="30" fillId="69" borderId="47" xfId="102" applyNumberFormat="1" applyFont="1" applyFill="1" applyBorder="1" applyAlignment="1">
      <alignment horizontal="right" vertical="center" indent="1"/>
    </xf>
    <xf numFmtId="170" fontId="30" fillId="55" borderId="47" xfId="102" applyNumberFormat="1" applyFont="1" applyFill="1" applyBorder="1" applyAlignment="1">
      <alignment horizontal="right" vertical="center" indent="1"/>
    </xf>
    <xf numFmtId="2" fontId="93" fillId="0" borderId="38" xfId="102" applyNumberFormat="1" applyFont="1" applyBorder="1" applyAlignment="1">
      <alignment horizontal="right" vertical="center" indent="1"/>
    </xf>
    <xf numFmtId="9" fontId="93" fillId="0" borderId="38" xfId="102" applyFont="1" applyBorder="1" applyAlignment="1">
      <alignment horizontal="center" vertical="center"/>
    </xf>
    <xf numFmtId="9" fontId="30" fillId="0" borderId="38" xfId="102" applyFont="1" applyBorder="1" applyAlignment="1">
      <alignment horizontal="center" vertical="center"/>
    </xf>
    <xf numFmtId="2" fontId="30" fillId="69" borderId="38" xfId="102" applyNumberFormat="1" applyFont="1" applyFill="1" applyBorder="1" applyAlignment="1">
      <alignment horizontal="right" vertical="center" indent="1"/>
    </xf>
    <xf numFmtId="170" fontId="30" fillId="69" borderId="38" xfId="102" applyNumberFormat="1" applyFont="1" applyFill="1" applyBorder="1" applyAlignment="1">
      <alignment horizontal="right" vertical="center" indent="1"/>
    </xf>
    <xf numFmtId="170" fontId="30" fillId="55" borderId="38" xfId="102" applyNumberFormat="1" applyFont="1" applyFill="1" applyBorder="1" applyAlignment="1">
      <alignment horizontal="right" vertical="center" indent="1"/>
    </xf>
    <xf numFmtId="9" fontId="30" fillId="0" borderId="39" xfId="102" applyFont="1" applyBorder="1" applyAlignment="1">
      <alignment horizontal="center" vertical="top"/>
    </xf>
    <xf numFmtId="231" fontId="138" fillId="0" borderId="0" xfId="104" applyNumberFormat="1" applyFont="1"/>
    <xf numFmtId="231" fontId="139" fillId="0" borderId="0" xfId="104" applyNumberFormat="1" applyFont="1"/>
    <xf numFmtId="184" fontId="140" fillId="42" borderId="4" xfId="104" applyNumberFormat="1" applyFont="1" applyFill="1" applyBorder="1" applyAlignment="1">
      <alignment horizontal="right"/>
    </xf>
    <xf numFmtId="184" fontId="140" fillId="71" borderId="4" xfId="104" applyNumberFormat="1" applyFont="1" applyFill="1" applyBorder="1" applyAlignment="1">
      <alignment horizontal="right"/>
    </xf>
    <xf numFmtId="329" fontId="138" fillId="0" borderId="0" xfId="104" applyNumberFormat="1" applyFont="1"/>
    <xf numFmtId="297" fontId="138" fillId="0" borderId="0" xfId="104" applyNumberFormat="1" applyFont="1"/>
    <xf numFmtId="231" fontId="138" fillId="31" borderId="8" xfId="104" applyNumberFormat="1" applyFont="1" applyFill="1" applyBorder="1"/>
    <xf numFmtId="329" fontId="138" fillId="31" borderId="8" xfId="104" applyNumberFormat="1" applyFont="1" applyFill="1" applyBorder="1"/>
    <xf numFmtId="297" fontId="138" fillId="31" borderId="8" xfId="104" applyNumberFormat="1" applyFont="1" applyFill="1" applyBorder="1"/>
    <xf numFmtId="231" fontId="139" fillId="31" borderId="8" xfId="104" applyNumberFormat="1" applyFont="1" applyFill="1" applyBorder="1"/>
    <xf numFmtId="329" fontId="139" fillId="31" borderId="8" xfId="104" applyNumberFormat="1" applyFont="1" applyFill="1" applyBorder="1"/>
    <xf numFmtId="297" fontId="139" fillId="31" borderId="8" xfId="104" applyNumberFormat="1" applyFont="1" applyFill="1" applyBorder="1"/>
    <xf numFmtId="3" fontId="138" fillId="0" borderId="0" xfId="104" applyNumberFormat="1" applyFont="1"/>
    <xf numFmtId="3" fontId="139" fillId="31" borderId="8" xfId="104" applyNumberFormat="1" applyFont="1" applyFill="1" applyBorder="1"/>
    <xf numFmtId="231" fontId="138" fillId="0" borderId="4" xfId="104" applyNumberFormat="1" applyFont="1" applyBorder="1"/>
    <xf numFmtId="3" fontId="138" fillId="0" borderId="4" xfId="104" applyNumberFormat="1" applyFont="1" applyBorder="1"/>
    <xf numFmtId="184" fontId="140" fillId="42" borderId="4" xfId="104" applyNumberFormat="1" applyFont="1" applyFill="1" applyBorder="1"/>
    <xf numFmtId="184" fontId="140" fillId="71" borderId="4" xfId="104" applyNumberFormat="1" applyFont="1" applyFill="1" applyBorder="1"/>
    <xf numFmtId="231" fontId="139" fillId="63" borderId="1" xfId="104" applyNumberFormat="1" applyFont="1" applyFill="1" applyBorder="1"/>
    <xf numFmtId="245" fontId="133" fillId="63" borderId="13" xfId="53" applyFont="1" applyFill="1" applyBorder="1">
      <alignment horizontal="center"/>
      <protection hidden="1"/>
    </xf>
    <xf numFmtId="231" fontId="139" fillId="72" borderId="1" xfId="104" applyNumberFormat="1" applyFont="1" applyFill="1" applyBorder="1"/>
    <xf numFmtId="329" fontId="139" fillId="72" borderId="13" xfId="104" applyNumberFormat="1" applyFont="1" applyFill="1" applyBorder="1"/>
    <xf numFmtId="231" fontId="138" fillId="45" borderId="0" xfId="104" applyNumberFormat="1" applyFont="1" applyFill="1"/>
    <xf numFmtId="0" fontId="25" fillId="0" borderId="48" xfId="101" applyFont="1" applyBorder="1" applyAlignment="1">
      <alignment horizontal="center" vertical="center"/>
    </xf>
    <xf numFmtId="0" fontId="25" fillId="0" borderId="48" xfId="101" applyFont="1" applyBorder="1" applyAlignment="1">
      <alignment vertical="center"/>
    </xf>
    <xf numFmtId="0" fontId="25" fillId="0" borderId="36" xfId="101" applyFont="1" applyBorder="1" applyAlignment="1">
      <alignment horizontal="center" vertical="center"/>
    </xf>
    <xf numFmtId="0" fontId="25" fillId="0" borderId="36" xfId="101" applyFont="1" applyBorder="1" applyAlignment="1">
      <alignment vertical="center"/>
    </xf>
    <xf numFmtId="2" fontId="93" fillId="0" borderId="36" xfId="102" applyNumberFormat="1" applyFont="1" applyBorder="1" applyAlignment="1">
      <alignment horizontal="right" vertical="center" indent="1"/>
    </xf>
    <xf numFmtId="9" fontId="93" fillId="0" borderId="36" xfId="102" applyFont="1" applyBorder="1" applyAlignment="1">
      <alignment horizontal="center" vertical="center"/>
    </xf>
    <xf numFmtId="9" fontId="30" fillId="0" borderId="36" xfId="102" applyFont="1" applyBorder="1" applyAlignment="1">
      <alignment horizontal="center" vertical="center"/>
    </xf>
    <xf numFmtId="2" fontId="30" fillId="69" borderId="36" xfId="102" applyNumberFormat="1" applyFont="1" applyFill="1" applyBorder="1" applyAlignment="1">
      <alignment horizontal="right" vertical="center" indent="1"/>
    </xf>
    <xf numFmtId="9" fontId="25" fillId="0" borderId="36" xfId="102" applyFont="1" applyBorder="1" applyAlignment="1">
      <alignment horizontal="center" vertical="center"/>
    </xf>
    <xf numFmtId="170" fontId="30" fillId="69" borderId="36" xfId="102" applyNumberFormat="1" applyFont="1" applyFill="1" applyBorder="1" applyAlignment="1">
      <alignment horizontal="right" vertical="center" indent="1"/>
    </xf>
    <xf numFmtId="170" fontId="30" fillId="55" borderId="36" xfId="102" applyNumberFormat="1" applyFont="1" applyFill="1" applyBorder="1" applyAlignment="1">
      <alignment horizontal="right" vertical="center" indent="1"/>
    </xf>
    <xf numFmtId="170" fontId="25" fillId="0" borderId="36" xfId="102" applyNumberFormat="1" applyFont="1" applyBorder="1" applyAlignment="1">
      <alignment horizontal="center" vertical="center"/>
    </xf>
    <xf numFmtId="10" fontId="25" fillId="0" borderId="36" xfId="102" applyNumberFormat="1" applyFont="1" applyBorder="1" applyAlignment="1">
      <alignment horizontal="center" vertical="center"/>
    </xf>
    <xf numFmtId="199" fontId="25" fillId="0" borderId="36" xfId="102" applyNumberFormat="1" applyFont="1" applyBorder="1" applyAlignment="1">
      <alignment horizontal="center" vertical="center"/>
    </xf>
    <xf numFmtId="2" fontId="25" fillId="0" borderId="36" xfId="102" applyNumberFormat="1" applyFont="1" applyBorder="1" applyAlignment="1">
      <alignment horizontal="right" vertical="center" indent="1"/>
    </xf>
    <xf numFmtId="170" fontId="93" fillId="69" borderId="36" xfId="102" applyNumberFormat="1" applyFont="1" applyFill="1" applyBorder="1" applyAlignment="1">
      <alignment horizontal="right" vertical="center" indent="1"/>
    </xf>
    <xf numFmtId="170" fontId="93" fillId="55" borderId="36" xfId="102" applyNumberFormat="1" applyFont="1" applyFill="1" applyBorder="1" applyAlignment="1">
      <alignment horizontal="right" vertical="center" indent="1"/>
    </xf>
    <xf numFmtId="0" fontId="133" fillId="0" borderId="49" xfId="101" applyFont="1" applyBorder="1" applyAlignment="1">
      <alignment horizontal="center" vertical="center"/>
    </xf>
    <xf numFmtId="0" fontId="133" fillId="0" borderId="8" xfId="101" applyFont="1" applyBorder="1" applyAlignment="1">
      <alignment horizontal="center" vertical="center"/>
    </xf>
    <xf numFmtId="0" fontId="133" fillId="0" borderId="8" xfId="101" applyFont="1" applyBorder="1" applyAlignment="1">
      <alignment vertical="center"/>
    </xf>
    <xf numFmtId="0" fontId="133" fillId="0" borderId="50" xfId="101" applyFont="1" applyBorder="1" applyAlignment="1">
      <alignment vertical="center"/>
    </xf>
    <xf numFmtId="0" fontId="133" fillId="0" borderId="51" xfId="101" applyFont="1" applyBorder="1" applyAlignment="1">
      <alignment horizontal="center" vertical="center"/>
    </xf>
    <xf numFmtId="0" fontId="133" fillId="0" borderId="51" xfId="101" applyFont="1" applyBorder="1" applyAlignment="1">
      <alignment vertical="center"/>
    </xf>
    <xf numFmtId="170" fontId="133" fillId="0" borderId="51" xfId="102" applyNumberFormat="1" applyFont="1" applyBorder="1" applyAlignment="1">
      <alignment horizontal="center" vertical="center"/>
    </xf>
    <xf numFmtId="10" fontId="133" fillId="0" borderId="51" xfId="102" applyNumberFormat="1" applyFont="1" applyBorder="1" applyAlignment="1">
      <alignment horizontal="center" vertical="center"/>
    </xf>
    <xf numFmtId="199" fontId="133" fillId="0" borderId="51" xfId="102" applyNumberFormat="1" applyFont="1" applyBorder="1" applyAlignment="1">
      <alignment horizontal="center" vertical="center"/>
    </xf>
    <xf numFmtId="2" fontId="133" fillId="0" borderId="51" xfId="102" applyNumberFormat="1" applyFont="1" applyBorder="1" applyAlignment="1">
      <alignment horizontal="right" vertical="center" indent="1"/>
    </xf>
    <xf numFmtId="9" fontId="133" fillId="0" borderId="51" xfId="102" applyFont="1" applyBorder="1" applyAlignment="1">
      <alignment horizontal="center" vertical="center"/>
    </xf>
    <xf numFmtId="170" fontId="141" fillId="69" borderId="51" xfId="102" applyNumberFormat="1" applyFont="1" applyFill="1" applyBorder="1" applyAlignment="1">
      <alignment horizontal="right" vertical="center" indent="1"/>
    </xf>
    <xf numFmtId="170" fontId="141" fillId="55" borderId="51" xfId="102" applyNumberFormat="1" applyFont="1" applyFill="1" applyBorder="1" applyAlignment="1">
      <alignment horizontal="right" vertical="center" indent="1"/>
    </xf>
    <xf numFmtId="170" fontId="141" fillId="55" borderId="52" xfId="102" applyNumberFormat="1" applyFont="1" applyFill="1" applyBorder="1" applyAlignment="1">
      <alignment horizontal="right" vertical="center" indent="1"/>
    </xf>
    <xf numFmtId="2" fontId="141" fillId="0" borderId="51" xfId="102" applyNumberFormat="1" applyFont="1" applyBorder="1" applyAlignment="1">
      <alignment horizontal="right" vertical="center" indent="1"/>
    </xf>
    <xf numFmtId="9" fontId="141" fillId="0" borderId="51" xfId="102" applyFont="1" applyBorder="1" applyAlignment="1">
      <alignment horizontal="center" vertical="center"/>
    </xf>
    <xf numFmtId="9" fontId="142" fillId="0" borderId="51" xfId="102" applyFont="1" applyBorder="1" applyAlignment="1">
      <alignment horizontal="center" vertical="center"/>
    </xf>
    <xf numFmtId="2" fontId="142" fillId="69" borderId="51" xfId="102" applyNumberFormat="1" applyFont="1" applyFill="1" applyBorder="1" applyAlignment="1">
      <alignment horizontal="right" vertical="center" indent="1"/>
    </xf>
    <xf numFmtId="170" fontId="142" fillId="69" borderId="51" xfId="102" applyNumberFormat="1" applyFont="1" applyFill="1" applyBorder="1" applyAlignment="1">
      <alignment horizontal="right" vertical="center" indent="1"/>
    </xf>
    <xf numFmtId="170" fontId="142" fillId="55" borderId="51" xfId="102" applyNumberFormat="1" applyFont="1" applyFill="1" applyBorder="1" applyAlignment="1">
      <alignment horizontal="right" vertical="center" indent="1"/>
    </xf>
    <xf numFmtId="170" fontId="142" fillId="55" borderId="52" xfId="102" applyNumberFormat="1" applyFont="1" applyFill="1" applyBorder="1" applyAlignment="1">
      <alignment horizontal="right" vertical="center" indent="1"/>
    </xf>
    <xf numFmtId="231" fontId="45" fillId="30" borderId="0" xfId="0" applyFont="1" applyFill="1"/>
    <xf numFmtId="245" fontId="38" fillId="31" borderId="0" xfId="53" applyFont="1" applyFill="1">
      <alignment horizontal="center"/>
      <protection hidden="1"/>
    </xf>
    <xf numFmtId="171" fontId="38" fillId="31" borderId="0" xfId="59" applyNumberFormat="1" applyFont="1" applyFill="1" applyAlignment="1">
      <alignment horizontal="center"/>
    </xf>
    <xf numFmtId="245" fontId="50" fillId="0" borderId="2" xfId="53" applyFont="1" applyBorder="1" applyAlignment="1">
      <alignment horizontal="left"/>
      <protection hidden="1"/>
    </xf>
    <xf numFmtId="313" fontId="109" fillId="0" borderId="2" xfId="0" applyNumberFormat="1" applyFont="1" applyBorder="1" applyAlignment="1">
      <alignment horizontal="center"/>
    </xf>
    <xf numFmtId="245" fontId="31" fillId="45" borderId="2" xfId="53" applyFont="1" applyFill="1" applyBorder="1">
      <alignment horizontal="center"/>
      <protection hidden="1"/>
    </xf>
    <xf numFmtId="245" fontId="50" fillId="0" borderId="0" xfId="53" applyFont="1" applyAlignment="1">
      <alignment horizontal="left"/>
      <protection hidden="1"/>
    </xf>
    <xf numFmtId="245" fontId="31" fillId="45" borderId="0" xfId="53" applyFont="1" applyFill="1">
      <alignment horizontal="center"/>
      <protection hidden="1"/>
    </xf>
    <xf numFmtId="245" fontId="50" fillId="0" borderId="4" xfId="53" applyFont="1" applyBorder="1" applyAlignment="1">
      <alignment horizontal="left"/>
      <protection hidden="1"/>
    </xf>
    <xf numFmtId="173" fontId="57" fillId="28" borderId="15" xfId="0" applyNumberFormat="1" applyFont="1" applyFill="1" applyBorder="1" applyAlignment="1">
      <alignment horizontal="center"/>
    </xf>
    <xf numFmtId="313" fontId="109" fillId="0" borderId="4" xfId="0" applyNumberFormat="1" applyFont="1" applyBorder="1" applyAlignment="1">
      <alignment horizontal="center"/>
    </xf>
    <xf numFmtId="173" fontId="41" fillId="45" borderId="4" xfId="0" applyNumberFormat="1" applyFont="1" applyFill="1" applyBorder="1" applyAlignment="1">
      <alignment horizontal="center" vertical="center"/>
    </xf>
    <xf numFmtId="245" fontId="50" fillId="0" borderId="2" xfId="53" applyFont="1" applyBorder="1" applyAlignment="1">
      <alignment horizontal="right"/>
      <protection hidden="1"/>
    </xf>
    <xf numFmtId="245" fontId="50" fillId="0" borderId="0" xfId="53" applyFont="1" applyAlignment="1">
      <alignment horizontal="right"/>
      <protection hidden="1"/>
    </xf>
    <xf numFmtId="245" fontId="50" fillId="0" borderId="4" xfId="53" applyFont="1" applyBorder="1" applyAlignment="1">
      <alignment horizontal="right"/>
      <protection hidden="1"/>
    </xf>
    <xf numFmtId="173" fontId="100" fillId="45" borderId="4" xfId="0" applyNumberFormat="1" applyFont="1" applyFill="1" applyBorder="1" applyAlignment="1">
      <alignment horizontal="center" vertical="center"/>
    </xf>
    <xf numFmtId="173" fontId="100" fillId="45" borderId="2" xfId="0" applyNumberFormat="1" applyFont="1" applyFill="1" applyBorder="1" applyAlignment="1">
      <alignment horizontal="center" vertical="center"/>
    </xf>
    <xf numFmtId="173" fontId="57" fillId="28" borderId="3" xfId="0" applyNumberFormat="1" applyFont="1" applyFill="1" applyBorder="1" applyAlignment="1">
      <alignment horizontal="center"/>
    </xf>
    <xf numFmtId="173" fontId="41" fillId="45" borderId="2" xfId="0" applyNumberFormat="1" applyFont="1" applyFill="1" applyBorder="1" applyAlignment="1">
      <alignment horizontal="center" vertical="center"/>
    </xf>
    <xf numFmtId="231" fontId="57" fillId="0" borderId="15" xfId="0" applyFont="1" applyBorder="1"/>
    <xf numFmtId="290" fontId="143" fillId="73" borderId="0" xfId="0" applyNumberFormat="1" applyFont="1" applyFill="1" applyAlignment="1">
      <alignment horizontal="right"/>
    </xf>
    <xf numFmtId="263" fontId="25" fillId="0" borderId="0" xfId="53" applyNumberFormat="1">
      <alignment horizontal="center"/>
      <protection hidden="1"/>
    </xf>
    <xf numFmtId="231" fontId="144" fillId="28" borderId="0" xfId="0" applyFont="1" applyFill="1" applyAlignment="1">
      <alignment horizontal="center" vertical="center" wrapText="1"/>
    </xf>
    <xf numFmtId="231" fontId="51" fillId="28" borderId="0" xfId="0" applyFont="1" applyFill="1" applyAlignment="1">
      <alignment vertical="center"/>
    </xf>
    <xf numFmtId="325" fontId="31" fillId="28" borderId="14" xfId="53" applyNumberFormat="1" applyFont="1" applyFill="1" applyBorder="1" applyAlignment="1">
      <alignment horizontal="center" vertical="center" wrapText="1"/>
      <protection hidden="1"/>
    </xf>
    <xf numFmtId="313" fontId="109" fillId="0" borderId="0" xfId="0" applyNumberFormat="1" applyFont="1" applyAlignment="1">
      <alignment horizontal="center" vertical="center"/>
    </xf>
    <xf numFmtId="9" fontId="31" fillId="50" borderId="0" xfId="53" applyNumberFormat="1" applyFont="1" applyFill="1" applyAlignment="1">
      <alignment horizontal="center" vertical="center"/>
      <protection hidden="1"/>
    </xf>
    <xf numFmtId="231" fontId="98" fillId="0" borderId="0" xfId="0" applyFont="1" applyAlignment="1">
      <alignment vertical="center"/>
    </xf>
    <xf numFmtId="14" fontId="31" fillId="35" borderId="0" xfId="0" applyNumberFormat="1" applyFont="1" applyFill="1"/>
    <xf numFmtId="199" fontId="31" fillId="31" borderId="0" xfId="0" applyNumberFormat="1" applyFont="1" applyFill="1" applyAlignment="1">
      <alignment horizontal="center" vertical="center"/>
    </xf>
    <xf numFmtId="2" fontId="31" fillId="31" borderId="4" xfId="0" applyNumberFormat="1" applyFont="1" applyFill="1" applyBorder="1" applyAlignment="1">
      <alignment horizontal="center" vertical="center"/>
    </xf>
    <xf numFmtId="225" fontId="31" fillId="0" borderId="14" xfId="53" applyNumberFormat="1" applyFont="1" applyBorder="1">
      <alignment horizontal="center"/>
      <protection hidden="1"/>
    </xf>
    <xf numFmtId="10" fontId="44" fillId="30" borderId="0" xfId="0" applyNumberFormat="1" applyFont="1" applyFill="1" applyAlignment="1" applyProtection="1">
      <alignment horizontal="center"/>
      <protection hidden="1"/>
    </xf>
    <xf numFmtId="308" fontId="45" fillId="30" borderId="0" xfId="0" applyNumberFormat="1" applyFont="1" applyFill="1" applyAlignment="1">
      <alignment horizontal="center" vertical="center"/>
    </xf>
    <xf numFmtId="1" fontId="42" fillId="2" borderId="0" xfId="0" applyNumberFormat="1" applyFont="1" applyFill="1" applyAlignment="1">
      <alignment horizontal="center"/>
    </xf>
    <xf numFmtId="245" fontId="38" fillId="0" borderId="0" xfId="53" applyFont="1">
      <alignment horizontal="center"/>
      <protection hidden="1"/>
    </xf>
    <xf numFmtId="9" fontId="38" fillId="31" borderId="0" xfId="0" applyNumberFormat="1" applyFont="1" applyFill="1" applyAlignment="1">
      <alignment horizontal="center"/>
    </xf>
    <xf numFmtId="290" fontId="31" fillId="0" borderId="0" xfId="0" applyNumberFormat="1" applyFont="1" applyProtection="1">
      <protection hidden="1"/>
    </xf>
    <xf numFmtId="330" fontId="80" fillId="28" borderId="3" xfId="0" applyNumberFormat="1" applyFont="1" applyFill="1" applyBorder="1" applyAlignment="1">
      <alignment horizontal="center"/>
    </xf>
    <xf numFmtId="331" fontId="57" fillId="0" borderId="0" xfId="0" applyNumberFormat="1" applyFont="1"/>
    <xf numFmtId="263" fontId="99" fillId="0" borderId="3" xfId="53" applyNumberFormat="1" applyFont="1" applyBorder="1">
      <alignment horizontal="center"/>
      <protection hidden="1"/>
    </xf>
    <xf numFmtId="263" fontId="99" fillId="0" borderId="14" xfId="53" applyNumberFormat="1" applyFont="1" applyBorder="1">
      <alignment horizontal="center"/>
      <protection hidden="1"/>
    </xf>
    <xf numFmtId="2" fontId="25" fillId="0" borderId="0" xfId="53" applyNumberFormat="1">
      <alignment horizontal="center"/>
      <protection hidden="1"/>
    </xf>
    <xf numFmtId="37" fontId="31" fillId="2" borderId="0" xfId="0" applyNumberFormat="1" applyFont="1" applyFill="1" applyProtection="1">
      <protection hidden="1"/>
    </xf>
    <xf numFmtId="39" fontId="31" fillId="2" borderId="0" xfId="0" applyNumberFormat="1" applyFont="1" applyFill="1" applyProtection="1">
      <protection hidden="1"/>
    </xf>
    <xf numFmtId="263" fontId="31" fillId="45" borderId="2" xfId="53" applyNumberFormat="1" applyFont="1" applyFill="1" applyBorder="1">
      <alignment horizontal="center"/>
      <protection hidden="1"/>
    </xf>
    <xf numFmtId="263" fontId="31" fillId="45" borderId="0" xfId="53" applyNumberFormat="1" applyFont="1" applyFill="1">
      <alignment horizontal="center"/>
      <protection hidden="1"/>
    </xf>
    <xf numFmtId="263" fontId="100" fillId="45" borderId="4" xfId="0" applyNumberFormat="1" applyFont="1" applyFill="1" applyBorder="1" applyAlignment="1">
      <alignment horizontal="center" vertical="center"/>
    </xf>
    <xf numFmtId="263" fontId="100" fillId="0" borderId="0" xfId="0" applyNumberFormat="1" applyFont="1" applyAlignment="1">
      <alignment horizontal="center" vertical="center"/>
    </xf>
    <xf numFmtId="332" fontId="100" fillId="45" borderId="2" xfId="0" applyNumberFormat="1" applyFont="1" applyFill="1" applyBorder="1" applyAlignment="1">
      <alignment horizontal="center" vertical="center"/>
    </xf>
    <xf numFmtId="0" fontId="133" fillId="60" borderId="32" xfId="101" applyFont="1" applyFill="1" applyBorder="1" applyAlignment="1">
      <alignment horizontal="center" vertical="center" wrapText="1"/>
    </xf>
    <xf numFmtId="0" fontId="133" fillId="60" borderId="0" xfId="101" applyFont="1" applyFill="1" applyAlignment="1">
      <alignment horizontal="center" vertical="center" wrapText="1"/>
    </xf>
    <xf numFmtId="0" fontId="133" fillId="60" borderId="33" xfId="101" applyFont="1" applyFill="1" applyBorder="1" applyAlignment="1">
      <alignment horizontal="center" vertical="center" wrapText="1"/>
    </xf>
    <xf numFmtId="0" fontId="133" fillId="60" borderId="34" xfId="101" applyFont="1" applyFill="1" applyBorder="1" applyAlignment="1">
      <alignment horizontal="center" vertical="center" wrapText="1"/>
    </xf>
    <xf numFmtId="9" fontId="133" fillId="63" borderId="40" xfId="101" applyNumberFormat="1" applyFont="1" applyFill="1" applyBorder="1" applyAlignment="1">
      <alignment horizontal="center" vertical="center" wrapText="1"/>
    </xf>
    <xf numFmtId="0" fontId="133" fillId="63" borderId="40" xfId="101" applyFont="1" applyFill="1" applyBorder="1" applyAlignment="1">
      <alignment horizontal="center" vertical="center" wrapText="1"/>
    </xf>
    <xf numFmtId="0" fontId="25" fillId="0" borderId="0" xfId="101" applyFont="1" applyAlignment="1">
      <alignment horizontal="center" vertical="center"/>
    </xf>
    <xf numFmtId="0" fontId="132" fillId="0" borderId="0" xfId="101" applyFont="1" applyAlignment="1">
      <alignment horizontal="center" vertical="center" wrapText="1"/>
    </xf>
    <xf numFmtId="0" fontId="133" fillId="56" borderId="31" xfId="101" applyFont="1" applyFill="1" applyBorder="1" applyAlignment="1">
      <alignment horizontal="center" vertical="center" wrapText="1"/>
    </xf>
    <xf numFmtId="0" fontId="133" fillId="56" borderId="35" xfId="101" applyFont="1" applyFill="1" applyBorder="1" applyAlignment="1">
      <alignment horizontal="center" vertical="center" wrapText="1"/>
    </xf>
    <xf numFmtId="0" fontId="133" fillId="57" borderId="32" xfId="101" applyFont="1" applyFill="1" applyBorder="1" applyAlignment="1">
      <alignment horizontal="center" vertical="center" wrapText="1"/>
    </xf>
    <xf numFmtId="0" fontId="133" fillId="57" borderId="0" xfId="101" applyFont="1" applyFill="1" applyAlignment="1">
      <alignment horizontal="center" vertical="center" wrapText="1"/>
    </xf>
    <xf numFmtId="0" fontId="133" fillId="57" borderId="31" xfId="101" applyFont="1" applyFill="1" applyBorder="1" applyAlignment="1">
      <alignment horizontal="center" vertical="center" wrapText="1"/>
    </xf>
    <xf numFmtId="0" fontId="133" fillId="57" borderId="33" xfId="101" applyFont="1" applyFill="1" applyBorder="1" applyAlignment="1">
      <alignment horizontal="center" vertical="center" wrapText="1"/>
    </xf>
    <xf numFmtId="0" fontId="133" fillId="57" borderId="34" xfId="101" applyFont="1" applyFill="1" applyBorder="1" applyAlignment="1">
      <alignment horizontal="center" vertical="center" wrapText="1"/>
    </xf>
    <xf numFmtId="0" fontId="133" fillId="57" borderId="35" xfId="101" applyFont="1" applyFill="1" applyBorder="1" applyAlignment="1">
      <alignment horizontal="center" vertical="center" wrapText="1"/>
    </xf>
    <xf numFmtId="0" fontId="133" fillId="58" borderId="32" xfId="101" applyFont="1" applyFill="1" applyBorder="1" applyAlignment="1">
      <alignment horizontal="center" vertical="center" wrapText="1"/>
    </xf>
    <xf numFmtId="0" fontId="133" fillId="58" borderId="0" xfId="101" applyFont="1" applyFill="1" applyAlignment="1">
      <alignment horizontal="center" vertical="center" wrapText="1"/>
    </xf>
    <xf numFmtId="0" fontId="133" fillId="58" borderId="33" xfId="101" applyFont="1" applyFill="1" applyBorder="1" applyAlignment="1">
      <alignment horizontal="center" vertical="center" wrapText="1"/>
    </xf>
    <xf numFmtId="0" fontId="133" fillId="58" borderId="34" xfId="101" applyFont="1" applyFill="1" applyBorder="1" applyAlignment="1">
      <alignment horizontal="center" vertical="center" wrapText="1"/>
    </xf>
    <xf numFmtId="170" fontId="25" fillId="59" borderId="32" xfId="102" applyNumberFormat="1" applyFont="1" applyFill="1" applyBorder="1" applyAlignment="1">
      <alignment horizontal="center" vertical="center" wrapText="1"/>
    </xf>
    <xf numFmtId="170" fontId="25" fillId="59" borderId="0" xfId="102" applyNumberFormat="1" applyFont="1" applyFill="1" applyBorder="1" applyAlignment="1">
      <alignment horizontal="center" vertical="center" wrapText="1"/>
    </xf>
    <xf numFmtId="170" fontId="25" fillId="59" borderId="33" xfId="102" applyNumberFormat="1" applyFont="1" applyFill="1" applyBorder="1" applyAlignment="1">
      <alignment horizontal="center" vertical="center" wrapText="1"/>
    </xf>
    <xf numFmtId="170" fontId="25" fillId="59" borderId="34" xfId="102" applyNumberFormat="1" applyFont="1" applyFill="1" applyBorder="1" applyAlignment="1">
      <alignment horizontal="center" vertical="center" wrapText="1"/>
    </xf>
    <xf numFmtId="0" fontId="133" fillId="66" borderId="41" xfId="101" applyFont="1" applyFill="1" applyBorder="1" applyAlignment="1">
      <alignment horizontal="center" vertical="center" wrapText="1"/>
    </xf>
    <xf numFmtId="0" fontId="133" fillId="66" borderId="40" xfId="101" applyFont="1" applyFill="1" applyBorder="1" applyAlignment="1">
      <alignment horizontal="center" vertical="center" wrapText="1"/>
    </xf>
    <xf numFmtId="0" fontId="133" fillId="66" borderId="45" xfId="101" applyFont="1" applyFill="1" applyBorder="1" applyAlignment="1">
      <alignment horizontal="center" vertical="center" wrapText="1"/>
    </xf>
    <xf numFmtId="0" fontId="133" fillId="56" borderId="34" xfId="101" applyFont="1" applyFill="1" applyBorder="1" applyAlignment="1">
      <alignment horizontal="center" vertical="center" wrapText="1"/>
    </xf>
    <xf numFmtId="231" fontId="38" fillId="0" borderId="9" xfId="0" applyFont="1" applyBorder="1" applyAlignment="1">
      <alignment horizontal="center" vertical="center"/>
    </xf>
    <xf numFmtId="231" fontId="38" fillId="0" borderId="12" xfId="0" applyFont="1" applyBorder="1" applyAlignment="1">
      <alignment horizontal="center" vertical="center"/>
    </xf>
    <xf numFmtId="231" fontId="38" fillId="28" borderId="9" xfId="0" applyFont="1" applyFill="1" applyBorder="1" applyAlignment="1">
      <alignment horizontal="center" vertical="center" wrapText="1"/>
    </xf>
    <xf numFmtId="231" fontId="38" fillId="28" borderId="12" xfId="0" applyFont="1" applyFill="1" applyBorder="1" applyAlignment="1">
      <alignment horizontal="center" vertical="center" wrapText="1"/>
    </xf>
    <xf numFmtId="231" fontId="38" fillId="28" borderId="9" xfId="0" applyFont="1" applyFill="1" applyBorder="1" applyAlignment="1">
      <alignment horizontal="center" vertical="center"/>
    </xf>
    <xf numFmtId="231" fontId="38" fillId="28" borderId="12" xfId="0" applyFont="1" applyFill="1" applyBorder="1" applyAlignment="1">
      <alignment horizontal="center" vertical="center"/>
    </xf>
    <xf numFmtId="231" fontId="38" fillId="0" borderId="1" xfId="0" applyFont="1" applyBorder="1" applyAlignment="1" applyProtection="1">
      <alignment horizontal="center"/>
      <protection hidden="1"/>
    </xf>
  </cellXfs>
  <cellStyles count="105">
    <cellStyle name="20% - Accent1" xfId="47" builtinId="30" hidden="1"/>
    <cellStyle name="20% - Accent2" xfId="9" builtinId="34" hidden="1"/>
    <cellStyle name="20% - Accent3" xfId="12" builtinId="38" hidden="1"/>
    <cellStyle name="20% - Accent4" xfId="15" builtinId="42" hidden="1"/>
    <cellStyle name="20% - Accent5" xfId="18" builtinId="46" hidden="1"/>
    <cellStyle name="20% - Accent6" xfId="21" builtinId="50" hidden="1"/>
    <cellStyle name="40% - Accent1" xfId="7" builtinId="31" hidden="1"/>
    <cellStyle name="40% - Accent2" xfId="10" builtinId="35" hidden="1"/>
    <cellStyle name="40% - Accent3" xfId="13" builtinId="39" hidden="1"/>
    <cellStyle name="40% - Accent4" xfId="16" builtinId="43" hidden="1"/>
    <cellStyle name="40% - Accent5" xfId="19" builtinId="47" hidden="1"/>
    <cellStyle name="40% - Accent6" xfId="22" builtinId="51" hidden="1"/>
    <cellStyle name="60% - Accent1" xfId="8" builtinId="32" hidden="1"/>
    <cellStyle name="60% - Accent2" xfId="11" builtinId="36" hidden="1"/>
    <cellStyle name="60% - Accent3" xfId="14" builtinId="40" hidden="1"/>
    <cellStyle name="60% - Accent4" xfId="17" builtinId="44" hidden="1"/>
    <cellStyle name="60% - Accent5" xfId="20" builtinId="48" hidden="1"/>
    <cellStyle name="60% - Accent6" xfId="23" builtinId="52" hidden="1"/>
    <cellStyle name="Accent1" xfId="41" builtinId="29" hidden="1"/>
    <cellStyle name="Accent2" xfId="42" builtinId="33" hidden="1"/>
    <cellStyle name="Accent3" xfId="43" builtinId="37" hidden="1"/>
    <cellStyle name="Accent4" xfId="44" builtinId="41" hidden="1"/>
    <cellStyle name="Accent5" xfId="45" builtinId="45" hidden="1"/>
    <cellStyle name="Accent6" xfId="46" builtinId="49" hidden="1"/>
    <cellStyle name="Bad" xfId="34" builtinId="27" hidden="1"/>
    <cellStyle name="Blank" xfId="51" xr:uid="{00000000-0005-0000-0000-000019000000}"/>
    <cellStyle name="Calculation" xfId="3" builtinId="22" hidden="1"/>
    <cellStyle name="Check Cell" xfId="38" builtinId="23" hidden="1"/>
    <cellStyle name="Comma" xfId="1" builtinId="3" hidden="1"/>
    <cellStyle name="Comma" xfId="59" builtinId="3"/>
    <cellStyle name="Comma [0]" xfId="25" builtinId="6" hidden="1"/>
    <cellStyle name="Currency" xfId="26" builtinId="4" hidden="1"/>
    <cellStyle name="Currency [0]" xfId="27" builtinId="7" hidden="1"/>
    <cellStyle name="Explanatory Text" xfId="39" builtinId="53" hidden="1"/>
    <cellStyle name="ExternData" xfId="57" xr:uid="{00000000-0005-0000-0000-00001E000000}"/>
    <cellStyle name="Good" xfId="33" builtinId="26" hidden="1"/>
    <cellStyle name="Heading 1" xfId="29" builtinId="16" hidden="1"/>
    <cellStyle name="Heading 2" xfId="30" builtinId="17" hidden="1"/>
    <cellStyle name="Heading 3" xfId="31" builtinId="18" hidden="1"/>
    <cellStyle name="Heading 4" xfId="32" builtinId="19" hidden="1"/>
    <cellStyle name="Hyperlink" xfId="48" builtinId="8" hidden="1"/>
    <cellStyle name="Hyperlink" xfId="24" builtinId="8" hidden="1"/>
    <cellStyle name="Hyperlink" xfId="54" builtinId="8"/>
    <cellStyle name="Input" xfId="36" builtinId="20" hidden="1"/>
    <cellStyle name="Lien hypertexte 2" xfId="82" xr:uid="{AC9DE6F7-0AAD-40CE-9FC0-AB9F0C29E9F2}"/>
    <cellStyle name="Linked Cell" xfId="4" builtinId="24" hidden="1"/>
    <cellStyle name="Macro" xfId="49" xr:uid="{00000000-0005-0000-0000-000023000000}"/>
    <cellStyle name="Milliers 10" xfId="70" xr:uid="{00000000-0005-0000-0000-000027000000}"/>
    <cellStyle name="Milliers 11 4" xfId="69" xr:uid="{00000000-0005-0000-0000-000028000000}"/>
    <cellStyle name="Milliers 18" xfId="56" xr:uid="{00000000-0005-0000-0000-000029000000}"/>
    <cellStyle name="Milliers 18 2" xfId="79" xr:uid="{00000000-0005-0000-0000-00002A000000}"/>
    <cellStyle name="Milliers 18 2 2" xfId="89" xr:uid="{00000000-0005-0000-0000-00002A000000}"/>
    <cellStyle name="Milliers 2" xfId="93" xr:uid="{37756405-8E29-480C-B786-77538581C1C3}"/>
    <cellStyle name="Milliers 2 2 2 2 3" xfId="75" xr:uid="{00000000-0005-0000-0000-00002B000000}"/>
    <cellStyle name="Milliers 2 5 2" xfId="55" xr:uid="{00000000-0005-0000-0000-00002C000000}"/>
    <cellStyle name="Milliers 2 5 2 2" xfId="78" xr:uid="{00000000-0005-0000-0000-00002D000000}"/>
    <cellStyle name="Milliers 2 5 2 2 2" xfId="88" xr:uid="{00000000-0005-0000-0000-00002D000000}"/>
    <cellStyle name="Milliers 22 2 2" xfId="73" xr:uid="{00000000-0005-0000-0000-00002E000000}"/>
    <cellStyle name="Milliers 3" xfId="103" xr:uid="{E02C313B-E723-4791-A864-66AE860F8630}"/>
    <cellStyle name="Milliers 5" xfId="95" xr:uid="{37959E09-BD95-4CE2-A51E-25A1D9AA1419}"/>
    <cellStyle name="Milliers 6" xfId="97" xr:uid="{93C7C686-E8B8-4956-84CF-88E8B852CF0A}"/>
    <cellStyle name="Neutral" xfId="35" builtinId="28" hidden="1"/>
    <cellStyle name="Normal" xfId="0" builtinId="0" customBuiltin="1"/>
    <cellStyle name="Normal 17" xfId="60" xr:uid="{00000000-0005-0000-0000-000033000000}"/>
    <cellStyle name="Normal 17 2 7" xfId="74" xr:uid="{00000000-0005-0000-0000-000034000000}"/>
    <cellStyle name="Normal 17 7" xfId="66" xr:uid="{00000000-0005-0000-0000-000035000000}"/>
    <cellStyle name="Normal 2" xfId="64" xr:uid="{00000000-0005-0000-0000-000036000000}"/>
    <cellStyle name="Normal 2 2" xfId="76" xr:uid="{00000000-0005-0000-0000-000037000000}"/>
    <cellStyle name="Normal 2 2 10 3" xfId="67" xr:uid="{00000000-0005-0000-0000-000038000000}"/>
    <cellStyle name="Normal 2 2 2" xfId="99" xr:uid="{D4F86268-A1DB-4323-B770-E30EB518004C}"/>
    <cellStyle name="Normal 2 2 2 3 2" xfId="61" xr:uid="{00000000-0005-0000-0000-000039000000}"/>
    <cellStyle name="Normal 2 3" xfId="81" xr:uid="{00000000-0005-0000-0000-00003A000000}"/>
    <cellStyle name="Normal 2 3 2" xfId="91" xr:uid="{00000000-0005-0000-0000-00003A000000}"/>
    <cellStyle name="Normal 2 4" xfId="83" xr:uid="{11A66B1B-4274-4B68-9F9D-32BB6CE2EA8C}"/>
    <cellStyle name="Normal 2 4 11" xfId="65" xr:uid="{00000000-0005-0000-0000-00003B000000}"/>
    <cellStyle name="Normal 2 5" xfId="87" xr:uid="{00000000-0005-0000-0000-000036000000}"/>
    <cellStyle name="Normal 3" xfId="84" xr:uid="{5C6A3B37-5542-477B-9C8D-823CCFF6BFB4}"/>
    <cellStyle name="Normal 4" xfId="92" xr:uid="{868E5D40-7454-4EB9-B2C4-889E7A20D836}"/>
    <cellStyle name="Normal 4 2" xfId="96" xr:uid="{6E313B3E-A6E2-4CC1-9012-FDAA0ACF0800}"/>
    <cellStyle name="Normal 5" xfId="101" xr:uid="{1A780C32-8425-4EAF-80A6-CE0339976F83}"/>
    <cellStyle name="Normal 59" xfId="100" xr:uid="{CE5BF075-1626-40BC-8F2C-6FE1ED875FF3}"/>
    <cellStyle name="Normal 6" xfId="104" xr:uid="{3B859812-FC02-45DC-835C-DDDC87E5C657}"/>
    <cellStyle name="Normal 6 2" xfId="58" xr:uid="{00000000-0005-0000-0000-00003C000000}"/>
    <cellStyle name="Normal 67" xfId="63" xr:uid="{00000000-0005-0000-0000-00003D000000}"/>
    <cellStyle name="Normal 67 2" xfId="68" xr:uid="{00000000-0005-0000-0000-00003E000000}"/>
    <cellStyle name="Normal 67 3" xfId="80" xr:uid="{00000000-0005-0000-0000-00003F000000}"/>
    <cellStyle name="Normal 67 3 2" xfId="90" xr:uid="{00000000-0005-0000-0000-00003F000000}"/>
    <cellStyle name="Normal 67 4" xfId="86" xr:uid="{00000000-0005-0000-0000-00003D000000}"/>
    <cellStyle name="Note" xfId="6" builtinId="10" hidden="1"/>
    <cellStyle name="Number" xfId="52" xr:uid="{00000000-0005-0000-0000-000040000000}"/>
    <cellStyle name="Output" xfId="37" builtinId="21" hidden="1"/>
    <cellStyle name="Percent" xfId="2" builtinId="5" hidden="1"/>
    <cellStyle name="Percent" xfId="53" builtinId="5"/>
    <cellStyle name="Pourcentage 10 2" xfId="77" xr:uid="{00000000-0005-0000-0000-000043000000}"/>
    <cellStyle name="Pourcentage 10 4" xfId="62" xr:uid="{00000000-0005-0000-0000-000044000000}"/>
    <cellStyle name="Pourcentage 12 2 2" xfId="72" xr:uid="{00000000-0005-0000-0000-000045000000}"/>
    <cellStyle name="Pourcentage 14 2 2" xfId="71" xr:uid="{00000000-0005-0000-0000-000046000000}"/>
    <cellStyle name="Pourcentage 2" xfId="85" xr:uid="{41D16615-80C6-4286-963D-871D8A098EEA}"/>
    <cellStyle name="Pourcentage 3" xfId="94" xr:uid="{6395559A-283D-4176-BB57-5EFD74D0EB8E}"/>
    <cellStyle name="Pourcentage 4" xfId="98" xr:uid="{A85AAEAD-BA95-4B7B-9525-6E9886767131}"/>
    <cellStyle name="Pourcentage 5" xfId="102" xr:uid="{2D674110-9DA2-41E0-853C-F26AAC9AB7D5}"/>
    <cellStyle name="Title" xfId="28" builtinId="15" hidden="1"/>
    <cellStyle name="Title" xfId="50" builtinId="15" customBuiltin="1"/>
    <cellStyle name="Total" xfId="40" builtinId="25" hidden="1"/>
    <cellStyle name="Warning Text" xfId="5" builtinId="11" hidden="1"/>
  </cellStyles>
  <dxfs count="214"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ndense val="0"/>
        <extend val="0"/>
        <color indexed="9"/>
      </font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 val="0"/>
        <i/>
        <condense val="0"/>
        <extend val="0"/>
        <color indexed="22"/>
      </font>
    </dxf>
    <dxf>
      <font>
        <b/>
        <i val="0"/>
        <condense val="0"/>
        <extend val="0"/>
      </font>
    </dxf>
    <dxf>
      <font>
        <condense val="0"/>
        <extend val="0"/>
        <color indexed="9"/>
      </font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</dxfs>
  <tableStyles count="0" defaultTableStyle="TableStyleMedium9" defaultPivotStyle="PivotStyleLight16"/>
  <colors>
    <mruColors>
      <color rgb="FFFF9933"/>
      <color rgb="FFFFFF93"/>
      <color rgb="FFBFBFBF"/>
      <color rgb="FF1F497D"/>
      <color rgb="FFFFFFBD"/>
      <color rgb="FFFFF2CC"/>
      <color rgb="FFFFE48F"/>
      <color rgb="FFFFF3C1"/>
      <color rgb="FFFFE98B"/>
      <color rgb="FFFFE4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0.xml"/><Relationship Id="rId21" Type="http://schemas.openxmlformats.org/officeDocument/2006/relationships/externalLink" Target="externalLinks/externalLink4.xml"/><Relationship Id="rId42" Type="http://schemas.openxmlformats.org/officeDocument/2006/relationships/externalLink" Target="externalLinks/externalLink25.xml"/><Relationship Id="rId63" Type="http://schemas.openxmlformats.org/officeDocument/2006/relationships/externalLink" Target="externalLinks/externalLink46.xml"/><Relationship Id="rId84" Type="http://schemas.openxmlformats.org/officeDocument/2006/relationships/externalLink" Target="externalLinks/externalLink67.xml"/><Relationship Id="rId138" Type="http://schemas.openxmlformats.org/officeDocument/2006/relationships/externalLink" Target="externalLinks/externalLink121.xml"/><Relationship Id="rId107" Type="http://schemas.openxmlformats.org/officeDocument/2006/relationships/externalLink" Target="externalLinks/externalLink90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36.xml"/><Relationship Id="rId74" Type="http://schemas.openxmlformats.org/officeDocument/2006/relationships/externalLink" Target="externalLinks/externalLink57.xml"/><Relationship Id="rId128" Type="http://schemas.openxmlformats.org/officeDocument/2006/relationships/externalLink" Target="externalLinks/externalLink111.xml"/><Relationship Id="rId149" Type="http://schemas.openxmlformats.org/officeDocument/2006/relationships/sheetMetadata" Target="metadata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8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52.xml"/><Relationship Id="rId113" Type="http://schemas.openxmlformats.org/officeDocument/2006/relationships/externalLink" Target="externalLinks/externalLink96.xml"/><Relationship Id="rId118" Type="http://schemas.openxmlformats.org/officeDocument/2006/relationships/externalLink" Target="externalLinks/externalLink101.xml"/><Relationship Id="rId134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22.xml"/><Relationship Id="rId80" Type="http://schemas.openxmlformats.org/officeDocument/2006/relationships/externalLink" Target="externalLinks/externalLink63.xml"/><Relationship Id="rId85" Type="http://schemas.openxmlformats.org/officeDocument/2006/relationships/externalLink" Target="externalLinks/externalLink68.xml"/><Relationship Id="rId150" Type="http://schemas.microsoft.com/office/2017/10/relationships/person" Target="persons/person.xml"/><Relationship Id="rId155" Type="http://schemas.openxmlformats.org/officeDocument/2006/relationships/customXml" Target="../customXml/item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42.xml"/><Relationship Id="rId103" Type="http://schemas.openxmlformats.org/officeDocument/2006/relationships/externalLink" Target="externalLinks/externalLink86.xml"/><Relationship Id="rId108" Type="http://schemas.openxmlformats.org/officeDocument/2006/relationships/externalLink" Target="externalLinks/externalLink91.xml"/><Relationship Id="rId124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12.xml"/><Relationship Id="rId54" Type="http://schemas.openxmlformats.org/officeDocument/2006/relationships/externalLink" Target="externalLinks/externalLink37.xml"/><Relationship Id="rId70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58.xml"/><Relationship Id="rId91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79.xml"/><Relationship Id="rId140" Type="http://schemas.openxmlformats.org/officeDocument/2006/relationships/externalLink" Target="externalLinks/externalLink123.xml"/><Relationship Id="rId145" Type="http://schemas.openxmlformats.org/officeDocument/2006/relationships/externalLink" Target="externalLinks/externalLink1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32.xml"/><Relationship Id="rId114" Type="http://schemas.openxmlformats.org/officeDocument/2006/relationships/externalLink" Target="externalLinks/externalLink97.xml"/><Relationship Id="rId119" Type="http://schemas.openxmlformats.org/officeDocument/2006/relationships/externalLink" Target="externalLinks/externalLink102.xml"/><Relationship Id="rId44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48.xml"/><Relationship Id="rId81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69.xml"/><Relationship Id="rId130" Type="http://schemas.openxmlformats.org/officeDocument/2006/relationships/externalLink" Target="externalLinks/externalLink113.xml"/><Relationship Id="rId135" Type="http://schemas.openxmlformats.org/officeDocument/2006/relationships/externalLink" Target="externalLinks/externalLink118.xml"/><Relationship Id="rId151" Type="http://schemas.openxmlformats.org/officeDocument/2006/relationships/calcChain" Target="calcChain.xml"/><Relationship Id="rId156" Type="http://schemas.microsoft.com/office/2006/relationships/vbaProject" Target="vbaProject.bin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9" Type="http://schemas.openxmlformats.org/officeDocument/2006/relationships/externalLink" Target="externalLinks/externalLink22.xml"/><Relationship Id="rId109" Type="http://schemas.openxmlformats.org/officeDocument/2006/relationships/externalLink" Target="externalLinks/externalLink92.xml"/><Relationship Id="rId34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8.xml"/><Relationship Id="rId76" Type="http://schemas.openxmlformats.org/officeDocument/2006/relationships/externalLink" Target="externalLinks/externalLink59.xml"/><Relationship Id="rId97" Type="http://schemas.openxmlformats.org/officeDocument/2006/relationships/externalLink" Target="externalLinks/externalLink80.xml"/><Relationship Id="rId104" Type="http://schemas.openxmlformats.org/officeDocument/2006/relationships/externalLink" Target="externalLinks/externalLink87.xml"/><Relationship Id="rId120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08.xml"/><Relationship Id="rId141" Type="http://schemas.openxmlformats.org/officeDocument/2006/relationships/externalLink" Target="externalLinks/externalLink124.xml"/><Relationship Id="rId14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4.xml"/><Relationship Id="rId92" Type="http://schemas.openxmlformats.org/officeDocument/2006/relationships/externalLink" Target="externalLinks/externalLink7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7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66" Type="http://schemas.openxmlformats.org/officeDocument/2006/relationships/externalLink" Target="externalLinks/externalLink49.xml"/><Relationship Id="rId87" Type="http://schemas.openxmlformats.org/officeDocument/2006/relationships/externalLink" Target="externalLinks/externalLink70.xml"/><Relationship Id="rId110" Type="http://schemas.openxmlformats.org/officeDocument/2006/relationships/externalLink" Target="externalLinks/externalLink93.xml"/><Relationship Id="rId115" Type="http://schemas.openxmlformats.org/officeDocument/2006/relationships/externalLink" Target="externalLinks/externalLink98.xml"/><Relationship Id="rId131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19.xml"/><Relationship Id="rId61" Type="http://schemas.openxmlformats.org/officeDocument/2006/relationships/externalLink" Target="externalLinks/externalLink44.xml"/><Relationship Id="rId82" Type="http://schemas.openxmlformats.org/officeDocument/2006/relationships/externalLink" Target="externalLinks/externalLink65.xml"/><Relationship Id="rId152" Type="http://schemas.openxmlformats.org/officeDocument/2006/relationships/customXml" Target="../customXml/item1.xml"/><Relationship Id="rId19" Type="http://schemas.openxmlformats.org/officeDocument/2006/relationships/externalLink" Target="externalLinks/externalLink2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56" Type="http://schemas.openxmlformats.org/officeDocument/2006/relationships/externalLink" Target="externalLinks/externalLink39.xml"/><Relationship Id="rId77" Type="http://schemas.openxmlformats.org/officeDocument/2006/relationships/externalLink" Target="externalLinks/externalLink60.xml"/><Relationship Id="rId100" Type="http://schemas.openxmlformats.org/officeDocument/2006/relationships/externalLink" Target="externalLinks/externalLink83.xml"/><Relationship Id="rId105" Type="http://schemas.openxmlformats.org/officeDocument/2006/relationships/externalLink" Target="externalLinks/externalLink88.xml"/><Relationship Id="rId126" Type="http://schemas.openxmlformats.org/officeDocument/2006/relationships/externalLink" Target="externalLinks/externalLink109.xml"/><Relationship Id="rId14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55.xml"/><Relationship Id="rId93" Type="http://schemas.openxmlformats.org/officeDocument/2006/relationships/externalLink" Target="externalLinks/externalLink76.xml"/><Relationship Id="rId98" Type="http://schemas.openxmlformats.org/officeDocument/2006/relationships/externalLink" Target="externalLinks/externalLink81.xml"/><Relationship Id="rId121" Type="http://schemas.openxmlformats.org/officeDocument/2006/relationships/externalLink" Target="externalLinks/externalLink104.xml"/><Relationship Id="rId142" Type="http://schemas.openxmlformats.org/officeDocument/2006/relationships/externalLink" Target="externalLinks/externalLink12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8.xml"/><Relationship Id="rId46" Type="http://schemas.openxmlformats.org/officeDocument/2006/relationships/externalLink" Target="externalLinks/externalLink29.xml"/><Relationship Id="rId67" Type="http://schemas.openxmlformats.org/officeDocument/2006/relationships/externalLink" Target="externalLinks/externalLink50.xml"/><Relationship Id="rId116" Type="http://schemas.openxmlformats.org/officeDocument/2006/relationships/externalLink" Target="externalLinks/externalLink99.xml"/><Relationship Id="rId137" Type="http://schemas.openxmlformats.org/officeDocument/2006/relationships/externalLink" Target="externalLinks/externalLink120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62" Type="http://schemas.openxmlformats.org/officeDocument/2006/relationships/externalLink" Target="externalLinks/externalLink45.xml"/><Relationship Id="rId83" Type="http://schemas.openxmlformats.org/officeDocument/2006/relationships/externalLink" Target="externalLinks/externalLink66.xml"/><Relationship Id="rId88" Type="http://schemas.openxmlformats.org/officeDocument/2006/relationships/externalLink" Target="externalLinks/externalLink71.xml"/><Relationship Id="rId111" Type="http://schemas.openxmlformats.org/officeDocument/2006/relationships/externalLink" Target="externalLinks/externalLink94.xml"/><Relationship Id="rId132" Type="http://schemas.openxmlformats.org/officeDocument/2006/relationships/externalLink" Target="externalLinks/externalLink115.xml"/><Relationship Id="rId153" Type="http://schemas.openxmlformats.org/officeDocument/2006/relationships/customXml" Target="../customXml/item2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9.xml"/><Relationship Id="rId57" Type="http://schemas.openxmlformats.org/officeDocument/2006/relationships/externalLink" Target="externalLinks/externalLink40.xml"/><Relationship Id="rId106" Type="http://schemas.openxmlformats.org/officeDocument/2006/relationships/externalLink" Target="externalLinks/externalLink89.xml"/><Relationship Id="rId127" Type="http://schemas.openxmlformats.org/officeDocument/2006/relationships/externalLink" Target="externalLinks/externalLink11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35.xml"/><Relationship Id="rId73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61.xml"/><Relationship Id="rId94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82.xml"/><Relationship Id="rId101" Type="http://schemas.openxmlformats.org/officeDocument/2006/relationships/externalLink" Target="externalLinks/externalLink84.xml"/><Relationship Id="rId122" Type="http://schemas.openxmlformats.org/officeDocument/2006/relationships/externalLink" Target="externalLinks/externalLink105.xml"/><Relationship Id="rId143" Type="http://schemas.openxmlformats.org/officeDocument/2006/relationships/externalLink" Target="externalLinks/externalLink126.xml"/><Relationship Id="rId14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9.xml"/><Relationship Id="rId47" Type="http://schemas.openxmlformats.org/officeDocument/2006/relationships/externalLink" Target="externalLinks/externalLink30.xml"/><Relationship Id="rId68" Type="http://schemas.openxmlformats.org/officeDocument/2006/relationships/externalLink" Target="externalLinks/externalLink51.xml"/><Relationship Id="rId89" Type="http://schemas.openxmlformats.org/officeDocument/2006/relationships/externalLink" Target="externalLinks/externalLink72.xml"/><Relationship Id="rId112" Type="http://schemas.openxmlformats.org/officeDocument/2006/relationships/externalLink" Target="externalLinks/externalLink95.xml"/><Relationship Id="rId133" Type="http://schemas.openxmlformats.org/officeDocument/2006/relationships/externalLink" Target="externalLinks/externalLink116.xml"/><Relationship Id="rId154" Type="http://schemas.openxmlformats.org/officeDocument/2006/relationships/customXml" Target="../customXml/item3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41.xml"/><Relationship Id="rId79" Type="http://schemas.openxmlformats.org/officeDocument/2006/relationships/externalLink" Target="externalLinks/externalLink62.xml"/><Relationship Id="rId102" Type="http://schemas.openxmlformats.org/officeDocument/2006/relationships/externalLink" Target="externalLinks/externalLink85.xml"/><Relationship Id="rId123" Type="http://schemas.openxmlformats.org/officeDocument/2006/relationships/externalLink" Target="externalLinks/externalLink106.xml"/><Relationship Id="rId144" Type="http://schemas.openxmlformats.org/officeDocument/2006/relationships/externalLink" Target="externalLinks/externalLink127.xml"/><Relationship Id="rId90" Type="http://schemas.openxmlformats.org/officeDocument/2006/relationships/externalLink" Target="externalLinks/externalLink7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5.xml><?xml version="1.0" encoding="utf-8"?>
<ax:ocx xmlns:ax="http://schemas.microsoft.com/office/2006/activeX" xmlns:r="http://schemas.openxmlformats.org/officeDocument/2006/relationships" ax:classid="{8BD21D50-EC42-11CE-9E0D-00AA006002F3}" r:id="rId1"/>
</file>

<file path=xl/activeX/activeX6.xml><?xml version="1.0" encoding="utf-8"?>
<ax:ocx xmlns:ax="http://schemas.microsoft.com/office/2006/activeX" xmlns:r="http://schemas.openxmlformats.org/officeDocument/2006/relationships" ax:classid="{8BD21D50-EC42-11CE-9E0D-00AA006002F3}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latin typeface="+mn-lt"/>
              </a:defRPr>
            </a:pPr>
            <a:r>
              <a:rPr lang="en-US" sz="1100" b="1">
                <a:latin typeface="+mn-lt"/>
              </a:rPr>
              <a:t>DSCR profile</a:t>
            </a:r>
          </a:p>
        </c:rich>
      </c:tx>
      <c:layout>
        <c:manualLayout>
          <c:xMode val="edge"/>
          <c:yMode val="edge"/>
          <c:x val="0.43013854515034011"/>
          <c:y val="1.434544366164756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0262548628340329E-2"/>
          <c:y val="0.23254113783722241"/>
          <c:w val="0.96423017107309483"/>
          <c:h val="0.54502331044235919"/>
        </c:manualLayout>
      </c:layout>
      <c:lineChart>
        <c:grouping val="standard"/>
        <c:varyColors val="0"/>
        <c:ser>
          <c:idx val="1"/>
          <c:order val="0"/>
          <c:tx>
            <c:strRef>
              <c:f>Outputs!$B$86</c:f>
              <c:strCache>
                <c:ptCount val="1"/>
                <c:pt idx="0">
                  <c:v> Senior DSCR 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circle"/>
            <c:size val="6"/>
            <c:spPr>
              <a:solidFill>
                <a:schemeClr val="tx2"/>
              </a:solidFill>
              <a:ln w="19050">
                <a:solidFill>
                  <a:schemeClr val="tx2"/>
                </a:solidFill>
              </a:ln>
            </c:spPr>
          </c:marker>
          <c:dLbls>
            <c:spPr>
              <a:ln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Outputs!$D$86:$X$86</c:f>
              <c:numCache>
                <c:formatCode>0.00</c:formatCode>
                <c:ptCount val="21"/>
                <c:pt idx="0">
                  <c:v>#N/A</c:v>
                </c:pt>
                <c:pt idx="1">
                  <c:v>1.1499999999999999</c:v>
                </c:pt>
                <c:pt idx="2">
                  <c:v>1.1499999999999999</c:v>
                </c:pt>
                <c:pt idx="3">
                  <c:v>1.1499999999999999</c:v>
                </c:pt>
                <c:pt idx="4">
                  <c:v>1.1499999999999999</c:v>
                </c:pt>
                <c:pt idx="5">
                  <c:v>1.1499999999999999</c:v>
                </c:pt>
                <c:pt idx="6">
                  <c:v>1.1499999999999999</c:v>
                </c:pt>
                <c:pt idx="7">
                  <c:v>1.1499999999999999</c:v>
                </c:pt>
                <c:pt idx="8">
                  <c:v>1.1499999999999999</c:v>
                </c:pt>
                <c:pt idx="9">
                  <c:v>1.1499999999999999</c:v>
                </c:pt>
                <c:pt idx="10">
                  <c:v>1.1499999999999999</c:v>
                </c:pt>
                <c:pt idx="11">
                  <c:v>1.1499999999999999</c:v>
                </c:pt>
                <c:pt idx="12">
                  <c:v>1.1499999999999999</c:v>
                </c:pt>
                <c:pt idx="13">
                  <c:v>1.7290000000000001</c:v>
                </c:pt>
                <c:pt idx="14">
                  <c:v>1.75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9-4907-8294-C5B8D16B5624}"/>
            </c:ext>
          </c:extLst>
        </c:ser>
        <c:ser>
          <c:idx val="0"/>
          <c:order val="1"/>
          <c:tx>
            <c:strRef>
              <c:f>Outputs!$B$87</c:f>
              <c:strCache>
                <c:ptCount val="1"/>
                <c:pt idx="0">
                  <c:v> Junior DSCR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Outputs!$D$87:$X$87</c:f>
              <c:numCache>
                <c:formatCode>0.00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9-4907-8294-C5B8D16B5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593376"/>
        <c:axId val="446524624"/>
      </c:lineChart>
      <c:dateAx>
        <c:axId val="521593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446524624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446524624"/>
        <c:scaling>
          <c:orientation val="minMax"/>
          <c:max val="2.5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21593376"/>
        <c:crosses val="autoZero"/>
        <c:crossBetween val="between"/>
        <c:minorUnit val="4.0891802836239305E-2"/>
      </c:valAx>
      <c:spPr>
        <a:solidFill>
          <a:srgbClr val="FFFFFF"/>
        </a:solidFill>
        <a:ln w="12700">
          <a:noFill/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96" verticalDpi="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fr-FR" sz="1100"/>
              <a:t>Cash Flow Waterfall</a:t>
            </a:r>
          </a:p>
        </c:rich>
      </c:tx>
      <c:layout>
        <c:manualLayout>
          <c:xMode val="edge"/>
          <c:yMode val="edge"/>
          <c:x val="0.39207635810229602"/>
          <c:y val="7.700350140536003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8352538691284282E-2"/>
          <c:y val="0.20106690997039611"/>
          <c:w val="0.92238817708762011"/>
          <c:h val="0.51914427593301349"/>
        </c:manualLayout>
      </c:layout>
      <c:areaChart>
        <c:grouping val="stacked"/>
        <c:varyColors val="0"/>
        <c:ser>
          <c:idx val="0"/>
          <c:order val="1"/>
          <c:tx>
            <c:strRef>
              <c:f>Outputs!$B$77</c:f>
              <c:strCache>
                <c:ptCount val="1"/>
                <c:pt idx="0">
                  <c:v> Opex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Outputs!$D$77:$AC$77</c:f>
              <c:numCache>
                <c:formatCode>#,##0;\-#,##0;\-</c:formatCode>
                <c:ptCount val="26"/>
                <c:pt idx="0">
                  <c:v>0</c:v>
                </c:pt>
                <c:pt idx="1">
                  <c:v>1338.7304320000003</c:v>
                </c:pt>
                <c:pt idx="2">
                  <c:v>1295.7655359999999</c:v>
                </c:pt>
                <c:pt idx="3">
                  <c:v>1287.4144940800002</c:v>
                </c:pt>
                <c:pt idx="4">
                  <c:v>1309.1928793216</c:v>
                </c:pt>
                <c:pt idx="5">
                  <c:v>1331.4068322680321</c:v>
                </c:pt>
                <c:pt idx="6">
                  <c:v>1354.0650642733926</c:v>
                </c:pt>
                <c:pt idx="7">
                  <c:v>1377.1764609188608</c:v>
                </c:pt>
                <c:pt idx="8">
                  <c:v>1400.7500854972377</c:v>
                </c:pt>
                <c:pt idx="9">
                  <c:v>1424.7951825671826</c:v>
                </c:pt>
                <c:pt idx="10">
                  <c:v>1449.321181578526</c:v>
                </c:pt>
                <c:pt idx="11">
                  <c:v>1862.1561965700964</c:v>
                </c:pt>
                <c:pt idx="12">
                  <c:v>1887.673045941498</c:v>
                </c:pt>
                <c:pt idx="13">
                  <c:v>1913.7002323003285</c:v>
                </c:pt>
                <c:pt idx="14">
                  <c:v>1940.2479623863351</c:v>
                </c:pt>
                <c:pt idx="15">
                  <c:v>1939.8814888023539</c:v>
                </c:pt>
                <c:pt idx="16">
                  <c:v>1966.9528440184008</c:v>
                </c:pt>
                <c:pt idx="17">
                  <c:v>1994.5656263387689</c:v>
                </c:pt>
                <c:pt idx="18">
                  <c:v>2022.7306643055447</c:v>
                </c:pt>
                <c:pt idx="19">
                  <c:v>2051.4590030316554</c:v>
                </c:pt>
                <c:pt idx="20">
                  <c:v>2080.7619085322885</c:v>
                </c:pt>
                <c:pt idx="21">
                  <c:v>2105.1508721429341</c:v>
                </c:pt>
                <c:pt idx="22">
                  <c:v>2135.6376150257925</c:v>
                </c:pt>
                <c:pt idx="23">
                  <c:v>2166.7340927663085</c:v>
                </c:pt>
                <c:pt idx="24">
                  <c:v>2198.4525000616341</c:v>
                </c:pt>
                <c:pt idx="25">
                  <c:v>2230.8052755028671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D-4461-8BD7-666A677FB0D5}"/>
            </c:ext>
          </c:extLst>
        </c:ser>
        <c:ser>
          <c:idx val="4"/>
          <c:order val="2"/>
          <c:tx>
            <c:strRef>
              <c:f>Outputs!$B$78</c:f>
              <c:strCache>
                <c:ptCount val="1"/>
                <c:pt idx="0">
                  <c:v> Income Tax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Outputs!$D$78:$AC$78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8.9040490955094818</c:v>
                </c:pt>
                <c:pt idx="4">
                  <c:v>31.336962777804274</c:v>
                </c:pt>
                <c:pt idx="5">
                  <c:v>54.454350041205764</c:v>
                </c:pt>
                <c:pt idx="6">
                  <c:v>78.215568397135684</c:v>
                </c:pt>
                <c:pt idx="7">
                  <c:v>104.29075994632126</c:v>
                </c:pt>
                <c:pt idx="8">
                  <c:v>131.51136796406126</c:v>
                </c:pt>
                <c:pt idx="9">
                  <c:v>160.43809095155504</c:v>
                </c:pt>
                <c:pt idx="10">
                  <c:v>190.87897685546332</c:v>
                </c:pt>
                <c:pt idx="11">
                  <c:v>184.43495072012698</c:v>
                </c:pt>
                <c:pt idx="12">
                  <c:v>217.1428458446205</c:v>
                </c:pt>
                <c:pt idx="13">
                  <c:v>285.10673595316121</c:v>
                </c:pt>
                <c:pt idx="14">
                  <c:v>301.61782354670004</c:v>
                </c:pt>
                <c:pt idx="15">
                  <c:v>303.21185389188378</c:v>
                </c:pt>
                <c:pt idx="16">
                  <c:v>296.00147132863373</c:v>
                </c:pt>
                <c:pt idx="17">
                  <c:v>307.13463387925572</c:v>
                </c:pt>
                <c:pt idx="18">
                  <c:v>318.09934509444628</c:v>
                </c:pt>
                <c:pt idx="19">
                  <c:v>328.90719150744792</c:v>
                </c:pt>
                <c:pt idx="20">
                  <c:v>339.7135147660253</c:v>
                </c:pt>
                <c:pt idx="21">
                  <c:v>634.47309204838393</c:v>
                </c:pt>
                <c:pt idx="22">
                  <c:v>647.51332661413426</c:v>
                </c:pt>
                <c:pt idx="23">
                  <c:v>657.85839401660292</c:v>
                </c:pt>
                <c:pt idx="24">
                  <c:v>670.59382761203005</c:v>
                </c:pt>
                <c:pt idx="25">
                  <c:v>683.23746400492189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D-4461-8BD7-666A677FB0D5}"/>
            </c:ext>
          </c:extLst>
        </c:ser>
        <c:ser>
          <c:idx val="1"/>
          <c:order val="3"/>
          <c:tx>
            <c:strRef>
              <c:f>Outputs!$B$79</c:f>
              <c:strCache>
                <c:ptCount val="1"/>
                <c:pt idx="0">
                  <c:v> Senior Debt Service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Outputs!$D$79:$AC$79</c:f>
              <c:numCache>
                <c:formatCode>#,##0;\-#,##0;\-</c:formatCode>
                <c:ptCount val="26"/>
                <c:pt idx="0">
                  <c:v>0</c:v>
                </c:pt>
                <c:pt idx="1">
                  <c:v>4441.7592157165218</c:v>
                </c:pt>
                <c:pt idx="2">
                  <c:v>4510.8020588571435</c:v>
                </c:pt>
                <c:pt idx="3">
                  <c:v>4597.0615548590877</c:v>
                </c:pt>
                <c:pt idx="4">
                  <c:v>4646.9079223491499</c:v>
                </c:pt>
                <c:pt idx="5">
                  <c:v>4697.1972390667343</c:v>
                </c:pt>
                <c:pt idx="6">
                  <c:v>4748.1394191633426</c:v>
                </c:pt>
                <c:pt idx="7">
                  <c:v>4797.8184124947884</c:v>
                </c:pt>
                <c:pt idx="8">
                  <c:v>4847.7445974114235</c:v>
                </c:pt>
                <c:pt idx="9">
                  <c:v>4897.2863384959528</c:v>
                </c:pt>
                <c:pt idx="10">
                  <c:v>4946.7963708245607</c:v>
                </c:pt>
                <c:pt idx="11">
                  <c:v>4691.9375709600881</c:v>
                </c:pt>
                <c:pt idx="12">
                  <c:v>4741.5842527608056</c:v>
                </c:pt>
                <c:pt idx="13">
                  <c:v>3247.1338656612943</c:v>
                </c:pt>
                <c:pt idx="14">
                  <c:v>3173.1892342604206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D-4461-8BD7-666A677FB0D5}"/>
            </c:ext>
          </c:extLst>
        </c:ser>
        <c:ser>
          <c:idx val="8"/>
          <c:order val="4"/>
          <c:tx>
            <c:strRef>
              <c:f>Outputs!$B$80</c:f>
              <c:strCache>
                <c:ptCount val="1"/>
                <c:pt idx="0">
                  <c:v> Junior Debt Service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Outputs!$D$80:$AC$80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5D-4461-8BD7-666A677FB0D5}"/>
            </c:ext>
          </c:extLst>
        </c:ser>
        <c:ser>
          <c:idx val="7"/>
          <c:order val="5"/>
          <c:tx>
            <c:strRef>
              <c:f>Outputs!$B$81</c:f>
              <c:strCache>
                <c:ptCount val="1"/>
                <c:pt idx="0">
                  <c:v> Reserve Accounts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Outputs!$D$81:$AC$81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5D-4461-8BD7-666A677FB0D5}"/>
            </c:ext>
          </c:extLst>
        </c:ser>
        <c:ser>
          <c:idx val="2"/>
          <c:order val="6"/>
          <c:tx>
            <c:strRef>
              <c:f>Outputs!$B$82</c:f>
              <c:strCache>
                <c:ptCount val="1"/>
                <c:pt idx="0">
                  <c:v> SHL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Outputs!$D$82:$AC$82</c:f>
              <c:numCache>
                <c:formatCode>#,##0;\-#,##0;\-</c:formatCode>
                <c:ptCount val="26"/>
                <c:pt idx="0">
                  <c:v>0</c:v>
                </c:pt>
                <c:pt idx="1">
                  <c:v>666.263882357478</c:v>
                </c:pt>
                <c:pt idx="2">
                  <c:v>676.62030882857107</c:v>
                </c:pt>
                <c:pt idx="3">
                  <c:v>689.56543840426912</c:v>
                </c:pt>
                <c:pt idx="4">
                  <c:v>697.04175133078297</c:v>
                </c:pt>
                <c:pt idx="5">
                  <c:v>704.58456074933474</c:v>
                </c:pt>
                <c:pt idx="6">
                  <c:v>712.22535532221082</c:v>
                </c:pt>
                <c:pt idx="7">
                  <c:v>719.67671151403738</c:v>
                </c:pt>
                <c:pt idx="8">
                  <c:v>727.16521239972326</c:v>
                </c:pt>
                <c:pt idx="9">
                  <c:v>734.59611388562462</c:v>
                </c:pt>
                <c:pt idx="10">
                  <c:v>742.02233711953841</c:v>
                </c:pt>
                <c:pt idx="11">
                  <c:v>703.79331857294437</c:v>
                </c:pt>
                <c:pt idx="12">
                  <c:v>711.24022218885102</c:v>
                </c:pt>
                <c:pt idx="13">
                  <c:v>2440.1880754823878</c:v>
                </c:pt>
                <c:pt idx="14">
                  <c:v>2486.3927499940814</c:v>
                </c:pt>
                <c:pt idx="15">
                  <c:v>5539.9644385902229</c:v>
                </c:pt>
                <c:pt idx="16">
                  <c:v>5475.0709955209732</c:v>
                </c:pt>
                <c:pt idx="17">
                  <c:v>5575.2694584765704</c:v>
                </c:pt>
                <c:pt idx="18">
                  <c:v>5673.951859413286</c:v>
                </c:pt>
                <c:pt idx="19">
                  <c:v>5771.2224771303008</c:v>
                </c:pt>
                <c:pt idx="20">
                  <c:v>5278.8297362160047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5D-4461-8BD7-666A677FB0D5}"/>
            </c:ext>
          </c:extLst>
        </c:ser>
        <c:ser>
          <c:idx val="5"/>
          <c:order val="7"/>
          <c:tx>
            <c:strRef>
              <c:f>Outputs!$B$83</c:f>
              <c:strCache>
                <c:ptCount val="1"/>
                <c:pt idx="0">
                  <c:v> Dividends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Outputs!$D$83:$AC$83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39.649650241465224</c:v>
                </c:pt>
                <c:pt idx="21">
                  <c:v>5710.2578284354549</c:v>
                </c:pt>
                <c:pt idx="22">
                  <c:v>5827.6199395272088</c:v>
                </c:pt>
                <c:pt idx="23">
                  <c:v>5920.725546149426</c:v>
                </c:pt>
                <c:pt idx="24">
                  <c:v>6035.3444485082691</c:v>
                </c:pt>
                <c:pt idx="25">
                  <c:v>6149.1371760442962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D-4461-8BD7-666A677FB0D5}"/>
            </c:ext>
          </c:extLst>
        </c:ser>
        <c:ser>
          <c:idx val="3"/>
          <c:order val="8"/>
          <c:tx>
            <c:strRef>
              <c:f>Outputs!$B$84</c:f>
              <c:strCache>
                <c:ptCount val="1"/>
                <c:pt idx="0">
                  <c:v> Cash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Outputs!$D$84:$AC$84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550.00000000002774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5D-4461-8BD7-666A677FB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879824"/>
        <c:axId val="521880216"/>
      </c:areaChart>
      <c:lineChart>
        <c:grouping val="stacked"/>
        <c:varyColors val="0"/>
        <c:ser>
          <c:idx val="6"/>
          <c:order val="0"/>
          <c:tx>
            <c:strRef>
              <c:f>Outputs!$B$76</c:f>
              <c:strCache>
                <c:ptCount val="1"/>
                <c:pt idx="0">
                  <c:v> Revenue </c:v>
                </c:pt>
              </c:strCache>
            </c:strRef>
          </c:tx>
          <c:spPr>
            <a:ln w="19050">
              <a:solidFill>
                <a:schemeClr val="tx2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Outputs!$D$76:$AC$76</c:f>
              <c:numCache>
                <c:formatCode>#,##0;\-#,##0;\-</c:formatCode>
                <c:ptCount val="26"/>
                <c:pt idx="0">
                  <c:v>0</c:v>
                </c:pt>
                <c:pt idx="1">
                  <c:v>6446.7535300740001</c:v>
                </c:pt>
                <c:pt idx="2">
                  <c:v>6483.1879036857144</c:v>
                </c:pt>
                <c:pt idx="3">
                  <c:v>6582.9455364388668</c:v>
                </c:pt>
                <c:pt idx="4">
                  <c:v>6684.4795157793378</c:v>
                </c:pt>
                <c:pt idx="5">
                  <c:v>6787.6429821253059</c:v>
                </c:pt>
                <c:pt idx="6">
                  <c:v>6892.645407156082</c:v>
                </c:pt>
                <c:pt idx="7">
                  <c:v>6998.9623448740076</c:v>
                </c:pt>
                <c:pt idx="8">
                  <c:v>7107.1712632724457</c:v>
                </c:pt>
                <c:pt idx="9">
                  <c:v>7217.1157259003139</c:v>
                </c:pt>
                <c:pt idx="10">
                  <c:v>7329.0188663780882</c:v>
                </c:pt>
                <c:pt idx="11">
                  <c:v>7442.322036823256</c:v>
                </c:pt>
                <c:pt idx="12">
                  <c:v>7557.6403667357754</c:v>
                </c:pt>
                <c:pt idx="13">
                  <c:v>7886.1289093971718</c:v>
                </c:pt>
                <c:pt idx="14">
                  <c:v>7901.4477701875367</c:v>
                </c:pt>
                <c:pt idx="15">
                  <c:v>7783.0577812844604</c:v>
                </c:pt>
                <c:pt idx="16">
                  <c:v>7738.0253108680072</c:v>
                </c:pt>
                <c:pt idx="17">
                  <c:v>7876.969718694595</c:v>
                </c:pt>
                <c:pt idx="18">
                  <c:v>8014.7818688132766</c:v>
                </c:pt>
                <c:pt idx="19">
                  <c:v>8151.588671669404</c:v>
                </c:pt>
                <c:pt idx="20">
                  <c:v>8288.9548097558109</c:v>
                </c:pt>
                <c:pt idx="21">
                  <c:v>8455.3817926267729</c:v>
                </c:pt>
                <c:pt idx="22">
                  <c:v>8616.2708811671364</c:v>
                </c:pt>
                <c:pt idx="23">
                  <c:v>8750.8180329323368</c:v>
                </c:pt>
                <c:pt idx="24">
                  <c:v>8909.8907761819337</c:v>
                </c:pt>
                <c:pt idx="25">
                  <c:v>9068.6799155520857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5D-4461-8BD7-666A677FB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879824"/>
        <c:axId val="521880216"/>
      </c:lineChart>
      <c:dateAx>
        <c:axId val="521879824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21880216"/>
        <c:crosses val="autoZero"/>
        <c:auto val="1"/>
        <c:lblOffset val="100"/>
        <c:baseTimeUnit val="days"/>
        <c:majorUnit val="1"/>
        <c:majorTimeUnit val="years"/>
        <c:minorUnit val="1"/>
        <c:minorTimeUnit val="years"/>
      </c:dateAx>
      <c:valAx>
        <c:axId val="521880216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5218798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5692012213831887E-2"/>
          <c:y val="0.79678655092491901"/>
          <c:w val="0.92923452855398991"/>
          <c:h val="0.17953900070215556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zero"/>
    <c:showDLblsOverMax val="0"/>
  </c:chart>
  <c:spPr>
    <a:ln>
      <a:noFill/>
    </a:ln>
  </c:sp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Senior Debt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Outputs!$B$90</c:f>
              <c:strCache>
                <c:ptCount val="1"/>
                <c:pt idx="0">
                  <c:v> Principal </c:v>
                </c:pt>
              </c:strCache>
            </c:strRef>
          </c:tx>
          <c:invertIfNegative val="0"/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Outputs!$D$90:$X$90</c:f>
              <c:numCache>
                <c:formatCode>#,##0;\-#,##0;\-</c:formatCode>
                <c:ptCount val="21"/>
                <c:pt idx="0">
                  <c:v>0</c:v>
                </c:pt>
                <c:pt idx="1">
                  <c:v>1884.0417283426466</c:v>
                </c:pt>
                <c:pt idx="2">
                  <c:v>2109.1288444875408</c:v>
                </c:pt>
                <c:pt idx="3">
                  <c:v>2347.6202225280226</c:v>
                </c:pt>
                <c:pt idx="4">
                  <c:v>2542.0401327421619</c:v>
                </c:pt>
                <c:pt idx="5">
                  <c:v>2742.5538086942238</c:v>
                </c:pt>
                <c:pt idx="6">
                  <c:v>2948.7639793247167</c:v>
                </c:pt>
                <c:pt idx="7">
                  <c:v>3175.9893470755596</c:v>
                </c:pt>
                <c:pt idx="8">
                  <c:v>3413.4863183495354</c:v>
                </c:pt>
                <c:pt idx="9">
                  <c:v>3666.3959237510771</c:v>
                </c:pt>
                <c:pt idx="10">
                  <c:v>3932.9376736523382</c:v>
                </c:pt>
                <c:pt idx="11">
                  <c:v>3913.1704569809053</c:v>
                </c:pt>
                <c:pt idx="12">
                  <c:v>4200.0946094854398</c:v>
                </c:pt>
                <c:pt idx="13">
                  <c:v>2936.8303016593322</c:v>
                </c:pt>
                <c:pt idx="14">
                  <c:v>3039.2254154894881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2-4D38-AA4D-69E129D614BA}"/>
            </c:ext>
          </c:extLst>
        </c:ser>
        <c:ser>
          <c:idx val="1"/>
          <c:order val="1"/>
          <c:tx>
            <c:strRef>
              <c:f>Outputs!$B$91</c:f>
              <c:strCache>
                <c:ptCount val="1"/>
                <c:pt idx="0">
                  <c:v> Interests </c:v>
                </c:pt>
              </c:strCache>
            </c:strRef>
          </c:tx>
          <c:invertIfNegative val="0"/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Outputs!$D$91:$X$91</c:f>
              <c:numCache>
                <c:formatCode>#,##0;\-#,##0;\-</c:formatCode>
                <c:ptCount val="21"/>
                <c:pt idx="0">
                  <c:v>0</c:v>
                </c:pt>
                <c:pt idx="1">
                  <c:v>2557.717487373875</c:v>
                </c:pt>
                <c:pt idx="2">
                  <c:v>2401.6732143696026</c:v>
                </c:pt>
                <c:pt idx="3">
                  <c:v>2249.441332331065</c:v>
                </c:pt>
                <c:pt idx="4">
                  <c:v>2104.8677896069885</c:v>
                </c:pt>
                <c:pt idx="5">
                  <c:v>1954.64343037251</c:v>
                </c:pt>
                <c:pt idx="6">
                  <c:v>1799.3754398386259</c:v>
                </c:pt>
                <c:pt idx="7">
                  <c:v>1621.8290654192283</c:v>
                </c:pt>
                <c:pt idx="8">
                  <c:v>1434.258279061889</c:v>
                </c:pt>
                <c:pt idx="9">
                  <c:v>1230.8904147448752</c:v>
                </c:pt>
                <c:pt idx="10">
                  <c:v>1013.8586971722226</c:v>
                </c:pt>
                <c:pt idx="11">
                  <c:v>778.7671139791828</c:v>
                </c:pt>
                <c:pt idx="12">
                  <c:v>541.48964327536544</c:v>
                </c:pt>
                <c:pt idx="13">
                  <c:v>310.30356400196177</c:v>
                </c:pt>
                <c:pt idx="14">
                  <c:v>133.96381877093248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2-4D38-AA4D-69E129D61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1813656"/>
        <c:axId val="521504072"/>
      </c:barChart>
      <c:lineChart>
        <c:grouping val="standard"/>
        <c:varyColors val="0"/>
        <c:ser>
          <c:idx val="2"/>
          <c:order val="2"/>
          <c:tx>
            <c:strRef>
              <c:f>Outputs!$B$89</c:f>
              <c:strCache>
                <c:ptCount val="1"/>
                <c:pt idx="0">
                  <c:v> Outstanding (scale 2) </c:v>
                </c:pt>
              </c:strCache>
            </c:strRef>
          </c:tx>
          <c:spPr>
            <a:ln w="19050">
              <a:solidFill>
                <a:schemeClr val="tx2"/>
              </a:solidFill>
              <a:prstDash val="dash"/>
            </a:ln>
          </c:spPr>
          <c:marker>
            <c:symbol val="none"/>
          </c:marker>
          <c:val>
            <c:numRef>
              <c:f>Outputs!$D$89:$X$89</c:f>
              <c:numCache>
                <c:formatCode>#,##0;\-#,##0;\-</c:formatCode>
                <c:ptCount val="21"/>
                <c:pt idx="0">
                  <c:v>42852.278762562994</c:v>
                </c:pt>
                <c:pt idx="1">
                  <c:v>40968.237034220343</c:v>
                </c:pt>
                <c:pt idx="2">
                  <c:v>38859.108189732804</c:v>
                </c:pt>
                <c:pt idx="3">
                  <c:v>36511.487967204775</c:v>
                </c:pt>
                <c:pt idx="4">
                  <c:v>33969.447834462619</c:v>
                </c:pt>
                <c:pt idx="5">
                  <c:v>31226.894025768397</c:v>
                </c:pt>
                <c:pt idx="6">
                  <c:v>28278.130046443679</c:v>
                </c:pt>
                <c:pt idx="7">
                  <c:v>25102.140699368116</c:v>
                </c:pt>
                <c:pt idx="8">
                  <c:v>21688.654381018583</c:v>
                </c:pt>
                <c:pt idx="9">
                  <c:v>18022.258457267504</c:v>
                </c:pt>
                <c:pt idx="10">
                  <c:v>14089.320783615165</c:v>
                </c:pt>
                <c:pt idx="11">
                  <c:v>10176.150326634261</c:v>
                </c:pt>
                <c:pt idx="12">
                  <c:v>5976.0557171488208</c:v>
                </c:pt>
                <c:pt idx="13">
                  <c:v>3039.2254154894881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2-4D38-AA4D-69E129D61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629792"/>
        <c:axId val="521504464"/>
      </c:lineChart>
      <c:catAx>
        <c:axId val="521813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504072"/>
        <c:crosses val="autoZero"/>
        <c:auto val="1"/>
        <c:lblAlgn val="ctr"/>
        <c:lblOffset val="100"/>
        <c:tickLblSkip val="5"/>
        <c:noMultiLvlLbl val="0"/>
      </c:catAx>
      <c:valAx>
        <c:axId val="52150407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813656"/>
        <c:crosses val="autoZero"/>
        <c:crossBetween val="between"/>
      </c:valAx>
      <c:valAx>
        <c:axId val="521504464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3629792"/>
        <c:crosses val="max"/>
        <c:crossBetween val="between"/>
      </c:valAx>
      <c:catAx>
        <c:axId val="523629792"/>
        <c:scaling>
          <c:orientation val="minMax"/>
        </c:scaling>
        <c:delete val="1"/>
        <c:axPos val="b"/>
        <c:majorTickMark val="out"/>
        <c:minorTickMark val="none"/>
        <c:tickLblPos val="nextTo"/>
        <c:crossAx val="521504464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Junior Debt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Outputs!$B$94</c:f>
              <c:strCache>
                <c:ptCount val="1"/>
                <c:pt idx="0">
                  <c:v> Principal </c:v>
                </c:pt>
              </c:strCache>
            </c:strRef>
          </c:tx>
          <c:invertIfNegative val="0"/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Outputs!$D$94:$X$94</c:f>
              <c:numCache>
                <c:formatCode>#,##0;\-#,##0;\-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0-4E65-9267-8B06AA775DDF}"/>
            </c:ext>
          </c:extLst>
        </c:ser>
        <c:ser>
          <c:idx val="1"/>
          <c:order val="1"/>
          <c:tx>
            <c:strRef>
              <c:f>Outputs!$B$95</c:f>
              <c:strCache>
                <c:ptCount val="1"/>
                <c:pt idx="0">
                  <c:v> Interests </c:v>
                </c:pt>
              </c:strCache>
            </c:strRef>
          </c:tx>
          <c:invertIfNegative val="0"/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Outputs!$D$95:$X$95</c:f>
              <c:numCache>
                <c:formatCode>#,##0;\-#,##0;\-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0-4E65-9267-8B06AA775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1396736"/>
        <c:axId val="521397128"/>
      </c:barChart>
      <c:lineChart>
        <c:grouping val="standard"/>
        <c:varyColors val="0"/>
        <c:ser>
          <c:idx val="2"/>
          <c:order val="2"/>
          <c:tx>
            <c:strRef>
              <c:f>Outputs!$B$93</c:f>
              <c:strCache>
                <c:ptCount val="1"/>
                <c:pt idx="0">
                  <c:v> Outstanding (scale 2) </c:v>
                </c:pt>
              </c:strCache>
            </c:strRef>
          </c:tx>
          <c:spPr>
            <a:ln>
              <a:solidFill>
                <a:schemeClr val="tx2"/>
              </a:solidFill>
              <a:prstDash val="dash"/>
            </a:ln>
          </c:spPr>
          <c:marker>
            <c:symbol val="none"/>
          </c:marker>
          <c:val>
            <c:numRef>
              <c:f>Outputs!$D$93:$X$93</c:f>
              <c:numCache>
                <c:formatCode>#,##0;\-#,##0;\-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20-4E65-9267-8B06AA775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112184"/>
        <c:axId val="519111792"/>
      </c:lineChart>
      <c:catAx>
        <c:axId val="521396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397128"/>
        <c:crosses val="autoZero"/>
        <c:auto val="1"/>
        <c:lblAlgn val="ctr"/>
        <c:lblOffset val="100"/>
        <c:tickLblSkip val="5"/>
        <c:noMultiLvlLbl val="0"/>
      </c:catAx>
      <c:valAx>
        <c:axId val="52139712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396736"/>
        <c:crosses val="autoZero"/>
        <c:crossBetween val="between"/>
      </c:valAx>
      <c:valAx>
        <c:axId val="519111792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19112184"/>
        <c:crosses val="max"/>
        <c:crossBetween val="between"/>
      </c:valAx>
      <c:catAx>
        <c:axId val="519112184"/>
        <c:scaling>
          <c:orientation val="minMax"/>
        </c:scaling>
        <c:delete val="1"/>
        <c:axPos val="b"/>
        <c:majorTickMark val="out"/>
        <c:minorTickMark val="none"/>
        <c:tickLblPos val="nextTo"/>
        <c:crossAx val="519111792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Shareholder Loan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Outputs!$B$98</c:f>
              <c:strCache>
                <c:ptCount val="1"/>
                <c:pt idx="0">
                  <c:v> Principal </c:v>
                </c:pt>
              </c:strCache>
            </c:strRef>
          </c:tx>
          <c:invertIfNegative val="0"/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Outputs!$D$98:$AC$98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307.32842585851768</c:v>
                </c:pt>
                <c:pt idx="14">
                  <c:v>373.7478261830006</c:v>
                </c:pt>
                <c:pt idx="15">
                  <c:v>3529.7548574761831</c:v>
                </c:pt>
                <c:pt idx="16">
                  <c:v>3747.817171203189</c:v>
                </c:pt>
                <c:pt idx="17">
                  <c:v>4156.063188211725</c:v>
                </c:pt>
                <c:pt idx="18">
                  <c:v>4593.0707224705293</c:v>
                </c:pt>
                <c:pt idx="19">
                  <c:v>5070.2984106201457</c:v>
                </c:pt>
                <c:pt idx="20">
                  <c:v>4993.8022752398856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9-4073-9177-6D65DAA4EE5B}"/>
            </c:ext>
          </c:extLst>
        </c:ser>
        <c:ser>
          <c:idx val="1"/>
          <c:order val="1"/>
          <c:tx>
            <c:strRef>
              <c:f>Outputs!$B$99</c:f>
              <c:strCache>
                <c:ptCount val="1"/>
                <c:pt idx="0">
                  <c:v> Interests </c:v>
                </c:pt>
              </c:strCache>
            </c:strRef>
          </c:tx>
          <c:invertIfNegative val="0"/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Outputs!$D$99:$AC$99</c:f>
              <c:numCache>
                <c:formatCode>#,##0;\-#,##0;\-</c:formatCode>
                <c:ptCount val="26"/>
                <c:pt idx="0">
                  <c:v>0</c:v>
                </c:pt>
                <c:pt idx="1">
                  <c:v>666.26388235747788</c:v>
                </c:pt>
                <c:pt idx="2">
                  <c:v>676.62030882857107</c:v>
                </c:pt>
                <c:pt idx="3">
                  <c:v>689.56543840426912</c:v>
                </c:pt>
                <c:pt idx="4">
                  <c:v>697.04175133078297</c:v>
                </c:pt>
                <c:pt idx="5">
                  <c:v>704.58456074933463</c:v>
                </c:pt>
                <c:pt idx="6">
                  <c:v>712.2253553222107</c:v>
                </c:pt>
                <c:pt idx="7">
                  <c:v>719.67671151403749</c:v>
                </c:pt>
                <c:pt idx="8">
                  <c:v>727.16521239972326</c:v>
                </c:pt>
                <c:pt idx="9">
                  <c:v>734.59611388562462</c:v>
                </c:pt>
                <c:pt idx="10">
                  <c:v>742.02233711953841</c:v>
                </c:pt>
                <c:pt idx="11">
                  <c:v>703.79331857294437</c:v>
                </c:pt>
                <c:pt idx="12">
                  <c:v>711.24022218885125</c:v>
                </c:pt>
                <c:pt idx="13">
                  <c:v>2132.8596496238697</c:v>
                </c:pt>
                <c:pt idx="14">
                  <c:v>2112.6449238110808</c:v>
                </c:pt>
                <c:pt idx="15">
                  <c:v>2010.2095811140398</c:v>
                </c:pt>
                <c:pt idx="16">
                  <c:v>1727.2538243177835</c:v>
                </c:pt>
                <c:pt idx="17">
                  <c:v>1419.2062702648459</c:v>
                </c:pt>
                <c:pt idx="18">
                  <c:v>1080.8811369427569</c:v>
                </c:pt>
                <c:pt idx="19">
                  <c:v>700.92406651015585</c:v>
                </c:pt>
                <c:pt idx="20">
                  <c:v>285.02746097611868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9-4073-9177-6D65DAA4EE5B}"/>
            </c:ext>
          </c:extLst>
        </c:ser>
        <c:ser>
          <c:idx val="3"/>
          <c:order val="3"/>
          <c:tx>
            <c:strRef>
              <c:f>Outputs!$B$100</c:f>
              <c:strCache>
                <c:ptCount val="1"/>
                <c:pt idx="0">
                  <c:v> Capitalized 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Outputs!$D$100:$AC$100</c:f>
              <c:numCache>
                <c:formatCode>#,##0;\-#,##0;\-</c:formatCode>
                <c:ptCount val="26"/>
                <c:pt idx="0">
                  <c:v>1169.6619115852516</c:v>
                </c:pt>
                <c:pt idx="1">
                  <c:v>608.90959523152389</c:v>
                </c:pt>
                <c:pt idx="2">
                  <c:v>651.89751768232827</c:v>
                </c:pt>
                <c:pt idx="3">
                  <c:v>688.16507809458562</c:v>
                </c:pt>
                <c:pt idx="4">
                  <c:v>736.63753491368743</c:v>
                </c:pt>
                <c:pt idx="5">
                  <c:v>788.99576979114693</c:v>
                </c:pt>
                <c:pt idx="6">
                  <c:v>849.87844291268777</c:v>
                </c:pt>
                <c:pt idx="7">
                  <c:v>907.20918452623471</c:v>
                </c:pt>
                <c:pt idx="8">
                  <c:v>973.53087072639073</c:v>
                </c:pt>
                <c:pt idx="9">
                  <c:v>1045.3187457888507</c:v>
                </c:pt>
                <c:pt idx="10">
                  <c:v>1128.1775349978384</c:v>
                </c:pt>
                <c:pt idx="11">
                  <c:v>1254.0378141400229</c:v>
                </c:pt>
                <c:pt idx="12">
                  <c:v>1348.6889820570088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9-4073-9177-6D65DAA4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9198968"/>
        <c:axId val="99792976"/>
      </c:barChart>
      <c:lineChart>
        <c:grouping val="standard"/>
        <c:varyColors val="0"/>
        <c:ser>
          <c:idx val="2"/>
          <c:order val="2"/>
          <c:tx>
            <c:strRef>
              <c:f>Outputs!$B$97</c:f>
              <c:strCache>
                <c:ptCount val="1"/>
                <c:pt idx="0">
                  <c:v> Outstanding (scale 2) </c:v>
                </c:pt>
              </c:strCache>
            </c:strRef>
          </c:tx>
          <c:spPr>
            <a:ln w="19050">
              <a:solidFill>
                <a:schemeClr val="tx2"/>
              </a:solidFill>
              <a:prstDash val="dash"/>
            </a:ln>
          </c:spPr>
          <c:marker>
            <c:symbol val="none"/>
          </c:marker>
          <c:val>
            <c:numRef>
              <c:f>Outputs!$D$97:$AC$97</c:f>
              <c:numCache>
                <c:formatCode>#,##0;\-#,##0;\-</c:formatCode>
                <c:ptCount val="26"/>
                <c:pt idx="0">
                  <c:v>14620.773894815633</c:v>
                </c:pt>
                <c:pt idx="1">
                  <c:v>16399.34540163241</c:v>
                </c:pt>
                <c:pt idx="2">
                  <c:v>17051.24291931474</c:v>
                </c:pt>
                <c:pt idx="3">
                  <c:v>17739.407997409326</c:v>
                </c:pt>
                <c:pt idx="4">
                  <c:v>18476.045532323013</c:v>
                </c:pt>
                <c:pt idx="5">
                  <c:v>19265.041302114158</c:v>
                </c:pt>
                <c:pt idx="6">
                  <c:v>20114.919745026844</c:v>
                </c:pt>
                <c:pt idx="7">
                  <c:v>21022.128929553077</c:v>
                </c:pt>
                <c:pt idx="8">
                  <c:v>21995.659800279467</c:v>
                </c:pt>
                <c:pt idx="9">
                  <c:v>23040.978546068316</c:v>
                </c:pt>
                <c:pt idx="10">
                  <c:v>24169.156081066154</c:v>
                </c:pt>
                <c:pt idx="11">
                  <c:v>25423.193895206176</c:v>
                </c:pt>
                <c:pt idx="12">
                  <c:v>26771.882877263182</c:v>
                </c:pt>
                <c:pt idx="13">
                  <c:v>26464.554451404663</c:v>
                </c:pt>
                <c:pt idx="14">
                  <c:v>26090.806625221659</c:v>
                </c:pt>
                <c:pt idx="15">
                  <c:v>22561.051767745477</c:v>
                </c:pt>
                <c:pt idx="16">
                  <c:v>18813.234596542286</c:v>
                </c:pt>
                <c:pt idx="17">
                  <c:v>14657.17140833056</c:v>
                </c:pt>
                <c:pt idx="18">
                  <c:v>10064.10068586003</c:v>
                </c:pt>
                <c:pt idx="19">
                  <c:v>4993.8022752398856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79-4073-9177-6D65DAA4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856528"/>
        <c:axId val="99793368"/>
      </c:lineChart>
      <c:catAx>
        <c:axId val="519198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99792976"/>
        <c:crosses val="autoZero"/>
        <c:auto val="1"/>
        <c:lblAlgn val="ctr"/>
        <c:lblOffset val="100"/>
        <c:tickLblSkip val="5"/>
        <c:noMultiLvlLbl val="0"/>
      </c:catAx>
      <c:valAx>
        <c:axId val="9979297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19198968"/>
        <c:crosses val="autoZero"/>
        <c:crossBetween val="between"/>
      </c:valAx>
      <c:valAx>
        <c:axId val="99793368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64856528"/>
        <c:crosses val="max"/>
        <c:crossBetween val="between"/>
      </c:valAx>
      <c:catAx>
        <c:axId val="464856528"/>
        <c:scaling>
          <c:orientation val="minMax"/>
        </c:scaling>
        <c:delete val="1"/>
        <c:axPos val="b"/>
        <c:majorTickMark val="out"/>
        <c:minorTickMark val="none"/>
        <c:tickLblPos val="nextTo"/>
        <c:crossAx val="99793368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Scenarios!$Q$327</c:f>
              <c:strCache>
                <c:ptCount val="1"/>
                <c:pt idx="0">
                  <c:v> Project IRR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Scenarios!$P$328:$P$349</c:f>
              <c:numCache>
                <c:formatCode>_ * #,##0.00_)\ [$€-1]_ ;_ * \(#,##0.00\)\ [$€-1]_ ;_ * "-"??_)\ [$€-1]_ ;_ @_ </c:formatCode>
                <c:ptCount val="22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  <c:pt idx="5">
                  <c:v>49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53</c:v>
                </c:pt>
                <c:pt idx="10">
                  <c:v>54</c:v>
                </c:pt>
                <c:pt idx="11">
                  <c:v>55</c:v>
                </c:pt>
                <c:pt idx="12">
                  <c:v>56</c:v>
                </c:pt>
                <c:pt idx="13">
                  <c:v>57</c:v>
                </c:pt>
                <c:pt idx="14">
                  <c:v>58</c:v>
                </c:pt>
                <c:pt idx="15">
                  <c:v>59</c:v>
                </c:pt>
                <c:pt idx="16">
                  <c:v>60</c:v>
                </c:pt>
                <c:pt idx="17">
                  <c:v>61</c:v>
                </c:pt>
                <c:pt idx="18">
                  <c:v>62</c:v>
                </c:pt>
                <c:pt idx="19">
                  <c:v>63</c:v>
                </c:pt>
                <c:pt idx="20">
                  <c:v>64</c:v>
                </c:pt>
                <c:pt idx="21">
                  <c:v>65</c:v>
                </c:pt>
              </c:numCache>
            </c:numRef>
          </c:cat>
          <c:val>
            <c:numRef>
              <c:f>Scenarios!$Q$328:$Q$349</c:f>
              <c:numCache>
                <c:formatCode>_-* #,##0\ [$€]_-;\-* #,##0\ [$€]_-;_-* "-"??\ [$€]_-;_-@_-</c:formatCode>
                <c:ptCount val="22"/>
                <c:pt idx="2" formatCode="0.00%;\-0.00%;\-">
                  <c:v>7.0400000000000004E-2</c:v>
                </c:pt>
                <c:pt idx="3" formatCode="0.00%;\-0.00%;\-">
                  <c:v>7.1599999999999997E-2</c:v>
                </c:pt>
                <c:pt idx="4" formatCode="0.00%;\-0.00%;\-">
                  <c:v>7.2800000000000004E-2</c:v>
                </c:pt>
                <c:pt idx="5" formatCode="0.00%;\-0.00%;\-">
                  <c:v>7.3999999999999996E-2</c:v>
                </c:pt>
                <c:pt idx="6" formatCode="0.00%;\-0.00%;\-">
                  <c:v>7.5300000000000006E-2</c:v>
                </c:pt>
                <c:pt idx="7" formatCode="0.00%;\-0.00%;\-">
                  <c:v>7.6499999999999999E-2</c:v>
                </c:pt>
                <c:pt idx="8" formatCode="0.00%;\-0.00%;\-">
                  <c:v>7.7799999999999994E-2</c:v>
                </c:pt>
                <c:pt idx="9" formatCode="0.00%;\-0.00%;\-">
                  <c:v>7.9100000000000004E-2</c:v>
                </c:pt>
                <c:pt idx="10" formatCode="0.00%;\-0.00%;\-">
                  <c:v>8.0299999999999996E-2</c:v>
                </c:pt>
                <c:pt idx="11" formatCode="0.00%;\-0.00%;\-">
                  <c:v>8.1600000000000006E-2</c:v>
                </c:pt>
                <c:pt idx="12" formatCode="0.00%;\-0.00%;\-">
                  <c:v>8.2900000000000001E-2</c:v>
                </c:pt>
                <c:pt idx="13" formatCode="0.00%;\-0.00%;\-">
                  <c:v>8.4199999999999997E-2</c:v>
                </c:pt>
                <c:pt idx="14" formatCode="0.00%;\-0.00%;\-">
                  <c:v>8.5500000000000007E-2</c:v>
                </c:pt>
                <c:pt idx="15" formatCode="0.00%;\-0.00%;\-">
                  <c:v>8.6900000000000005E-2</c:v>
                </c:pt>
                <c:pt idx="16" formatCode="0.00%;\-0.00%;\-">
                  <c:v>8.8200000000000001E-2</c:v>
                </c:pt>
                <c:pt idx="17" formatCode="0.00%;\-0.00%;\-">
                  <c:v>8.9499999999999996E-2</c:v>
                </c:pt>
                <c:pt idx="18" formatCode="0.00%;\-0.00%;\-">
                  <c:v>9.0800000000000006E-2</c:v>
                </c:pt>
                <c:pt idx="19" formatCode="0.00%;\-0.00%;\-">
                  <c:v>9.2200000000000004E-2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0-4448-9A92-5EA4BA3A570E}"/>
            </c:ext>
          </c:extLst>
        </c:ser>
        <c:ser>
          <c:idx val="1"/>
          <c:order val="1"/>
          <c:tx>
            <c:v>PPA Hurdle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904939230491663E-2"/>
                  <c:y val="2.859184488541424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70-4448-9A92-5EA4BA3A57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Scenarios!$P$328:$P$349</c:f>
              <c:numCache>
                <c:formatCode>_ * #,##0.00_)\ [$€-1]_ ;_ * \(#,##0.00\)\ [$€-1]_ ;_ * "-"??_)\ [$€-1]_ ;_ @_ </c:formatCode>
                <c:ptCount val="22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  <c:pt idx="5">
                  <c:v>49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53</c:v>
                </c:pt>
                <c:pt idx="10">
                  <c:v>54</c:v>
                </c:pt>
                <c:pt idx="11">
                  <c:v>55</c:v>
                </c:pt>
                <c:pt idx="12">
                  <c:v>56</c:v>
                </c:pt>
                <c:pt idx="13">
                  <c:v>57</c:v>
                </c:pt>
                <c:pt idx="14">
                  <c:v>58</c:v>
                </c:pt>
                <c:pt idx="15">
                  <c:v>59</c:v>
                </c:pt>
                <c:pt idx="16">
                  <c:v>60</c:v>
                </c:pt>
                <c:pt idx="17">
                  <c:v>61</c:v>
                </c:pt>
                <c:pt idx="18">
                  <c:v>62</c:v>
                </c:pt>
                <c:pt idx="19">
                  <c:v>63</c:v>
                </c:pt>
                <c:pt idx="20">
                  <c:v>64</c:v>
                </c:pt>
                <c:pt idx="21">
                  <c:v>65</c:v>
                </c:pt>
              </c:numCache>
            </c:numRef>
          </c:cat>
          <c:val>
            <c:numRef>
              <c:f>Scenarios!$S$328:$S$349</c:f>
              <c:numCache>
                <c:formatCode>0.00%;\-0.00%;\-</c:formatCode>
                <c:ptCount val="22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7.3999999999999996E-2</c:v>
                </c:pt>
                <c:pt idx="4">
                  <c:v>7.3999999999999996E-2</c:v>
                </c:pt>
                <c:pt idx="5">
                  <c:v>7.3999999999999996E-2</c:v>
                </c:pt>
                <c:pt idx="6">
                  <c:v>7.3999999999999996E-2</c:v>
                </c:pt>
                <c:pt idx="7">
                  <c:v>7.3999999999999996E-2</c:v>
                </c:pt>
                <c:pt idx="8">
                  <c:v>7.3999999999999996E-2</c:v>
                </c:pt>
                <c:pt idx="9">
                  <c:v>7.3999999999999996E-2</c:v>
                </c:pt>
                <c:pt idx="10">
                  <c:v>7.3999999999999996E-2</c:v>
                </c:pt>
                <c:pt idx="11">
                  <c:v>7.3999999999999996E-2</c:v>
                </c:pt>
                <c:pt idx="12">
                  <c:v>7.3999999999999996E-2</c:v>
                </c:pt>
                <c:pt idx="13">
                  <c:v>7.3999999999999996E-2</c:v>
                </c:pt>
                <c:pt idx="14">
                  <c:v>7.3999999999999996E-2</c:v>
                </c:pt>
                <c:pt idx="15">
                  <c:v>7.3999999999999996E-2</c:v>
                </c:pt>
                <c:pt idx="16">
                  <c:v>7.3999999999999996E-2</c:v>
                </c:pt>
                <c:pt idx="17">
                  <c:v>7.3999999999999996E-2</c:v>
                </c:pt>
                <c:pt idx="18">
                  <c:v>7.3999999999999996E-2</c:v>
                </c:pt>
                <c:pt idx="19">
                  <c:v>7.3999999999999996E-2</c:v>
                </c:pt>
                <c:pt idx="20">
                  <c:v>7.3999999999999996E-2</c:v>
                </c:pt>
                <c:pt idx="21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0-4448-9A92-5EA4BA3A570E}"/>
            </c:ext>
          </c:extLst>
        </c:ser>
        <c:ser>
          <c:idx val="2"/>
          <c:order val="2"/>
          <c:tx>
            <c:v>Merchant Hurdle Rate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70-4448-9A92-5EA4BA3A57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Scenarios!$P$328:$P$349</c:f>
              <c:numCache>
                <c:formatCode>_ * #,##0.00_)\ [$€-1]_ ;_ * \(#,##0.00\)\ [$€-1]_ ;_ * "-"??_)\ [$€-1]_ ;_ @_ </c:formatCode>
                <c:ptCount val="22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  <c:pt idx="5">
                  <c:v>49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53</c:v>
                </c:pt>
                <c:pt idx="10">
                  <c:v>54</c:v>
                </c:pt>
                <c:pt idx="11">
                  <c:v>55</c:v>
                </c:pt>
                <c:pt idx="12">
                  <c:v>56</c:v>
                </c:pt>
                <c:pt idx="13">
                  <c:v>57</c:v>
                </c:pt>
                <c:pt idx="14">
                  <c:v>58</c:v>
                </c:pt>
                <c:pt idx="15">
                  <c:v>59</c:v>
                </c:pt>
                <c:pt idx="16">
                  <c:v>60</c:v>
                </c:pt>
                <c:pt idx="17">
                  <c:v>61</c:v>
                </c:pt>
                <c:pt idx="18">
                  <c:v>62</c:v>
                </c:pt>
                <c:pt idx="19">
                  <c:v>63</c:v>
                </c:pt>
                <c:pt idx="20">
                  <c:v>64</c:v>
                </c:pt>
                <c:pt idx="21">
                  <c:v>65</c:v>
                </c:pt>
              </c:numCache>
            </c:numRef>
          </c:cat>
          <c:val>
            <c:numRef>
              <c:f>Scenarios!$T$328:$T$329</c:f>
              <c:numCache>
                <c:formatCode>0.00%;\-0.00%;\-</c:formatCode>
                <c:ptCount val="2"/>
                <c:pt idx="0">
                  <c:v>7.8E-2</c:v>
                </c:pt>
                <c:pt idx="1">
                  <c:v>7.8E-2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70-4448-9A92-5EA4BA3A570E}"/>
            </c:ext>
          </c:extLst>
        </c:ser>
        <c:ser>
          <c:idx val="3"/>
          <c:order val="3"/>
          <c:tx>
            <c:v>Merchant IRR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70-4448-9A92-5EA4BA3A57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Scenarios!$P$328:$P$329</c:f>
              <c:numCache>
                <c:formatCode>_ * #,##0.00_)\ [$€-1]_ ;_ * \(#,##0.00\)\ [$€-1]_ ;_ * "-"??_)\ [$€-1]_ ;_ @_ </c:formatCode>
                <c:ptCount val="2"/>
                <c:pt idx="0">
                  <c:v>44</c:v>
                </c:pt>
                <c:pt idx="1">
                  <c:v>45</c:v>
                </c:pt>
              </c:numCache>
            </c:numRef>
          </c:cat>
          <c:val>
            <c:numRef>
              <c:f>Scenarios!$V$328:$V$329</c:f>
              <c:numCache>
                <c:formatCode>0.00%;\-0.00%;\-</c:formatCode>
                <c:ptCount val="2"/>
                <c:pt idx="0">
                  <c:v>8.8599999999999998E-2</c:v>
                </c:pt>
                <c:pt idx="1">
                  <c:v>8.8599999999999998E-2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70-4448-9A92-5EA4BA3A5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338912"/>
        <c:axId val="741339872"/>
      </c:lineChart>
      <c:lineChart>
        <c:grouping val="standard"/>
        <c:varyColors val="0"/>
        <c:ser>
          <c:idx val="4"/>
          <c:order val="4"/>
          <c:tx>
            <c:v>Project NPV 30y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Scenarios!$P$328:$P$349</c:f>
              <c:numCache>
                <c:formatCode>_ * #,##0.00_)\ [$€-1]_ ;_ * \(#,##0.00\)\ [$€-1]_ ;_ * "-"??_)\ [$€-1]_ ;_ @_ </c:formatCode>
                <c:ptCount val="22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  <c:pt idx="5">
                  <c:v>49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53</c:v>
                </c:pt>
                <c:pt idx="10">
                  <c:v>54</c:v>
                </c:pt>
                <c:pt idx="11">
                  <c:v>55</c:v>
                </c:pt>
                <c:pt idx="12">
                  <c:v>56</c:v>
                </c:pt>
                <c:pt idx="13">
                  <c:v>57</c:v>
                </c:pt>
                <c:pt idx="14">
                  <c:v>58</c:v>
                </c:pt>
                <c:pt idx="15">
                  <c:v>59</c:v>
                </c:pt>
                <c:pt idx="16">
                  <c:v>60</c:v>
                </c:pt>
                <c:pt idx="17">
                  <c:v>61</c:v>
                </c:pt>
                <c:pt idx="18">
                  <c:v>62</c:v>
                </c:pt>
                <c:pt idx="19">
                  <c:v>63</c:v>
                </c:pt>
                <c:pt idx="20">
                  <c:v>64</c:v>
                </c:pt>
                <c:pt idx="21">
                  <c:v>65</c:v>
                </c:pt>
              </c:numCache>
            </c:numRef>
          </c:cat>
          <c:val>
            <c:numRef>
              <c:f>Scenarios!$R$330:$R$347</c:f>
              <c:numCache>
                <c:formatCode>#,##0" k€"</c:formatCode>
                <c:ptCount val="18"/>
                <c:pt idx="0">
                  <c:v>4122</c:v>
                </c:pt>
                <c:pt idx="1">
                  <c:v>4975</c:v>
                </c:pt>
                <c:pt idx="2">
                  <c:v>5827</c:v>
                </c:pt>
                <c:pt idx="3">
                  <c:v>6680</c:v>
                </c:pt>
                <c:pt idx="4">
                  <c:v>7532</c:v>
                </c:pt>
                <c:pt idx="5">
                  <c:v>8384</c:v>
                </c:pt>
                <c:pt idx="6">
                  <c:v>9236</c:v>
                </c:pt>
                <c:pt idx="7">
                  <c:v>10088</c:v>
                </c:pt>
                <c:pt idx="8">
                  <c:v>10939</c:v>
                </c:pt>
                <c:pt idx="9">
                  <c:v>11790</c:v>
                </c:pt>
                <c:pt idx="10">
                  <c:v>12642</c:v>
                </c:pt>
                <c:pt idx="11">
                  <c:v>13493</c:v>
                </c:pt>
                <c:pt idx="12">
                  <c:v>14344</c:v>
                </c:pt>
                <c:pt idx="13">
                  <c:v>15194</c:v>
                </c:pt>
                <c:pt idx="14">
                  <c:v>16045</c:v>
                </c:pt>
                <c:pt idx="15">
                  <c:v>16895</c:v>
                </c:pt>
                <c:pt idx="16">
                  <c:v>17746</c:v>
                </c:pt>
                <c:pt idx="17">
                  <c:v>18596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70-4448-9A92-5EA4BA3A5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457632"/>
        <c:axId val="418459552"/>
      </c:lineChart>
      <c:catAx>
        <c:axId val="7413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12y PPA price [€]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339872"/>
        <c:crosses val="autoZero"/>
        <c:auto val="1"/>
        <c:lblAlgn val="ctr"/>
        <c:lblOffset val="100"/>
        <c:noMultiLvlLbl val="0"/>
      </c:catAx>
      <c:valAx>
        <c:axId val="741339872"/>
        <c:scaling>
          <c:orientation val="minMax"/>
          <c:min val="6.5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 IRR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338912"/>
        <c:crosses val="autoZero"/>
        <c:crossBetween val="between"/>
      </c:valAx>
      <c:valAx>
        <c:axId val="4184595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 NPV [k €]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&quot; k€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57632"/>
        <c:crosses val="max"/>
        <c:crossBetween val="between"/>
      </c:valAx>
      <c:catAx>
        <c:axId val="418457632"/>
        <c:scaling>
          <c:orientation val="minMax"/>
        </c:scaling>
        <c:delete val="1"/>
        <c:axPos val="b"/>
        <c:numFmt formatCode="_ * #,##0.00_)\ [$€-1]_ ;_ * \(#,##0.00\)\ [$€-1]_ ;_ * &quot;-&quot;??_)\ [$€-1]_ ;_ @_ " sourceLinked="1"/>
        <c:majorTickMark val="out"/>
        <c:minorTickMark val="none"/>
        <c:tickLblPos val="nextTo"/>
        <c:crossAx val="418459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Scenarios!$O$383:$Q$383</c:f>
              <c:numCache>
                <c:formatCode>0.00</c:formatCode>
                <c:ptCount val="3"/>
                <c:pt idx="0" formatCode="0.0%;\-0.0%;\-">
                  <c:v>-0.2</c:v>
                </c:pt>
                <c:pt idx="1">
                  <c:v>0</c:v>
                </c:pt>
                <c:pt idx="2" formatCode="0.0%;\-0.0%;\-">
                  <c:v>0.2</c:v>
                </c:pt>
              </c:numCache>
            </c:numRef>
          </c:cat>
          <c:val>
            <c:numRef>
              <c:f>Scenarios!$O$385:$Q$385</c:f>
              <c:numCache>
                <c:formatCode>0.0%;\-0.0%;\-</c:formatCode>
                <c:ptCount val="3"/>
                <c:pt idx="0" formatCode="0.00%;\-0.00%;\-">
                  <c:v>6.9900000000000004E-2</c:v>
                </c:pt>
                <c:pt idx="1">
                  <c:v>8.4199999999999997E-2</c:v>
                </c:pt>
                <c:pt idx="2">
                  <c:v>9.9500000000000005E-2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B-4A1D-94F5-B51E95611C02}"/>
            </c:ext>
          </c:extLst>
        </c:ser>
        <c:ser>
          <c:idx val="1"/>
          <c:order val="1"/>
          <c:tx>
            <c:v> HARD CAPEX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Scenarios!$O$383:$Q$383</c:f>
              <c:numCache>
                <c:formatCode>0.00</c:formatCode>
                <c:ptCount val="3"/>
                <c:pt idx="0" formatCode="0.0%;\-0.0%;\-">
                  <c:v>-0.2</c:v>
                </c:pt>
                <c:pt idx="1">
                  <c:v>0</c:v>
                </c:pt>
                <c:pt idx="2" formatCode="0.0%;\-0.0%;\-">
                  <c:v>0.2</c:v>
                </c:pt>
              </c:numCache>
            </c:numRef>
          </c:cat>
          <c:val>
            <c:numRef>
              <c:f>Scenarios!$O$387:$Q$387</c:f>
              <c:numCache>
                <c:formatCode>0.0%;\-0.0%;\-</c:formatCode>
                <c:ptCount val="3"/>
                <c:pt idx="0">
                  <c:v>0.1074</c:v>
                </c:pt>
                <c:pt idx="1">
                  <c:v>8.4199999999999997E-2</c:v>
                </c:pt>
                <c:pt idx="2">
                  <c:v>6.7400000000000002E-2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1B-4A1D-94F5-B51E95611C02}"/>
            </c:ext>
          </c:extLst>
        </c:ser>
        <c:ser>
          <c:idx val="2"/>
          <c:order val="2"/>
          <c:tx>
            <c:v>OPEX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Scenarios!$O$383:$Q$383</c:f>
              <c:numCache>
                <c:formatCode>0.00</c:formatCode>
                <c:ptCount val="3"/>
                <c:pt idx="0" formatCode="0.0%;\-0.0%;\-">
                  <c:v>-0.2</c:v>
                </c:pt>
                <c:pt idx="1">
                  <c:v>0</c:v>
                </c:pt>
                <c:pt idx="2" formatCode="0.0%;\-0.0%;\-">
                  <c:v>0.2</c:v>
                </c:pt>
              </c:numCache>
            </c:numRef>
          </c:cat>
          <c:val>
            <c:numRef>
              <c:f>Scenarios!$O$389:$Q$389</c:f>
              <c:numCache>
                <c:formatCode>0.0%;\-0.0%;\-</c:formatCode>
                <c:ptCount val="3"/>
                <c:pt idx="0">
                  <c:v>8.9300000000000004E-2</c:v>
                </c:pt>
                <c:pt idx="1">
                  <c:v>8.4199999999999997E-2</c:v>
                </c:pt>
                <c:pt idx="2">
                  <c:v>7.9000000000000001E-2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1B-4A1D-94F5-B51E95611C02}"/>
            </c:ext>
          </c:extLst>
        </c:ser>
        <c:ser>
          <c:idx val="3"/>
          <c:order val="3"/>
          <c:tx>
            <c:v>Hurdle Rate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Scenarios!$O$390:$Q$390</c:f>
              <c:numCache>
                <c:formatCode>0.0%;\-0.0%;\-</c:formatCode>
                <c:ptCount val="3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1B-4A1D-94F5-B51E95611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14272"/>
        <c:axId val="418515232"/>
      </c:lineChart>
      <c:catAx>
        <c:axId val="41851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-0.0%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15232"/>
        <c:crosses val="autoZero"/>
        <c:auto val="1"/>
        <c:lblAlgn val="ctr"/>
        <c:lblOffset val="100"/>
        <c:tickMarkSkip val="1"/>
        <c:noMultiLvlLbl val="0"/>
      </c:catAx>
      <c:valAx>
        <c:axId val="418515232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 IRR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-0.00%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14272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33-4443-BF24-8C07A08F30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33-4443-BF24-8C07A08F30F6}"/>
              </c:ext>
            </c:extLst>
          </c:dPt>
          <c:val>
            <c:numRef>
              <c:f>CF!$G$170:$G$171</c:f>
              <c:numCache>
                <c:formatCode>_-* #,##0\ [$€]_-;\-* #,##0\ [$€]_-;_-* "-"??\ [$€]_-;_-@_-</c:formatCode>
                <c:ptCount val="2"/>
                <c:pt idx="0">
                  <c:v>43350.694095670464</c:v>
                </c:pt>
                <c:pt idx="1">
                  <c:v>29469.628780617379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1-4E7D-814A-A3C15B11F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33617</xdr:colOff>
      <xdr:row>30</xdr:row>
      <xdr:rowOff>29765</xdr:rowOff>
    </xdr:from>
    <xdr:to>
      <xdr:col>15</xdr:col>
      <xdr:colOff>678656</xdr:colOff>
      <xdr:row>46</xdr:row>
      <xdr:rowOff>172640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7344018-36B1-4C2D-B56F-5F85684112A7}"/>
            </a:ext>
          </a:extLst>
        </xdr:cNvPr>
        <xdr:cNvSpPr/>
      </xdr:nvSpPr>
      <xdr:spPr>
        <a:xfrm>
          <a:off x="3919817" y="6477000"/>
          <a:ext cx="645039" cy="1645840"/>
        </a:xfrm>
        <a:prstGeom prst="rect">
          <a:avLst/>
        </a:prstGeom>
        <a:noFill/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121285</xdr:colOff>
      <xdr:row>0</xdr:row>
      <xdr:rowOff>114300</xdr:rowOff>
    </xdr:from>
    <xdr:to>
      <xdr:col>15</xdr:col>
      <xdr:colOff>247189</xdr:colOff>
      <xdr:row>34</xdr:row>
      <xdr:rowOff>86995</xdr:rowOff>
    </xdr:to>
    <xdr:grpSp>
      <xdr:nvGrpSpPr>
        <xdr:cNvPr id="4" name="Grou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655435" y="114300"/>
          <a:ext cx="5526579" cy="4830445"/>
          <a:chOff x="4526881" y="1263715"/>
          <a:chExt cx="9725495" cy="4536172"/>
        </a:xfrm>
      </xdr:grpSpPr>
      <xdr:graphicFrame macro="">
        <xdr:nvGraphicFramePr>
          <xdr:cNvPr id="5088347" name="Chart 7">
            <a:extLst>
              <a:ext uri="{FF2B5EF4-FFF2-40B4-BE49-F238E27FC236}">
                <a16:creationId xmlns:a16="http://schemas.microsoft.com/office/drawing/2014/main" id="{00000000-0008-0000-0000-00005BA44D00}"/>
              </a:ext>
            </a:extLst>
          </xdr:cNvPr>
          <xdr:cNvGraphicFramePr>
            <a:graphicFrameLocks/>
          </xdr:cNvGraphicFramePr>
        </xdr:nvGraphicFramePr>
        <xdr:xfrm>
          <a:off x="4611746" y="4069187"/>
          <a:ext cx="9640630" cy="1730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088348" name="Chart 81">
            <a:extLst>
              <a:ext uri="{FF2B5EF4-FFF2-40B4-BE49-F238E27FC236}">
                <a16:creationId xmlns:a16="http://schemas.microsoft.com/office/drawing/2014/main" id="{00000000-0008-0000-0000-00005CA44D00}"/>
              </a:ext>
            </a:extLst>
          </xdr:cNvPr>
          <xdr:cNvGraphicFramePr>
            <a:graphicFrameLocks/>
          </xdr:cNvGraphicFramePr>
        </xdr:nvGraphicFramePr>
        <xdr:xfrm>
          <a:off x="4526881" y="1263715"/>
          <a:ext cx="9370596" cy="27501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6</xdr:row>
          <xdr:rowOff>0</xdr:rowOff>
        </xdr:from>
        <xdr:to>
          <xdr:col>256</xdr:col>
          <xdr:colOff>304800</xdr:colOff>
          <xdr:row>7</xdr:row>
          <xdr:rowOff>114300</xdr:rowOff>
        </xdr:to>
        <xdr:sp macro="" textlink="">
          <xdr:nvSpPr>
            <xdr:cNvPr id="42073" name="CommandButton9" hidden="1">
              <a:extLst>
                <a:ext uri="{63B3BB69-23CF-44E3-9099-C40C66FF867C}">
                  <a14:compatExt spid="_x0000_s42073"/>
                </a:ext>
                <a:ext uri="{FF2B5EF4-FFF2-40B4-BE49-F238E27FC236}">
                  <a16:creationId xmlns:a16="http://schemas.microsoft.com/office/drawing/2014/main" id="{00000000-0008-0000-0200-000059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38100</xdr:rowOff>
        </xdr:to>
        <xdr:sp macro="" textlink="">
          <xdr:nvSpPr>
            <xdr:cNvPr id="42080" name="CommandButton8" hidden="1">
              <a:extLst>
                <a:ext uri="{63B3BB69-23CF-44E3-9099-C40C66FF867C}">
                  <a14:compatExt spid="_x0000_s42080"/>
                </a:ext>
                <a:ext uri="{FF2B5EF4-FFF2-40B4-BE49-F238E27FC236}">
                  <a16:creationId xmlns:a16="http://schemas.microsoft.com/office/drawing/2014/main" id="{00000000-0008-0000-0200-000060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7</xdr:row>
          <xdr:rowOff>0</xdr:rowOff>
        </xdr:from>
        <xdr:to>
          <xdr:col>256</xdr:col>
          <xdr:colOff>304800</xdr:colOff>
          <xdr:row>8</xdr:row>
          <xdr:rowOff>114300</xdr:rowOff>
        </xdr:to>
        <xdr:sp macro="" textlink="">
          <xdr:nvSpPr>
            <xdr:cNvPr id="42081" name="CommandButton13" hidden="1">
              <a:extLst>
                <a:ext uri="{63B3BB69-23CF-44E3-9099-C40C66FF867C}">
                  <a14:compatExt spid="_x0000_s42081"/>
                </a:ext>
                <a:ext uri="{FF2B5EF4-FFF2-40B4-BE49-F238E27FC236}">
                  <a16:creationId xmlns:a16="http://schemas.microsoft.com/office/drawing/2014/main" id="{00000000-0008-0000-0200-00006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38100</xdr:rowOff>
        </xdr:to>
        <xdr:sp macro="" textlink="">
          <xdr:nvSpPr>
            <xdr:cNvPr id="42082" name="CommandButton14" hidden="1">
              <a:extLst>
                <a:ext uri="{63B3BB69-23CF-44E3-9099-C40C66FF867C}">
                  <a14:compatExt spid="_x0000_s42082"/>
                </a:ext>
                <a:ext uri="{FF2B5EF4-FFF2-40B4-BE49-F238E27FC236}">
                  <a16:creationId xmlns:a16="http://schemas.microsoft.com/office/drawing/2014/main" id="{00000000-0008-0000-0200-00006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255</xdr:col>
          <xdr:colOff>219075</xdr:colOff>
          <xdr:row>13</xdr:row>
          <xdr:rowOff>85725</xdr:rowOff>
        </xdr:from>
        <xdr:to>
          <xdr:col>256</xdr:col>
          <xdr:colOff>209550</xdr:colOff>
          <xdr:row>15</xdr:row>
          <xdr:rowOff>104775</xdr:rowOff>
        </xdr:to>
        <xdr:sp macro="" textlink="">
          <xdr:nvSpPr>
            <xdr:cNvPr id="42083" name="OptionButton4" hidden="1">
              <a:extLst>
                <a:ext uri="{63B3BB69-23CF-44E3-9099-C40C66FF867C}">
                  <a14:compatExt spid="_x0000_s42083"/>
                </a:ext>
                <a:ext uri="{FF2B5EF4-FFF2-40B4-BE49-F238E27FC236}">
                  <a16:creationId xmlns:a16="http://schemas.microsoft.com/office/drawing/2014/main" id="{00000000-0008-0000-0200-000063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255</xdr:col>
          <xdr:colOff>219075</xdr:colOff>
          <xdr:row>9</xdr:row>
          <xdr:rowOff>76200</xdr:rowOff>
        </xdr:from>
        <xdr:to>
          <xdr:col>256</xdr:col>
          <xdr:colOff>209550</xdr:colOff>
          <xdr:row>11</xdr:row>
          <xdr:rowOff>85725</xdr:rowOff>
        </xdr:to>
        <xdr:sp macro="" textlink="">
          <xdr:nvSpPr>
            <xdr:cNvPr id="42085" name="OptionButton6" hidden="1">
              <a:extLst>
                <a:ext uri="{63B3BB69-23CF-44E3-9099-C40C66FF867C}">
                  <a14:compatExt spid="_x0000_s42085"/>
                </a:ext>
                <a:ext uri="{FF2B5EF4-FFF2-40B4-BE49-F238E27FC236}">
                  <a16:creationId xmlns:a16="http://schemas.microsoft.com/office/drawing/2014/main" id="{00000000-0008-0000-0200-000065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2</xdr:row>
          <xdr:rowOff>28575</xdr:rowOff>
        </xdr:from>
        <xdr:to>
          <xdr:col>256</xdr:col>
          <xdr:colOff>304800</xdr:colOff>
          <xdr:row>4</xdr:row>
          <xdr:rowOff>0</xdr:rowOff>
        </xdr:to>
        <xdr:sp macro="" textlink="">
          <xdr:nvSpPr>
            <xdr:cNvPr id="42086" name="TextBox5" hidden="1">
              <a:extLst>
                <a:ext uri="{63B3BB69-23CF-44E3-9099-C40C66FF867C}">
                  <a14:compatExt spid="_x0000_s42086"/>
                </a:ext>
                <a:ext uri="{FF2B5EF4-FFF2-40B4-BE49-F238E27FC236}">
                  <a16:creationId xmlns:a16="http://schemas.microsoft.com/office/drawing/2014/main" id="{00000000-0008-0000-0200-000066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4</xdr:row>
          <xdr:rowOff>104775</xdr:rowOff>
        </xdr:from>
        <xdr:to>
          <xdr:col>256</xdr:col>
          <xdr:colOff>304800</xdr:colOff>
          <xdr:row>6</xdr:row>
          <xdr:rowOff>76200</xdr:rowOff>
        </xdr:to>
        <xdr:sp macro="" textlink="">
          <xdr:nvSpPr>
            <xdr:cNvPr id="42087" name="TextBox6" hidden="1">
              <a:extLst>
                <a:ext uri="{63B3BB69-23CF-44E3-9099-C40C66FF867C}">
                  <a14:compatExt spid="_x0000_s42087"/>
                </a:ext>
                <a:ext uri="{FF2B5EF4-FFF2-40B4-BE49-F238E27FC236}">
                  <a16:creationId xmlns:a16="http://schemas.microsoft.com/office/drawing/2014/main" id="{00000000-0008-0000-0200-000067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9</xdr:row>
          <xdr:rowOff>66675</xdr:rowOff>
        </xdr:from>
        <xdr:to>
          <xdr:col>256</xdr:col>
          <xdr:colOff>304800</xdr:colOff>
          <xdr:row>11</xdr:row>
          <xdr:rowOff>38100</xdr:rowOff>
        </xdr:to>
        <xdr:sp macro="" textlink="">
          <xdr:nvSpPr>
            <xdr:cNvPr id="42088" name="TextBox7" hidden="1">
              <a:extLst>
                <a:ext uri="{63B3BB69-23CF-44E3-9099-C40C66FF867C}">
                  <a14:compatExt spid="_x0000_s42088"/>
                </a:ext>
                <a:ext uri="{FF2B5EF4-FFF2-40B4-BE49-F238E27FC236}">
                  <a16:creationId xmlns:a16="http://schemas.microsoft.com/office/drawing/2014/main" id="{00000000-0008-0000-0200-000068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0</xdr:rowOff>
        </xdr:from>
        <xdr:to>
          <xdr:col>256</xdr:col>
          <xdr:colOff>304800</xdr:colOff>
          <xdr:row>11</xdr:row>
          <xdr:rowOff>114300</xdr:rowOff>
        </xdr:to>
        <xdr:sp macro="" textlink="">
          <xdr:nvSpPr>
            <xdr:cNvPr id="42089" name="TextBox8" hidden="1">
              <a:extLst>
                <a:ext uri="{63B3BB69-23CF-44E3-9099-C40C66FF867C}">
                  <a14:compatExt spid="_x0000_s42089"/>
                </a:ext>
                <a:ext uri="{FF2B5EF4-FFF2-40B4-BE49-F238E27FC236}">
                  <a16:creationId xmlns:a16="http://schemas.microsoft.com/office/drawing/2014/main" id="{00000000-0008-0000-0200-000069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4" name="CommandButton15" hidden="1">
              <a:extLst>
                <a:ext uri="{63B3BB69-23CF-44E3-9099-C40C66FF867C}">
                  <a14:compatExt spid="_x0000_s42114"/>
                </a:ext>
                <a:ext uri="{FF2B5EF4-FFF2-40B4-BE49-F238E27FC236}">
                  <a16:creationId xmlns:a16="http://schemas.microsoft.com/office/drawing/2014/main" id="{00000000-0008-0000-0200-00008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5" name="CommandButton16" hidden="1">
              <a:extLst>
                <a:ext uri="{63B3BB69-23CF-44E3-9099-C40C66FF867C}">
                  <a14:compatExt spid="_x0000_s42115"/>
                </a:ext>
                <a:ext uri="{FF2B5EF4-FFF2-40B4-BE49-F238E27FC236}">
                  <a16:creationId xmlns:a16="http://schemas.microsoft.com/office/drawing/2014/main" id="{00000000-0008-0000-0200-000083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6" name="CommandButton17" hidden="1">
              <a:extLst>
                <a:ext uri="{63B3BB69-23CF-44E3-9099-C40C66FF867C}">
                  <a14:compatExt spid="_x0000_s42116"/>
                </a:ext>
                <a:ext uri="{FF2B5EF4-FFF2-40B4-BE49-F238E27FC236}">
                  <a16:creationId xmlns:a16="http://schemas.microsoft.com/office/drawing/2014/main" id="{00000000-0008-0000-0200-000084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7" name="CommandButton18" hidden="1">
              <a:extLst>
                <a:ext uri="{63B3BB69-23CF-44E3-9099-C40C66FF867C}">
                  <a14:compatExt spid="_x0000_s42117"/>
                </a:ext>
                <a:ext uri="{FF2B5EF4-FFF2-40B4-BE49-F238E27FC236}">
                  <a16:creationId xmlns:a16="http://schemas.microsoft.com/office/drawing/2014/main" id="{00000000-0008-0000-0200-000085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8" name="CommandButton19" hidden="1">
              <a:extLst>
                <a:ext uri="{63B3BB69-23CF-44E3-9099-C40C66FF867C}">
                  <a14:compatExt spid="_x0000_s42118"/>
                </a:ext>
                <a:ext uri="{FF2B5EF4-FFF2-40B4-BE49-F238E27FC236}">
                  <a16:creationId xmlns:a16="http://schemas.microsoft.com/office/drawing/2014/main" id="{00000000-0008-0000-0200-000086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9" name="CommandButton20" hidden="1">
              <a:extLst>
                <a:ext uri="{63B3BB69-23CF-44E3-9099-C40C66FF867C}">
                  <a14:compatExt spid="_x0000_s42119"/>
                </a:ext>
                <a:ext uri="{FF2B5EF4-FFF2-40B4-BE49-F238E27FC236}">
                  <a16:creationId xmlns:a16="http://schemas.microsoft.com/office/drawing/2014/main" id="{00000000-0008-0000-0200-000087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295275</xdr:colOff>
          <xdr:row>10</xdr:row>
          <xdr:rowOff>66675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20" name="CommandButton21" hidden="1">
              <a:extLst>
                <a:ext uri="{63B3BB69-23CF-44E3-9099-C40C66FF867C}">
                  <a14:compatExt spid="_x0000_s42120"/>
                </a:ext>
                <a:ext uri="{FF2B5EF4-FFF2-40B4-BE49-F238E27FC236}">
                  <a16:creationId xmlns:a16="http://schemas.microsoft.com/office/drawing/2014/main" id="{00000000-0008-0000-0200-000088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16</xdr:col>
      <xdr:colOff>44450</xdr:colOff>
      <xdr:row>0</xdr:row>
      <xdr:rowOff>0</xdr:rowOff>
    </xdr:from>
    <xdr:to>
      <xdr:col>21</xdr:col>
      <xdr:colOff>523875</xdr:colOff>
      <xdr:row>37</xdr:row>
      <xdr:rowOff>112059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2484100" y="0"/>
          <a:ext cx="5375275" cy="5398434"/>
          <a:chOff x="13830300" y="0"/>
          <a:chExt cx="6997700" cy="6868459"/>
        </a:xfrm>
      </xdr:grpSpPr>
      <xdr:graphicFrame macro="">
        <xdr:nvGraphicFramePr>
          <xdr:cNvPr id="21" name="Graphiqu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GraphicFramePr>
            <a:graphicFrameLocks/>
          </xdr:cNvGraphicFramePr>
        </xdr:nvGraphicFramePr>
        <xdr:xfrm>
          <a:off x="13830300" y="0"/>
          <a:ext cx="6967071" cy="2480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2" name="Graphiqu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aphicFramePr>
            <a:graphicFrameLocks/>
          </xdr:cNvGraphicFramePr>
        </xdr:nvGraphicFramePr>
        <xdr:xfrm>
          <a:off x="13843001" y="2374900"/>
          <a:ext cx="6705600" cy="228375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3" name="Graphiqu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aphicFramePr>
            <a:graphicFrameLocks/>
          </xdr:cNvGraphicFramePr>
        </xdr:nvGraphicFramePr>
        <xdr:xfrm>
          <a:off x="13830301" y="4557059"/>
          <a:ext cx="6997699" cy="2311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19</xdr:col>
      <xdr:colOff>306712</xdr:colOff>
      <xdr:row>37</xdr:row>
      <xdr:rowOff>64767</xdr:rowOff>
    </xdr:from>
    <xdr:to>
      <xdr:col>20</xdr:col>
      <xdr:colOff>10842</xdr:colOff>
      <xdr:row>41</xdr:row>
      <xdr:rowOff>79823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965687" y="5351142"/>
          <a:ext cx="704255" cy="586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PPA Term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638175</xdr:colOff>
          <xdr:row>47</xdr:row>
          <xdr:rowOff>142875</xdr:rowOff>
        </xdr:from>
        <xdr:to>
          <xdr:col>1</xdr:col>
          <xdr:colOff>1095375</xdr:colOff>
          <xdr:row>49</xdr:row>
          <xdr:rowOff>0</xdr:rowOff>
        </xdr:to>
        <xdr:sp macro="" textlink="">
          <xdr:nvSpPr>
            <xdr:cNvPr id="42121" name="bt_prodcase" hidden="1">
              <a:extLst>
                <a:ext uri="{63B3BB69-23CF-44E3-9099-C40C66FF867C}">
                  <a14:compatExt spid="_x0000_s42121"/>
                </a:ext>
                <a:ext uri="{FF2B5EF4-FFF2-40B4-BE49-F238E27FC236}">
                  <a16:creationId xmlns:a16="http://schemas.microsoft.com/office/drawing/2014/main" id="{00000000-0008-0000-0200-000089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P_50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219075</xdr:colOff>
          <xdr:row>175</xdr:row>
          <xdr:rowOff>104775</xdr:rowOff>
        </xdr:from>
        <xdr:to>
          <xdr:col>3</xdr:col>
          <xdr:colOff>752475</xdr:colOff>
          <xdr:row>177</xdr:row>
          <xdr:rowOff>38100</xdr:rowOff>
        </xdr:to>
        <xdr:sp macro="" textlink="">
          <xdr:nvSpPr>
            <xdr:cNvPr id="43010" name="Button 2" hidden="1">
              <a:extLst>
                <a:ext uri="{63B3BB69-23CF-44E3-9099-C40C66FF867C}">
                  <a14:compatExt spid="_x0000_s43010"/>
                </a:ext>
                <a:ext uri="{FF2B5EF4-FFF2-40B4-BE49-F238E27FC236}">
                  <a16:creationId xmlns:a16="http://schemas.microsoft.com/office/drawing/2014/main" id="{00000000-0008-0000-0300-000002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Sizing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76200</xdr:colOff>
          <xdr:row>1</xdr:row>
          <xdr:rowOff>28575</xdr:rowOff>
        </xdr:from>
        <xdr:to>
          <xdr:col>4</xdr:col>
          <xdr:colOff>876300</xdr:colOff>
          <xdr:row>2</xdr:row>
          <xdr:rowOff>180975</xdr:rowOff>
        </xdr:to>
        <xdr:sp macro="" textlink="">
          <xdr:nvSpPr>
            <xdr:cNvPr id="62465" name="Button 2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4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Sizing</a:t>
              </a:r>
            </a:p>
          </xdr:txBody>
        </xdr:sp>
        <xdr:clientData fPrintsWithSheet="0"/>
      </xdr:twoCellAnchor>
    </mc:Choice>
    <mc:Fallback/>
  </mc:AlternateContent>
  <xdr:twoCellAnchor>
    <xdr:from>
      <xdr:col>12</xdr:col>
      <xdr:colOff>105769</xdr:colOff>
      <xdr:row>352</xdr:row>
      <xdr:rowOff>160058</xdr:rowOff>
    </xdr:from>
    <xdr:to>
      <xdr:col>26</xdr:col>
      <xdr:colOff>316253</xdr:colOff>
      <xdr:row>379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F9DEA-FDD9-B2F2-EE9F-1F8DFFAA6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240180</xdr:colOff>
      <xdr:row>391</xdr:row>
      <xdr:rowOff>49118</xdr:rowOff>
    </xdr:from>
    <xdr:to>
      <xdr:col>20</xdr:col>
      <xdr:colOff>0</xdr:colOff>
      <xdr:row>412</xdr:row>
      <xdr:rowOff>33617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5D3CA9-1671-2809-26B9-F171D143B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301625</xdr:colOff>
      <xdr:row>174</xdr:row>
      <xdr:rowOff>11112</xdr:rowOff>
    </xdr:from>
    <xdr:to>
      <xdr:col>13</xdr:col>
      <xdr:colOff>206375</xdr:colOff>
      <xdr:row>194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78DC2-9705-C606-EA5E-0EC59F005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fm\EXCELD\Ca%20Stat-Vtes\Ca-2002\Tdb-CA\TAB10-20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mb.frparnas10.fr.kworld.kpmg.com/datadir01/1996/SEPTACTZ/ACTZ-B.XLW" TargetMode="External"/><Relationship Id="rId1" Type="http://schemas.openxmlformats.org/officeDocument/2006/relationships/externalLinkPath" Target="/smb.frparnas10.fr.kworld.kpmg.com/datadir01/1996/SEPTACTZ/ACTZ-B.XLW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THERMI/Cog&#233;TB.xls" TargetMode="External"/><Relationship Id="rId1" Type="http://schemas.openxmlformats.org/officeDocument/2006/relationships/externalLinkPath" Target="/aforge.dom/root/THERMI/Cog&#233;TB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Storage/private/Documents%20and%20Settings/lav/Mes%20documents/Mod&#232;les%20D&amp;T/ACHBUD99.XLS" TargetMode="External"/><Relationship Id="rId1" Type="http://schemas.openxmlformats.org/officeDocument/2006/relationships/externalLinkPath" Target="/aforge.dom/root/Storage/private/Documents%20and%20Settings/lav/Mes%20documents/Mod&#232;les%20D&amp;T/ACHBUD99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Documents%20and%20Settings/ut0hf1/Desktop/Trash.xls" TargetMode="External"/><Relationship Id="rId1" Type="http://schemas.openxmlformats.org/officeDocument/2006/relationships/externalLinkPath" Target="/Documents%20and%20Settings/ut0hf1/Desktop/Trash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Corporate%20Finance/Missions/NBP/Documents%20de%20travail/4.%20Business%20plan/BP%20Aforge%20-%20v19.xls" TargetMode="External"/><Relationship Id="rId1" Type="http://schemas.openxmlformats.org/officeDocument/2006/relationships/externalLinkPath" Target="/aforge.dom/root/Corporate%20Finance/Missions/NBP/Documents%20de%20travail/4.%20Business%20plan/BP%20Aforge%20-%20v19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Groupe/hyperion/budget/cloture%20des%20comptes/cl&#244;tures%20mensuelles/septembre/ROMAIN/NEGOCE/GLOBAL/cloture%20des%20comptes/cl&#244;tures%20mensuelles/cl&#244;tures%20mensuelles/1260499.xls" TargetMode="External"/><Relationship Id="rId1" Type="http://schemas.openxmlformats.org/officeDocument/2006/relationships/externalLinkPath" Target="/Groupe/hyperion/budget/cloture%20des%20comptes/cl&#244;tures%20mensuelles/septembre/ROMAIN/NEGOCE/GLOBAL/cloture%20des%20comptes/cl&#244;tures%20mensuelles/cl&#244;tures%20mensuelles/12604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COURBES%20SALONS%202004\COURBES%20SALONS%202001\shebdo01.xls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aforge.dom/root/Documents%20and%20Settings/gplancho/Local%20Settings/Temporary%20Internet%20Files/Content.Outlook/TS105NTV/windows/Temporary%20Internet%20Files/OLK2363/pret%20telegestion%20agirest%2010ans2.xls" TargetMode="External"/><Relationship Id="rId2" Type="http://schemas.microsoft.com/office/2019/04/relationships/externalLinkLongPath" Target="/aforge.dom/root/Documents%20and%20Settings/gplancho/Local%20Settings/Temporary%20Internet%20Files/Content.Outlook/TS105NTV/windows/Temporary%20Internet%20Files/OLK2363/pret%20telegestion%20agirest%2010ans2.xls?E8EE1F6B" TargetMode="External"/><Relationship Id="rId1" Type="http://schemas.openxmlformats.org/officeDocument/2006/relationships/externalLinkPath" Target="file:///\\E8EE1F6B\pret%20telegestion%20agirest%2010ans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T-BP-Fixe25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COURBES%20SALONS%202004\Shebdo04%20CA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DOCUME~1/UT0B6W~1.EME/LOCALS~1/Temp/c.donnees.notes/ProjectOregon-TT%20Mngt%20case%20v2.xls" TargetMode="External"/><Relationship Id="rId1" Type="http://schemas.openxmlformats.org/officeDocument/2006/relationships/externalLinkPath" Target="/DOCUME~1/UT0B6W~1.EME/LOCALS~1/Temp/c.donnees.notes/ProjectOregon-TT%20Mngt%20case%20v2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2k-nas-adr/adrh/HAN/Arh2002/person/perconseu.xls" TargetMode="External"/><Relationship Id="rId1" Type="http://schemas.openxmlformats.org/officeDocument/2006/relationships/externalLinkPath" Target="/S2k-nas-adr/adrh/HAN/Arh2002/person/perconseu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parsf12/corporate/Corporate%20Finance/Missions/NBP/Documents%20de%20travail/4.%20Business%20plan/BP%20Aforge%20-%20v19.xls" TargetMode="External"/><Relationship Id="rId1" Type="http://schemas.openxmlformats.org/officeDocument/2006/relationships/externalLinkPath" Target="/Afparsf12/corporate/Corporate%20Finance/Missions/NBP/Documents%20de%20travail/4.%20Business%20plan/BP%20Aforge%20-%20v19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cfs01/accounting/_fredh/_CLOSE_LV/2004/empty.xls" TargetMode="External"/><Relationship Id="rId1" Type="http://schemas.openxmlformats.org/officeDocument/2006/relationships/externalLinkPath" Target="/Scfs01/accounting/_fredh/_CLOSE_LV/2004/empty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iblns001vf/dicaprio/TEMP/cache/OLK7D/Caroline%20Model.xls" TargetMode="External"/><Relationship Id="rId1" Type="http://schemas.openxmlformats.org/officeDocument/2006/relationships/externalLinkPath" Target="/iblns001vf/dicaprio/TEMP/cache/OLK7D/Caroline%20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UN\PD\1999\REPORTING\07\Synthese\8eme\8eme07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ldnpfs009/shared/TEMP/DCF%20BASE%20CASE%20220202_AIG.xls" TargetMode="External"/><Relationship Id="rId1" Type="http://schemas.openxmlformats.org/officeDocument/2006/relationships/externalLinkPath" Target="/ldnpfs009/shared/TEMP/DCF%20BASE%20CASE%20220202_AI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.C.D\Gestion%20entreprises\4%20Suivi%20des%20participations\APB\2%20suivi\d&#233;pouillement%20annuel\1d&#233;pouillement%20consolid&#233;%20groupe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zSandra/1.%20Contr&#244;le%20de%20gestion/Planning/Budgets%202005/Session%20mai%202005/Confirmation%20du%20budget/CdR/1.%20IC&amp;T/IC&amp;T%20-%20Salons%20consolid&#233;s/Vis&#233;e%201%202005%20-%20IC&amp;T.xls" TargetMode="External"/><Relationship Id="rId1" Type="http://schemas.openxmlformats.org/officeDocument/2006/relationships/externalLinkPath" Target="/zSandra/1.%20Contr&#244;le%20de%20gestion/Planning/Budgets%202005/Session%20mai%202005/Confirmation%20du%20budget/CdR/1.%20IC&amp;T/IC&amp;T%20-%20Salons%20consolid&#233;s/Vis&#233;e%201%202005%20-%20IC&amp;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rporate%20Finance\D&#233;veloppement\C\Chateauform'\2015%2002%20XX%20-%20Pr&#233;sentation%20placement%20priv&#233;\2.%20Documents%20re&#231;us\2015%2003%2012%20-%20El&#233;ments%20compl&#233;mentaires%202\BP%202015%202020%20Janv%202015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aforge.dom/root/Icv_nt3/snetto$/ERP%20INSERT%20&amp;%20PROX%20France/Synth&#232;se/Budget/Bus%20Plan%20Ann&#233;e%20civile%2099-2000/D&#233;tails%20&amp;%20Analyses/Exploitation/001207.VMMDCdS.Budget%20Pr&#233;visionnel%202001%20au%202111.v03.xls" TargetMode="External"/><Relationship Id="rId2" Type="http://schemas.microsoft.com/office/2019/04/relationships/externalLinkLongPath" Target="/aforge.dom/root/Icv_nt3/snetto$/ERP%20INSERT%20&amp;%20PROX%20France/Synth&#232;se/Budget/Bus%20Plan%20Ann&#233;e%20civile%2099-2000/D&#233;tails%20&amp;%20Analyses/Exploitation/001207.VMMDCdS.Budget%20Pr&#233;visionnel%202001%20au%202111.v03.xls?891FC5F4" TargetMode="External"/><Relationship Id="rId1" Type="http://schemas.openxmlformats.org/officeDocument/2006/relationships/externalLinkPath" Target="file:///\\891FC5F4\001207.VMMDCdS.Budget%20Pr&#233;visionnel%202001%20au%202111.v03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Excel/BEPP/resultat.XLS" TargetMode="External"/><Relationship Id="rId1" Type="http://schemas.openxmlformats.org/officeDocument/2006/relationships/externalLinkPath" Target="/Excel/BEPP/resulta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DPA303/ib_Admin$/@Team%20phd/Vieux%20Pitchs%20et%20Mandats/Sweet/Valo/Comparables/Bonus/Team%20YQ/Acapulco/Comparables/Multiples%20boursiers%20ISP.xls" TargetMode="External"/><Relationship Id="rId1" Type="http://schemas.openxmlformats.org/officeDocument/2006/relationships/externalLinkPath" Target="/SDPA303/ib_Admin$/@Team%20phd/Vieux%20Pitchs%20et%20Mandats/Sweet/Valo/Comparables/Bonus/Team%20YQ/Acapulco/Comparables/Multiples%20boursiers%20ISP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roupe\Controle_Gestion\Donn&#233;es_Communes\BUSINESS%20FINANCE%20-%20DOCUMENTS%20DE%20TRAVAIL\BCS%202007\Final%20run_31032008\Analysis\HYB%20P&amp;L_20080401_manually%20adjusted%20for%20exceptional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Utilities/@%20Amoc/06.%20Valuation/Amoc%20Stock%20Graphs.xls" TargetMode="External"/><Relationship Id="rId1" Type="http://schemas.openxmlformats.org/officeDocument/2006/relationships/externalLinkPath" Target="/Utilities/@%20Amoc/06.%20Valuation/Amoc%20Stock%20Graphs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CORP&amp;CONSO/Documents%20partages/General/Valorisation/2.%20AFS%20Valuation/2024.12.31/AFS_COMBINED_DDM_31122024.xlsx" TargetMode="External"/><Relationship Id="rId2" Type="http://schemas.openxmlformats.org/officeDocument/2006/relationships/externalLinkPath" Target="https://akuoenergy.sharepoint.com/sites/CORP&amp;CONSO/Documents%20partages/General/Valorisation/2.%20AFS%20Valuation/2024.12.31/AFS_COMBINED_DDM_31122024.xlsx" TargetMode="External"/><Relationship Id="rId1" Type="http://schemas.openxmlformats.org/officeDocument/2006/relationships/externalLinkPath" Target="/sites/CORP&amp;CONSO/Documents%20partages/General/Valorisation/2.%20AFS%20Valuation/2024.12.31/AFS_COMBINED_DDM_3112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RG\REAM\FINANCE\FIN_ACC\REPORTING\BUITENLAND\REI-AS-MAN\ADM-CONC\Log%20Prop%20Fund\Reports%202003\2003-Q2\2002-Q3\510%20GOUSSAINVILLE%203Q02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Frpldfsr21/folders_audit/Users/cxu/Dropbox%20(EXELMANS)/3%20-Transaction%20Services%20Quotidien/Due%20Diligences/VDD%20Ividata/Travaux%20CX/Fichier%20Conso%20Ividata_vCX%2018.10.18%20hors%20Tools.xlsm" TargetMode="External"/><Relationship Id="rId1" Type="http://schemas.openxmlformats.org/officeDocument/2006/relationships/externalLinkPath" Target="/Frpldfsr21/folders_audit/Users/cxu/Dropbox%20(EXELMANS)/3%20-Transaction%20Services%20Quotidien/Due%20Diligences/VDD%20Ividata/Travaux%20CX/Fichier%20Conso%20Ividata_vCX%2018.10.18%20hors%20Tools.xlsm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ASSETMANAGEMENTOPERATIONS/INTERFACE%20%20PERFORMANCE/04.%20Interfaces/00.%20Project%20reviews/01.%20Projects/Greece/Adriani/SOLAR%20OPEX%20Tool%20-%20Adriani-%20hybrid.xlsm" TargetMode="External"/><Relationship Id="rId2" Type="http://schemas.openxmlformats.org/officeDocument/2006/relationships/externalLinkPath" Target="https://akuoenergy.sharepoint.com/sites/ASSETMANAGEMENTOPERATIONS/INTERFACE%20%20PERFORMANCE/04.%20Interfaces/00.%20Project%20reviews/01.%20Projects/Greece/Adriani/SOLAR%20OPEX%20Tool%20-%20Adriani-%20hybrid.xlsm" TargetMode="External"/><Relationship Id="rId1" Type="http://schemas.openxmlformats.org/officeDocument/2006/relationships/externalLinkPath" Target="/sites/ASSETMANAGEMENTOPERATIONS/INTERFACE%20%20PERFORMANCE/04.%20Interfaces/00.%20Project%20reviews/01.%20Projects/Greece/Adriani/SOLAR%20OPEX%20Tool%20-%20Adriani-%20hybrid.xlsm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13%2003%202006/VNC/FPC/FPC/SUBSIDIARY%20COMPANIES/ADR%20Tel/Management%20Report/2004/REPORT/Dic%2004/Maturati/PianoConti(All_eco%20gest%2030%20IX%202004).xls" TargetMode="External"/><Relationship Id="rId1" Type="http://schemas.openxmlformats.org/officeDocument/2006/relationships/externalLinkPath" Target="/13%2003%202006/VNC/FPC/FPC/SUBSIDIARY%20COMPANIES/ADR%20Tel/Management%20Report/2004/REPORT/Dic%2004/Maturati/PianoConti(All_eco%20gest%2030%20IX%202004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HUNGARY\telmkt\cf%20model%20noki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Missions\Family%20Service\Docs%20de%20travail\Valorisation\Recherche%20de%20transactions%20comparables\Transactions%20comparables%20-%20internet%20-%20PV%20et%20VU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lotures%202004\INSERT\41%20Clients\GESTION%20COMMERCIALE\12%20(D&#233;cembre)\Synth&#232;se%20CA%20%20&#224;%20122004%20V3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Sandrine%20Canot/RESULTATS%20MENSUELS/REX/2004/BUDGET2004%20-%20ASF-REX.xls" TargetMode="External"/><Relationship Id="rId1" Type="http://schemas.openxmlformats.org/officeDocument/2006/relationships/externalLinkPath" Target="/aforge.dom/root/Sandrine%20Canot/RESULTATS%20MENSUELS/REX/2004/BUDGET2004%20-%20ASF-REX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personal/hansen_akuoenergy_com/Documents/Documents/Greece/Adriani/S_Greek_Adriani%20(Drama%20E)_Financial%20Model_07_01_2026_.xlsm" TargetMode="External"/><Relationship Id="rId2" Type="http://schemas.openxmlformats.org/officeDocument/2006/relationships/externalLinkPath" Target="https://akuoenergy-my.sharepoint.com/personal/hansen_akuoenergy_com/Documents/Documents/Greece/Adriani/S_Greek_Adriani%20(Drama%20E)_Financial%20Model_07_01_2026_.xlsm" TargetMode="External"/><Relationship Id="rId1" Type="http://schemas.openxmlformats.org/officeDocument/2006/relationships/externalLinkPath" Target="/personal/hansen_akuoenergy_com/Documents/Documents/Greece/Adriani/S_Greek_Adriani%20(Drama%20E)_Financial%20Model_07_01_2026_.xlsm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Assystem/2013%2002%20Profil/1.%20Sources%20Excel/Bloomberg%20Assystem%20Analysis.xls" TargetMode="External"/><Relationship Id="rId1" Type="http://schemas.openxmlformats.org/officeDocument/2006/relationships/externalLinkPath" Target="/aforge.dom/root/Assystem/2013%2002%20Profil/1.%20Sources%20Excel/Bloomberg%20Assystem%20Analysis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PROJET%20LAB%20BIO/Informations%20re&#231;ues/Bilan/Emprunts/Cab/4-%20Archives/Etat%20des%20emprunts%20311212.xls!Societe" TargetMode="External"/><Relationship Id="rId1" Type="http://schemas.openxmlformats.org/officeDocument/2006/relationships/externalLinkPath" Target="/aforge.dom/root/PROJET%20LAB%20BIO/Informations%20re&#231;ues/Bilan/Emprunts/Cab/4-%20Archives/Etat%20des%20emprunts%20311212.xls!Societe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lotures%202003\ICVC%202003\41%20Clients\GESTION%20COMMERCIALE\12%20(D&#233;cembre)\Synth&#232;se%20CA%20%20&#224;%20122003%20v2%20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DPA303/ib_Admin$/Aff82/IT/OnePager.xls" TargetMode="External"/><Relationship Id="rId1" Type="http://schemas.openxmlformats.org/officeDocument/2006/relationships/externalLinkPath" Target="/SDPA303/ib_Admin$/Aff82/IT/OnePager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aro/biensequip/Biennale2001/suivi01/Biennalsuivi01.xls" TargetMode="External"/><Relationship Id="rId1" Type="http://schemas.openxmlformats.org/officeDocument/2006/relationships/externalLinkPath" Target="/caro/biensequip/Biennale2001/suivi01/Biennalsuivi01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pars0002/UserHomeDrives$/DOSSIERS.S44/EF40/0198BSAP/SIG.EXC" TargetMode="External"/><Relationship Id="rId1" Type="http://schemas.openxmlformats.org/officeDocument/2006/relationships/externalLinkPath" Target="/pars0002/UserHomeDrives$/DOSSIERS.S44/EF40/0198BSAP/SIG.EXC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businessactivities/GREECE/ADRIANI%20(DRAMA%20E)/IPP/ADMIN/PROJECT%20FINANCE/FINANCIAL%20MODEL/S_Greek_Adriani_v18022026_Hybrid_Afry_vFF.xlsm" TargetMode="External"/><Relationship Id="rId2" Type="http://schemas.openxmlformats.org/officeDocument/2006/relationships/externalLinkPath" Target="https://akuoenergy.sharepoint.com/sites/businessactivities/GREECE/ADRIANI%20(DRAMA%20E)/IPP/ADMIN/PROJECT%20FINANCE/FINANCIAL%20MODEL/S_Greek_Adriani_v18022026_Hybrid_Afry_vFF.xlsm" TargetMode="External"/><Relationship Id="rId1" Type="http://schemas.openxmlformats.org/officeDocument/2006/relationships/externalLinkPath" Target="/sites/businessactivities/GREECE/ADRIANI%20(DRAMA%20E)/IPP/ADMIN/PROJECT%20FINANCE/FINANCIAL%20MODEL/S_Greek_Adriani_v18022026_Hybrid_Afry_vFF.xlsm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Icv_nt3/snetto$/ERP%20SDGP22A%20-%20ICVC/Budget%20&amp;%20Bus%20Plan/2001/Budget%20valid&#233;/CASH%20FLOW/010327.BdLSNE.CashFlow.V27c.xls" TargetMode="External"/><Relationship Id="rId1" Type="http://schemas.openxmlformats.org/officeDocument/2006/relationships/externalLinkPath" Target="/aforge.dom/root/Icv_nt3/snetto$/ERP%20SDGP22A%20-%20ICVC/Budget%20&amp;%20Bus%20Plan/2001/Budget%20valid&#233;/CASH%20FLOW/010327.BdLSNE.CashFlow.V27c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K2%20TEAM/Project%20Saint%20Gobain/Project%20Radius/Excel%20model/AF33/victoire/CompsTrans/comps17-05.xls" TargetMode="External"/><Relationship Id="rId1" Type="http://schemas.openxmlformats.org/officeDocument/2006/relationships/externalLinkPath" Target="/K2%20TEAM/Project%20Saint%20Gobain/Project%20Radius/Excel%20model/AF33/victoire/CompsTrans/comps17-05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DPA303/ib_Admin$/@MFCA%20Team/Marion/699B6E40." TargetMode="External"/><Relationship Id="rId1" Type="http://schemas.openxmlformats.org/officeDocument/2006/relationships/externalLinkPath" Target="/SDPA303/ib_Admin$/@MFCA%20Team/Marion/699B6E40.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mb.frparnas10.fr.kworld.kpmg.com/datadir01/Fichiers/PERSO/Villers/Tnf/TNF1203.xls" TargetMode="External"/><Relationship Id="rId1" Type="http://schemas.openxmlformats.org/officeDocument/2006/relationships/externalLinkPath" Target="/smb.frparnas10.fr.kworld.kpmg.com/datadir01/Fichiers/PERSO/Villers/Tnf/TNF1203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Assystem/2013%2002%20Profil/1.%20Sources%20Excel/2013%2002%20Profil%20Assystem%20&amp;%20DCI.xlsx" TargetMode="External"/><Relationship Id="rId1" Type="http://schemas.openxmlformats.org/officeDocument/2006/relationships/externalLinkPath" Target="/aforge.dom/root/Assystem/2013%2002%20Profil/1.%20Sources%20Excel/2013%2002%20Profil%20Assystem%20&amp;%20DCI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DRH\adrh_12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FRPLDFSR11/Folders_Audit/Methodology%20Training/Guides%20MT%20France/MT%20France%202007/2.0%20Assistant%20confirm&#233;%202007/07%20Modules%20fran&#231;ais/Imp&#244;ts%20et%20taxes%202007/DEROUSSEL.xls" TargetMode="External"/><Relationship Id="rId1" Type="http://schemas.openxmlformats.org/officeDocument/2006/relationships/externalLinkPath" Target="/FRPLDFSR11/Folders_Audit/Methodology%20Training/Guides%20MT%20France/MT%20France%202007/2.0%20Assistant%20confirm&#233;%202007/07%20Modules%20fran&#231;ais/Imp&#244;ts%20et%20taxes%202007/DEROUSSEL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Corporate%20Finance/Missions%20cotees/NSC%20Groupe/1.%20Documents%20de%20travail/2.%20Valo/DCF/BP%20v1.6%20-%20(23.03.2011).xls" TargetMode="External"/><Relationship Id="rId1" Type="http://schemas.openxmlformats.org/officeDocument/2006/relationships/externalLinkPath" Target="/aforge.dom/root/Corporate%20Finance/Missions%20cotees/NSC%20Groupe/1.%20Documents%20de%20travail/2.%20Valo/DCF/BP%20v1.6%20-%20(23.03.2011)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Nt-ser2/CAE/GiuseppeM/Giuseppe%20M/Tableau/Classeur2.xls" TargetMode="External"/><Relationship Id="rId1" Type="http://schemas.openxmlformats.org/officeDocument/2006/relationships/externalLinkPath" Target="/aforge.dom/root/Nt-ser2/CAE/GiuseppeM/Giuseppe%20M/Tableau/Classeur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Missions\Insert\Documents%20de%20travail\Management%20presentation\DOCUME~1\bdlongue\LOCALS~1\Temp\Monthly%20BP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rvfil01/services/Documents%20and%20Settings/agraj/Local%20Settings/Temporary%20Internet%20Files/OLK128/Ecr%20JLL%202008-12-31.xls" TargetMode="External"/><Relationship Id="rId1" Type="http://schemas.openxmlformats.org/officeDocument/2006/relationships/externalLinkPath" Target="/srvfil01/services/Documents%20and%20Settings/agraj/Local%20Settings/Temporary%20Internet%20Files/OLK128/Ecr%20JLL%202008-12-31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ms-m-01nas/BusinessModel/BP05/Matt's%20Links/Cell%20C%20Citi%20Model_24_01_02.xls" TargetMode="External"/><Relationship Id="rId1" Type="http://schemas.openxmlformats.org/officeDocument/2006/relationships/externalLinkPath" Target="/ms-m-01nas/BusinessModel/BP05/Matt's%20Links/Cell%20C%20Citi%20Model_24_01_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Frank\LOCALS~1\Temp\070630%20Pln0708_GLS%20France%20Opco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rvfil01/services/BUDGET%202015-16/1%20-%20CA/CA%20&amp;%20REDEVANCES%20Budget%202015-2016.xlsx" TargetMode="External"/><Relationship Id="rId1" Type="http://schemas.openxmlformats.org/officeDocument/2006/relationships/externalLinkPath" Target="/srvfil01/services/BUDGET%202015-16/1%20-%20CA/CA%20&amp;%20REDEVANCES%20Budget%202015-2016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Documents%20and%20Settings/SEN/Local%20Settings/Temporary%20Internet%20Files/OLKE/Copie%20de%20Master%20PL%20final.xls" TargetMode="External"/><Relationship Id="rId1" Type="http://schemas.openxmlformats.org/officeDocument/2006/relationships/externalLinkPath" Target="/aforge.dom/root/Documents%20and%20Settings/SEN/Local%20Settings/Temporary%20Internet%20Files/OLKE/Copie%20de%20Master%20PL%20final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Corporate%20Finance/Missions/La%20Tribune/Documents%20de%20travail/Valo/DCF%20-%20BP%20par%20filiale.xls" TargetMode="External"/><Relationship Id="rId1" Type="http://schemas.openxmlformats.org/officeDocument/2006/relationships/externalLinkPath" Target="/aforge.dom/root/Corporate%20Finance/Missions/La%20Tribune/Documents%20de%20travail/Valo/DCF%20-%20BP%20par%20filiale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DOMINO/Costi/BILANCI/CONSOLID.XLS" TargetMode="External"/><Relationship Id="rId1" Type="http://schemas.openxmlformats.org/officeDocument/2006/relationships/externalLinkPath" Target="/DOMINO/Costi/BILANCI/CONSOLID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Documents%20and%20Settings/smaquaire/Bureau/Copie%20SM%2027102006/Stephane.maquaire%20sur%20'lev1-svg1H.5.p1'%20(H)/D&#233;veloppement/Evolution%20du%20portefeuille%20et%20impact%20du%20d&#233;veloppement.xls" TargetMode="External"/><Relationship Id="rId1" Type="http://schemas.openxmlformats.org/officeDocument/2006/relationships/externalLinkPath" Target="/Documents%20and%20Settings/smaquaire/Bureau/Copie%20SM%2027102006/Stephane.maquaire%20sur%20'lev1-svg1H.5.p1'%20(H)/D&#233;veloppement/Evolution%20du%20portefeuille%20et%20impact%20du%20d&#233;veloppement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2k-nas-adr/adrh/ADRH2000/ce/ADRH_127%20bil2000.xls" TargetMode="External"/><Relationship Id="rId1" Type="http://schemas.openxmlformats.org/officeDocument/2006/relationships/externalLinkPath" Target="/S2k-nas-adr/adrh/ADRH2000/ce/ADRH_127%20bil200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%20Documents\asf2000\MES%20DOCUMENTS\Laridja\Tableaux%20de%20bord\Soci&#233;t&#233;s%20industrielles\ASSELIN\Marche%20des%20affaires\ASF-AFR%200698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Mod&#232;le%20de%20tr&#233;sorerie/Mod&#232;le%20de%20tr&#233;sorerie/Exposium-Mod&#232;le%20de%20tr&#233;sorerie%2004-06.xls" TargetMode="External"/><Relationship Id="rId1" Type="http://schemas.openxmlformats.org/officeDocument/2006/relationships/externalLinkPath" Target="/Mod&#232;le%20de%20tr&#233;sorerie/Mod&#232;le%20de%20tr&#233;sorerie/Exposium-Mod&#232;le%20de%20tr&#233;sorerie%2004-0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1.%20CDG\Planning\2006\2006%20Budgets\Sep06\PDC%20092006\Transformer\Import%20plan%20de%20charge\EXPORT%20PLAN%20DE%20CHARGE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10.4.8.26/BusinessModel/BP06/Jun%2006/Base_August%202006/BP06%20JHAdj.xls" TargetMode="External"/><Relationship Id="rId1" Type="http://schemas.openxmlformats.org/officeDocument/2006/relationships/externalLinkPath" Target="/10.4.8.26/BusinessModel/BP06/Jun%2006/Base_August%202006/BP06%20JHAdj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ormer\Import%20plan%20de%20charge\EXPORT%20PLAN%20DE%20CHARGE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DPA303/ib_Admin$/TEMP/Comps_26_06.xls" TargetMode="External"/><Relationship Id="rId1" Type="http://schemas.openxmlformats.org/officeDocument/2006/relationships/externalLinkPath" Target="/SDPA303/ib_Admin$/TEMP/Comps_26_06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Missions\Insert\Documents%20de%20travail\Management%20presentation\Documents%20and%20Settings\stc1\Bureau\Nerim\graphes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rvfil01/services/finance/gestion/Reporting%202013-14/CA/CA%20Tdb%20Diffusion/TdB%20EUROPE%20-%20DBRW.xlsx" TargetMode="External"/><Relationship Id="rId1" Type="http://schemas.openxmlformats.org/officeDocument/2006/relationships/externalLinkPath" Target="/srvfil01/services/finance/gestion/Reporting%202013-14/CA/CA%20Tdb%20Diffusion/TdB%20EUROPE%20-%20DBRW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Icv_nt3/snetto$/Mes%20documents/Reporting%202002/Budget%202002/Covenants/ICV%20-%20Projet%20covenants%20-%2024%20April%202002%20LAST.xls" TargetMode="External"/><Relationship Id="rId1" Type="http://schemas.openxmlformats.org/officeDocument/2006/relationships/externalLinkPath" Target="/aforge.dom/root/Icv_nt3/snetto$/Mes%20documents/Reporting%202002/Budget%202002/Covenants/ICV%20-%20Projet%20covenants%20-%2024%20April%202002%20LAST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DPA303/ib_Admin$/temp/Rentokil%20Personnel.xls" TargetMode="External"/><Relationship Id="rId1" Type="http://schemas.openxmlformats.org/officeDocument/2006/relationships/externalLinkPath" Target="/SDPA303/ib_Admin$/temp/Rentokil%20Personnel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fm\Exceld\Budget\Budget2003\CA-2003\CA-MENSUEL-2003\CA-NSoja-mensualisation%202003B-v1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Corporate%20Finance/Missions/Armor/1-%20Documents%20de%20travail/2.%20Valorisation/Modele%20LBO/Mod&#232;le%20LBO%20Armor%2014.04.08%20post%20call%20(entr&#233;e%20flexible).xls" TargetMode="External"/><Relationship Id="rId1" Type="http://schemas.openxmlformats.org/officeDocument/2006/relationships/externalLinkPath" Target="/aforge.dom/root/Corporate%20Finance/Missions/Armor/1-%20Documents%20de%20travail/2.%20Valorisation/Modele%20LBO/Mod&#232;le%20LBO%20Armor%2014.04.08%20post%20call%20(entr&#233;e%20flexible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D&#233;veloppement\Armor\2.%20Valo\Template%20marekting%20direct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A\TABRESA\SHEBD098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0932325/Groups/PARTAGE/PARTAGE/SUIVI%20COMPTABLE/130%20153%20Courcelles/2003/SCI%20153%203T03/SCI%20153%20WP%2009-03.xls" TargetMode="External"/><Relationship Id="rId1" Type="http://schemas.openxmlformats.org/officeDocument/2006/relationships/externalLinkPath" Target="/A0932325/Groups/PARTAGE/PARTAGE/SUIVI%20COMPTABLE/130%20153%20Courcelles/2003/SCI%20153%203T03/SCI%20153%20WP%2009-03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ommun/SARAH/Cash%20Flow%20Sport%20+/CASH%20FLOW%20GLOBAL/Cash%20flow%20global99%20.xls" TargetMode="External"/><Relationship Id="rId1" Type="http://schemas.openxmlformats.org/officeDocument/2006/relationships/externalLinkPath" Target="/Commun/SARAH/Cash%20Flow%20Sport%20+/CASH%20FLOW%20GLOBAL/Cash%20flow%20global99%20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FRPLDFSR11/Folders_Audit/Methodology%20Training/Guides%20MT%20France/MT%20France%202007/2.0%20Assistant%20confirm&#233;%202007/07%20Modules%20fran&#231;ais/Imp&#244;ts%20et%20taxes%202007/31E4%20gauge.xls" TargetMode="External"/><Relationship Id="rId1" Type="http://schemas.openxmlformats.org/officeDocument/2006/relationships/externalLinkPath" Target="/FRPLDFSR11/Folders_Audit/Methodology%20Training/Guides%20MT%20France/MT%20France%202007/2.0%20Assistant%20confirm&#233;%202007/07%20Modules%20fran&#231;ais/Imp&#244;ts%20et%20taxes%202007/31E4%20gauge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NY3BANNW01/VOL2/TECH_TEL/COMPS/LD_TIER1/LD_BST26.XLS" TargetMode="External"/><Relationship Id="rId1" Type="http://schemas.openxmlformats.org/officeDocument/2006/relationships/externalLinkPath" Target="/NY3BANNW01/VOL2/TECH_TEL/COMPS/LD_TIER1/LD_BST26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Icv_nt3/snetto$/Mes%20documents/Reporting%202002/Budget%202002/Presentation/020114.E&amp;Y%20GB%20BdLBase.ICVC%20MBP2%20budget%202002%20.V1h.xls" TargetMode="External"/><Relationship Id="rId1" Type="http://schemas.openxmlformats.org/officeDocument/2006/relationships/externalLinkPath" Target="/aforge.dom/root/Icv_nt3/snetto$/Mes%20documents/Reporting%202002/Budget%202002/Presentation/020114.E&amp;Y%20GB%20BdLBase.ICVC%20MBP2%20budget%202002%20.V1h.xls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Mod&#232;le%20de%20tr&#233;sorerie/Tr&#233;sorerie%202005%20-%20Nouvelles%20pr&#233;visions.xls" TargetMode="External"/><Relationship Id="rId1" Type="http://schemas.openxmlformats.org/officeDocument/2006/relationships/externalLinkPath" Target="/Mod&#232;le%20de%20tr&#233;sorerie/Tr&#233;sorerie%202005%20-%20Nouvelles%20pr&#233;visions.xls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ms-m-01nas/BusinessModel/BP05/Matt's%20Links/Cell%20C%20Citi%20Model_31_01_02.xls" TargetMode="External"/><Relationship Id="rId1" Type="http://schemas.openxmlformats.org/officeDocument/2006/relationships/externalLinkPath" Target="/ms-m-01nas/BusinessModel/BP05/Matt's%20Links/Cell%20C%20Citi%20Model_31_01_02.xls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Fran&#231;ois%20Vigne/Kheops/Actionnariat%20Keller.xls" TargetMode="External"/><Relationship Id="rId1" Type="http://schemas.openxmlformats.org/officeDocument/2006/relationships/externalLinkPath" Target="/Fran&#231;ois%20Vigne/Kheops/Actionnariat%20Keller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COURBES%20SALONS%202004\suivi%20hebdo%20MM04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pagnihotri/Desktop/Today/Extra%20Templates/Users/klafrance/AppData/Local/Microsoft/Windows/Temporary%20Internet%20Files/Content.Outlook/Z0YU64X9/MSG%20Worksheet%20-%20CIQPC.xlsm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lients%20&amp;%20Prospects\Econocom\2022_11_P2P_OLV_CG\Pitch\Riders\2020%2008%2007%20-%20SPP%20Share%20price%20performance%20-%20moyenne%20mobile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Users/CG1927/AppData/Local/Capital%20IQ/Office%20Plug-in/Templates/SPCIQ%20Excel%20Plug-In%20Tools/SPCIQ%20Identifier%20Converter.xlsm" TargetMode="External"/><Relationship Id="rId1" Type="http://schemas.openxmlformats.org/officeDocument/2006/relationships/externalLinkPath" Target="/Users/CG1927/AppData/Local/Capital%20IQ/Office%20Plug-in/Templates/SPCIQ%20Excel%20Plug-In%20Tools/SPCIQ%20Identifier%20Converter.xlsm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Corporate%20Finance/D&#233;veloppement/H/H3%20Pharma/Documents%20de%20travail/2.%20Modelling%20&amp;%20Research/H3%20Pharma%20-%20Debt%20Capacity%20Analysis%20-%2010.07.2013.xlsx" TargetMode="External"/><Relationship Id="rId1" Type="http://schemas.openxmlformats.org/officeDocument/2006/relationships/externalLinkPath" Target="/aforge.dom/root/Corporate%20Finance/D&#233;veloppement/H/H3%20Pharma/Documents%20de%20travail/2.%20Modelling%20&amp;%20Research/H3%20Pharma%20-%20Debt%20Capacity%20Analysis%20-%2010.07.2013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Documents%20and%20Settings/tar.AFORGE/Bureau/Meilleurtaux/Tableau%20r&#233;cap.xls" TargetMode="External"/><Relationship Id="rId1" Type="http://schemas.openxmlformats.org/officeDocument/2006/relationships/externalLinkPath" Target="/aforge.dom/root/Documents%20and%20Settings/tar.AFORGE/Bureau/Meilleurtaux/Tableau%20r&#233;cap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K2%20TEAM/Project%20Saint%20Gobain/Rexel/Excel%20model/Comps%20Boursiers%202007%2019%2007%20Rider_MB_v7%20-%20Rider%20LB.xls" TargetMode="External"/><Relationship Id="rId1" Type="http://schemas.openxmlformats.org/officeDocument/2006/relationships/externalLinkPath" Target="/K2%20TEAM/Project%20Saint%20Gobain/Rexel/Excel%20model/Comps%20Boursiers%202007%2019%2007%20Rider_MB_v7%20-%20Rider%20LB.xls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Users/kalio/Desktop/Divers/CALCULETTE%20ELENI%20GROUP%20-%20Bremart.xlsx" TargetMode="External"/><Relationship Id="rId1" Type="http://schemas.openxmlformats.org/officeDocument/2006/relationships/externalLinkPath" Target="/Users/kalio/Desktop/Divers/CALCULETTE%20ELENI%20GROUP%20-%20Bremart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aro/ntic/Suivi2001/Pri%20se%2001/PRI2001%20euro.xls" TargetMode="External"/><Relationship Id="rId1" Type="http://schemas.openxmlformats.org/officeDocument/2006/relationships/externalLinkPath" Target="/caro/ntic/Suivi2001/Pri%20se%2001/PRI2001%20euro.xls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Users/CG1927/Desktop/CG1927/Support.xlsx" TargetMode="External"/><Relationship Id="rId1" Type="http://schemas.openxmlformats.org/officeDocument/2006/relationships/externalLinkPath" Target="/Users/CG1927/Desktop/CG1927/Support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Documents%20and%20Settings/FR007346/My%20Documents/PWC/Missions/FRIGOR/Datas/Cadrage%20marges/PWC%20Cadrages%20marge%20Combi%20Norm&amp;Bret.xls" TargetMode="External"/><Relationship Id="rId1" Type="http://schemas.openxmlformats.org/officeDocument/2006/relationships/externalLinkPath" Target="/aforge.dom/root/Documents%20and%20Settings/FR007346/My%20Documents/PWC/Missions/FRIGOR/Datas/Cadrage%20marges/PWC%20Cadrages%20marge%20Combi%20Norm&amp;Bret.xls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mb.frparnas10.fr.kworld.kpmg.com/datadir01/fichiers/PERSO/Villers/CARTON/CARTON1203.xls" TargetMode="External"/><Relationship Id="rId1" Type="http://schemas.openxmlformats.org/officeDocument/2006/relationships/externalLinkPath" Target="/smb.frparnas10.fr.kworld.kpmg.com/datadir01/fichiers/PERSO/Villers/CARTON/CARTON1203.xls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DPA303/ib_Admin$/USERDATA/Marionnaud/Parfum4.xls" TargetMode="External"/><Relationship Id="rId1" Type="http://schemas.openxmlformats.org/officeDocument/2006/relationships/externalLinkPath" Target="/SDPA303/ib_Admin$/USERDATA/Marionnaud/Parfum4.xls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10.130.1.1/asf-thi/CPT/Bilan/2010%2006/1006%20XXX%20liasse%20conso.xls" TargetMode="External"/><Relationship Id="rId1" Type="http://schemas.openxmlformats.org/officeDocument/2006/relationships/externalLinkPath" Target="/aforge.dom/root/10.130.1.1/asf-thi/CPT/Bilan/2010%2006/1006%20XXX%20liasse%20conso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ect%20LAB\8.%20M&amp;A\6.%20BioAccess\2015%2002%2002%20-%20LAB%20-%20Financial%20Model%20-%20BioAccess%20v10%20-%20Cas%20avec%20partenaires.xlsm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13%2003%202006/2004/Marzo/Reporting%20Package/aggregato_sint.xls" TargetMode="External"/><Relationship Id="rId1" Type="http://schemas.openxmlformats.org/officeDocument/2006/relationships/externalLinkPath" Target="/13%2003%202006/2004/Marzo/Reporting%20Package/aggregato_sint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rvfil01/services/finance/gestion/BUDGET%202014-15/Remises%20conditionnelles/Forecast%2013-14%20et%20Budget%2014-15%20-%20Remises%20conditionelles,%20RFA%20et%20Coop&#233;ration%20comle%20%20-%20envoi.xlsx" TargetMode="External"/><Relationship Id="rId1" Type="http://schemas.openxmlformats.org/officeDocument/2006/relationships/externalLinkPath" Target="/srvfil01/services/finance/gestion/BUDGET%202014-15/Remises%20conditionnelles/Forecast%2013-14%20et%20Budget%2014-15%20-%20Remises%20conditionelles,%20RFA%20et%20Coop&#233;ration%20comle%20%20-%20envoi.xlsx" TargetMode="External"/></Relationships>
</file>

<file path=xl/externalLinks/_rels/externalLink10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CORP&amp;CONSO/Documents%20partages/General/Valorisation/AWEO/31.12.2022/Completed__FUJIN%20(1601)%20.xlsm" TargetMode="External"/><Relationship Id="rId2" Type="http://schemas.openxmlformats.org/officeDocument/2006/relationships/externalLinkPath" Target="https://akuoenergy.sharepoint.com/sites/CORP&amp;CONSO/Documents%20partages/General/Valorisation/AWEO/31.12.2022/Completed__FUJIN%20(1601)%20.xlsm" TargetMode="External"/><Relationship Id="rId1" Type="http://schemas.openxmlformats.org/officeDocument/2006/relationships/externalLinkPath" Target="/sites/CORP&amp;CONSO/Documents%20partages/General/Valorisation/AWEO/31.12.2022/Completed__FUJIN%20(1601)%20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Profiles\giuseppem\Temporary%20Internet%20Files\OLK5\REX\2002\ASF_REX%202002.12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xl027:100/Doc/Werkdocumenten/XxxVnbxx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Missions\Insert\Documents%20de%20travail\Management%20presentation\Corporate%20Finance\Missions\CNES\Valorisation\BP%20Spot%20Image%2024%2004%2007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%20Documents\asf2000\Budget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Missions\Insert\Documents%20de%20travail\Management%20presentation\Documents%20and%20Settings\PIsierte\Local%20Settings\Temporary%20Internet%20Files\OLK50\SPBUDGIC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Project%20027%20-%20OGER%20TELECOM/6.%20Projet%20Oregon/8-%20BP/Project%20Oregon%20Mobile%20AVEA%20v4.xls" TargetMode="External"/><Relationship Id="rId1" Type="http://schemas.openxmlformats.org/officeDocument/2006/relationships/externalLinkPath" Target="/Project%20027%20-%20OGER%20TELECOM/6.%20Projet%20Oregon/8-%20BP/Project%20Oregon%20Mobile%20AVEA%20v4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Missions\Insert\Documents%20de%20travail\Management%20presentation\Corporate%20Finance\Missions\Insert\Documents%20de%20travail\IM\Fichiers%20excel%20d&#233;finitifs\Tecflo\donn&#233;es%20financieres%20-%200409.xls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andrine/frais%20generaux/064fg%20services%20g&#233;n&#233;raux.xls" TargetMode="External"/><Relationship Id="rId1" Type="http://schemas.openxmlformats.org/officeDocument/2006/relationships/externalLinkPath" Target="/Sandrine/frais%20generaux/064fg%20services%20g&#233;n&#233;raux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Shebdo%2005%20ILC%20TIC-2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COURBES%20SALONS%202003\Shebdo200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INDUSTRIE2004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Shebdo03%20CA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INTERMAT06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Shebdo0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COURBES%20SALONS%202001\shebdo01.xls" TargetMode="External"/></Relationships>
</file>

<file path=xl/externalLinks/_rels/externalLink1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Documents%20and%20Settings/smaquaire/Local%20Settings/Temporary%20Internet%20Files/OLK1/Graph%2006%20ICT.xls" TargetMode="External"/><Relationship Id="rId1" Type="http://schemas.openxmlformats.org/officeDocument/2006/relationships/externalLinkPath" Target="/Documents%20and%20Settings/smaquaire/Local%20Settings/Temporary%20Internet%20Files/OLK1/Graph%2006%20ICT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shebdo0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COURBES%20SALONS%202003\Shebdo03%20CA.xls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13%2003%202006/GROUPS/CORPOR/Food%20%20Retail%20%20Consumer%20Goods/Food%20Retail/Casino/Merger%20cons%20Casino%20Sainsbury%2005-09-01.xls" TargetMode="External"/><Relationship Id="rId1" Type="http://schemas.openxmlformats.org/officeDocument/2006/relationships/externalLinkPath" Target="/13%2003%202006/GROUPS/CORPOR/Food%20%20Retail%20%20Consumer%20Goods/Food%20Retail/Casino/Merger%20cons%20Casino%20Sainsbury%2005-09-01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aforge.dom/root/Icv_nt3/snetto$/ERP%20SDGP22A%20-%20ICVC/Budget%20&amp;%20Bus%20Plan/2002/MBP%20Versions%20budgets%202002/Model%20Bus%20plan%20V1/MBP2/020110.E&amp;Y%20GB%20BdLBase.ICVC%20MBP2%20budget%202002%20.V1e%20pour%20cds.xls" TargetMode="External"/><Relationship Id="rId1" Type="http://schemas.openxmlformats.org/officeDocument/2006/relationships/externalLinkPath" Target="/aforge.dom/root/Icv_nt3/snetto$/ERP%20SDGP22A%20-%20ICVC/Budget%20&amp;%20Bus%20Plan/2002/MBP%20Versions%20budgets%202002/Model%20Bus%20plan%20V1/MBP2/020110.E&amp;Y%20GB%20BdLBase.ICVC%20MBP2%20budget%202002%20.V1e%20pour%20cds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DPA303/ib_Admin$/EXCEL/Beazer/NewMerger_Model_Polecat.xls" TargetMode="External"/><Relationship Id="rId1" Type="http://schemas.openxmlformats.org/officeDocument/2006/relationships/externalLinkPath" Target="/SDPA303/ib_Admin$/EXCEL/Beazer/NewMerger_Model_Polecat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ONSUMER%20GOODS/Projet%20Iliade/05.%20Valo/05.%20BP%20&amp;%20DCF%20Dufry/Dufry%20Cours%20DCF%20et%20AVP%20v2.xls" TargetMode="External"/><Relationship Id="rId1" Type="http://schemas.openxmlformats.org/officeDocument/2006/relationships/externalLinkPath" Target="/CONSUMER%20GOODS/Projet%20Iliade/05.%20Valo/05.%20BP%20&amp;%20DCF%20Dufry/Dufry%20Cours%20DCF%20et%20AVP%20v2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Missions\Insert\Documents%20de%20travail\Management%20presentation\Corporate%20Finance\D&#233;veloppement\BatiSant&#233;\Avril%202006\Batisant&#233;_LBO%20Model_04-04-2006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Srvstore/costi/DOCUME~1/BISETT~1/IMPOST~1/Temp/FILATURA.XLS" TargetMode="External"/><Relationship Id="rId1" Type="http://schemas.openxmlformats.org/officeDocument/2006/relationships/externalLinkPath" Target="/Srvstore/costi/DOCUME~1/BISETT~1/IMPOST~1/Temp/FILATURA.XLS" TargetMode="External"/></Relationships>
</file>

<file path=xl/externalLinks/_rels/externalLink1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Users/cahn/Downloads/2025%20AKUO%20expected%20yield%20v2026_01_06%20(4).xlsx" TargetMode="External"/><Relationship Id="rId2" Type="http://schemas.openxmlformats.org/officeDocument/2006/relationships/externalLinkPath" Target="file:///C:\Users\cahn\Downloads\2025%20AKUO%20expected%20yield%20v2026_01_06%20(4).xlsx" TargetMode="External"/><Relationship Id="rId1" Type="http://schemas.openxmlformats.org/officeDocument/2006/relationships/externalLinkPath" Target="/Users/cahn/Downloads/2025%20AKUO%20expected%20yield%20v2026_01_06%20(4).xlsx" TargetMode="External"/></Relationships>
</file>

<file path=xl/externalLinks/_rels/externalLink1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personal/herault_akuoenergy_com/Documents/Documents/00%20Akuo/03%20Finance/01%20Financement/banque_de_france_espace_declarants_codes_iso_pays_monnaies_03_2019.xlsx" TargetMode="External"/><Relationship Id="rId2" Type="http://schemas.openxmlformats.org/officeDocument/2006/relationships/externalLinkPath" Target="https://akuoenergy-my.sharepoint.com/personal/herault_akuoenergy_com/Documents/Documents/00%20Akuo/03%20Finance/01%20Financement/banque_de_france_espace_declarants_codes_iso_pays_monnaies_03_2019.xlsx" TargetMode="External"/><Relationship Id="rId1" Type="http://schemas.openxmlformats.org/officeDocument/2006/relationships/externalLinkPath" Target="/personal/herault_akuoenergy_com/Documents/Documents/00%20Akuo/03%20Finance/01%20Financement/banque_de_france_espace_declarants_codes_iso_pays_monnaies_03_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 CA"/>
      <sheetName val="BOY"/>
      <sheetName val="Reel 01"/>
      <sheetName val="Bud 02"/>
      <sheetName val="Reel 02"/>
      <sheetName val="NSF"/>
      <sheetName val="CA 2000-2002"/>
      <sheetName val="evol Bu02 vs R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6B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nnées mété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P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Trash"/>
      <sheetName val="A"/>
      <sheetName val="suivi cash flow par affaire"/>
      <sheetName val="Input"/>
      <sheetName val="datas"/>
      <sheetName val="OMC"/>
      <sheetName val="DCF"/>
      <sheetName val="BackUp"/>
      <sheetName val="Amphenol"/>
      <sheetName val="Assumptions"/>
      <sheetName val="Staffing Comps"/>
      <sheetName val="#REF"/>
      <sheetName val="synthgraph DCF"/>
      <sheetName val="Données Spéc."/>
      <sheetName val="compsge"/>
      <sheetName val="Notes"/>
      <sheetName val="LBO"/>
      <sheetName val="WACC"/>
      <sheetName val="AVP"/>
      <sheetName val="Consensus Fnac"/>
      <sheetName val="Synergies"/>
      <sheetName val="Consensus Kesa"/>
      <sheetName val="&gt;&gt;Merger Model&gt;&gt;"/>
      <sheetName val="Inputs"/>
      <sheetName val="Accretion-dilution"/>
      <sheetName val="Contribution"/>
      <sheetName val="Gearing"/>
      <sheetName val="Sensitivities"/>
      <sheetName val="Consolidated"/>
      <sheetName val="Proforma"/>
      <sheetName val="&gt;&gt;LBO Model&gt;&gt; "/>
      <sheetName val="dfd2"/>
      <sheetName val="Acquiror Finsum"/>
      <sheetName val="Target Finsum"/>
      <sheetName val="ABB"/>
      <sheetName val="DV et capital"/>
      <sheetName val="Terra"/>
      <sheetName val="Syracuse"/>
      <sheetName val="Paramètres"/>
      <sheetName val="DDETABLE"/>
      <sheetName val="First Page"/>
      <sheetName val="Actionnariat simplifié"/>
      <sheetName val="Multiples Boursiers"/>
      <sheetName val="Comp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2001"/>
      <sheetName val="manut"/>
      <sheetName val="Sits"/>
      <sheetName val="TPG"/>
      <sheetName val="SVF"/>
      <sheetName val="Mahana"/>
      <sheetName val="SMT"/>
      <sheetName val="pack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Int. Data Table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volume"/>
      <sheetName val="price"/>
      <sheetName val="revenue"/>
      <sheetName val="Costs"/>
      <sheetName val="Capex"/>
      <sheetName val="WC"/>
      <sheetName val="Trans Val"/>
      <sheetName val="Comps Val"/>
      <sheetName val="ValSummary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T"/>
      <sheetName val="Expobois"/>
      <sheetName val="industrie"/>
      <sheetName val="Sits"/>
      <sheetName val="EQUIPMAG"/>
      <sheetName val="Emballage"/>
      <sheetName val="i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Page"/>
      <sheetName val="Cover Page "/>
      <sheetName val="Scenarios"/>
      <sheetName val="Synthesis financial elements"/>
      <sheetName val="Synthesis"/>
      <sheetName val="EBITDA Bridge"/>
      <sheetName val="ARPU Bridge"/>
      <sheetName val="Key Output"/>
      <sheetName val="Comparison BP"/>
      <sheetName val="Graphiques"/>
      <sheetName val="Macroeconomics"/>
      <sheetName val="ILD"/>
      <sheetName val="Fixed Market"/>
      <sheetName val="Mobile"/>
      <sheetName val="TT Lines"/>
      <sheetName val="F-Price"/>
      <sheetName val="TT Revenues"/>
      <sheetName val="TT Costs"/>
      <sheetName val="Revenues"/>
      <sheetName val="Costs"/>
      <sheetName val="Capex - WC"/>
      <sheetName val="Capex"/>
      <sheetName val="Sensibilities EBITDA 201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AN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ancial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PA"/>
      <sheetName val="GENLIS"/>
      <sheetName val="ASM incentive"/>
      <sheetName val="Affect des zones"/>
      <sheetName val="REPART"/>
      <sheetName val="THPK"/>
      <sheetName val="TO VARIANCE"/>
      <sheetName val="MARGIN VARIANCE "/>
      <sheetName val="Act vs 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s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"/>
      <sheetName val="Bilan"/>
      <sheetName val="BFR"/>
      <sheetName val="Fiche"/>
      <sheetName val="CR pré"/>
      <sheetName val="Bilan pré"/>
      <sheetName val="Plan f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ètres Département"/>
      <sheetName val="CDR département"/>
      <sheetName val="CA, MB et MN"/>
      <sheetName val="CA dpt"/>
      <sheetName val="Coûts directs dpt"/>
      <sheetName val="FGX dpt"/>
      <sheetName val="Effectifs"/>
      <sheetName val="30"/>
      <sheetName val="33"/>
      <sheetName val="40"/>
      <sheetName val="41"/>
      <sheetName val="42"/>
      <sheetName val="43"/>
      <sheetName val="44"/>
      <sheetName val="48"/>
      <sheetName val="50"/>
      <sheetName val="51"/>
      <sheetName val="52"/>
      <sheetName val="53"/>
      <sheetName val="54"/>
      <sheetName val="55"/>
      <sheetName val="56"/>
      <sheetName val="57"/>
      <sheetName val="6"/>
      <sheetName val="60"/>
      <sheetName val="61"/>
      <sheetName val="62"/>
      <sheetName val="63"/>
      <sheetName val="64"/>
      <sheetName val="67"/>
      <sheetName val="69"/>
      <sheetName val="CDR annualisé"/>
      <sheetName val="Soc1"/>
      <sheetName val="Soc2"/>
      <sheetName val="Soc3"/>
      <sheetName val="Soc4"/>
      <sheetName val="Soc5"/>
      <sheetName val="Soc6"/>
      <sheetName val="Soc7"/>
      <sheetName val="Soc8"/>
      <sheetName val="Soc9"/>
      <sheetName val="Soc10"/>
      <sheetName val="Soc11"/>
      <sheetName val="Soc12"/>
      <sheetName val="Soc13"/>
      <sheetName val="Soc14"/>
      <sheetName val="Soc15"/>
      <sheetName val="Soc16"/>
      <sheetName val="Soc17"/>
      <sheetName val="CDR dpt révis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BP Complet"/>
      <sheetName val="capex intensity"/>
      <sheetName val="synthèse format naxicap"/>
      <sheetName val="Synthèse pour restit"/>
      <sheetName val="Synthèse contrats de gestion"/>
      <sheetName val="Synthèse Cross"/>
      <sheetName val="Modelisation du ramp up"/>
      <sheetName val="Synthèse Pays Bail"/>
      <sheetName val="TO"/>
      <sheetName val="TC TO"/>
      <sheetName val="Trésorerie"/>
      <sheetName val="Cash"/>
      <sheetName val="Invest"/>
      <sheetName val="Chiffres clés Pays"/>
      <sheetName val="Equipe"/>
      <sheetName val="Mémo"/>
      <sheetName val="CAF"/>
      <sheetName val="CM"/>
      <sheetName val="Sythèse marques"/>
      <sheetName val="bridge CA et RCAI sites"/>
      <sheetName val="Graphes"/>
      <sheetName val="Prix moyen à la nuité"/>
      <sheetName val="Bilan et P&amp;L"/>
      <sheetName val="synthèse Cashflow"/>
      <sheetName val="Cash Flow statement"/>
      <sheetName val="Moyennes utilisées pour project"/>
      <sheetName val="Variations structures Pays"/>
      <sheetName val="Hypothèses frais de structure"/>
      <sheetName val="P&amp;L"/>
      <sheetName val="Moyenne par chambre"/>
      <sheetName val="BDD structure et invest"/>
      <sheetName val="Ouvretures par pays"/>
      <sheetName val=" BDD maisons"/>
      <sheetName val="Hypothèses"/>
      <sheetName val="Chiffres clés"/>
      <sheetName val="MdF"/>
      <sheetName val="Synthèse P&amp;L Maisons bp"/>
      <sheetName val="Budget 2014 complété"/>
      <sheetName val="contrib ad sur ramp up"/>
      <sheetName val="nouvelles maisons à ouvrir"/>
      <sheetName val="berlin"/>
      <sheetName val="budingen"/>
      <sheetName val="hackhausen"/>
      <sheetName val="birstein"/>
      <sheetName val="hemmersbach"/>
      <sheetName val="City Madrid"/>
      <sheetName val="Royaumont"/>
      <sheetName val="Chateauneuf"/>
      <sheetName val="krickenbeck"/>
      <sheetName val="cely"/>
      <sheetName val="NE"/>
      <sheetName val="NO"/>
      <sheetName val="MA"/>
      <sheetName val="EC"/>
      <sheetName val="FI"/>
      <sheetName val="RO"/>
      <sheetName val="FO"/>
      <sheetName val="PR"/>
      <sheetName val="CR"/>
      <sheetName val="RY"/>
      <sheetName val="BE"/>
      <sheetName val="MR"/>
      <sheetName val="ME"/>
      <sheetName val="RC"/>
      <sheetName val="RQ"/>
      <sheetName val="GA"/>
      <sheetName val="GU"/>
      <sheetName val="FA"/>
      <sheetName val="MO"/>
      <sheetName val="VA"/>
      <sheetName val="SU"/>
      <sheetName val="BH"/>
      <sheetName val="TR"/>
      <sheetName val="PO"/>
      <sheetName val="RI"/>
      <sheetName val="SD"/>
      <sheetName val="BS"/>
      <sheetName val="CE"/>
      <sheetName val="CH"/>
      <sheetName val="CH2"/>
      <sheetName val="CP"/>
      <sheetName val="AM"/>
      <sheetName val="MD"/>
      <sheetName val="LA"/>
      <sheetName val="MI"/>
      <sheetName val="PV"/>
      <sheetName val="RM"/>
      <sheetName val="FE"/>
      <sheetName val="CO"/>
      <sheetName val="GR"/>
      <sheetName val="AH"/>
      <sheetName val="VE"/>
      <sheetName val="LW"/>
      <sheetName val="HE"/>
      <sheetName val="abonn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Budget CA Promotion ICVC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lt98"/>
      <sheetName val="result97"/>
      <sheetName val="result96"/>
      <sheetName val="result95"/>
    </sheetNames>
    <sheetDataSet>
      <sheetData sheetId="0"/>
      <sheetData sheetId="1"/>
      <sheetData sheetId="2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"/>
      <sheetName val="data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P&amp;L HY07"/>
      <sheetName val="CdA"/>
      <sheetName val="CdA (2)"/>
      <sheetName val="Table"/>
      <sheetName val="P&amp;L HY 2006 reconciliation"/>
      <sheetName val="Graph"/>
      <sheetName val="P&amp;L_HY07"/>
      <sheetName val="CdA_(2)"/>
      <sheetName val="P&amp;L_HY_2006_reconcil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moc"/>
      <sheetName val="Tables Amoc"/>
      <sheetName val="Market"/>
      <sheetName val="Tables Market"/>
      <sheetName val="Description Index"/>
      <sheetName val="Currency"/>
      <sheetName val="Sharehol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raft"/>
      <sheetName val="Output (2)"/>
      <sheetName val="Tableau"/>
      <sheetName val="KP"/>
      <sheetName val="Fred"/>
      <sheetName val="Output"/>
      <sheetName val="Bridge"/>
      <sheetName val="TCD Techno"/>
      <sheetName val="TCD Region Akuo"/>
      <sheetName val="TCD Region Comm. Ext"/>
      <sheetName val="TCD Project"/>
      <sheetName val="CRP"/>
      <sheetName val="Time Value N-1"/>
      <sheetName val="Screenshot"/>
      <sheetName val="Other detail"/>
      <sheetName val="Import Valsight &gt;&gt;&gt;"/>
      <sheetName val="Synthèse Valsight"/>
      <sheetName val="Comparaison Flux &amp; Taux"/>
      <sheetName val="Détails Valsight"/>
      <sheetName val="Sensibilités Prod &amp; Curve"/>
      <sheetName val="Synthèse Valsight Total"/>
      <sheetName val="Old Inputs &gt;&gt;&gt;"/>
      <sheetName val="Data 2023"/>
      <sheetName val="Parameters"/>
      <sheetName val="Discount rate"/>
      <sheetName val="Discount rate AKDB"/>
      <sheetName val="Detention"/>
      <sheetName val="Old Calculation &gt;&gt;&gt;"/>
      <sheetName val="(1)"/>
      <sheetName val="(2)"/>
      <sheetName val="(3)"/>
      <sheetName val="Discounts"/>
      <sheetName val="PPA Flow Disc."/>
      <sheetName val="PostPPA"/>
      <sheetName val="Post PPA Flow Disc."/>
      <sheetName val="Residual value Disc."/>
      <sheetName val="Forecast"/>
      <sheetName val="Data 2021"/>
      <sheetName val="2021"/>
      <sheetName val="2022"/>
      <sheetName val="Ec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tes"/>
      <sheetName val="Classe"/>
      <sheetName val="Reporting"/>
      <sheetName val="mp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 Conso"/>
      <sheetName val="Q Net Debt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serguide"/>
      <sheetName val="Global inputs"/>
      <sheetName val="Detailed inputs"/>
      <sheetName val="OPEX output"/>
      <sheetName val="InverterFailureRate"/>
      <sheetName val="Bid Table Assumption"/>
      <sheetName val="OPEX FranceMainland"/>
      <sheetName val="Sensitivities"/>
      <sheetName val="OPEX analysis"/>
      <sheetName val="List"/>
      <sheetName val="ASM&amp;OPS Pricing"/>
      <sheetName val="projects"/>
      <sheetName val="json"/>
      <sheetName val="OPS Costing manual"/>
      <sheetName val="CountriesAssumptions"/>
      <sheetName val="MAINT-Assumptions"/>
      <sheetName val="MAINT-Standard Struct (&lt;2,5m)"/>
      <sheetName val="MAINT-High Struct (&gt;2,5m)"/>
      <sheetName val="OPEX SPV and oth. depts."/>
      <sheetName val="OtherInterpolationCurve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i"/>
      <sheetName val="civilistico"/>
      <sheetName val="gestionale CO.GE"/>
      <sheetName val="gestionale CO.AN_Costi"/>
      <sheetName val="gestionale CO.AN_Ricavi"/>
      <sheetName val="Sintetico ECO_A"/>
      <sheetName val="Sintetico ECO_B"/>
      <sheetName val="Sintetico ECO_C-D-E"/>
      <sheetName val="Grafici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Workings"/>
      <sheetName val="Output"/>
      <sheetName val="Sensitivities"/>
      <sheetName val="Summary"/>
      <sheetName val="Debt&amp;Margin"/>
      <sheetName val="Graph data"/>
      <sheetName val="Ch1-Subs&amp;Debt"/>
      <sheetName val="Ch2-Repayments "/>
      <sheetName val="Ch3-Margin-Le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ésultats"/>
      <sheetName val="Output"/>
      <sheetName val="3"/>
      <sheetName val="4"/>
      <sheetName val="5"/>
      <sheetName val="11"/>
      <sheetName val="12"/>
      <sheetName val="Ex 1"/>
      <sheetName val="Ex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CA 12-2004"/>
      <sheetName val="Rapprochement CA stat-Compta"/>
      <sheetName val="CAMPAGNE CUMUL 2004 (PiD)"/>
      <sheetName val="FACTURE MANUELLE 2004 (PiD)"/>
      <sheetName val="ca 2004 au 31-12-04 (JB)"/>
      <sheetName val="Semaine 53"/>
      <sheetName val="Semaine 53 (2)"/>
      <sheetName val="CA Autres produits 2004 (JB)"/>
      <sheetName val="Stat. Top et Sacs 2004 (JB)"/>
      <sheetName val="Balance INSERT"/>
      <sheetName val="Balance PPX"/>
      <sheetName val="INS-N°419700-31122004 "/>
      <sheetName val="INS-N°487000-31122004"/>
      <sheetName val="INS-N°418100-31122004 "/>
      <sheetName val="assumptions"/>
      <sheetName val="abonnement"/>
      <sheetName val="budget ca promotion icvc"/>
      <sheetName val="Gastos Fijos"/>
      <sheetName val="Synthèse_CA_12-2004"/>
      <sheetName val="Rapprochement_CA_stat-Compta"/>
      <sheetName val="CAMPAGNE_CUMUL_2004_(PiD)"/>
      <sheetName val="FACTURE_MANUELLE_2004_(PiD)"/>
      <sheetName val="ca_2004_au_31-12-04_(JB)"/>
      <sheetName val="Semaine_53"/>
      <sheetName val="Semaine_53_(2)"/>
      <sheetName val="CA_Autres_produits_2004_(JB)"/>
      <sheetName val="Stat__Top_et_Sacs_2004_(JB)"/>
      <sheetName val="Balance_INSERT"/>
      <sheetName val="Balance_PPX"/>
      <sheetName val="INS-N°419700-31122004_"/>
      <sheetName val="INS-N°418100-31122004_"/>
      <sheetName val="budget_ca_promotion_icvc"/>
      <sheetName val="Gastos_Fijos"/>
      <sheetName val="Synthèse_CA_12-20041"/>
      <sheetName val="Rapprochement_CA_stat-Compta1"/>
      <sheetName val="CAMPAGNE_CUMUL_2004_(PiD)1"/>
      <sheetName val="FACTURE_MANUELLE_2004_(PiD)1"/>
      <sheetName val="ca_2004_au_31-12-04_(JB)1"/>
      <sheetName val="Semaine_531"/>
      <sheetName val="Semaine_53_(2)1"/>
      <sheetName val="CA_Autres_produits_2004_(JB)1"/>
      <sheetName val="Stat__Top_et_Sacs_2004_(JB)1"/>
      <sheetName val="Balance_INSERT1"/>
      <sheetName val="Balance_PPX1"/>
      <sheetName val="INS-N°419700-31122004_1"/>
      <sheetName val="INS-N°418100-31122004_1"/>
      <sheetName val="budget_ca_promotion_icvc1"/>
      <sheetName val="Gastos_Fijos1"/>
      <sheetName val="Synthèse_CA_12-20042"/>
      <sheetName val="Rapprochement_CA_stat-Compta2"/>
      <sheetName val="CAMPAGNE_CUMUL_2004_(PiD)2"/>
      <sheetName val="FACTURE_MANUELLE_2004_(PiD)2"/>
      <sheetName val="ca_2004_au_31-12-04_(JB)2"/>
      <sheetName val="Semaine_532"/>
      <sheetName val="Semaine_53_(2)2"/>
      <sheetName val="CA_Autres_produits_2004_(JB)2"/>
      <sheetName val="Stat__Top_et_Sacs_2004_(JB)2"/>
      <sheetName val="Balance_INSERT2"/>
      <sheetName val="Balance_PPX2"/>
      <sheetName val="INS-N°419700-31122004_2"/>
      <sheetName val="INS-N°418100-31122004_2"/>
      <sheetName val="budget_ca_promotion_icvc2"/>
      <sheetName val="Gastos_Fijos2"/>
      <sheetName val="Synthèse_CA_12-20043"/>
      <sheetName val="Rapprochement_CA_stat-Compta3"/>
      <sheetName val="CAMPAGNE_CUMUL_2004_(PiD)3"/>
      <sheetName val="FACTURE_MANUELLE_2004_(PiD)3"/>
      <sheetName val="ca_2004_au_31-12-04_(JB)3"/>
      <sheetName val="Semaine_533"/>
      <sheetName val="Semaine_53_(2)3"/>
      <sheetName val="CA_Autres_produits_2004_(JB)3"/>
      <sheetName val="Stat__Top_et_Sacs_2004_(JB)3"/>
      <sheetName val="Balance_INSERT3"/>
      <sheetName val="Balance_PPX3"/>
      <sheetName val="INS-N°419700-31122004_3"/>
      <sheetName val="INS-N°418100-31122004_3"/>
      <sheetName val="budget_ca_promotion_icvc3"/>
      <sheetName val="Gastos_Fijos3"/>
      <sheetName val="Synthèse_CA_12-20044"/>
      <sheetName val="Rapprochement_CA_stat-Compta4"/>
      <sheetName val="CAMPAGNE_CUMUL_2004_(PiD)4"/>
      <sheetName val="FACTURE_MANUELLE_2004_(PiD)4"/>
      <sheetName val="ca_2004_au_31-12-04_(JB)4"/>
      <sheetName val="Semaine_534"/>
      <sheetName val="Semaine_53_(2)4"/>
      <sheetName val="CA_Autres_produits_2004_(JB)4"/>
      <sheetName val="Stat__Top_et_Sacs_2004_(JB)4"/>
      <sheetName val="Balance_INSERT4"/>
      <sheetName val="Balance_PPX4"/>
      <sheetName val="INS-N°419700-31122004_4"/>
      <sheetName val="INS-N°418100-31122004_4"/>
      <sheetName val="budget_ca_promotion_icvc4"/>
      <sheetName val="Gastos_Fijos4"/>
      <sheetName val="Synthèse_CA_12-20045"/>
      <sheetName val="Rapprochement_CA_stat-Compta5"/>
      <sheetName val="CAMPAGNE_CUMUL_2004_(PiD)5"/>
      <sheetName val="FACTURE_MANUELLE_2004_(PiD)5"/>
      <sheetName val="ca_2004_au_31-12-04_(JB)5"/>
      <sheetName val="Semaine_535"/>
      <sheetName val="Semaine_53_(2)5"/>
      <sheetName val="CA_Autres_produits_2004_(JB)5"/>
      <sheetName val="Stat__Top_et_Sacs_2004_(JB)5"/>
      <sheetName val="Balance_INSERT5"/>
      <sheetName val="Balance_PPX5"/>
      <sheetName val="INS-N°419700-31122004_5"/>
      <sheetName val="INS-N°418100-31122004_5"/>
      <sheetName val="budget_ca_promotion_icvc5"/>
      <sheetName val="Gastos_Fijos5"/>
      <sheetName val="Synthèse_CA_12-20046"/>
      <sheetName val="Rapprochement_CA_stat-Compta6"/>
      <sheetName val="CAMPAGNE_CUMUL_2004_(PiD)6"/>
      <sheetName val="FACTURE_MANUELLE_2004_(PiD)6"/>
      <sheetName val="ca_2004_au_31-12-04_(JB)6"/>
      <sheetName val="Semaine_536"/>
      <sheetName val="Semaine_53_(2)6"/>
      <sheetName val="CA_Autres_produits_2004_(JB)6"/>
      <sheetName val="Stat__Top_et_Sacs_2004_(JB)6"/>
      <sheetName val="Balance_INSERT6"/>
      <sheetName val="Balance_PPX6"/>
      <sheetName val="INS-N°419700-31122004_6"/>
      <sheetName val="INS-N°418100-31122004_6"/>
      <sheetName val="budget_ca_promotion_icvc6"/>
      <sheetName val="Gastos_Fijos6"/>
      <sheetName val="Synthèse_CA_12-20047"/>
      <sheetName val="Rapprochement_CA_stat-Compta7"/>
      <sheetName val="CAMPAGNE_CUMUL_2004_(PiD)7"/>
      <sheetName val="FACTURE_MANUELLE_2004_(PiD)7"/>
      <sheetName val="ca_2004_au_31-12-04_(JB)7"/>
      <sheetName val="Semaine_537"/>
      <sheetName val="Semaine_53_(2)7"/>
      <sheetName val="CA_Autres_produits_2004_(JB)7"/>
      <sheetName val="Stat__Top_et_Sacs_2004_(JB)7"/>
      <sheetName val="Balance_INSERT7"/>
      <sheetName val="Balance_PPX7"/>
      <sheetName val="INS-N°419700-31122004_7"/>
      <sheetName val="INS-N°418100-31122004_7"/>
      <sheetName val="budget_ca_promotion_icvc7"/>
      <sheetName val="Gastos_Fijos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nnées GEN"/>
      <sheetName val="Plan comptable Général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puts"/>
      <sheetName val="Scenarios"/>
      <sheetName val="Inputs"/>
      <sheetName val="CapEx"/>
      <sheetName val="OpEx"/>
      <sheetName val="IDC"/>
      <sheetName val="P&amp;L"/>
      <sheetName val="FID deck outputs"/>
      <sheetName val="CF"/>
      <sheetName val="BS"/>
      <sheetName val="Dep&amp;WC"/>
      <sheetName val="DS"/>
      <sheetName val="Eq"/>
      <sheetName val="Macro"/>
      <sheetName val="Flags"/>
      <sheetName val="Cash@ri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sH"/>
      <sheetName val="DataH"/>
      <sheetName val="Ratings"/>
      <sheetName val="VAL Graphs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tat des emprunts 311212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CA 12-2003"/>
      <sheetName val="CAMPAGNE CUMUL 2003 (PiD)"/>
      <sheetName val="FACTURE MANUELLE 2003 (PiD)"/>
      <sheetName val="ca 2003 au 31-12-03 (JB)"/>
      <sheetName val="Semaine 52"/>
      <sheetName val="CA Autres produits 2003 (JB)"/>
      <sheetName val="Stat. Top et Sacs 2003 (JB)"/>
      <sheetName val="Balance ICVC"/>
      <sheetName val="Balance PPX"/>
      <sheetName val="ca 2004 au 31-12-04 (JB)"/>
      <sheetName val="CH2"/>
      <sheetName val="CR"/>
      <sheetName val="EC"/>
      <sheetName val="FI"/>
      <sheetName val="MA"/>
      <sheetName val="FO"/>
      <sheetName val="PR"/>
      <sheetName val="RC"/>
      <sheetName val="NE"/>
      <sheetName val="NO"/>
      <sheetName val="RO"/>
      <sheetName val="RY"/>
      <sheetName val="assumptions"/>
      <sheetName val="capex"/>
      <sheetName val="hipotesis"/>
      <sheetName val="CCOBRAR"/>
      <sheetName val="rrhh"/>
      <sheetName val="gastos fijos"/>
      <sheetName val="Synthèse_CA_12-2003"/>
      <sheetName val="CAMPAGNE_CUMUL_2003_(PiD)"/>
      <sheetName val="FACTURE_MANUELLE_2003_(PiD)"/>
      <sheetName val="ca_2003_au_31-12-03_(JB)"/>
      <sheetName val="Semaine_52"/>
      <sheetName val="CA_Autres_produits_2003_(JB)"/>
      <sheetName val="Stat__Top_et_Sacs_2003_(JB)"/>
      <sheetName val="Balance_ICVC"/>
      <sheetName val="Balance_PPX"/>
      <sheetName val="ca_2004_au_31-12-04_(JB)"/>
      <sheetName val="gastos_fijos"/>
      <sheetName val="Synthèse_CA_12-20031"/>
      <sheetName val="CAMPAGNE_CUMUL_2003_(PiD)1"/>
      <sheetName val="FACTURE_MANUELLE_2003_(PiD)1"/>
      <sheetName val="ca_2003_au_31-12-03_(JB)1"/>
      <sheetName val="Semaine_521"/>
      <sheetName val="CA_Autres_produits_2003_(JB)1"/>
      <sheetName val="Stat__Top_et_Sacs_2003_(JB)1"/>
      <sheetName val="Balance_ICVC1"/>
      <sheetName val="Balance_PPX1"/>
      <sheetName val="ca_2004_au_31-12-04_(JB)1"/>
      <sheetName val="gastos_fijos1"/>
      <sheetName val="Synthèse_CA_12-20032"/>
      <sheetName val="CAMPAGNE_CUMUL_2003_(PiD)2"/>
      <sheetName val="FACTURE_MANUELLE_2003_(PiD)2"/>
      <sheetName val="ca_2003_au_31-12-03_(JB)2"/>
      <sheetName val="Semaine_522"/>
      <sheetName val="CA_Autres_produits_2003_(JB)2"/>
      <sheetName val="Stat__Top_et_Sacs_2003_(JB)2"/>
      <sheetName val="Balance_ICVC2"/>
      <sheetName val="Balance_PPX2"/>
      <sheetName val="ca_2004_au_31-12-04_(JB)2"/>
      <sheetName val="gastos_fijos2"/>
      <sheetName val="Synthèse_CA_12-20033"/>
      <sheetName val="CAMPAGNE_CUMUL_2003_(PiD)3"/>
      <sheetName val="FACTURE_MANUELLE_2003_(PiD)3"/>
      <sheetName val="ca_2003_au_31-12-03_(JB)3"/>
      <sheetName val="Semaine_523"/>
      <sheetName val="CA_Autres_produits_2003_(JB)3"/>
      <sheetName val="Stat__Top_et_Sacs_2003_(JB)3"/>
      <sheetName val="Balance_ICVC3"/>
      <sheetName val="Balance_PPX3"/>
      <sheetName val="ca_2004_au_31-12-04_(JB)3"/>
      <sheetName val="gastos_fijos3"/>
      <sheetName val="Synthèse_CA_12-20034"/>
      <sheetName val="CAMPAGNE_CUMUL_2003_(PiD)4"/>
      <sheetName val="FACTURE_MANUELLE_2003_(PiD)4"/>
      <sheetName val="ca_2003_au_31-12-03_(JB)4"/>
      <sheetName val="Semaine_524"/>
      <sheetName val="CA_Autres_produits_2003_(JB)4"/>
      <sheetName val="Stat__Top_et_Sacs_2003_(JB)4"/>
      <sheetName val="Balance_ICVC4"/>
      <sheetName val="Balance_PPX4"/>
      <sheetName val="ca_2004_au_31-12-04_(JB)4"/>
      <sheetName val="gastos_fijos4"/>
      <sheetName val="Synthèse_CA_12-20035"/>
      <sheetName val="CAMPAGNE_CUMUL_2003_(PiD)5"/>
      <sheetName val="FACTURE_MANUELLE_2003_(PiD)5"/>
      <sheetName val="ca_2003_au_31-12-03_(JB)5"/>
      <sheetName val="Semaine_525"/>
      <sheetName val="CA_Autres_produits_2003_(JB)5"/>
      <sheetName val="Stat__Top_et_Sacs_2003_(JB)5"/>
      <sheetName val="Balance_ICVC5"/>
      <sheetName val="Balance_PPX5"/>
      <sheetName val="ca_2004_au_31-12-04_(JB)5"/>
      <sheetName val="gastos_fijos5"/>
      <sheetName val="Synthèse_CA_12-20036"/>
      <sheetName val="CAMPAGNE_CUMUL_2003_(PiD)6"/>
      <sheetName val="FACTURE_MANUELLE_2003_(PiD)6"/>
      <sheetName val="ca_2003_au_31-12-03_(JB)6"/>
      <sheetName val="Semaine_526"/>
      <sheetName val="CA_Autres_produits_2003_(JB)6"/>
      <sheetName val="Stat__Top_et_Sacs_2003_(JB)6"/>
      <sheetName val="Balance_ICVC6"/>
      <sheetName val="Balance_PPX6"/>
      <sheetName val="ca_2004_au_31-12-04_(JB)6"/>
      <sheetName val="gastos_fijos6"/>
      <sheetName val="Synthèse_CA_12-20037"/>
      <sheetName val="CAMPAGNE_CUMUL_2003_(PiD)7"/>
      <sheetName val="FACTURE_MANUELLE_2003_(PiD)7"/>
      <sheetName val="ca_2003_au_31-12-03_(JB)7"/>
      <sheetName val="Semaine_527"/>
      <sheetName val="CA_Autres_produits_2003_(JB)7"/>
      <sheetName val="Stat__Top_et_Sacs_2003_(JB)7"/>
      <sheetName val="Balance_ICVC7"/>
      <sheetName val="Balance_PPX7"/>
      <sheetName val="ca_2004_au_31-12-04_(JB)7"/>
      <sheetName val="gastos_fijos7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MC"/>
      <sheetName val="DCF"/>
      <sheetName val="Back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0"/>
      <sheetName val="33"/>
      <sheetName val="40"/>
      <sheetName val="42"/>
      <sheetName val="43"/>
      <sheetName val="44"/>
      <sheetName val="48"/>
      <sheetName val="50"/>
      <sheetName val="51"/>
      <sheetName val="52"/>
      <sheetName val="53"/>
      <sheetName val="54"/>
      <sheetName val="55"/>
      <sheetName val="56"/>
      <sheetName val="60"/>
      <sheetName val="61"/>
      <sheetName val="62"/>
      <sheetName val="63"/>
      <sheetName val="67"/>
      <sheetName val="41"/>
      <sheetName val="57"/>
      <sheetName val="entreecata"/>
      <sheetName val="CDReuros"/>
      <sheetName val="CDRfrancs"/>
      <sheetName val="recetteeuros"/>
      <sheetName val="recettefrancs"/>
      <sheetName val="R01CSTA"/>
      <sheetName val="R01CSTA (2)"/>
      <sheetName val="CDRprebud01"/>
      <sheetName val="CDR99francs"/>
      <sheetName val="CDR99euros"/>
      <sheetName val="CDR (2)"/>
      <sheetName val="receuro"/>
      <sheetName val="R01CSTA (3)"/>
      <sheetName val="R01CSTA (4)"/>
      <sheetName val="30 (2)"/>
      <sheetName val="33 (2)"/>
      <sheetName val="40 (2)"/>
      <sheetName val="42 (2)"/>
      <sheetName val="43 (2)"/>
      <sheetName val="44 (2)"/>
      <sheetName val="48 (2)"/>
      <sheetName val="50 (2)"/>
      <sheetName val="51 (2)"/>
      <sheetName val="52 (2)"/>
      <sheetName val="53 (2)"/>
      <sheetName val="54 (2)"/>
      <sheetName val="55 (2)"/>
      <sheetName val="56 (2)"/>
      <sheetName val="60 (2)"/>
      <sheetName val="61 (2)"/>
      <sheetName val="62 (2)"/>
      <sheetName val="63 (2)"/>
      <sheetName val="67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ctual 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scount rate NPV"/>
      <sheetName val="FID deck outputs"/>
      <sheetName val="Outputs"/>
      <sheetName val="Scenarios"/>
      <sheetName val="CapEx"/>
      <sheetName val="OpEx"/>
      <sheetName val="Inputs"/>
      <sheetName val="IDC"/>
      <sheetName val="P&amp;L"/>
      <sheetName val="CF"/>
      <sheetName val="BS"/>
      <sheetName val="Dep&amp;WC"/>
      <sheetName val="DS"/>
      <sheetName val="Eq"/>
      <sheetName val="Macro"/>
      <sheetName val="Flags"/>
      <sheetName val="Cash@risk"/>
    </sheetNames>
    <sheetDataSet>
      <sheetData sheetId="0"/>
      <sheetData sheetId="1"/>
      <sheetData sheetId="2"/>
      <sheetData sheetId="3">
        <row r="120">
          <cell r="D120">
            <v>7.9588273167610191E-2</v>
          </cell>
        </row>
        <row r="122">
          <cell r="D122">
            <v>6635.5895962339537</v>
          </cell>
        </row>
      </sheetData>
      <sheetData sheetId="4"/>
      <sheetData sheetId="5"/>
      <sheetData sheetId="6">
        <row r="68">
          <cell r="D68">
            <v>0.99</v>
          </cell>
        </row>
        <row r="265">
          <cell r="F265">
            <v>0.52333841069737841</v>
          </cell>
        </row>
        <row r="294">
          <cell r="D294">
            <v>0</v>
          </cell>
          <cell r="E294">
            <v>0</v>
          </cell>
        </row>
        <row r="570">
          <cell r="D570">
            <v>6.8940641287060886E-2</v>
          </cell>
        </row>
      </sheetData>
      <sheetData sheetId="7"/>
      <sheetData sheetId="8">
        <row r="8">
          <cell r="H8">
            <v>5948.2942052961134</v>
          </cell>
          <cell r="I8">
            <v>5948.2942052961134</v>
          </cell>
          <cell r="J8">
            <v>5482.3626736625656</v>
          </cell>
          <cell r="K8">
            <v>5482.3626736625656</v>
          </cell>
          <cell r="L8">
            <v>4995.4145630815583</v>
          </cell>
          <cell r="M8">
            <v>4995.4145630815583</v>
          </cell>
          <cell r="N8">
            <v>5021.0972681022913</v>
          </cell>
          <cell r="O8">
            <v>5021.0972681022913</v>
          </cell>
          <cell r="P8">
            <v>5045.8091154986196</v>
          </cell>
          <cell r="Q8">
            <v>5045.8091154986196</v>
          </cell>
          <cell r="Z8">
            <v>4961.5442770140453</v>
          </cell>
          <cell r="AA8">
            <v>4961.5442770140453</v>
          </cell>
          <cell r="AJ8">
            <v>4851.0734986847501</v>
          </cell>
          <cell r="AK8">
            <v>4851.0734986847501</v>
          </cell>
          <cell r="AT8">
            <v>5181.5384945531086</v>
          </cell>
          <cell r="AU8">
            <v>5181.5384945531086</v>
          </cell>
          <cell r="BD8">
            <v>5389.6400103558572</v>
          </cell>
          <cell r="BE8">
            <v>5389.6400103558572</v>
          </cell>
          <cell r="BN8">
            <v>2806.6729956527229</v>
          </cell>
          <cell r="BO8">
            <v>2806.6729956527229</v>
          </cell>
        </row>
        <row r="10">
          <cell r="H10">
            <v>1070.0892759379733</v>
          </cell>
          <cell r="I10">
            <v>1070.0892759379733</v>
          </cell>
          <cell r="J10">
            <v>1145.0288813476441</v>
          </cell>
          <cell r="K10">
            <v>1145.0288813476441</v>
          </cell>
          <cell r="L10">
            <v>1115.8681992899512</v>
          </cell>
          <cell r="M10">
            <v>1115.8681992899512</v>
          </cell>
          <cell r="N10">
            <v>1123.8794941826156</v>
          </cell>
          <cell r="O10">
            <v>1123.8794941826156</v>
          </cell>
          <cell r="P10">
            <v>1146.2087502510244</v>
          </cell>
          <cell r="Q10">
            <v>1146.2087502510244</v>
          </cell>
          <cell r="Z10">
            <v>1391.2981995704863</v>
          </cell>
          <cell r="AA10">
            <v>1391.2981995704863</v>
          </cell>
          <cell r="AJ10">
            <v>1542.5615441238574</v>
          </cell>
          <cell r="AK10">
            <v>1542.5615441238574</v>
          </cell>
          <cell r="AT10">
            <v>1727.4530625328534</v>
          </cell>
          <cell r="AU10">
            <v>1727.4530625328534</v>
          </cell>
          <cell r="BD10">
            <v>1978.8717810937819</v>
          </cell>
          <cell r="BE10">
            <v>1978.8717810937819</v>
          </cell>
          <cell r="BN10">
            <v>1838.2614902144221</v>
          </cell>
          <cell r="BO10">
            <v>1838.2614902144221</v>
          </cell>
        </row>
        <row r="11">
          <cell r="H11">
            <v>140.09576922990001</v>
          </cell>
          <cell r="I11">
            <v>140.09576922990001</v>
          </cell>
          <cell r="J11">
            <v>139.60440025202087</v>
          </cell>
          <cell r="K11">
            <v>139.60440025202087</v>
          </cell>
          <cell r="L11">
            <v>139.1855870512648</v>
          </cell>
          <cell r="M11">
            <v>139.1855870512648</v>
          </cell>
          <cell r="N11">
            <v>138.34409537069112</v>
          </cell>
          <cell r="O11">
            <v>138.34409537069112</v>
          </cell>
          <cell r="P11">
            <v>137.85861923213545</v>
          </cell>
          <cell r="Q11">
            <v>137.85861923213545</v>
          </cell>
          <cell r="Z11">
            <v>136.08068411580578</v>
          </cell>
          <cell r="AA11">
            <v>136.08068411580578</v>
          </cell>
          <cell r="AJ11">
            <v>133.64153139141558</v>
          </cell>
          <cell r="AK11">
            <v>133.64153139141558</v>
          </cell>
          <cell r="AT11">
            <v>131.64890012924846</v>
          </cell>
          <cell r="AU11">
            <v>131.64890012924846</v>
          </cell>
          <cell r="BD11">
            <v>129.88498615461859</v>
          </cell>
          <cell r="BE11">
            <v>129.88498615461859</v>
          </cell>
          <cell r="BN11">
            <v>128.14440537056444</v>
          </cell>
          <cell r="BO11">
            <v>128.14440537056444</v>
          </cell>
        </row>
        <row r="13">
          <cell r="H13">
            <v>1616.1606331188291</v>
          </cell>
          <cell r="I13">
            <v>1616.1606331188291</v>
          </cell>
          <cell r="J13">
            <v>1616.1606331188291</v>
          </cell>
          <cell r="K13">
            <v>1616.1606331188291</v>
          </cell>
          <cell r="L13">
            <v>1616.1606331188291</v>
          </cell>
          <cell r="M13">
            <v>1616.1606331188291</v>
          </cell>
          <cell r="N13">
            <v>1616.1606331188291</v>
          </cell>
          <cell r="O13">
            <v>1616.1606331188291</v>
          </cell>
          <cell r="P13">
            <v>1616.1606331188291</v>
          </cell>
          <cell r="Q13">
            <v>1616.1606331188291</v>
          </cell>
          <cell r="Z13">
            <v>1616.1606331188291</v>
          </cell>
          <cell r="AA13">
            <v>1616.1606331188291</v>
          </cell>
          <cell r="AJ13">
            <v>1568.5595351160039</v>
          </cell>
          <cell r="AK13">
            <v>1568.5595351160039</v>
          </cell>
          <cell r="AT13">
            <v>1568.5595351160039</v>
          </cell>
          <cell r="AU13">
            <v>1568.5595351160039</v>
          </cell>
          <cell r="BD13">
            <v>36.189148116003857</v>
          </cell>
          <cell r="BE13">
            <v>36.189148116003857</v>
          </cell>
          <cell r="BN13">
            <v>36.189148116003857</v>
          </cell>
          <cell r="BO13">
            <v>36.189148116003857</v>
          </cell>
        </row>
        <row r="16">
          <cell r="H16">
            <v>3121.948527009411</v>
          </cell>
          <cell r="I16">
            <v>3121.948527009411</v>
          </cell>
          <cell r="J16">
            <v>2581.5687589440713</v>
          </cell>
          <cell r="K16">
            <v>2581.5687589440713</v>
          </cell>
          <cell r="L16">
            <v>2124.2001436215132</v>
          </cell>
          <cell r="M16">
            <v>2124.2001436215132</v>
          </cell>
          <cell r="N16">
            <v>2142.7130454301555</v>
          </cell>
          <cell r="O16">
            <v>2142.7130454301555</v>
          </cell>
          <cell r="P16">
            <v>2145.5811128966307</v>
          </cell>
          <cell r="Q16">
            <v>2145.5811128966307</v>
          </cell>
          <cell r="Z16">
            <v>1818.0047602089244</v>
          </cell>
          <cell r="AA16">
            <v>1818.0047602089244</v>
          </cell>
          <cell r="AJ16">
            <v>1606.3108880534733</v>
          </cell>
          <cell r="AK16">
            <v>1606.3108880534733</v>
          </cell>
          <cell r="AT16">
            <v>1753.8769967750031</v>
          </cell>
          <cell r="AU16">
            <v>1753.8769967750031</v>
          </cell>
          <cell r="BD16">
            <v>3244.6940949914529</v>
          </cell>
          <cell r="BE16">
            <v>3244.6940949914529</v>
          </cell>
          <cell r="BN16">
            <v>804.0779519517323</v>
          </cell>
          <cell r="BO16">
            <v>804.0779519517323</v>
          </cell>
        </row>
        <row r="30">
          <cell r="H30">
            <v>-2272.945487005446</v>
          </cell>
          <cell r="I30">
            <v>-2200.6351703042519</v>
          </cell>
          <cell r="J30">
            <v>-2115.3801932904607</v>
          </cell>
          <cell r="K30">
            <v>-2090.0039039560834</v>
          </cell>
          <cell r="L30">
            <v>-2012.895125504009</v>
          </cell>
          <cell r="M30">
            <v>-1998.3770398354332</v>
          </cell>
          <cell r="N30">
            <v>-1939.2258650771182</v>
          </cell>
          <cell r="O30">
            <v>-1910.0449971954217</v>
          </cell>
          <cell r="P30">
            <v>-1838.9200769266245</v>
          </cell>
          <cell r="Q30">
            <v>-1815.9394239804417</v>
          </cell>
          <cell r="Z30">
            <v>-1339.1937911386365</v>
          </cell>
          <cell r="AA30">
            <v>-1278.8867927741678</v>
          </cell>
          <cell r="AJ30">
            <v>-456.77365567320544</v>
          </cell>
          <cell r="AK30">
            <v>-354.72699819021886</v>
          </cell>
          <cell r="AT30">
            <v>0</v>
          </cell>
          <cell r="AU30">
            <v>0</v>
          </cell>
          <cell r="BD30">
            <v>0</v>
          </cell>
          <cell r="BE30">
            <v>0</v>
          </cell>
          <cell r="BN30">
            <v>1.3047751855066998</v>
          </cell>
          <cell r="BO30">
            <v>1.4857209260867199</v>
          </cell>
        </row>
        <row r="44">
          <cell r="I44">
            <v>713.65735188414089</v>
          </cell>
          <cell r="K44">
            <v>475.8902539353914</v>
          </cell>
          <cell r="M44">
            <v>274.64806319346582</v>
          </cell>
          <cell r="O44">
            <v>282.79373998926843</v>
          </cell>
          <cell r="Q44">
            <v>284.05568967451751</v>
          </cell>
          <cell r="AA44">
            <v>139.92209449192674</v>
          </cell>
          <cell r="AK44">
            <v>46.776790743528238</v>
          </cell>
          <cell r="AU44">
            <v>771.70587858100134</v>
          </cell>
          <cell r="BE44">
            <v>1427.6654017962392</v>
          </cell>
          <cell r="BO44">
            <v>354.40820800331278</v>
          </cell>
        </row>
      </sheetData>
      <sheetData sheetId="9">
        <row r="3">
          <cell r="G3">
            <v>0</v>
          </cell>
        </row>
        <row r="86">
          <cell r="H86">
            <v>-2396.3395859733532</v>
          </cell>
          <cell r="I86">
            <v>-2226.5376591682157</v>
          </cell>
          <cell r="J86">
            <v>-2103.8696148962167</v>
          </cell>
          <cell r="K86">
            <v>-2062.7544753650191</v>
          </cell>
          <cell r="L86">
            <v>-1950.1237819053415</v>
          </cell>
          <cell r="M86">
            <v>-1950.1237819053415</v>
          </cell>
          <cell r="N86">
            <v>-1943.2228113138083</v>
          </cell>
          <cell r="O86">
            <v>-1943.2228113138085</v>
          </cell>
          <cell r="P86">
            <v>-1934.605797354659</v>
          </cell>
          <cell r="Q86">
            <v>-1934.6057973546592</v>
          </cell>
          <cell r="Z86">
            <v>-156.91302066978923</v>
          </cell>
          <cell r="AA86">
            <v>0</v>
          </cell>
          <cell r="AJ86">
            <v>0</v>
          </cell>
          <cell r="AK86">
            <v>0</v>
          </cell>
          <cell r="AT86">
            <v>0</v>
          </cell>
          <cell r="AU86">
            <v>0</v>
          </cell>
          <cell r="BD86">
            <v>0</v>
          </cell>
          <cell r="BE86">
            <v>0</v>
          </cell>
          <cell r="BN86">
            <v>0</v>
          </cell>
          <cell r="BO86">
            <v>0</v>
          </cell>
        </row>
        <row r="113">
          <cell r="H113">
            <v>-585.44239353872183</v>
          </cell>
          <cell r="I113">
            <v>-449.47853726897108</v>
          </cell>
          <cell r="J113">
            <v>-523.46494429167069</v>
          </cell>
          <cell r="K113">
            <v>-414.77116569062241</v>
          </cell>
          <cell r="L113">
            <v>-447.55924870875037</v>
          </cell>
          <cell r="M113">
            <v>-378.89723291038354</v>
          </cell>
          <cell r="N113">
            <v>-453.9127168087939</v>
          </cell>
          <cell r="O113">
            <v>-383.21428181147712</v>
          </cell>
          <cell r="P113">
            <v>-456.78398716520041</v>
          </cell>
          <cell r="Q113">
            <v>-385.77006474657082</v>
          </cell>
          <cell r="Z113">
            <v>0</v>
          </cell>
          <cell r="AA113">
            <v>0</v>
          </cell>
          <cell r="AJ113">
            <v>0</v>
          </cell>
          <cell r="AK113">
            <v>0</v>
          </cell>
          <cell r="AT113">
            <v>0</v>
          </cell>
          <cell r="AU113">
            <v>0</v>
          </cell>
          <cell r="BD113">
            <v>0</v>
          </cell>
          <cell r="BE113">
            <v>0</v>
          </cell>
          <cell r="BN113">
            <v>0</v>
          </cell>
          <cell r="BO113">
            <v>0</v>
          </cell>
        </row>
        <row r="130">
          <cell r="G130">
            <v>610</v>
          </cell>
        </row>
        <row r="136">
          <cell r="H136">
            <v>-2366.3271806161656</v>
          </cell>
          <cell r="I136">
            <v>-1348.4356118069127</v>
          </cell>
          <cell r="J136">
            <v>-1570.3948328750125</v>
          </cell>
          <cell r="K136">
            <v>-1244.3134970718672</v>
          </cell>
          <cell r="L136">
            <v>-1342.6777461262504</v>
          </cell>
          <cell r="M136">
            <v>-1136.6916987311513</v>
          </cell>
          <cell r="N136">
            <v>-1361.7381504263824</v>
          </cell>
          <cell r="O136">
            <v>-1149.6428454344305</v>
          </cell>
          <cell r="P136">
            <v>-1370.3519614956003</v>
          </cell>
          <cell r="Q136">
            <v>-1157.3101942397122</v>
          </cell>
          <cell r="Z136">
            <v>-3277.2523726579639</v>
          </cell>
          <cell r="AA136">
            <v>-3294.2432988358264</v>
          </cell>
          <cell r="AJ136">
            <v>-3174.8704231694774</v>
          </cell>
          <cell r="AK136">
            <v>-3128.0936324259492</v>
          </cell>
          <cell r="AT136">
            <v>0</v>
          </cell>
          <cell r="AU136">
            <v>0</v>
          </cell>
          <cell r="BD136">
            <v>0</v>
          </cell>
          <cell r="BE136">
            <v>0</v>
          </cell>
          <cell r="BN136">
            <v>0</v>
          </cell>
          <cell r="BO13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Z147">
            <v>0</v>
          </cell>
          <cell r="AA147">
            <v>0</v>
          </cell>
          <cell r="AJ147">
            <v>0</v>
          </cell>
          <cell r="AK147">
            <v>0</v>
          </cell>
          <cell r="AT147">
            <v>3322.4365318910068</v>
          </cell>
          <cell r="AU147">
            <v>2550.7306533100054</v>
          </cell>
          <cell r="BD147">
            <v>3280.8832431074566</v>
          </cell>
          <cell r="BE147">
            <v>1853.2178413112174</v>
          </cell>
          <cell r="BN147">
            <v>805.38272713723904</v>
          </cell>
          <cell r="BO147">
            <v>451.15546487450627</v>
          </cell>
        </row>
        <row r="158">
          <cell r="B158">
            <v>63077.987300175962</v>
          </cell>
        </row>
        <row r="170">
          <cell r="B170">
            <v>0.22</v>
          </cell>
        </row>
      </sheetData>
      <sheetData sheetId="10">
        <row r="10">
          <cell r="I10">
            <v>61376.269452790373</v>
          </cell>
          <cell r="K10">
            <v>58143.94818655272</v>
          </cell>
          <cell r="M10">
            <v>54911.626920315059</v>
          </cell>
          <cell r="O10">
            <v>51679.305654077405</v>
          </cell>
          <cell r="Q10">
            <v>48446.984387839744</v>
          </cell>
          <cell r="AA10">
            <v>32285.378056651443</v>
          </cell>
          <cell r="AK10">
            <v>16409.37831348012</v>
          </cell>
          <cell r="AU10">
            <v>723.78296232011053</v>
          </cell>
          <cell r="BE10">
            <v>361.89148116005526</v>
          </cell>
          <cell r="BO10">
            <v>0</v>
          </cell>
        </row>
        <row r="15"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AA15">
            <v>0</v>
          </cell>
          <cell r="AK15">
            <v>0</v>
          </cell>
          <cell r="AU15">
            <v>0</v>
          </cell>
          <cell r="BE15">
            <v>0</v>
          </cell>
          <cell r="BO15">
            <v>333.33333333334804</v>
          </cell>
        </row>
        <row r="21">
          <cell r="I21">
            <v>250</v>
          </cell>
          <cell r="K21">
            <v>250</v>
          </cell>
          <cell r="M21">
            <v>250</v>
          </cell>
          <cell r="O21">
            <v>250</v>
          </cell>
          <cell r="Q21">
            <v>250</v>
          </cell>
          <cell r="AA21">
            <v>250</v>
          </cell>
          <cell r="AK21">
            <v>250</v>
          </cell>
          <cell r="AU21">
            <v>250</v>
          </cell>
          <cell r="BE21">
            <v>250</v>
          </cell>
          <cell r="BO21">
            <v>250</v>
          </cell>
        </row>
        <row r="22">
          <cell r="I22">
            <v>52.83295224124916</v>
          </cell>
          <cell r="K22">
            <v>76.926110576559509</v>
          </cell>
          <cell r="M22">
            <v>82.491361482434726</v>
          </cell>
          <cell r="O22">
            <v>83.333333333333329</v>
          </cell>
          <cell r="Q22">
            <v>83.333333333333329</v>
          </cell>
          <cell r="AA22">
            <v>83.333333333333329</v>
          </cell>
          <cell r="AK22">
            <v>83.333333333333329</v>
          </cell>
          <cell r="AU22">
            <v>83.333333333333329</v>
          </cell>
          <cell r="BE22">
            <v>83.333333333333329</v>
          </cell>
          <cell r="BO22">
            <v>83.333333333333329</v>
          </cell>
        </row>
        <row r="23">
          <cell r="I23">
            <v>-1996.3343712171365</v>
          </cell>
          <cell r="K23">
            <v>-1538.5643628462399</v>
          </cell>
          <cell r="M23">
            <v>-1581.6495550419966</v>
          </cell>
          <cell r="O23">
            <v>-1429.1300382943925</v>
          </cell>
          <cell r="Q23">
            <v>-1076.8830030827148</v>
          </cell>
          <cell r="AA23">
            <v>2255.8740987703122</v>
          </cell>
          <cell r="AK23">
            <v>10053.531564149491</v>
          </cell>
          <cell r="AU23">
            <v>390.44962898673202</v>
          </cell>
          <cell r="BE23">
            <v>28.558147826691311</v>
          </cell>
          <cell r="BO23">
            <v>0</v>
          </cell>
        </row>
        <row r="24">
          <cell r="I24">
            <v>32796.003939620241</v>
          </cell>
          <cell r="K24">
            <v>32594.113898791125</v>
          </cell>
          <cell r="M24">
            <v>32720.272086903173</v>
          </cell>
          <cell r="O24">
            <v>32831.405322838771</v>
          </cell>
          <cell r="Q24">
            <v>32927.517687639935</v>
          </cell>
          <cell r="AA24">
            <v>29696.170624547798</v>
          </cell>
          <cell r="AK24">
            <v>6022.5134159972786</v>
          </cell>
          <cell r="AU24">
            <v>0</v>
          </cell>
          <cell r="BE24">
            <v>0</v>
          </cell>
          <cell r="BO24">
            <v>0</v>
          </cell>
        </row>
        <row r="26">
          <cell r="I26">
            <v>30273.76693214602</v>
          </cell>
          <cell r="K26">
            <v>26761.472540031271</v>
          </cell>
          <cell r="M26">
            <v>23440.51302697145</v>
          </cell>
          <cell r="O26">
            <v>19943.697036199694</v>
          </cell>
          <cell r="Q26">
            <v>16263.016369949193</v>
          </cell>
          <cell r="AA26">
            <v>0</v>
          </cell>
          <cell r="AK26">
            <v>0</v>
          </cell>
          <cell r="AU26">
            <v>0</v>
          </cell>
          <cell r="BE26">
            <v>0</v>
          </cell>
          <cell r="BO26">
            <v>0</v>
          </cell>
        </row>
      </sheetData>
      <sheetData sheetId="11">
        <row r="31">
          <cell r="H31">
            <v>1578.794764507332</v>
          </cell>
          <cell r="I31">
            <v>1578.794764507332</v>
          </cell>
          <cell r="J31">
            <v>1578.794764507332</v>
          </cell>
          <cell r="K31">
            <v>1578.794764507332</v>
          </cell>
          <cell r="L31">
            <v>1578.794764507332</v>
          </cell>
          <cell r="M31">
            <v>1578.794764507332</v>
          </cell>
          <cell r="N31">
            <v>1578.794764507332</v>
          </cell>
          <cell r="O31">
            <v>1578.794764507332</v>
          </cell>
          <cell r="P31">
            <v>1578.794764507332</v>
          </cell>
          <cell r="Q31">
            <v>1578.794764507332</v>
          </cell>
          <cell r="Z31">
            <v>1578.794764507332</v>
          </cell>
          <cell r="AA31">
            <v>1578.794764507332</v>
          </cell>
          <cell r="AJ31">
            <v>1559.9811303333333</v>
          </cell>
          <cell r="AK31">
            <v>1559.9811303333333</v>
          </cell>
          <cell r="AT31">
            <v>1559.9811303333333</v>
          </cell>
          <cell r="AU31">
            <v>1559.9811303333333</v>
          </cell>
          <cell r="BD31">
            <v>27.610743333333332</v>
          </cell>
          <cell r="BE31">
            <v>27.610743333333332</v>
          </cell>
          <cell r="BN31">
            <v>27.610743333333332</v>
          </cell>
          <cell r="BO31">
            <v>27.610743333333332</v>
          </cell>
        </row>
      </sheetData>
      <sheetData sheetId="12">
        <row r="49">
          <cell r="C49">
            <v>0</v>
          </cell>
          <cell r="E49">
            <v>0</v>
          </cell>
        </row>
        <row r="104">
          <cell r="E104">
            <v>0</v>
          </cell>
        </row>
      </sheetData>
      <sheetData sheetId="13">
        <row r="28">
          <cell r="G28">
            <v>-31087.19710420911</v>
          </cell>
        </row>
      </sheetData>
      <sheetData sheetId="14">
        <row r="26">
          <cell r="H26">
            <v>10.783528136880088</v>
          </cell>
        </row>
      </sheetData>
      <sheetData sheetId="15"/>
      <sheetData sheetId="1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50101 Cash Group ICVA&amp;C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1"/>
      <sheetName val="Graph1"/>
      <sheetName val="Tableaux"/>
      <sheetName val="Liquidité"/>
      <sheetName val="Passage"/>
      <sheetName val="Multiples spéc."/>
      <sheetName val="Données Spéc."/>
      <sheetName val="SynthComp"/>
      <sheetName val="Primes OPA"/>
      <sheetName val="Graph"/>
      <sheetName val="Amts"/>
      <sheetName val="Wacc"/>
      <sheetName val="Fiches"/>
      <sheetName val="Anaboursière"/>
      <sheetName val="Transac"/>
      <sheetName val="Fiche AFE"/>
      <sheetName val="Synth trans"/>
      <sheetName val="Ancienne version trans"/>
      <sheetName val="Ri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DETABLE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émun5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ces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Riepilogo"/>
      <sheetName val="1_Sit"/>
      <sheetName val="2_Pat"/>
      <sheetName val="Pat_stampa"/>
      <sheetName val="3_Eco"/>
      <sheetName val="Eco_stampa"/>
      <sheetName val="Banche"/>
      <sheetName val="Riprese fiscali"/>
      <sheetName val="Irap"/>
      <sheetName val="differite"/>
      <sheetName val="Riserva disponibile"/>
      <sheetName val="R-ECO"/>
      <sheetName val="R-PAT"/>
      <sheetName val="R-FIN"/>
      <sheetName val="R-SPEC"/>
      <sheetName val="PR-A"/>
      <sheetName val="FI-AA Gestionali"/>
      <sheetName val="SCORTE"/>
      <sheetName val="MM-Gestionali"/>
      <sheetName val="adrh_127"/>
      <sheetName val="2 Pat ingl."/>
      <sheetName val="3 Eco ingl."/>
      <sheetName val="R-INCOME STATEMENT"/>
      <sheetName val="R-BALANCE SHEET"/>
      <sheetName val="R-STATEMENT OF CASH-FLOWS"/>
      <sheetName val="Pat_LMil."/>
      <sheetName val="Pat_LMil.Euro"/>
      <sheetName val="Eco_LMil."/>
      <sheetName val="Eco_LMil.Euro"/>
      <sheetName val="FIN_EURO"/>
      <sheetName val="conti"/>
      <sheetName val="gruppi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udit gauge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CF Wuxi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2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èses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l data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ment"/>
      <sheetName val="P&amp;L"/>
      <sheetName val="Volume"/>
      <sheetName val="Staff_Costs"/>
      <sheetName val="Balance Sheet"/>
      <sheetName val="Fixed Assets"/>
      <sheetName val="Working Capital"/>
      <sheetName val="Other Assets &amp; Liabilities"/>
      <sheetName val="Net Debt"/>
      <sheetName val="Capital &amp; Reserves"/>
      <sheetName val="Intercompany"/>
      <sheetName val="Acquisitions &amp; Disposals"/>
      <sheetName val="Cash Flow"/>
      <sheetName val="Macro"/>
      <sheetName val="Bulles Individuelles 1"/>
      <sheetName val="Bilan conso"/>
      <sheetName val="Bilan vision d'ensem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YNTHESE ASIE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 Info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CF conso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spetto di consolidamento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éveloppement"/>
      <sheetName val="Graph 1996-2006"/>
      <sheetName val="Graph 1996-2006 Détail"/>
      <sheetName val="Graph 1996-2006 Détail (2)"/>
      <sheetName val="Graph 1996-2006 (2)"/>
      <sheetName val="Graph 1996-2006 MB"/>
      <sheetName val="1996 2006 CA année"/>
      <sheetName val="1996 2011 CA"/>
      <sheetName val="1996 2011 MB"/>
      <sheetName val="Bouclage avec les chiffres 2000"/>
      <sheetName val="Construction des chiffres 1999"/>
      <sheetName val="Construction des chiffres 1998"/>
      <sheetName val="Construction des chiffres 1997"/>
      <sheetName val="Construction des chiffres 1996"/>
      <sheetName val="CA portfolio"/>
      <sheetName val="Feuil1"/>
      <sheetName val="99"/>
      <sheetName val="98"/>
      <sheetName val="Base new"/>
      <sheetName val="97 CA"/>
      <sheetName val="96 CA"/>
      <sheetName val="97baseCA"/>
      <sheetName val="96 MB"/>
      <sheetName val="96baseCA"/>
      <sheetName val="97 MB"/>
      <sheetName val="97baseALL"/>
      <sheetName val="grafagro"/>
      <sheetName val="grafcol"/>
      <sheetName val="grafcdv"/>
      <sheetName val="grafag"/>
      <sheetName val="grafurb"/>
      <sheetName val="Graph_1996-2006"/>
      <sheetName val="Graph_1996-2006_Détail"/>
      <sheetName val="Graph_1996-2006_Détail_(2)"/>
      <sheetName val="Graph_1996-2006_(2)"/>
      <sheetName val="Graph_1996-2006_MB"/>
      <sheetName val="1996_2006_CA_année"/>
      <sheetName val="1996_2011_CA"/>
      <sheetName val="1996_2011_MB"/>
      <sheetName val="Bouclage_avec_les_chiffres_2000"/>
      <sheetName val="Construction_des_chiffres_1999"/>
      <sheetName val="Construction_des_chiffres_1998"/>
      <sheetName val="Construction_des_chiffres_1997"/>
      <sheetName val="Construction_des_chiffres_1996"/>
      <sheetName val="CA_portfolio"/>
      <sheetName val="Base_new"/>
      <sheetName val="97_CA"/>
      <sheetName val="96_CA"/>
      <sheetName val="96_MB"/>
      <sheetName val="97_MB"/>
      <sheetName val="Graph_1996-20061"/>
      <sheetName val="Graph_1996-2006_Détail1"/>
      <sheetName val="Graph_1996-2006_Détail_(2)1"/>
      <sheetName val="Graph_1996-2006_(2)1"/>
      <sheetName val="Graph_1996-2006_MB1"/>
      <sheetName val="1996_2006_CA_année1"/>
      <sheetName val="1996_2011_CA1"/>
      <sheetName val="1996_2011_MB1"/>
      <sheetName val="Bouclage_avec_les_chiffres_2001"/>
      <sheetName val="Construction_des_chiffres_19991"/>
      <sheetName val="Construction_des_chiffres_19981"/>
      <sheetName val="Construction_des_chiffres_19971"/>
      <sheetName val="Construction_des_chiffres_19961"/>
      <sheetName val="CA_portfolio1"/>
      <sheetName val="Base_new1"/>
      <sheetName val="97_CA1"/>
      <sheetName val="96_CA1"/>
      <sheetName val="96_MB1"/>
      <sheetName val="97_M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_Pat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opératoire"/>
      <sheetName val="Données"/>
      <sheetName val="Cdes nouvelles"/>
      <sheetName val="Cdes annulées"/>
      <sheetName val="Cdes facturées"/>
      <sheetName val="Carnet"/>
      <sheetName val="Cdes terminées"/>
      <sheetName val="REX"/>
      <sheetName val="TdB"/>
      <sheetName val="Tab MAF"/>
      <sheetName val="Tab NAT"/>
      <sheetName val="Graphes"/>
      <sheetName val="Graphe 1"/>
      <sheetName val="Graphe 2"/>
      <sheetName val="Graphe 3"/>
      <sheetName val="Graphe 4"/>
      <sheetName val="Module1"/>
      <sheetName val="Module2"/>
      <sheetName val="Module4"/>
      <sheetName val="150101 cash group icva&amp;c"/>
      <sheetName val="Package"/>
      <sheetName val="Summary"/>
      <sheetName val="s&amp;p - credit peers"/>
      <sheetName val="housing"/>
      <sheetName val="usuarios recurrentes"/>
      <sheetName val="Ingresos"/>
      <sheetName val="Mode_opératoire"/>
      <sheetName val="Cdes_nouvelles"/>
      <sheetName val="Cdes_annulées"/>
      <sheetName val="Cdes_facturées"/>
      <sheetName val="Cdes_terminées"/>
      <sheetName val="Tab_MAF"/>
      <sheetName val="Tab_NAT"/>
      <sheetName val="Graphe_1"/>
      <sheetName val="Graphe_2"/>
      <sheetName val="Graphe_3"/>
      <sheetName val="Graphe_4"/>
      <sheetName val="150101_cash_group_icva&amp;c"/>
      <sheetName val="s&amp;p_-_credit_peers"/>
      <sheetName val="usuarios_recurrentes"/>
      <sheetName val="Mode_opératoire1"/>
      <sheetName val="Cdes_nouvelles1"/>
      <sheetName val="Cdes_annulées1"/>
      <sheetName val="Cdes_facturées1"/>
      <sheetName val="Cdes_terminées1"/>
      <sheetName val="Tab_MAF1"/>
      <sheetName val="Tab_NAT1"/>
      <sheetName val="Graphe_11"/>
      <sheetName val="Graphe_21"/>
      <sheetName val="Graphe_31"/>
      <sheetName val="Graphe_41"/>
      <sheetName val="150101_cash_group_icva&amp;c1"/>
      <sheetName val="s&amp;p_-_credit_peers1"/>
      <sheetName val="usuarios_recurrentes1"/>
      <sheetName val="Mode_opératoire2"/>
      <sheetName val="Cdes_nouvelles2"/>
      <sheetName val="Cdes_annulées2"/>
      <sheetName val="Cdes_facturées2"/>
      <sheetName val="Cdes_terminées2"/>
      <sheetName val="Tab_MAF2"/>
      <sheetName val="Tab_NAT2"/>
      <sheetName val="Graphe_12"/>
      <sheetName val="Graphe_22"/>
      <sheetName val="Graphe_32"/>
      <sheetName val="Graphe_42"/>
      <sheetName val="150101_cash_group_icva&amp;c2"/>
      <sheetName val="s&amp;p_-_credit_peers2"/>
      <sheetName val="usuarios_recurrentes2"/>
      <sheetName val="Mode_opératoire3"/>
      <sheetName val="Cdes_nouvelles3"/>
      <sheetName val="Cdes_annulées3"/>
      <sheetName val="Cdes_facturées3"/>
      <sheetName val="Cdes_terminées3"/>
      <sheetName val="Tab_MAF3"/>
      <sheetName val="Tab_NAT3"/>
      <sheetName val="Graphe_13"/>
      <sheetName val="Graphe_23"/>
      <sheetName val="Graphe_33"/>
      <sheetName val="Graphe_43"/>
      <sheetName val="150101_cash_group_icva&amp;c3"/>
      <sheetName val="s&amp;p_-_credit_peers3"/>
      <sheetName val="usuarios_recurrentes3"/>
      <sheetName val="Mode_opératoire4"/>
      <sheetName val="Cdes_nouvelles4"/>
      <sheetName val="Cdes_annulées4"/>
      <sheetName val="Cdes_facturées4"/>
      <sheetName val="Cdes_terminées4"/>
      <sheetName val="Tab_MAF4"/>
      <sheetName val="Tab_NAT4"/>
      <sheetName val="Graphe_14"/>
      <sheetName val="Graphe_24"/>
      <sheetName val="Graphe_34"/>
      <sheetName val="Graphe_44"/>
      <sheetName val="150101_cash_group_icva&amp;c4"/>
      <sheetName val="s&amp;p_-_credit_peers4"/>
      <sheetName val="usuarios_recurrentes4"/>
      <sheetName val="Mode_opératoire5"/>
      <sheetName val="Cdes_nouvelles5"/>
      <sheetName val="Cdes_annulées5"/>
      <sheetName val="Cdes_facturées5"/>
      <sheetName val="Cdes_terminées5"/>
      <sheetName val="Tab_MAF5"/>
      <sheetName val="Tab_NAT5"/>
      <sheetName val="Graphe_15"/>
      <sheetName val="Graphe_25"/>
      <sheetName val="Graphe_35"/>
      <sheetName val="Graphe_45"/>
      <sheetName val="150101_cash_group_icva&amp;c5"/>
      <sheetName val="s&amp;p_-_credit_peers5"/>
      <sheetName val="usuarios_recurrentes5"/>
      <sheetName val="Mode_opératoire6"/>
      <sheetName val="Cdes_nouvelles6"/>
      <sheetName val="Cdes_annulées6"/>
      <sheetName val="Cdes_facturées6"/>
      <sheetName val="Cdes_terminées6"/>
      <sheetName val="Tab_MAF6"/>
      <sheetName val="Tab_NAT6"/>
      <sheetName val="Graphe_16"/>
      <sheetName val="Graphe_26"/>
      <sheetName val="Graphe_36"/>
      <sheetName val="Graphe_46"/>
      <sheetName val="150101_cash_group_icva&amp;c6"/>
      <sheetName val="s&amp;p_-_credit_peers6"/>
      <sheetName val="usuarios_recurrentes6"/>
      <sheetName val="Mode_opératoire7"/>
      <sheetName val="Cdes_nouvelles7"/>
      <sheetName val="Cdes_annulées7"/>
      <sheetName val="Cdes_facturées7"/>
      <sheetName val="Cdes_terminées7"/>
      <sheetName val="Tab_MAF7"/>
      <sheetName val="Tab_NAT7"/>
      <sheetName val="Graphe_17"/>
      <sheetName val="Graphe_27"/>
      <sheetName val="Graphe_37"/>
      <sheetName val="Graphe_47"/>
      <sheetName val="150101_cash_group_icva&amp;c7"/>
      <sheetName val="s&amp;p_-_credit_peers7"/>
      <sheetName val="usuarios_recurrentes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1 P&amp;L"/>
      <sheetName val="H2 Fbil"/>
      <sheetName val="H3 Bila"/>
      <sheetName val="H4 TVA"/>
      <sheetName val="H5 Lois"/>
      <sheetName val="H6 Liss"/>
      <sheetName val="H7 Vir"/>
      <sheetName val="S1 CF"/>
      <sheetName val="S2 Bil"/>
      <sheetName val="S3 TVA"/>
      <sheetName val="I1 Exploit."/>
      <sheetName val="I2 Flux Bil."/>
      <sheetName val="Lissage 04-0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Renseignement"/>
      <sheetName val="Export rvo contrat"/>
      <sheetName val="Export sal base"/>
      <sheetName val="Export nb j travaillés"/>
      <sheetName val="Export tps travail"/>
      <sheetName val="Export Affectation"/>
      <sheetName val="Export WMAT"/>
      <sheetName val="EXPORT PLAN DE CHARGE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conomicInputs"/>
      <sheetName val="Sensitivities"/>
      <sheetName val="Staffi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Renseignement"/>
      <sheetName val="Export rvo contrat"/>
      <sheetName val="Export sal base"/>
      <sheetName val="Export nb j travaillés"/>
      <sheetName val="Export tps travail"/>
      <sheetName val="Export Affectation"/>
      <sheetName val="Export WMAT"/>
      <sheetName val="EXPORT PLAN DE CHARGE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mphenol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+ EBIT margin BP"/>
      <sheetName val="CA + EBIT margin"/>
      <sheetName val="evolution CA BP"/>
      <sheetName val="evolution CA groupe Nerim"/>
      <sheetName val="Organigramme"/>
      <sheetName val="Personnel (2)"/>
      <sheetName val="Personnel"/>
      <sheetName val="Découpage commercial"/>
      <sheetName val="Détail CA par secetur+ Bulles"/>
      <sheetName val="Marché"/>
      <sheetName val="Bulles Produits"/>
      <sheetName val="Détail CA et MB par Produit"/>
      <sheetName val="Invts"/>
      <sheetName val="Export"/>
      <sheetName val="Export (2)"/>
      <sheetName val="Ventilation client (2)"/>
      <sheetName val="Ventilation client"/>
      <sheetName val="Règlements clients"/>
      <sheetName val="Ventilation du stock "/>
      <sheetName val="Rotation stock"/>
      <sheetName val="BFR"/>
      <sheetName val="EI"/>
      <sheetName val="BBS"/>
      <sheetName val="Bilan"/>
      <sheetName val="cpte résultat consolidé"/>
      <sheetName val="données fi synth"/>
      <sheetName val="evolution du PIB"/>
      <sheetName val="CA et marge Tecflo SA avec  (2)"/>
      <sheetName val="CA et marge Tecflo SA avec port"/>
      <sheetName val="CA et marge Tecflo SA (2)"/>
      <sheetName val="specificites industrie"/>
      <sheetName val="fabricants"/>
      <sheetName val="Cibles"/>
      <sheetName val="Indices"/>
      <sheetName val="Données GEN"/>
      <sheetName val="Plan comptable Général"/>
      <sheetName val="Cover"/>
      <sheetName val=" Almaviva - Tax"/>
      <sheetName val=" Almaviva - Labour"/>
      <sheetName val="150101 cash group icva&amp;c"/>
      <sheetName val="CA_+_EBIT_margin_BP"/>
      <sheetName val="CA_+_EBIT_margin"/>
      <sheetName val="evolution_CA_BP"/>
      <sheetName val="evolution_CA_groupe_Nerim"/>
      <sheetName val="Personnel_(2)"/>
      <sheetName val="Découpage_commercial"/>
      <sheetName val="Détail_CA_par_secetur+_Bulles"/>
      <sheetName val="Bulles_Produits"/>
      <sheetName val="Détail_CA_et_MB_par_Produit"/>
      <sheetName val="Export_(2)"/>
      <sheetName val="Ventilation_client_(2)"/>
      <sheetName val="Ventilation_client"/>
      <sheetName val="Règlements_clients"/>
      <sheetName val="Ventilation_du_stock_"/>
      <sheetName val="Rotation_stock"/>
      <sheetName val="cpte_résultat_consolidé"/>
      <sheetName val="données_fi_synth"/>
      <sheetName val="evolution_du_PIB"/>
      <sheetName val="CA_et_marge_Tecflo_SA_avec__(2)"/>
      <sheetName val="CA_et_marge_Tecflo_SA_avec_port"/>
      <sheetName val="CA_et_marge_Tecflo_SA_(2)"/>
      <sheetName val="specificites_industrie"/>
      <sheetName val="Données_GEN"/>
      <sheetName val="Plan_comptable_Général"/>
      <sheetName val="_Almaviva_-_Tax"/>
      <sheetName val="_Almaviva_-_Labour"/>
      <sheetName val="150101_cash_group_icva&amp;c"/>
      <sheetName val="CA_+_EBIT_margin_BP1"/>
      <sheetName val="CA_+_EBIT_margin1"/>
      <sheetName val="evolution_CA_BP1"/>
      <sheetName val="evolution_CA_groupe_Nerim1"/>
      <sheetName val="Personnel_(2)1"/>
      <sheetName val="Découpage_commercial1"/>
      <sheetName val="Détail_CA_par_secetur+_Bulles1"/>
      <sheetName val="Bulles_Produits1"/>
      <sheetName val="Détail_CA_et_MB_par_Produit1"/>
      <sheetName val="Export_(2)1"/>
      <sheetName val="Ventilation_client_(2)1"/>
      <sheetName val="Ventilation_client1"/>
      <sheetName val="Règlements_clients1"/>
      <sheetName val="Ventilation_du_stock_1"/>
      <sheetName val="Rotation_stock1"/>
      <sheetName val="cpte_résultat_consolidé1"/>
      <sheetName val="données_fi_synth1"/>
      <sheetName val="evolution_du_PIB1"/>
      <sheetName val="CA_et_marge_Tecflo_SA_avec__(21"/>
      <sheetName val="CA_et_marge_Tecflo_SA_avec_por1"/>
      <sheetName val="CA_et_marge_Tecflo_SA_(2)1"/>
      <sheetName val="specificites_industrie1"/>
      <sheetName val="Données_GEN1"/>
      <sheetName val="Plan_comptable_Général1"/>
      <sheetName val="_Almaviva_-_Tax1"/>
      <sheetName val="_Almaviva_-_Labour1"/>
      <sheetName val="150101_cash_group_icva&amp;c1"/>
      <sheetName val="CA_+_EBIT_margin_BP2"/>
      <sheetName val="CA_+_EBIT_margin2"/>
      <sheetName val="evolution_CA_BP2"/>
      <sheetName val="evolution_CA_groupe_Nerim2"/>
      <sheetName val="Personnel_(2)2"/>
      <sheetName val="Découpage_commercial2"/>
      <sheetName val="Détail_CA_par_secetur+_Bulles2"/>
      <sheetName val="Bulles_Produits2"/>
      <sheetName val="Détail_CA_et_MB_par_Produit2"/>
      <sheetName val="Export_(2)2"/>
      <sheetName val="Ventilation_client_(2)2"/>
      <sheetName val="Ventilation_client2"/>
      <sheetName val="Règlements_clients2"/>
      <sheetName val="Ventilation_du_stock_2"/>
      <sheetName val="Rotation_stock2"/>
      <sheetName val="cpte_résultat_consolidé2"/>
      <sheetName val="données_fi_synth2"/>
      <sheetName val="evolution_du_PIB2"/>
      <sheetName val="CA_et_marge_Tecflo_SA_avec__(22"/>
      <sheetName val="CA_et_marge_Tecflo_SA_avec_por2"/>
      <sheetName val="CA_et_marge_Tecflo_SA_(2)2"/>
      <sheetName val="specificites_industrie2"/>
      <sheetName val="Données_GEN2"/>
      <sheetName val="Plan_comptable_Général2"/>
      <sheetName val="_Almaviva_-_Tax2"/>
      <sheetName val="_Almaviva_-_Labour2"/>
      <sheetName val="150101_cash_group_icva&amp;c2"/>
      <sheetName val="CA_+_EBIT_margin_BP3"/>
      <sheetName val="CA_+_EBIT_margin3"/>
      <sheetName val="evolution_CA_BP3"/>
      <sheetName val="evolution_CA_groupe_Nerim3"/>
      <sheetName val="Personnel_(2)3"/>
      <sheetName val="Découpage_commercial3"/>
      <sheetName val="Détail_CA_par_secetur+_Bulles3"/>
      <sheetName val="Bulles_Produits3"/>
      <sheetName val="Détail_CA_et_MB_par_Produit3"/>
      <sheetName val="Export_(2)3"/>
      <sheetName val="Ventilation_client_(2)3"/>
      <sheetName val="Ventilation_client3"/>
      <sheetName val="Règlements_clients3"/>
      <sheetName val="Ventilation_du_stock_3"/>
      <sheetName val="Rotation_stock3"/>
      <sheetName val="cpte_résultat_consolidé3"/>
      <sheetName val="données_fi_synth3"/>
      <sheetName val="evolution_du_PIB3"/>
      <sheetName val="CA_et_marge_Tecflo_SA_avec__(23"/>
      <sheetName val="CA_et_marge_Tecflo_SA_avec_por3"/>
      <sheetName val="CA_et_marge_Tecflo_SA_(2)3"/>
      <sheetName val="specificites_industrie3"/>
      <sheetName val="Données_GEN3"/>
      <sheetName val="Plan_comptable_Général3"/>
      <sheetName val="_Almaviva_-_Tax3"/>
      <sheetName val="_Almaviva_-_Labour3"/>
      <sheetName val="150101_cash_group_icva&amp;c3"/>
      <sheetName val="CA_+_EBIT_margin_BP4"/>
      <sheetName val="CA_+_EBIT_margin4"/>
      <sheetName val="evolution_CA_BP4"/>
      <sheetName val="evolution_CA_groupe_Nerim4"/>
      <sheetName val="Personnel_(2)4"/>
      <sheetName val="Découpage_commercial4"/>
      <sheetName val="Détail_CA_par_secetur+_Bulles4"/>
      <sheetName val="Bulles_Produits4"/>
      <sheetName val="Détail_CA_et_MB_par_Produit4"/>
      <sheetName val="Export_(2)4"/>
      <sheetName val="Ventilation_client_(2)4"/>
      <sheetName val="Ventilation_client4"/>
      <sheetName val="Règlements_clients4"/>
      <sheetName val="Ventilation_du_stock_4"/>
      <sheetName val="Rotation_stock4"/>
      <sheetName val="cpte_résultat_consolidé4"/>
      <sheetName val="données_fi_synth4"/>
      <sheetName val="evolution_du_PIB4"/>
      <sheetName val="CA_et_marge_Tecflo_SA_avec__(24"/>
      <sheetName val="CA_et_marge_Tecflo_SA_avec_por4"/>
      <sheetName val="CA_et_marge_Tecflo_SA_(2)4"/>
      <sheetName val="specificites_industrie4"/>
      <sheetName val="Données_GEN4"/>
      <sheetName val="Plan_comptable_Général4"/>
      <sheetName val="_Almaviva_-_Tax4"/>
      <sheetName val="_Almaviva_-_Labour4"/>
      <sheetName val="150101_cash_group_icva&amp;c4"/>
      <sheetName val="CA_+_EBIT_margin_BP5"/>
      <sheetName val="CA_+_EBIT_margin5"/>
      <sheetName val="evolution_CA_BP5"/>
      <sheetName val="evolution_CA_groupe_Nerim5"/>
      <sheetName val="Personnel_(2)5"/>
      <sheetName val="Découpage_commercial5"/>
      <sheetName val="Détail_CA_par_secetur+_Bulles5"/>
      <sheetName val="Bulles_Produits5"/>
      <sheetName val="Détail_CA_et_MB_par_Produit5"/>
      <sheetName val="Export_(2)5"/>
      <sheetName val="Ventilation_client_(2)5"/>
      <sheetName val="Ventilation_client5"/>
      <sheetName val="Règlements_clients5"/>
      <sheetName val="Ventilation_du_stock_5"/>
      <sheetName val="Rotation_stock5"/>
      <sheetName val="cpte_résultat_consolidé5"/>
      <sheetName val="données_fi_synth5"/>
      <sheetName val="evolution_du_PIB5"/>
      <sheetName val="CA_et_marge_Tecflo_SA_avec__(25"/>
      <sheetName val="CA_et_marge_Tecflo_SA_avec_por5"/>
      <sheetName val="CA_et_marge_Tecflo_SA_(2)5"/>
      <sheetName val="specificites_industrie5"/>
      <sheetName val="Données_GEN5"/>
      <sheetName val="Plan_comptable_Général5"/>
      <sheetName val="_Almaviva_-_Tax5"/>
      <sheetName val="_Almaviva_-_Labour5"/>
      <sheetName val="150101_cash_group_icva&amp;c5"/>
      <sheetName val="CA_+_EBIT_margin_BP6"/>
      <sheetName val="CA_+_EBIT_margin6"/>
      <sheetName val="evolution_CA_BP6"/>
      <sheetName val="evolution_CA_groupe_Nerim6"/>
      <sheetName val="Personnel_(2)6"/>
      <sheetName val="Découpage_commercial6"/>
      <sheetName val="Détail_CA_par_secetur+_Bulles6"/>
      <sheetName val="Bulles_Produits6"/>
      <sheetName val="Détail_CA_et_MB_par_Produit6"/>
      <sheetName val="Export_(2)6"/>
      <sheetName val="Ventilation_client_(2)6"/>
      <sheetName val="Ventilation_client6"/>
      <sheetName val="Règlements_clients6"/>
      <sheetName val="Ventilation_du_stock_6"/>
      <sheetName val="Rotation_stock6"/>
      <sheetName val="cpte_résultat_consolidé6"/>
      <sheetName val="données_fi_synth6"/>
      <sheetName val="evolution_du_PIB6"/>
      <sheetName val="CA_et_marge_Tecflo_SA_avec__(26"/>
      <sheetName val="CA_et_marge_Tecflo_SA_avec_por6"/>
      <sheetName val="CA_et_marge_Tecflo_SA_(2)6"/>
      <sheetName val="specificites_industrie6"/>
      <sheetName val="Données_GEN6"/>
      <sheetName val="Plan_comptable_Général6"/>
      <sheetName val="_Almaviva_-_Tax6"/>
      <sheetName val="_Almaviva_-_Labour6"/>
      <sheetName val="150101_cash_group_icva&amp;c6"/>
      <sheetName val="CA_+_EBIT_margin_BP7"/>
      <sheetName val="CA_+_EBIT_margin7"/>
      <sheetName val="evolution_CA_BP7"/>
      <sheetName val="evolution_CA_groupe_Nerim7"/>
      <sheetName val="Personnel_(2)7"/>
      <sheetName val="Découpage_commercial7"/>
      <sheetName val="Détail_CA_par_secetur+_Bulles7"/>
      <sheetName val="Bulles_Produits7"/>
      <sheetName val="Détail_CA_et_MB_par_Produit7"/>
      <sheetName val="Export_(2)7"/>
      <sheetName val="Ventilation_client_(2)7"/>
      <sheetName val="Ventilation_client7"/>
      <sheetName val="Règlements_clients7"/>
      <sheetName val="Ventilation_du_stock_7"/>
      <sheetName val="Rotation_stock7"/>
      <sheetName val="cpte_résultat_consolidé7"/>
      <sheetName val="données_fi_synth7"/>
      <sheetName val="evolution_du_PIB7"/>
      <sheetName val="CA_et_marge_Tecflo_SA_avec__(27"/>
      <sheetName val="CA_et_marge_Tecflo_SA_avec_por7"/>
      <sheetName val="CA_et_marge_Tecflo_SA_(2)7"/>
      <sheetName val="specificites_industrie7"/>
      <sheetName val="Données_GEN7"/>
      <sheetName val="Plan_comptable_Général7"/>
      <sheetName val="_Almaviva_-_Tax7"/>
      <sheetName val="_Almaviva_-_Labour7"/>
      <sheetName val="150101_cash_group_icva&amp;c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i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posal in EUR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ffing Comps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s ouvrés"/>
      <sheetName val="synthese"/>
      <sheetName val="ca 4Net"/>
      <sheetName val="ca stw20"/>
      <sheetName val="ca nvtis net"/>
      <sheetName val="histo"/>
      <sheetName val="XL-CAMOIS02"/>
      <sheetName val="XL-CAMOIS01"/>
      <sheetName val="XL-CAMOIS00"/>
      <sheetName val="XL-CAMOIS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age"/>
      <sheetName val="Summary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aramètres"/>
      <sheetName val="Prévisions - Input"/>
      <sheetName val="Synthèse des prévisions"/>
      <sheetName val="Valeur d'entreprise"/>
      <sheetName val="Multiples"/>
      <sheetName val="Graphiques"/>
      <sheetName val="Output"/>
      <sheetName val="Final"/>
      <sheetName val="Beta"/>
      <sheetName val="Ratios"/>
      <sheetName val="Régressions"/>
      <sheetName val="Datastre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SMT"/>
      <sheetName val="SMT (2)"/>
      <sheetName val="CUMUL"/>
      <sheetName val="MO"/>
      <sheetName val="IO"/>
      <sheetName val="EA"/>
      <sheetName val="IQ"/>
      <sheetName val="TH"/>
      <sheetName val="Meca"/>
      <sheetName val="Graphi"/>
      <sheetName val="SEP"/>
      <sheetName val="EMB"/>
      <sheetName val="manut"/>
      <sheetName val="manut (2)"/>
      <sheetName val="Sits"/>
      <sheetName val="Sit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AE synthèse taxes+parking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ivi cash flow par affaire"/>
      <sheetName val="suivi en Kilos.."/>
      <sheetName val="bilan"/>
      <sheetName val="bilan en kilos"/>
      <sheetName val="situation fin"/>
      <sheetName val="CHF - pense bête"/>
      <sheetName val="Feuil9"/>
      <sheetName val="Feuil16"/>
      <sheetName val="Feuil10"/>
      <sheetName val="Feuil11"/>
      <sheetName val="Feuil12"/>
      <sheetName val="Feuil13"/>
      <sheetName val="Feuil14"/>
      <sheetName val="Feuil15"/>
      <sheetName val="Consig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udit gauge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4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ph1 v3"/>
      <sheetName val="Flux mensuels v3"/>
      <sheetName val="Graph1 v2"/>
      <sheetName val="Flux mensuels v2"/>
      <sheetName val="Graph1"/>
      <sheetName val="Flux mensuel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venue"/>
      <sheetName val="Cover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léments clés"/>
      <sheetName val="Actionnariat simplifié"/>
      <sheetName val="Actionnariat"/>
      <sheetName val="Dirigeants"/>
      <sheetName val="Keller Group Plc ORD-1"/>
      <sheetName val="Revenue"/>
      <sheetName val="Cover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 04"/>
      <sheetName val="sial chine 04"/>
      <sheetName val="PTC04"/>
      <sheetName val="interbake 04"/>
      <sheetName val="cabling"/>
      <sheetName val="MOF"/>
      <sheetName val="CAR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Q_LinkingNames"/>
      <sheetName val="_CIQHiddenCacheSheet"/>
      <sheetName val="Worksheet"/>
      <sheetName val="Public Debt"/>
      <sheetName val="Data"/>
      <sheetName val="Calc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Cours de bourse (2)"/>
      <sheetName val="Cours de bourse"/>
      <sheetName val="VWAP"/>
      <sheetName val="VWAP - Output"/>
      <sheetName val="UPSLIDE_UndoFormatting"/>
      <sheetName val="UPSLIDE_Undo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anies"/>
      <sheetName val="People"/>
      <sheetName val="Language Index"/>
      <sheetName val="SPCIQ Identifier Converte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&amp;P - Credit peers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illeurtaux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ge de garde"/>
      <sheetName val="Multiple valuation"/>
      <sheetName val="Multiples Boursiers"/>
      <sheetName val="Multiples Boursiers (2)"/>
      <sheetName val="Multiples Boursiers RFP"/>
      <sheetName val="Benchmarking"/>
      <sheetName val="CroissancesMarges"/>
      <sheetName val="CroissancesMarges (2)"/>
      <sheetName val="Beta1,5y"/>
      <sheetName val="Rexel"/>
      <sheetName val="Rexel brokers"/>
      <sheetName val="Grainger"/>
      <sheetName val="Grainger brokers"/>
      <sheetName val="Wesco"/>
      <sheetName val="Wesco brokers"/>
      <sheetName val="Electrocomp"/>
      <sheetName val="Electrocomp brokers"/>
      <sheetName val="PremierFarnell"/>
      <sheetName val="Premier Farnell Brokers"/>
      <sheetName val="Wolseley"/>
      <sheetName val="Wolseley Brokers"/>
      <sheetName val="Hagemeyer"/>
      <sheetName val="Hagemeyer Brokers"/>
      <sheetName val="Schneider"/>
      <sheetName val="Schneider brokers"/>
      <sheetName val="Legrand"/>
      <sheetName val="Legrand brokers"/>
      <sheetName val="REQUEST_TABLE"/>
      <sheetName val="Data"/>
      <sheetName val="Tax Rates"/>
      <sheetName val="Xrates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1"/>
      <sheetName val="Feuil2"/>
    </sheetNames>
    <sheetDataSet>
      <sheetData sheetId="0"/>
      <sheetData sheetId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R"/>
      <sheetName val="entreecata"/>
      <sheetName val="CDR01EURO"/>
      <sheetName val="30"/>
      <sheetName val="33"/>
      <sheetName val="40"/>
      <sheetName val="41"/>
      <sheetName val="42"/>
      <sheetName val="43"/>
      <sheetName val="44"/>
      <sheetName val="48"/>
      <sheetName val="50"/>
      <sheetName val="51"/>
      <sheetName val="52"/>
      <sheetName val="53"/>
      <sheetName val="54"/>
      <sheetName val="55"/>
      <sheetName val="56"/>
      <sheetName val="57"/>
      <sheetName val="60"/>
      <sheetName val="61"/>
      <sheetName val="62"/>
      <sheetName val="63"/>
      <sheetName val="67"/>
      <sheetName val="CDR01 KF"/>
      <sheetName val="BUD01K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Z - to keep"/>
      <sheetName val="Football Field - to keep"/>
      <sheetName val="JZ"/>
      <sheetName val="Macabacus"/>
      <sheetName val="Glossary"/>
      <sheetName val="CFs From BNB -&gt;"/>
      <sheetName val="Pilot"/>
      <sheetName val="BS_Immo"/>
      <sheetName val="IS_Immo"/>
      <sheetName val="CFS_Imm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 Info"/>
    </sheet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mo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compsge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manant"/>
      <sheetName val="Bilact"/>
    </sheetNames>
    <sheetDataSet>
      <sheetData sheetId="0" refreshError="1"/>
      <sheetData sheetId="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Important Notice"/>
      <sheetName val="Color Code"/>
      <sheetName val="Assumptions"/>
      <sheetName val="Bio-Access"/>
      <sheetName val="Deal Scenario"/>
      <sheetName val="Financing Scénario"/>
      <sheetName val="Sources &amp; Uses"/>
      <sheetName val="Calculation"/>
      <sheetName val="Output"/>
      <sheetName val="TRI S.Eimer"/>
      <sheetName val="TRI du fonds"/>
      <sheetName val="Debt capacity"/>
      <sheetName val="--&gt; Current structure"/>
      <sheetName val="Debt Structure"/>
      <sheetName val="Debt Schedule"/>
      <sheetName val="Output wo. refinancing"/>
      <sheetName val="Other output (1)"/>
      <sheetName val="Other output (2)"/>
      <sheetName val="--&gt; Appendices"/>
      <sheetName val="Credit comps"/>
      <sheetName val="S&amp;P - Large cap"/>
      <sheetName val="Emissions du secteur"/>
      <sheetName val="Revenue by lab"/>
      <sheetName val="Shareholders"/>
      <sheetName val="Pending points"/>
      <sheetName val="Feuil2"/>
      <sheetName val="WACC"/>
      <sheetName val="DCF Wuxi"/>
      <sheetName val="ControlsH"/>
      <sheetName val="DataH"/>
      <sheetName val="Ratings"/>
      <sheetName val="VAL Graphs"/>
      <sheetName val="Overview"/>
      <sheetName val="budget ca promotion icvc"/>
      <sheetName val="Cover_Page"/>
      <sheetName val="Important_Notice"/>
      <sheetName val="Color_Code"/>
      <sheetName val="Deal_Scenario"/>
      <sheetName val="Financing_Scénario"/>
      <sheetName val="Sources_&amp;_Uses"/>
      <sheetName val="TRI_S_Eimer"/>
      <sheetName val="TRI_du_fonds"/>
      <sheetName val="Debt_capacity"/>
      <sheetName val="--&gt;_Current_structure"/>
      <sheetName val="Debt_Structure"/>
      <sheetName val="Debt_Schedule"/>
      <sheetName val="Output_wo__refinancing"/>
      <sheetName val="Other_output_(1)"/>
      <sheetName val="Other_output_(2)"/>
      <sheetName val="--&gt;_Appendices"/>
      <sheetName val="Credit_comps"/>
      <sheetName val="S&amp;P_-_Large_cap"/>
      <sheetName val="Emissions_du_secteur"/>
      <sheetName val="Revenue_by_lab"/>
      <sheetName val="Pending_points"/>
      <sheetName val="DCF_Wuxi"/>
      <sheetName val="VAL_Graphs"/>
      <sheetName val="budget_ca_promotion_icvc"/>
      <sheetName val="Cover_Page1"/>
      <sheetName val="Important_Notice1"/>
      <sheetName val="Color_Code1"/>
      <sheetName val="Deal_Scenario1"/>
      <sheetName val="Financing_Scénario1"/>
      <sheetName val="Sources_&amp;_Uses1"/>
      <sheetName val="TRI_S_Eimer1"/>
      <sheetName val="TRI_du_fonds1"/>
      <sheetName val="Debt_capacity1"/>
      <sheetName val="--&gt;_Current_structure1"/>
      <sheetName val="Debt_Structure1"/>
      <sheetName val="Debt_Schedule1"/>
      <sheetName val="Output_wo__refinancing1"/>
      <sheetName val="Other_output_(1)1"/>
      <sheetName val="Other_output_(2)1"/>
      <sheetName val="--&gt;_Appendices1"/>
      <sheetName val="Credit_comps1"/>
      <sheetName val="S&amp;P_-_Large_cap1"/>
      <sheetName val="Emissions_du_secteur1"/>
      <sheetName val="Revenue_by_lab1"/>
      <sheetName val="Pending_points1"/>
      <sheetName val="DCF_Wuxi1"/>
      <sheetName val="VAL_Graphs1"/>
      <sheetName val="budget_ca_promotion_icvc1"/>
      <sheetName val="Cover_Page2"/>
      <sheetName val="Important_Notice2"/>
      <sheetName val="Color_Code2"/>
      <sheetName val="Deal_Scenario2"/>
      <sheetName val="Financing_Scénario2"/>
      <sheetName val="Sources_&amp;_Uses2"/>
      <sheetName val="TRI_S_Eimer2"/>
      <sheetName val="TRI_du_fonds2"/>
      <sheetName val="Debt_capacity2"/>
      <sheetName val="--&gt;_Current_structure2"/>
      <sheetName val="Debt_Structure2"/>
      <sheetName val="Debt_Schedule2"/>
      <sheetName val="Output_wo__refinancing2"/>
      <sheetName val="Other_output_(1)2"/>
      <sheetName val="Other_output_(2)2"/>
      <sheetName val="--&gt;_Appendices2"/>
      <sheetName val="Credit_comps2"/>
      <sheetName val="S&amp;P_-_Large_cap2"/>
      <sheetName val="Emissions_du_secteur2"/>
      <sheetName val="Revenue_by_lab2"/>
      <sheetName val="Pending_points2"/>
      <sheetName val="DCF_Wuxi2"/>
      <sheetName val="VAL_Graphs2"/>
      <sheetName val="budget_ca_promotion_icvc2"/>
      <sheetName val="Cover_Page3"/>
      <sheetName val="Important_Notice3"/>
      <sheetName val="Color_Code3"/>
      <sheetName val="Deal_Scenario3"/>
      <sheetName val="Financing_Scénario3"/>
      <sheetName val="Sources_&amp;_Uses3"/>
      <sheetName val="TRI_S_Eimer3"/>
      <sheetName val="TRI_du_fonds3"/>
      <sheetName val="Debt_capacity3"/>
      <sheetName val="--&gt;_Current_structure3"/>
      <sheetName val="Debt_Structure3"/>
      <sheetName val="Debt_Schedule3"/>
      <sheetName val="Output_wo__refinancing3"/>
      <sheetName val="Other_output_(1)3"/>
      <sheetName val="Other_output_(2)3"/>
      <sheetName val="--&gt;_Appendices3"/>
      <sheetName val="Credit_comps3"/>
      <sheetName val="S&amp;P_-_Large_cap3"/>
      <sheetName val="Emissions_du_secteur3"/>
      <sheetName val="Revenue_by_lab3"/>
      <sheetName val="Pending_points3"/>
      <sheetName val="DCF_Wuxi3"/>
      <sheetName val="VAL_Graphs3"/>
      <sheetName val="budget_ca_promotion_icvc3"/>
      <sheetName val="Cover_Page4"/>
      <sheetName val="Important_Notice4"/>
      <sheetName val="Color_Code4"/>
      <sheetName val="Deal_Scenario4"/>
      <sheetName val="Financing_Scénario4"/>
      <sheetName val="Sources_&amp;_Uses4"/>
      <sheetName val="TRI_S_Eimer4"/>
      <sheetName val="TRI_du_fonds4"/>
      <sheetName val="Debt_capacity4"/>
      <sheetName val="--&gt;_Current_structure4"/>
      <sheetName val="Debt_Structure4"/>
      <sheetName val="Debt_Schedule4"/>
      <sheetName val="Output_wo__refinancing4"/>
      <sheetName val="Other_output_(1)4"/>
      <sheetName val="Other_output_(2)4"/>
      <sheetName val="--&gt;_Appendices4"/>
      <sheetName val="Credit_comps4"/>
      <sheetName val="S&amp;P_-_Large_cap4"/>
      <sheetName val="Emissions_du_secteur4"/>
      <sheetName val="Revenue_by_lab4"/>
      <sheetName val="Pending_points4"/>
      <sheetName val="DCF_Wuxi4"/>
      <sheetName val="VAL_Graphs4"/>
      <sheetName val="budget_ca_promotion_icvc4"/>
      <sheetName val="Cover_Page5"/>
      <sheetName val="Important_Notice5"/>
      <sheetName val="Color_Code5"/>
      <sheetName val="Deal_Scenario5"/>
      <sheetName val="Financing_Scénario5"/>
      <sheetName val="Sources_&amp;_Uses5"/>
      <sheetName val="TRI_S_Eimer5"/>
      <sheetName val="TRI_du_fonds5"/>
      <sheetName val="Debt_capacity5"/>
      <sheetName val="--&gt;_Current_structure5"/>
      <sheetName val="Debt_Structure5"/>
      <sheetName val="Debt_Schedule5"/>
      <sheetName val="Output_wo__refinancing5"/>
      <sheetName val="Other_output_(1)5"/>
      <sheetName val="Other_output_(2)5"/>
      <sheetName val="--&gt;_Appendices5"/>
      <sheetName val="Credit_comps5"/>
      <sheetName val="S&amp;P_-_Large_cap5"/>
      <sheetName val="Emissions_du_secteur5"/>
      <sheetName val="Revenue_by_lab5"/>
      <sheetName val="Pending_points5"/>
      <sheetName val="DCF_Wuxi5"/>
      <sheetName val="VAL_Graphs5"/>
      <sheetName val="budget_ca_promotion_icvc5"/>
      <sheetName val="Cover_Page6"/>
      <sheetName val="Important_Notice6"/>
      <sheetName val="Color_Code6"/>
      <sheetName val="Deal_Scenario6"/>
      <sheetName val="Financing_Scénario6"/>
      <sheetName val="Sources_&amp;_Uses6"/>
      <sheetName val="TRI_S_Eimer6"/>
      <sheetName val="TRI_du_fonds6"/>
      <sheetName val="Debt_capacity6"/>
      <sheetName val="--&gt;_Current_structure6"/>
      <sheetName val="Debt_Structure6"/>
      <sheetName val="Debt_Schedule6"/>
      <sheetName val="Output_wo__refinancing6"/>
      <sheetName val="Other_output_(1)6"/>
      <sheetName val="Other_output_(2)6"/>
      <sheetName val="--&gt;_Appendices6"/>
      <sheetName val="Credit_comps6"/>
      <sheetName val="S&amp;P_-_Large_cap6"/>
      <sheetName val="Emissions_du_secteur6"/>
      <sheetName val="Revenue_by_lab6"/>
      <sheetName val="Pending_points6"/>
      <sheetName val="DCF_Wuxi6"/>
      <sheetName val="VAL_Graphs6"/>
      <sheetName val="budget_ca_promotion_icvc6"/>
      <sheetName val="Cover_Page7"/>
      <sheetName val="Important_Notice7"/>
      <sheetName val="Color_Code7"/>
      <sheetName val="Deal_Scenario7"/>
      <sheetName val="Financing_Scénario7"/>
      <sheetName val="Sources_&amp;_Uses7"/>
      <sheetName val="TRI_S_Eimer7"/>
      <sheetName val="TRI_du_fonds7"/>
      <sheetName val="Debt_capacity7"/>
      <sheetName val="--&gt;_Current_structure7"/>
      <sheetName val="Debt_Structure7"/>
      <sheetName val="Debt_Schedule7"/>
      <sheetName val="Output_wo__refinancing7"/>
      <sheetName val="Other_output_(1)7"/>
      <sheetName val="Other_output_(2)7"/>
      <sheetName val="--&gt;_Appendices7"/>
      <sheetName val="Credit_comps7"/>
      <sheetName val="S&amp;P_-_Large_cap7"/>
      <sheetName val="Emissions_du_secteur7"/>
      <sheetName val="Revenue_by_lab7"/>
      <sheetName val="Pending_points7"/>
      <sheetName val="DCF_Wuxi7"/>
      <sheetName val="VAL_Graphs7"/>
      <sheetName val="budget_ca_promotion_icvc7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-PAT ADRA"/>
      <sheetName val="R-ECO ADRA"/>
      <sheetName val="R-ECO TEL"/>
      <sheetName val="R-PAT TEL"/>
      <sheetName val="R-FIN TEL"/>
      <sheetName val="R-ECO ADRH"/>
      <sheetName val="R-PAT ADRH"/>
      <sheetName val="R-FIN ADRH"/>
      <sheetName val="R-ECO ADRE"/>
      <sheetName val="R-PAT ADRE"/>
      <sheetName val="R-FIN ADRE"/>
      <sheetName val="R-ECO SPA"/>
      <sheetName val="R-PAT SPA"/>
      <sheetName val="R-FIN SPA"/>
      <sheetName val="aggregato"/>
      <sheetName val="R-FIN GRUPPO"/>
      <sheetName val="R-PAT GRUPPO"/>
      <sheetName val="R-ECO GRUPPO"/>
      <sheetName val="Pari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ANCE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enario"/>
      <sheetName val="Scenario_PPA"/>
      <sheetName val="Follow-up"/>
      <sheetName val="Output"/>
      <sheetName val="Inputs TI"/>
      <sheetName val="Inputs TD"/>
      <sheetName val="Indexation"/>
      <sheetName val="Graph"/>
      <sheetName val="RUL"/>
      <sheetName val="FOMA"/>
      <sheetName val="ENPO"/>
      <sheetName val="VIG"/>
      <sheetName val="ROY II"/>
      <sheetName val="HoldCo"/>
      <sheetName val="DS"/>
      <sheetName val="Novation"/>
      <sheetName val="Sizing"/>
      <sheetName val="VIG Debt"/>
      <sheetName val="Appendix"/>
      <sheetName val="Feuil1"/>
      <sheetName val="AFS"/>
      <sheetName val="PWP_A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opératoire"/>
      <sheetName val="P. de Garde"/>
      <sheetName val="TdB REX C"/>
      <sheetName val="TdB REX M"/>
      <sheetName val="CAE P CA mars 2002"/>
      <sheetName val="CAE P CA septembre 2002"/>
      <sheetName val="Base CAE"/>
      <sheetName val="CAE P"/>
      <sheetName val="Suivi sections"/>
      <sheetName val="Heures"/>
      <sheetName val="BASE CONCEPT"/>
      <sheetName val="Base MAF"/>
      <sheetName val="SIG P CA mars 2002 (FRF)"/>
      <sheetName val="SIG P CA mars 2002"/>
      <sheetName val="SIG P CA septembre 2002"/>
      <sheetName val="SIG P"/>
      <sheetName val="Base SIG"/>
      <sheetName val="Base REX"/>
      <sheetName val="Base BILAN"/>
      <sheetName val="BALANCE"/>
      <sheetName val="PLAN COMPTABLE MODELE"/>
      <sheetName val="PLAN COMPTABLE"/>
      <sheetName val="TdB FIN"/>
      <sheetName val="Financement"/>
      <sheetName val="Réalisable &amp; disponible"/>
      <sheetName val="Graphes"/>
      <sheetName val="Proposal in EUR"/>
      <sheetName val="Feuil2"/>
      <sheetName val="evolution du PIB"/>
      <sheetName val="150101 cash group icva&amp;c"/>
      <sheetName val="Mode_opératoire"/>
      <sheetName val="P__de_Garde"/>
      <sheetName val="TdB_REX_C"/>
      <sheetName val="TdB_REX_M"/>
      <sheetName val="CAE_P_CA_mars_2002"/>
      <sheetName val="CAE_P_CA_septembre_2002"/>
      <sheetName val="Base_CAE"/>
      <sheetName val="CAE_P"/>
      <sheetName val="Suivi_sections"/>
      <sheetName val="BASE_CONCEPT"/>
      <sheetName val="Base_MAF"/>
      <sheetName val="SIG_P_CA_mars_2002_(FRF)"/>
      <sheetName val="SIG_P_CA_mars_2002"/>
      <sheetName val="SIG_P_CA_septembre_2002"/>
      <sheetName val="SIG_P"/>
      <sheetName val="Base_SIG"/>
      <sheetName val="Base_REX"/>
      <sheetName val="Base_BILAN"/>
      <sheetName val="PLAN_COMPTABLE_MODELE"/>
      <sheetName val="PLAN_COMPTABLE"/>
      <sheetName val="TdB_FIN"/>
      <sheetName val="Réalisable_&amp;_disponible"/>
      <sheetName val="Proposal_in_EUR"/>
      <sheetName val="evolution_du_PIB"/>
      <sheetName val="150101_cash_group_icva&amp;c"/>
      <sheetName val="Mode_opératoire1"/>
      <sheetName val="P__de_Garde1"/>
      <sheetName val="TdB_REX_C1"/>
      <sheetName val="TdB_REX_M1"/>
      <sheetName val="CAE_P_CA_mars_20021"/>
      <sheetName val="CAE_P_CA_septembre_20021"/>
      <sheetName val="Base_CAE1"/>
      <sheetName val="CAE_P1"/>
      <sheetName val="Suivi_sections1"/>
      <sheetName val="BASE_CONCEPT1"/>
      <sheetName val="Base_MAF1"/>
      <sheetName val="SIG_P_CA_mars_2002_(FRF)1"/>
      <sheetName val="SIG_P_CA_mars_20021"/>
      <sheetName val="SIG_P_CA_septembre_20021"/>
      <sheetName val="SIG_P1"/>
      <sheetName val="Base_SIG1"/>
      <sheetName val="Base_REX1"/>
      <sheetName val="Base_BILAN1"/>
      <sheetName val="PLAN_COMPTABLE_MODELE1"/>
      <sheetName val="PLAN_COMPTABLE1"/>
      <sheetName val="TdB_FIN1"/>
      <sheetName val="Réalisable_&amp;_disponible1"/>
      <sheetName val="Proposal_in_EUR1"/>
      <sheetName val="evolution_du_PIB1"/>
      <sheetName val="150101_cash_group_icva&amp;c1"/>
      <sheetName val="Mode_opératoire2"/>
      <sheetName val="P__de_Garde2"/>
      <sheetName val="TdB_REX_C2"/>
      <sheetName val="TdB_REX_M2"/>
      <sheetName val="CAE_P_CA_mars_20022"/>
      <sheetName val="CAE_P_CA_septembre_20022"/>
      <sheetName val="Base_CAE2"/>
      <sheetName val="CAE_P2"/>
      <sheetName val="Suivi_sections2"/>
      <sheetName val="BASE_CONCEPT2"/>
      <sheetName val="Base_MAF2"/>
      <sheetName val="SIG_P_CA_mars_2002_(FRF)2"/>
      <sheetName val="SIG_P_CA_mars_20022"/>
      <sheetName val="SIG_P_CA_septembre_20022"/>
      <sheetName val="SIG_P2"/>
      <sheetName val="Base_SIG2"/>
      <sheetName val="Base_REX2"/>
      <sheetName val="Base_BILAN2"/>
      <sheetName val="PLAN_COMPTABLE_MODELE2"/>
      <sheetName val="PLAN_COMPTABLE2"/>
      <sheetName val="TdB_FIN2"/>
      <sheetName val="Réalisable_&amp;_disponible2"/>
      <sheetName val="Proposal_in_EUR2"/>
      <sheetName val="evolution_du_PIB2"/>
      <sheetName val="150101_cash_group_icva&amp;c2"/>
      <sheetName val="Mode_opératoire3"/>
      <sheetName val="P__de_Garde3"/>
      <sheetName val="TdB_REX_C3"/>
      <sheetName val="TdB_REX_M3"/>
      <sheetName val="CAE_P_CA_mars_20023"/>
      <sheetName val="CAE_P_CA_septembre_20023"/>
      <sheetName val="Base_CAE3"/>
      <sheetName val="CAE_P3"/>
      <sheetName val="Suivi_sections3"/>
      <sheetName val="BASE_CONCEPT3"/>
      <sheetName val="Base_MAF3"/>
      <sheetName val="SIG_P_CA_mars_2002_(FRF)3"/>
      <sheetName val="SIG_P_CA_mars_20023"/>
      <sheetName val="SIG_P_CA_septembre_20023"/>
      <sheetName val="SIG_P3"/>
      <sheetName val="Base_SIG3"/>
      <sheetName val="Base_REX3"/>
      <sheetName val="Base_BILAN3"/>
      <sheetName val="PLAN_COMPTABLE_MODELE3"/>
      <sheetName val="PLAN_COMPTABLE3"/>
      <sheetName val="TdB_FIN3"/>
      <sheetName val="Réalisable_&amp;_disponible3"/>
      <sheetName val="Proposal_in_EUR3"/>
      <sheetName val="evolution_du_PIB3"/>
      <sheetName val="150101_cash_group_icva&amp;c3"/>
      <sheetName val="Mode_opératoire4"/>
      <sheetName val="P__de_Garde4"/>
      <sheetName val="TdB_REX_C4"/>
      <sheetName val="TdB_REX_M4"/>
      <sheetName val="CAE_P_CA_mars_20024"/>
      <sheetName val="CAE_P_CA_septembre_20024"/>
      <sheetName val="Base_CAE4"/>
      <sheetName val="CAE_P4"/>
      <sheetName val="Suivi_sections4"/>
      <sheetName val="BASE_CONCEPT4"/>
      <sheetName val="Base_MAF4"/>
      <sheetName val="SIG_P_CA_mars_2002_(FRF)4"/>
      <sheetName val="SIG_P_CA_mars_20024"/>
      <sheetName val="SIG_P_CA_septembre_20024"/>
      <sheetName val="SIG_P4"/>
      <sheetName val="Base_SIG4"/>
      <sheetName val="Base_REX4"/>
      <sheetName val="Base_BILAN4"/>
      <sheetName val="PLAN_COMPTABLE_MODELE4"/>
      <sheetName val="PLAN_COMPTABLE4"/>
      <sheetName val="TdB_FIN4"/>
      <sheetName val="Réalisable_&amp;_disponible4"/>
      <sheetName val="Proposal_in_EUR4"/>
      <sheetName val="evolution_du_PIB4"/>
      <sheetName val="150101_cash_group_icva&amp;c4"/>
      <sheetName val="Mode_opératoire5"/>
      <sheetName val="P__de_Garde5"/>
      <sheetName val="TdB_REX_C5"/>
      <sheetName val="TdB_REX_M5"/>
      <sheetName val="CAE_P_CA_mars_20025"/>
      <sheetName val="CAE_P_CA_septembre_20025"/>
      <sheetName val="Base_CAE5"/>
      <sheetName val="CAE_P5"/>
      <sheetName val="Suivi_sections5"/>
      <sheetName val="BASE_CONCEPT5"/>
      <sheetName val="Base_MAF5"/>
      <sheetName val="SIG_P_CA_mars_2002_(FRF)5"/>
      <sheetName val="SIG_P_CA_mars_20025"/>
      <sheetName val="SIG_P_CA_septembre_20025"/>
      <sheetName val="SIG_P5"/>
      <sheetName val="Base_SIG5"/>
      <sheetName val="Base_REX5"/>
      <sheetName val="Base_BILAN5"/>
      <sheetName val="PLAN_COMPTABLE_MODELE5"/>
      <sheetName val="PLAN_COMPTABLE5"/>
      <sheetName val="TdB_FIN5"/>
      <sheetName val="Réalisable_&amp;_disponible5"/>
      <sheetName val="Proposal_in_EUR5"/>
      <sheetName val="evolution_du_PIB5"/>
      <sheetName val="150101_cash_group_icva&amp;c5"/>
      <sheetName val="Mode_opératoire6"/>
      <sheetName val="P__de_Garde6"/>
      <sheetName val="TdB_REX_C6"/>
      <sheetName val="TdB_REX_M6"/>
      <sheetName val="CAE_P_CA_mars_20026"/>
      <sheetName val="CAE_P_CA_septembre_20026"/>
      <sheetName val="Base_CAE6"/>
      <sheetName val="CAE_P6"/>
      <sheetName val="Suivi_sections6"/>
      <sheetName val="BASE_CONCEPT6"/>
      <sheetName val="Base_MAF6"/>
      <sheetName val="SIG_P_CA_mars_2002_(FRF)6"/>
      <sheetName val="SIG_P_CA_mars_20026"/>
      <sheetName val="SIG_P_CA_septembre_20026"/>
      <sheetName val="SIG_P6"/>
      <sheetName val="Base_SIG6"/>
      <sheetName val="Base_REX6"/>
      <sheetName val="Base_BILAN6"/>
      <sheetName val="PLAN_COMPTABLE_MODELE6"/>
      <sheetName val="PLAN_COMPTABLE6"/>
      <sheetName val="TdB_FIN6"/>
      <sheetName val="Réalisable_&amp;_disponible6"/>
      <sheetName val="Proposal_in_EUR6"/>
      <sheetName val="evolution_du_PIB6"/>
      <sheetName val="150101_cash_group_icva&amp;c6"/>
      <sheetName val="Mode_opératoire7"/>
      <sheetName val="P__de_Garde7"/>
      <sheetName val="TdB_REX_C7"/>
      <sheetName val="TdB_REX_M7"/>
      <sheetName val="CAE_P_CA_mars_20027"/>
      <sheetName val="CAE_P_CA_septembre_20027"/>
      <sheetName val="Base_CAE7"/>
      <sheetName val="CAE_P7"/>
      <sheetName val="Suivi_sections7"/>
      <sheetName val="BASE_CONCEPT7"/>
      <sheetName val="Base_MAF7"/>
      <sheetName val="SIG_P_CA_mars_2002_(FRF)7"/>
      <sheetName val="SIG_P_CA_mars_20027"/>
      <sheetName val="SIG_P_CA_septembre_20027"/>
      <sheetName val="SIG_P7"/>
      <sheetName val="Base_SIG7"/>
      <sheetName val="Base_REX7"/>
      <sheetName val="Base_BILAN7"/>
      <sheetName val="PLAN_COMPTABLE_MODELE7"/>
      <sheetName val="PLAN_COMPTABLE7"/>
      <sheetName val="TdB_FIN7"/>
      <sheetName val="Réalisable_&amp;_disponible7"/>
      <sheetName val="Proposal_in_EUR7"/>
      <sheetName val="evolution_du_PIB7"/>
      <sheetName val="150101_cash_group_icva&amp;c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houd"/>
      <sheetName val="BL"/>
      <sheetName val="RR"/>
      <sheetName val="A"/>
      <sheetName val="B"/>
      <sheetName val="C"/>
      <sheetName val="D"/>
      <sheetName val="1"/>
      <sheetName val="2"/>
      <sheetName val="A1"/>
      <sheetName val="A40"/>
      <sheetName val="A4 BTW"/>
      <sheetName val="A411 451"/>
      <sheetName val="A44"/>
      <sheetName val="A45"/>
      <sheetName val="A490 492"/>
      <sheetName val="A5"/>
      <sheetName val="R61"/>
      <sheetName val="R613a"/>
      <sheetName val="R618"/>
      <sheetName val="R62LnSt"/>
      <sheetName val="R62"/>
      <sheetName val="R63"/>
      <sheetName val="R64"/>
      <sheetName val="R65"/>
      <sheetName val="R7 BTW"/>
      <sheetName val="R70"/>
      <sheetName val="R74"/>
      <sheetName val="W"/>
      <sheetName val="R67 771"/>
      <sheetName val="Doc"/>
      <sheetName val="VB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coller"/>
      <sheetName val="Synthèse FCF"/>
      <sheetName val="BP Conso"/>
      <sheetName val="Spot - SISA"/>
      <sheetName val="Pléiades"/>
      <sheetName val="Filiales"/>
      <sheetName val="BP Spot Image SA"/>
      <sheetName val="CA Produits"/>
      <sheetName val="Bilan"/>
      <sheetName val="BFR"/>
      <sheetName val="Investissement"/>
      <sheetName val="CA par entité"/>
      <sheetName val="DCF"/>
      <sheetName val="TRESO 06"/>
      <sheetName val="Treso 2006 par entité"/>
      <sheetName val="BP conso_old"/>
      <sheetName val="groupe b 07 et pmt"/>
      <sheetName val="PLT SIS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Sections"/>
      <sheetName val="Budgets"/>
      <sheetName val="Lig. Budg."/>
      <sheetName val="Nat. Ana"/>
      <sheetName val="Cdes FG 1997"/>
      <sheetName val="1997"/>
      <sheetName val="BASE CONCEPT"/>
      <sheetName val="RESULTATS"/>
      <sheetName val="Cdes FG 1998"/>
      <sheetName val="1998"/>
      <sheetName val="Suivi sections"/>
      <sheetName val="Heures"/>
      <sheetName val="02-1999"/>
      <sheetName val="Consignes"/>
      <sheetName val="Lig__Budg_"/>
      <sheetName val="Nat__Ana"/>
      <sheetName val="Cdes_FG_1997"/>
      <sheetName val="BASE_CONCEPT"/>
      <sheetName val="Cdes_FG_1998"/>
      <sheetName val="Suivi_sections"/>
      <sheetName val="Lig__Budg_1"/>
      <sheetName val="Nat__Ana1"/>
      <sheetName val="Cdes_FG_19971"/>
      <sheetName val="BASE_CONCEPT1"/>
      <sheetName val="Cdes_FG_19981"/>
      <sheetName val="Suivi_sections1"/>
      <sheetName val="Lig__Budg_2"/>
      <sheetName val="Nat__Ana2"/>
      <sheetName val="Cdes_FG_19972"/>
      <sheetName val="BASE_CONCEPT2"/>
      <sheetName val="Cdes_FG_19982"/>
      <sheetName val="Suivi_sections2"/>
      <sheetName val="Lig__Budg_3"/>
      <sheetName val="Nat__Ana3"/>
      <sheetName val="Cdes_FG_19973"/>
      <sheetName val="BASE_CONCEPT3"/>
      <sheetName val="Cdes_FG_19983"/>
      <sheetName val="Suivi_sections3"/>
      <sheetName val="Lig__Budg_4"/>
      <sheetName val="Nat__Ana4"/>
      <sheetName val="Cdes_FG_19974"/>
      <sheetName val="BASE_CONCEPT4"/>
      <sheetName val="Cdes_FG_19984"/>
      <sheetName val="Suivi_sections4"/>
      <sheetName val="Lig__Budg_5"/>
      <sheetName val="Nat__Ana5"/>
      <sheetName val="Cdes_FG_19975"/>
      <sheetName val="BASE_CONCEPT5"/>
      <sheetName val="Cdes_FG_19985"/>
      <sheetName val="Suivi_sections5"/>
      <sheetName val="Lig__Budg_6"/>
      <sheetName val="Nat__Ana6"/>
      <sheetName val="Cdes_FG_19976"/>
      <sheetName val="BASE_CONCEPT6"/>
      <sheetName val="Cdes_FG_19986"/>
      <sheetName val="Suivi_sections6"/>
      <sheetName val="Lig__Budg_7"/>
      <sheetName val="Nat__Ana7"/>
      <sheetName val="Cdes_FG_19977"/>
      <sheetName val="BASE_CONCEPT7"/>
      <sheetName val="Cdes_FG_19987"/>
      <sheetName val="Suivi_sections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_LANGUE"/>
      <sheetName val="SIG_VOCABLE"/>
      <sheetName val="SPBUDGIC"/>
      <sheetName val="Détails conso"/>
      <sheetName val="Package"/>
      <sheetName val="Summary"/>
      <sheetName val="Détails_conso"/>
      <sheetName val="hypothèses"/>
      <sheetName val="Proposal in EUR"/>
      <sheetName val="Indices"/>
      <sheetName val="Données GEN"/>
      <sheetName val="Plan comptable Général"/>
      <sheetName val="CH2"/>
      <sheetName val="CR"/>
      <sheetName val="EC"/>
      <sheetName val="FI"/>
      <sheetName val="MA"/>
      <sheetName val="FO"/>
      <sheetName val="PR"/>
      <sheetName val="RC"/>
      <sheetName val="NE"/>
      <sheetName val="NO"/>
      <sheetName val="RO"/>
      <sheetName val="RY"/>
      <sheetName val="mpr"/>
      <sheetName val="Import BI CA PCR"/>
      <sheetName val="Détails_conso1"/>
      <sheetName val="Proposal_in_EUR"/>
      <sheetName val="Données_GEN"/>
      <sheetName val="Plan_comptable_Général"/>
      <sheetName val="Import_BI_CA_PCR"/>
      <sheetName val="Détails_conso2"/>
      <sheetName val="Proposal_in_EUR1"/>
      <sheetName val="Données_GEN1"/>
      <sheetName val="Plan_comptable_Général1"/>
      <sheetName val="Import_BI_CA_PCR1"/>
      <sheetName val="Détails_conso3"/>
      <sheetName val="Proposal_in_EUR2"/>
      <sheetName val="Données_GEN2"/>
      <sheetName val="Plan_comptable_Général2"/>
      <sheetName val="Import_BI_CA_PCR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Page"/>
      <sheetName val="Scenarios"/>
      <sheetName val="Synthesis "/>
      <sheetName val="Comparison BP"/>
      <sheetName val="Graphiques"/>
      <sheetName val="Market"/>
      <sheetName val="Revenue"/>
      <sheetName val="Costs"/>
      <sheetName val="Cash flow items"/>
      <sheetName val="Sheet1"/>
      <sheetName val="DCF"/>
      <sheetName val="DCF management case"/>
      <sheetName val="NOT USED"/>
      <sheetName val="0. Synthesis financial elements"/>
      <sheetName val="1.Synthesis"/>
      <sheetName val="2. Key Output"/>
      <sheetName val="3. EBITDA Bridge"/>
      <sheetName val="4. ARPU Bridge"/>
      <sheetName val="6.Voice Traffic (+Roaming cost)"/>
      <sheetName val="7.Roaming revenues "/>
      <sheetName val="8. SMS"/>
      <sheetName val="9. Data &amp; others services"/>
      <sheetName val="10. Handsets"/>
      <sheetName val="11. Revenue"/>
      <sheetName val="12. Costs before savings"/>
      <sheetName val="13. Savings"/>
      <sheetName val="14. Cash flow items"/>
      <sheetName val="15. Sensibilities EBITDA 2011"/>
      <sheetName val="PRC Synthèse DEC 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 CA"/>
      <sheetName val="Organigramme"/>
      <sheetName val="Personnel (2)"/>
      <sheetName val="Personnel"/>
      <sheetName val="Découpage commercial"/>
      <sheetName val="Détail CA par secetur+ Bulles"/>
      <sheetName val="Marché"/>
      <sheetName val="Bulles Produits"/>
      <sheetName val="Détail CA et MB par Produit"/>
      <sheetName val="Invts"/>
      <sheetName val="Export"/>
      <sheetName val="Export (2)"/>
      <sheetName val="Ventilation client (2)"/>
      <sheetName val="Ventilation client"/>
      <sheetName val="Règlements clients"/>
      <sheetName val="Ventilation du stock "/>
      <sheetName val="Rotation stock"/>
      <sheetName val="BFR"/>
      <sheetName val="Bilan"/>
      <sheetName val="cpte résultat consolidé"/>
      <sheetName val="données fi synth"/>
      <sheetName val="evolution du PIB"/>
      <sheetName val="CA et marge Tecflo SA (2)"/>
      <sheetName val="specificites industrie"/>
      <sheetName val="fabricants"/>
      <sheetName val="Cibles"/>
      <sheetName val="fae synthèse taxes+parking"/>
      <sheetName val="Base Info"/>
      <sheetName val="Package"/>
      <sheetName val="Summary"/>
      <sheetName val="DCF"/>
      <sheetName val="Cdes nouvelles"/>
      <sheetName val="ca 2004 au 31-12-04 (JB)"/>
      <sheetName val="assumptions"/>
      <sheetName val="evolution_CA"/>
      <sheetName val="Personnel_(2)"/>
      <sheetName val="Découpage_commercial"/>
      <sheetName val="Détail_CA_par_secetur+_Bulles"/>
      <sheetName val="Bulles_Produits"/>
      <sheetName val="Détail_CA_et_MB_par_Produit"/>
      <sheetName val="Export_(2)"/>
      <sheetName val="Ventilation_client_(2)"/>
      <sheetName val="Ventilation_client"/>
      <sheetName val="Règlements_clients"/>
      <sheetName val="Ventilation_du_stock_"/>
      <sheetName val="Rotation_stock"/>
      <sheetName val="cpte_résultat_consolidé"/>
      <sheetName val="données_fi_synth"/>
      <sheetName val="evolution_du_PIB"/>
      <sheetName val="CA_et_marge_Tecflo_SA_(2)"/>
      <sheetName val="specificites_industrie"/>
      <sheetName val="fae_synthèse_taxes+parking"/>
      <sheetName val="Base_Info"/>
      <sheetName val="Cdes_nouvelles"/>
      <sheetName val="ca_2004_au_31-12-04_(JB)"/>
      <sheetName val="evolution_CA1"/>
      <sheetName val="Personnel_(2)1"/>
      <sheetName val="Découpage_commercial1"/>
      <sheetName val="Détail_CA_par_secetur+_Bulles1"/>
      <sheetName val="Bulles_Produits1"/>
      <sheetName val="Détail_CA_et_MB_par_Produit1"/>
      <sheetName val="Export_(2)1"/>
      <sheetName val="Ventilation_client_(2)1"/>
      <sheetName val="Ventilation_client1"/>
      <sheetName val="Règlements_clients1"/>
      <sheetName val="Ventilation_du_stock_1"/>
      <sheetName val="Rotation_stock1"/>
      <sheetName val="cpte_résultat_consolidé1"/>
      <sheetName val="données_fi_synth1"/>
      <sheetName val="evolution_du_PIB1"/>
      <sheetName val="CA_et_marge_Tecflo_SA_(2)1"/>
      <sheetName val="specificites_industrie1"/>
      <sheetName val="fae_synthèse_taxes+parking1"/>
      <sheetName val="Base_Info1"/>
      <sheetName val="Cdes_nouvelles1"/>
      <sheetName val="ca_2004_au_31-12-04_(JB)1"/>
      <sheetName val="evolution_CA2"/>
      <sheetName val="Personnel_(2)2"/>
      <sheetName val="Découpage_commercial2"/>
      <sheetName val="Détail_CA_par_secetur+_Bulles2"/>
      <sheetName val="Bulles_Produits2"/>
      <sheetName val="Détail_CA_et_MB_par_Produit2"/>
      <sheetName val="Export_(2)2"/>
      <sheetName val="Ventilation_client_(2)2"/>
      <sheetName val="Ventilation_client2"/>
      <sheetName val="Règlements_clients2"/>
      <sheetName val="Ventilation_du_stock_2"/>
      <sheetName val="Rotation_stock2"/>
      <sheetName val="cpte_résultat_consolidé2"/>
      <sheetName val="données_fi_synth2"/>
      <sheetName val="evolution_du_PIB2"/>
      <sheetName val="CA_et_marge_Tecflo_SA_(2)2"/>
      <sheetName val="specificites_industrie2"/>
      <sheetName val="fae_synthèse_taxes+parking2"/>
      <sheetName val="Base_Info2"/>
      <sheetName val="Cdes_nouvelles2"/>
      <sheetName val="ca_2004_au_31-12-04_(JB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e factures 2003 2004"/>
      <sheetName val="Services généraux"/>
      <sheetName val="ModifAnalytiqueFacture"/>
      <sheetName val="PROVISIONS"/>
      <sheetName val="grafSIAL"/>
      <sheetName val="Liste_factures_2003_2004"/>
      <sheetName val="Services_généraux"/>
      <sheetName val="Liste_factures_2003_20041"/>
      <sheetName val="Services_généraux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abilité"/>
      <sheetName val="Equipmag Lille"/>
      <sheetName val="Equipmag Lyon"/>
      <sheetName val="Equipmag Marseille "/>
      <sheetName val="industrie lyon"/>
      <sheetName val="FEMO"/>
      <sheetName val="Cabling"/>
      <sheetName val="Auto"/>
      <sheetName val="CART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MAT00"/>
      <sheetName val="AGROFOODTECH00"/>
    </sheetNames>
    <sheetDataSet>
      <sheetData sheetId="0"/>
      <sheetData sheetId="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a 2004"/>
      <sheetName val="CUMUL (3)"/>
      <sheetName val="CUMUL"/>
      <sheetName val="MO"/>
      <sheetName val="IO"/>
      <sheetName val="EA"/>
      <sheetName val="IQ"/>
      <sheetName val="TH"/>
      <sheetName val="MECANEL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F"/>
      <sheetName val="Mahana"/>
      <sheetName val="manut03"/>
      <sheetName val="Sits03"/>
      <sheetName val="SMT03"/>
      <sheetName val="Graphi"/>
      <sheetName val="pack"/>
      <sheetName val="Sits03 (2)"/>
      <sheetName val="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intermat06"/>
      <sheetName val="intermat03"/>
      <sheetName val="Intermat00"/>
      <sheetName val="Graphi"/>
      <sheetName val="SMT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"/>
      <sheetName val="SVF"/>
      <sheetName val="Mahana"/>
      <sheetName val="CARTES"/>
      <sheetName val="PRI"/>
      <sheetName val="PRI+STR"/>
      <sheetName val="STR"/>
      <sheetName val="SEP"/>
      <sheetName val="Emballage"/>
      <sheetName val="IPA"/>
      <sheetName val="EQUIPMAG"/>
      <sheetName val="manut"/>
      <sheetName val="S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2001"/>
      <sheetName val="manut"/>
      <sheetName val="Sits"/>
      <sheetName val="TPG"/>
      <sheetName val="SVF"/>
      <sheetName val="Mahana"/>
      <sheetName val="SMT"/>
      <sheetName val="pack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cabilité 2006"/>
      <sheetName val="manut 06"/>
      <sheetName val="Graphitec 06"/>
      <sheetName val="Expobois 06"/>
      <sheetName val="RF &amp; HYPER"/>
      <sheetName val="industrie sits"/>
      <sheetName val="EQUIPMAG"/>
      <sheetName val="FEMO"/>
      <sheetName val="Cabling"/>
      <sheetName val="Emballage"/>
      <sheetName val="ipa"/>
      <sheetName val="CARTES"/>
      <sheetName val="SCS Auto"/>
      <sheetName val="PRI+ST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"/>
      <sheetName val="STR"/>
      <sheetName val="POC SE"/>
      <sheetName val="EQUIPMAG"/>
      <sheetName val="Emballage"/>
      <sheetName val="IPA"/>
      <sheetName val="manut"/>
      <sheetName val="Sits"/>
      <sheetName val="SVF"/>
      <sheetName val="Mahana"/>
      <sheetName val="SMT"/>
      <sheetName val="pack"/>
      <sheetName val="RF &amp; HY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F"/>
      <sheetName val="Mahana"/>
      <sheetName val="manut03"/>
      <sheetName val="Sits03"/>
      <sheetName val="SMT03"/>
      <sheetName val="Graphi"/>
      <sheetName val="pack"/>
      <sheetName val="Sits03 (2)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sto"/>
      <sheetName val="Voting rights Casino"/>
      <sheetName val="European sales"/>
      <sheetName val="pro forma"/>
      <sheetName val="Summary"/>
      <sheetName val="SMF+Shaws"/>
      <sheetName val="Acquiror Finsum"/>
      <sheetName val="Target Finsum"/>
      <sheetName val="Transaction"/>
      <sheetName val="AVP"/>
      <sheetName val="IPA"/>
      <sheetName val="Emballage"/>
      <sheetName val="POC S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ypothèses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s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st Page"/>
      <sheetName val="Key ratios"/>
      <sheetName val="DCF"/>
      <sheetName val="Consensus"/>
      <sheetName val="AVP"/>
      <sheetName val="WACC"/>
      <sheetName val="Synthesis"/>
      <sheetName val="PnL"/>
      <sheetName val="CapitalExp."/>
      <sheetName val="Working Capital"/>
      <sheetName val="Soccerfield"/>
      <sheetName val="Dufry Cours"/>
      <sheetName val="XRate SF-Euro"/>
      <sheetName val="--"/>
      <sheetName val="BS"/>
      <sheetName val="CF"/>
      <sheetName val="Capex"/>
      <sheetName val="Net Debt"/>
      <sheetName val="---"/>
      <sheetName val="ExchangeR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AND RESULTS"/>
      <sheetName val="HOLDING"/>
      <sheetName val="TARGET"/>
      <sheetName val="Covenants"/>
      <sheetName val="Feuil1"/>
      <sheetName val="BP et FCF"/>
      <sheetName val="Résultats"/>
      <sheetName val="s&amp;p - credit peers"/>
      <sheetName val="Proposal in EUR"/>
      <sheetName val="Syndication Model"/>
      <sheetName val="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o Economico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Methodology"/>
      <sheetName val="Discount rate NPV"/>
      <sheetName val="Sources&gt;&gt;"/>
      <sheetName val="ERP"/>
      <sheetName val="Dollar 10y"/>
      <sheetName val="Euro 10y"/>
      <sheetName val="Damodaran betas"/>
      <sheetName val="Bêtas"/>
      <sheetName val="Bétas"/>
      <sheetName val="Business Model SP"/>
      <sheetName val="Sensitivities&gt;&gt;"/>
      <sheetName val="Structure Cost Impact"/>
      <sheetName val="PPA vs Merch."/>
      <sheetName val="FiDDeck&gt;&gt;"/>
      <sheetName val="Mkt Feedback"/>
      <sheetName val="Visas table"/>
    </sheetNames>
    <sheetDataSet>
      <sheetData sheetId="0"/>
      <sheetData sheetId="1"/>
      <sheetData sheetId="2"/>
      <sheetData sheetId="3">
        <row r="5">
          <cell r="B5" t="str">
            <v>Reference
currency</v>
          </cell>
          <cell r="C5" t="str">
            <v>Rate</v>
          </cell>
        </row>
        <row r="6">
          <cell r="B6" t="str">
            <v>EUR</v>
          </cell>
          <cell r="C6">
            <v>2.7381927803030309E-2</v>
          </cell>
          <cell r="F6">
            <v>4.24E-2</v>
          </cell>
        </row>
        <row r="7">
          <cell r="B7" t="str">
            <v>USD</v>
          </cell>
          <cell r="C7">
            <v>3.9589763779527574E-2</v>
          </cell>
        </row>
      </sheetData>
      <sheetData sheetId="4">
        <row r="6">
          <cell r="E6">
            <v>1.5233781316153723</v>
          </cell>
        </row>
        <row r="29">
          <cell r="F29">
            <v>8.4143494654719708E-2</v>
          </cell>
        </row>
        <row r="32">
          <cell r="G32">
            <v>6.3E-3</v>
          </cell>
        </row>
        <row r="39">
          <cell r="G39">
            <v>7.2999999999999992E-3</v>
          </cell>
        </row>
        <row r="47">
          <cell r="G47">
            <v>8.8000000000000005E-3</v>
          </cell>
        </row>
        <row r="53">
          <cell r="F53">
            <v>3.8952503854626126E-2</v>
          </cell>
        </row>
        <row r="61">
          <cell r="G61">
            <v>5.0000000000000001E-3</v>
          </cell>
        </row>
        <row r="66">
          <cell r="G66">
            <v>6.0999999999999995E-3</v>
          </cell>
        </row>
        <row r="96">
          <cell r="F96">
            <v>4.6560414763732787E-2</v>
          </cell>
        </row>
        <row r="101">
          <cell r="F101">
            <v>2.8453586800058932E-2</v>
          </cell>
        </row>
        <row r="105">
          <cell r="F105">
            <v>5.827659756375704E-2</v>
          </cell>
        </row>
        <row r="112">
          <cell r="G112">
            <v>8.9999999999999998E-4</v>
          </cell>
        </row>
        <row r="124">
          <cell r="G124">
            <v>8.6E-3</v>
          </cell>
        </row>
        <row r="125">
          <cell r="G125">
            <v>3.0999999999999995E-3</v>
          </cell>
        </row>
        <row r="132">
          <cell r="G132">
            <v>1.8200000000000001E-2</v>
          </cell>
        </row>
        <row r="160">
          <cell r="G160">
            <v>3.0000000000000001E-3</v>
          </cell>
        </row>
        <row r="161">
          <cell r="G161">
            <v>6.3E-3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Gtu1at-BE-K_MhWSyTX19R1xNJ5Qy9Ep-3QVSskCz9sfRiJ9YemQ4Xwyt1ufI0Z" itemId="012JBMM75XP7SV365NKFDJ7GVXAZO7ZMCH">
      <xxl21:absoluteUrl r:id="rId2"/>
      <xxl21:relativeUrl r:id="rId3"/>
    </xxl21:alternateUrls>
    <sheetNames>
      <sheetName val="Codes_ISO_pays_monnaies"/>
      <sheetName val="Codes_ISO_Organisations_interna"/>
    </sheetNames>
    <sheetDataSet>
      <sheetData sheetId="0">
        <row r="6">
          <cell r="A6" t="str">
            <v>AD</v>
          </cell>
          <cell r="B6" t="str">
            <v>ANDORRE</v>
          </cell>
          <cell r="C6" t="str">
            <v>Euro</v>
          </cell>
          <cell r="D6" t="str">
            <v>EUR</v>
          </cell>
        </row>
        <row r="7">
          <cell r="A7" t="str">
            <v>AE</v>
          </cell>
          <cell r="B7" t="str">
            <v>EMIRATS ARABES UNIS</v>
          </cell>
          <cell r="C7" t="str">
            <v>Dirham des émirats arabes unis</v>
          </cell>
          <cell r="D7" t="str">
            <v>AED</v>
          </cell>
        </row>
        <row r="8">
          <cell r="A8" t="str">
            <v>AF</v>
          </cell>
          <cell r="B8" t="str">
            <v>AFGHANISTAN</v>
          </cell>
          <cell r="C8" t="str">
            <v>Afghani</v>
          </cell>
          <cell r="D8" t="str">
            <v>AFN</v>
          </cell>
        </row>
        <row r="9">
          <cell r="A9" t="str">
            <v>AG</v>
          </cell>
          <cell r="B9" t="str">
            <v>ANTIGUA-et-BARBUDA ( y. c. Redonda)</v>
          </cell>
          <cell r="C9" t="str">
            <v>Dollar des Caraïbes de l'Est</v>
          </cell>
          <cell r="D9" t="str">
            <v>XCD</v>
          </cell>
        </row>
        <row r="10">
          <cell r="A10" t="str">
            <v>AI</v>
          </cell>
          <cell r="B10" t="str">
            <v>ANGUILLA</v>
          </cell>
          <cell r="C10" t="str">
            <v>Dollar des Caraïbes de l'Est</v>
          </cell>
          <cell r="D10" t="str">
            <v>XCD</v>
          </cell>
        </row>
        <row r="11">
          <cell r="A11" t="str">
            <v>AL</v>
          </cell>
          <cell r="B11" t="str">
            <v>ALBANIE</v>
          </cell>
          <cell r="C11" t="str">
            <v>Lek</v>
          </cell>
          <cell r="D11" t="str">
            <v>ALL</v>
          </cell>
        </row>
        <row r="12">
          <cell r="A12" t="str">
            <v>AM</v>
          </cell>
          <cell r="B12" t="str">
            <v>ARMENIE</v>
          </cell>
          <cell r="C12" t="str">
            <v>Dram</v>
          </cell>
          <cell r="D12" t="str">
            <v>AMD</v>
          </cell>
        </row>
        <row r="13">
          <cell r="A13" t="str">
            <v>AO</v>
          </cell>
          <cell r="B13" t="str">
            <v>ANGOLA (incl. Cabinda)</v>
          </cell>
          <cell r="C13" t="str">
            <v>Kwanza</v>
          </cell>
          <cell r="D13" t="str">
            <v>AOA</v>
          </cell>
        </row>
        <row r="14">
          <cell r="A14" t="str">
            <v>AQ</v>
          </cell>
          <cell r="B14" t="str">
            <v>REGIONS POLAIRES</v>
          </cell>
          <cell r="C14"/>
          <cell r="D14"/>
        </row>
        <row r="15">
          <cell r="A15" t="str">
            <v>AR</v>
          </cell>
          <cell r="B15" t="str">
            <v>ARGENTINE</v>
          </cell>
          <cell r="C15" t="str">
            <v>Peso</v>
          </cell>
          <cell r="D15" t="str">
            <v>ARS</v>
          </cell>
        </row>
        <row r="16">
          <cell r="A16" t="str">
            <v>AS</v>
          </cell>
          <cell r="B16" t="str">
            <v>SAMOA AMERICAINES</v>
          </cell>
          <cell r="C16" t="str">
            <v>Dollar des Etats-unis</v>
          </cell>
          <cell r="D16" t="str">
            <v>USD</v>
          </cell>
        </row>
        <row r="17">
          <cell r="A17" t="str">
            <v>AT</v>
          </cell>
          <cell r="B17" t="str">
            <v>AUTRICHE</v>
          </cell>
          <cell r="C17" t="str">
            <v>Euro</v>
          </cell>
          <cell r="D17" t="str">
            <v>EUR</v>
          </cell>
        </row>
        <row r="18">
          <cell r="A18" t="str">
            <v>AU</v>
          </cell>
          <cell r="B18" t="str">
            <v>AUSTRALIE</v>
          </cell>
          <cell r="C18" t="str">
            <v>Dollar australien</v>
          </cell>
          <cell r="D18" t="str">
            <v>AUD</v>
          </cell>
        </row>
        <row r="19">
          <cell r="A19" t="str">
            <v>AW</v>
          </cell>
          <cell r="B19" t="str">
            <v>ARUBA</v>
          </cell>
          <cell r="C19" t="str">
            <v>Florin d'Aruba</v>
          </cell>
          <cell r="D19" t="str">
            <v>AWG</v>
          </cell>
        </row>
        <row r="20">
          <cell r="A20" t="str">
            <v>AX</v>
          </cell>
          <cell r="B20" t="str">
            <v>ÎLES ALAND</v>
          </cell>
          <cell r="C20" t="str">
            <v>Euro</v>
          </cell>
          <cell r="D20" t="str">
            <v>EUR</v>
          </cell>
        </row>
        <row r="21">
          <cell r="A21" t="str">
            <v>AZ</v>
          </cell>
          <cell r="B21" t="str">
            <v>AZERBAIDJAN</v>
          </cell>
          <cell r="C21" t="str">
            <v>Manat azerbaïdjanais</v>
          </cell>
          <cell r="D21" t="str">
            <v>AZN</v>
          </cell>
        </row>
        <row r="22">
          <cell r="A22" t="str">
            <v>BA</v>
          </cell>
          <cell r="B22" t="str">
            <v>BOSNIE-HERZEGOVINE</v>
          </cell>
          <cell r="C22" t="str">
            <v>Mark bosniaque convertible</v>
          </cell>
          <cell r="D22" t="str">
            <v>BAM</v>
          </cell>
        </row>
        <row r="23">
          <cell r="A23" t="str">
            <v>BB</v>
          </cell>
          <cell r="B23" t="str">
            <v>BARBADE (La)</v>
          </cell>
          <cell r="C23" t="str">
            <v>Dollar de Barbade</v>
          </cell>
          <cell r="D23" t="str">
            <v>BBD</v>
          </cell>
        </row>
        <row r="24">
          <cell r="A24" t="str">
            <v>BD</v>
          </cell>
          <cell r="B24" t="str">
            <v>BANGLADESH</v>
          </cell>
          <cell r="C24" t="str">
            <v>Taka</v>
          </cell>
          <cell r="D24" t="str">
            <v>BDT</v>
          </cell>
        </row>
        <row r="25">
          <cell r="A25" t="str">
            <v>BE</v>
          </cell>
          <cell r="B25" t="str">
            <v>BELGIQUE</v>
          </cell>
          <cell r="C25" t="str">
            <v>Euro</v>
          </cell>
          <cell r="D25" t="str">
            <v>EUR</v>
          </cell>
        </row>
        <row r="26">
          <cell r="A26" t="str">
            <v>BF</v>
          </cell>
          <cell r="B26" t="str">
            <v>BURKINA FASO</v>
          </cell>
          <cell r="C26" t="str">
            <v>Franc CFA - BCEAO</v>
          </cell>
          <cell r="D26" t="str">
            <v>XOF</v>
          </cell>
        </row>
        <row r="27">
          <cell r="A27" t="str">
            <v>BG</v>
          </cell>
          <cell r="B27" t="str">
            <v>BULGARIE</v>
          </cell>
          <cell r="C27" t="str">
            <v>Lev</v>
          </cell>
          <cell r="D27" t="str">
            <v>BGN</v>
          </cell>
        </row>
        <row r="28">
          <cell r="A28" t="str">
            <v>BH</v>
          </cell>
          <cell r="B28" t="str">
            <v>BAHREIN</v>
          </cell>
          <cell r="C28" t="str">
            <v>Dinar de Bahreïn</v>
          </cell>
          <cell r="D28" t="str">
            <v>BHD</v>
          </cell>
        </row>
        <row r="29">
          <cell r="A29" t="str">
            <v>BI</v>
          </cell>
          <cell r="B29" t="str">
            <v>BURUNDI</v>
          </cell>
          <cell r="C29" t="str">
            <v>Franc du Burundi</v>
          </cell>
          <cell r="D29" t="str">
            <v>BIF</v>
          </cell>
        </row>
        <row r="30">
          <cell r="A30" t="str">
            <v>BJ</v>
          </cell>
          <cell r="B30" t="str">
            <v>BENIN</v>
          </cell>
          <cell r="C30" t="str">
            <v>Franc CFA - BCEAO</v>
          </cell>
          <cell r="D30" t="str">
            <v>XOF</v>
          </cell>
        </row>
        <row r="31">
          <cell r="A31" t="str">
            <v>BL</v>
          </cell>
          <cell r="B31" t="str">
            <v>SAINT BARTHELEMY</v>
          </cell>
          <cell r="C31" t="str">
            <v>Euro</v>
          </cell>
          <cell r="D31" t="str">
            <v>EUR</v>
          </cell>
        </row>
        <row r="32">
          <cell r="A32" t="str">
            <v>BM</v>
          </cell>
          <cell r="B32" t="str">
            <v>BERMUDES</v>
          </cell>
          <cell r="C32" t="str">
            <v>Dollar des Bermudes</v>
          </cell>
          <cell r="D32" t="str">
            <v>BMD</v>
          </cell>
        </row>
        <row r="33">
          <cell r="A33" t="str">
            <v>BN</v>
          </cell>
          <cell r="B33" t="str">
            <v>BRUNEI DARUSSALAM</v>
          </cell>
          <cell r="C33" t="str">
            <v>Dollar de Brunéi</v>
          </cell>
          <cell r="D33" t="str">
            <v>BND</v>
          </cell>
        </row>
        <row r="34">
          <cell r="A34" t="str">
            <v>BO</v>
          </cell>
          <cell r="B34" t="str">
            <v>BOLIVIE</v>
          </cell>
          <cell r="C34" t="str">
            <v>Boliviano</v>
          </cell>
          <cell r="D34" t="str">
            <v>BOB</v>
          </cell>
        </row>
        <row r="35">
          <cell r="A35" t="str">
            <v>BQ</v>
          </cell>
          <cell r="B35" t="str">
            <v>BONAIRE,Saint-Eustache et Saba</v>
          </cell>
          <cell r="C35" t="str">
            <v>Dollar des Etats-unis</v>
          </cell>
          <cell r="D35" t="str">
            <v>USD</v>
          </cell>
        </row>
        <row r="36">
          <cell r="A36" t="str">
            <v>BR</v>
          </cell>
          <cell r="B36" t="str">
            <v>BRESIL</v>
          </cell>
          <cell r="C36" t="str">
            <v>Real</v>
          </cell>
          <cell r="D36" t="str">
            <v>BRL</v>
          </cell>
        </row>
        <row r="37">
          <cell r="A37" t="str">
            <v>BS</v>
          </cell>
          <cell r="B37" t="str">
            <v>BAHAMAS</v>
          </cell>
          <cell r="C37" t="str">
            <v>Dollar des Bahamas</v>
          </cell>
          <cell r="D37" t="str">
            <v>BSD</v>
          </cell>
        </row>
        <row r="38">
          <cell r="A38" t="str">
            <v>BT</v>
          </cell>
          <cell r="B38" t="str">
            <v>BHOUTAN</v>
          </cell>
          <cell r="C38" t="str">
            <v>Ngultrum</v>
          </cell>
          <cell r="D38" t="str">
            <v>BTN</v>
          </cell>
        </row>
        <row r="39">
          <cell r="A39" t="str">
            <v>BV</v>
          </cell>
          <cell r="B39" t="str">
            <v>BOUVET (Île)</v>
          </cell>
          <cell r="C39" t="str">
            <v>Couronne norvégienne</v>
          </cell>
          <cell r="D39" t="str">
            <v>NOK</v>
          </cell>
        </row>
        <row r="40">
          <cell r="A40" t="str">
            <v>BW</v>
          </cell>
          <cell r="B40" t="str">
            <v>BOTSWANA</v>
          </cell>
          <cell r="C40" t="str">
            <v>Pula</v>
          </cell>
          <cell r="D40" t="str">
            <v>BWP</v>
          </cell>
        </row>
        <row r="41">
          <cell r="A41" t="str">
            <v>BY</v>
          </cell>
          <cell r="B41" t="str">
            <v>BIELORUSSIE</v>
          </cell>
          <cell r="C41" t="str">
            <v>Rouble biélorusse</v>
          </cell>
          <cell r="D41" t="str">
            <v>BYN</v>
          </cell>
        </row>
        <row r="42">
          <cell r="A42" t="str">
            <v>BZ</v>
          </cell>
          <cell r="B42" t="str">
            <v>BELIZE</v>
          </cell>
          <cell r="C42" t="str">
            <v>Dollar de Belize</v>
          </cell>
          <cell r="D42" t="str">
            <v>BZD</v>
          </cell>
        </row>
        <row r="43">
          <cell r="A43" t="str">
            <v>CA</v>
          </cell>
          <cell r="B43" t="str">
            <v>CANADA</v>
          </cell>
          <cell r="C43" t="str">
            <v>Dollar canadien</v>
          </cell>
          <cell r="D43" t="str">
            <v>CAD</v>
          </cell>
        </row>
        <row r="44">
          <cell r="A44" t="str">
            <v>CC</v>
          </cell>
          <cell r="B44" t="str">
            <v>COCOS (Îles) KEELING</v>
          </cell>
          <cell r="C44" t="str">
            <v>Dollar australien</v>
          </cell>
          <cell r="D44" t="str">
            <v>AUD</v>
          </cell>
        </row>
        <row r="45">
          <cell r="A45" t="str">
            <v>CD</v>
          </cell>
          <cell r="B45" t="str">
            <v>CONGO (La République démocratique du)</v>
          </cell>
          <cell r="C45" t="str">
            <v>FRANC DU CONGO DEMOCRATIQUE</v>
          </cell>
          <cell r="D45" t="str">
            <v>CDF</v>
          </cell>
        </row>
        <row r="46">
          <cell r="A46" t="str">
            <v>CF</v>
          </cell>
          <cell r="B46" t="str">
            <v>CENTRAFRICAINE (République)</v>
          </cell>
          <cell r="C46" t="str">
            <v>Franc CFA - BEAC</v>
          </cell>
          <cell r="D46" t="str">
            <v>XAF</v>
          </cell>
        </row>
        <row r="47">
          <cell r="A47" t="str">
            <v>CG</v>
          </cell>
          <cell r="B47" t="str">
            <v>CONGO</v>
          </cell>
          <cell r="C47" t="str">
            <v>Franc CFA - BEAC</v>
          </cell>
          <cell r="D47" t="str">
            <v>XAF</v>
          </cell>
        </row>
        <row r="48">
          <cell r="A48" t="str">
            <v>CH</v>
          </cell>
          <cell r="B48" t="str">
            <v>SUISSE</v>
          </cell>
          <cell r="C48" t="str">
            <v>Franc suisse</v>
          </cell>
          <cell r="D48" t="str">
            <v>CHF</v>
          </cell>
        </row>
        <row r="49">
          <cell r="A49" t="str">
            <v>CI</v>
          </cell>
          <cell r="B49" t="str">
            <v>COTE D'IVOIRE</v>
          </cell>
          <cell r="C49" t="str">
            <v>Franc CFA - BCEAO</v>
          </cell>
          <cell r="D49" t="str">
            <v>XOF</v>
          </cell>
        </row>
        <row r="50">
          <cell r="A50" t="str">
            <v>CK</v>
          </cell>
          <cell r="B50" t="str">
            <v>ILES COOK</v>
          </cell>
          <cell r="C50" t="str">
            <v>Dollar néo-zélandais</v>
          </cell>
          <cell r="D50" t="str">
            <v>NZD</v>
          </cell>
        </row>
        <row r="51">
          <cell r="A51" t="str">
            <v>CL</v>
          </cell>
          <cell r="B51" t="str">
            <v>CHILI</v>
          </cell>
          <cell r="C51" t="str">
            <v>Unité d'investissement</v>
          </cell>
          <cell r="D51" t="str">
            <v>CLF</v>
          </cell>
        </row>
        <row r="52">
          <cell r="A52" t="str">
            <v>CM</v>
          </cell>
          <cell r="B52" t="str">
            <v>CAMEROUN</v>
          </cell>
          <cell r="C52" t="str">
            <v>Franc CFA - BEAC</v>
          </cell>
          <cell r="D52" t="str">
            <v>XAF</v>
          </cell>
        </row>
        <row r="53">
          <cell r="A53" t="str">
            <v>CN</v>
          </cell>
          <cell r="B53" t="str">
            <v>CHINE</v>
          </cell>
          <cell r="C53" t="str">
            <v>Yuan Ren-Min-Bi</v>
          </cell>
          <cell r="D53" t="str">
            <v>CNY</v>
          </cell>
        </row>
        <row r="54">
          <cell r="A54" t="str">
            <v>CO</v>
          </cell>
          <cell r="B54" t="str">
            <v>COLOMBIE</v>
          </cell>
          <cell r="C54" t="str">
            <v>Peso colombien</v>
          </cell>
          <cell r="D54" t="str">
            <v>COP</v>
          </cell>
        </row>
        <row r="55">
          <cell r="A55" t="str">
            <v>CR</v>
          </cell>
          <cell r="B55" t="str">
            <v>COSTA RICA</v>
          </cell>
          <cell r="C55" t="str">
            <v>Colon de Costa Rica</v>
          </cell>
          <cell r="D55" t="str">
            <v>CRC</v>
          </cell>
        </row>
        <row r="56">
          <cell r="A56" t="str">
            <v>CU</v>
          </cell>
          <cell r="B56" t="str">
            <v>CUBA</v>
          </cell>
          <cell r="C56" t="str">
            <v>Peso Convertible</v>
          </cell>
          <cell r="D56" t="str">
            <v>CUC</v>
          </cell>
        </row>
        <row r="57">
          <cell r="A57" t="str">
            <v>CV</v>
          </cell>
          <cell r="B57" t="str">
            <v>CAP-VERT</v>
          </cell>
          <cell r="C57" t="str">
            <v>Escudo du Cap-Vert</v>
          </cell>
          <cell r="D57" t="str">
            <v>CVE</v>
          </cell>
        </row>
        <row r="58">
          <cell r="A58" t="str">
            <v>CW</v>
          </cell>
          <cell r="B58" t="str">
            <v>CURACAO</v>
          </cell>
          <cell r="C58" t="str">
            <v>Florin des Antilles</v>
          </cell>
          <cell r="D58" t="str">
            <v>ANG</v>
          </cell>
        </row>
        <row r="59">
          <cell r="A59" t="str">
            <v>CX</v>
          </cell>
          <cell r="B59" t="str">
            <v>ILE CHRISTMAS</v>
          </cell>
          <cell r="C59" t="str">
            <v>Dollar australien</v>
          </cell>
          <cell r="D59" t="str">
            <v>AUD</v>
          </cell>
        </row>
        <row r="60">
          <cell r="A60" t="str">
            <v>CY</v>
          </cell>
          <cell r="B60" t="str">
            <v>CHYPRE</v>
          </cell>
          <cell r="C60" t="str">
            <v>Euro</v>
          </cell>
          <cell r="D60" t="str">
            <v>EUR</v>
          </cell>
        </row>
        <row r="61">
          <cell r="A61" t="str">
            <v>CZ</v>
          </cell>
          <cell r="B61" t="str">
            <v>TCHEQUE (la République)</v>
          </cell>
          <cell r="C61" t="str">
            <v>Couronne tchèque</v>
          </cell>
          <cell r="D61" t="str">
            <v>CZK</v>
          </cell>
        </row>
        <row r="62">
          <cell r="A62" t="str">
            <v>DE</v>
          </cell>
          <cell r="B62" t="str">
            <v>ALLEMAGNE</v>
          </cell>
          <cell r="C62" t="str">
            <v>Euro</v>
          </cell>
          <cell r="D62" t="str">
            <v>EUR</v>
          </cell>
        </row>
        <row r="63">
          <cell r="A63" t="str">
            <v>DJ</v>
          </cell>
          <cell r="B63" t="str">
            <v>DJIBOUTI</v>
          </cell>
          <cell r="C63" t="str">
            <v>Franc de Djibouti</v>
          </cell>
          <cell r="D63" t="str">
            <v>DJF</v>
          </cell>
        </row>
        <row r="64">
          <cell r="A64" t="str">
            <v>DK</v>
          </cell>
          <cell r="B64" t="str">
            <v>DANEMARK</v>
          </cell>
          <cell r="C64" t="str">
            <v>Couronne danoise</v>
          </cell>
          <cell r="D64" t="str">
            <v>DKK</v>
          </cell>
        </row>
        <row r="65">
          <cell r="A65" t="str">
            <v>DM</v>
          </cell>
          <cell r="B65" t="str">
            <v>DOMINIQUE</v>
          </cell>
          <cell r="C65" t="str">
            <v>Dollar des Caraïbes de l'Est</v>
          </cell>
          <cell r="D65" t="str">
            <v>XCD</v>
          </cell>
        </row>
        <row r="66">
          <cell r="A66" t="str">
            <v>DO</v>
          </cell>
          <cell r="B66" t="str">
            <v>DOMINICAINE (République)</v>
          </cell>
          <cell r="C66" t="str">
            <v>Peso dominicain</v>
          </cell>
          <cell r="D66" t="str">
            <v>DOP</v>
          </cell>
        </row>
        <row r="67">
          <cell r="A67" t="str">
            <v>DZ</v>
          </cell>
          <cell r="B67" t="str">
            <v>ALGERIE</v>
          </cell>
          <cell r="C67" t="str">
            <v>Dinar algérien</v>
          </cell>
          <cell r="D67" t="str">
            <v>DZD</v>
          </cell>
        </row>
        <row r="68">
          <cell r="A68" t="str">
            <v>EC</v>
          </cell>
          <cell r="B68" t="str">
            <v>EQUATEUR (incl. les Àles Galapagos)</v>
          </cell>
          <cell r="C68" t="str">
            <v>Dollar des Etats-unis</v>
          </cell>
          <cell r="D68" t="str">
            <v>USD</v>
          </cell>
        </row>
        <row r="69">
          <cell r="A69" t="str">
            <v>EE</v>
          </cell>
          <cell r="B69" t="str">
            <v>ESTONIE</v>
          </cell>
          <cell r="C69" t="str">
            <v>Euro</v>
          </cell>
          <cell r="D69" t="str">
            <v>EUR</v>
          </cell>
        </row>
        <row r="70">
          <cell r="A70" t="str">
            <v>EG</v>
          </cell>
          <cell r="B70" t="str">
            <v>EGYPTE</v>
          </cell>
          <cell r="C70" t="str">
            <v>Livre égyptienne</v>
          </cell>
          <cell r="D70" t="str">
            <v>EGP</v>
          </cell>
        </row>
        <row r="71">
          <cell r="A71" t="str">
            <v>EH</v>
          </cell>
          <cell r="B71" t="str">
            <v>SAHARA OCCIDENTAL</v>
          </cell>
          <cell r="C71" t="str">
            <v>Dirham marocain</v>
          </cell>
          <cell r="D71" t="str">
            <v>MAD</v>
          </cell>
        </row>
        <row r="72">
          <cell r="A72" t="str">
            <v>ER</v>
          </cell>
          <cell r="B72" t="str">
            <v>ERYTHREE</v>
          </cell>
          <cell r="C72" t="str">
            <v>Nafka</v>
          </cell>
          <cell r="D72" t="str">
            <v>ERN</v>
          </cell>
        </row>
        <row r="73">
          <cell r="A73" t="str">
            <v>ES</v>
          </cell>
          <cell r="B73" t="str">
            <v>CANARIES (Îles)</v>
          </cell>
          <cell r="C73" t="str">
            <v>Euro</v>
          </cell>
          <cell r="D73" t="str">
            <v>EUR</v>
          </cell>
        </row>
        <row r="74">
          <cell r="A74" t="str">
            <v>ES</v>
          </cell>
          <cell r="B74" t="str">
            <v>CEUTA ET MELILLA</v>
          </cell>
          <cell r="C74" t="str">
            <v>Euro</v>
          </cell>
          <cell r="D74" t="str">
            <v>EUR</v>
          </cell>
        </row>
        <row r="75">
          <cell r="A75" t="str">
            <v>ES</v>
          </cell>
          <cell r="B75" t="str">
            <v>ESPAGNE (incl. les Baléares)</v>
          </cell>
          <cell r="C75" t="str">
            <v>Euro</v>
          </cell>
          <cell r="D75" t="str">
            <v>EUR</v>
          </cell>
        </row>
        <row r="76">
          <cell r="A76" t="str">
            <v>ET</v>
          </cell>
          <cell r="B76" t="str">
            <v>ETHIOPIE</v>
          </cell>
          <cell r="C76" t="str">
            <v>Birr éthiopien</v>
          </cell>
          <cell r="D76" t="str">
            <v>ETB</v>
          </cell>
        </row>
        <row r="77">
          <cell r="A77" t="str">
            <v>FI</v>
          </cell>
          <cell r="B77" t="str">
            <v>FINLANDE</v>
          </cell>
          <cell r="C77" t="str">
            <v>Euro</v>
          </cell>
          <cell r="D77" t="str">
            <v>EUR</v>
          </cell>
        </row>
        <row r="78">
          <cell r="A78" t="str">
            <v>FJ</v>
          </cell>
          <cell r="B78" t="str">
            <v>FIDJI</v>
          </cell>
          <cell r="C78" t="str">
            <v>Dollar des Fidji</v>
          </cell>
          <cell r="D78" t="str">
            <v>FJD</v>
          </cell>
        </row>
        <row r="79">
          <cell r="A79" t="str">
            <v>FK</v>
          </cell>
          <cell r="B79" t="str">
            <v>FALKLAND (Îles)</v>
          </cell>
          <cell r="C79" t="str">
            <v>Livre de Falkland</v>
          </cell>
          <cell r="D79" t="str">
            <v>FKP</v>
          </cell>
        </row>
        <row r="80">
          <cell r="A80" t="str">
            <v>FM</v>
          </cell>
          <cell r="B80" t="str">
            <v>MICRONESIE (Etats fédérés de)</v>
          </cell>
          <cell r="C80" t="str">
            <v>Dollar des Etats-unis</v>
          </cell>
          <cell r="D80" t="str">
            <v>USD</v>
          </cell>
        </row>
        <row r="81">
          <cell r="A81" t="str">
            <v>FO</v>
          </cell>
          <cell r="B81" t="str">
            <v>FÉROE (Îles)</v>
          </cell>
          <cell r="C81" t="str">
            <v>Couronne danoise</v>
          </cell>
          <cell r="D81" t="str">
            <v>DKK</v>
          </cell>
        </row>
        <row r="82">
          <cell r="A82" t="str">
            <v>FR</v>
          </cell>
          <cell r="B82" t="str">
            <v>FRANCE</v>
          </cell>
          <cell r="C82" t="str">
            <v>Euro</v>
          </cell>
          <cell r="D82" t="str">
            <v>EUR</v>
          </cell>
        </row>
        <row r="83">
          <cell r="A83" t="str">
            <v>GA</v>
          </cell>
          <cell r="B83" t="str">
            <v>GABON</v>
          </cell>
          <cell r="C83" t="str">
            <v>Franc CFA - BEAC</v>
          </cell>
          <cell r="D83" t="str">
            <v>XAF</v>
          </cell>
        </row>
        <row r="84">
          <cell r="A84" t="str">
            <v>GB</v>
          </cell>
          <cell r="B84" t="str">
            <v>ROYAUME-UNI (y c. Iles anglo-normandes...)</v>
          </cell>
          <cell r="C84" t="str">
            <v>Livre sterling</v>
          </cell>
          <cell r="D84" t="str">
            <v>GBP</v>
          </cell>
        </row>
        <row r="85">
          <cell r="A85" t="str">
            <v>GD</v>
          </cell>
          <cell r="B85" t="str">
            <v>GRENADE (incl. Grenadines du sud)</v>
          </cell>
          <cell r="C85" t="str">
            <v>Dollar des Caraïbes occidentales</v>
          </cell>
          <cell r="D85" t="str">
            <v>XCD</v>
          </cell>
        </row>
        <row r="86">
          <cell r="A86" t="str">
            <v>GE</v>
          </cell>
          <cell r="B86" t="str">
            <v>GEORGIE</v>
          </cell>
          <cell r="C86" t="str">
            <v>Lari</v>
          </cell>
          <cell r="D86" t="str">
            <v>GEL</v>
          </cell>
        </row>
        <row r="87">
          <cell r="A87" t="str">
            <v>GG</v>
          </cell>
          <cell r="B87" t="str">
            <v>GUERNESEY</v>
          </cell>
          <cell r="C87" t="str">
            <v>Livre sterling</v>
          </cell>
          <cell r="D87" t="str">
            <v>GBP</v>
          </cell>
        </row>
        <row r="88">
          <cell r="A88" t="str">
            <v>GH</v>
          </cell>
          <cell r="B88" t="str">
            <v>GHANA</v>
          </cell>
          <cell r="C88" t="str">
            <v>Cedi</v>
          </cell>
          <cell r="D88" t="str">
            <v>GHS</v>
          </cell>
        </row>
        <row r="89">
          <cell r="A89" t="str">
            <v>GI</v>
          </cell>
          <cell r="B89" t="str">
            <v>GIBRALTAR</v>
          </cell>
          <cell r="C89" t="str">
            <v>Livre de Gibraltar</v>
          </cell>
          <cell r="D89" t="str">
            <v>GIP</v>
          </cell>
        </row>
        <row r="90">
          <cell r="A90" t="str">
            <v>GL</v>
          </cell>
          <cell r="B90" t="str">
            <v>GROENLAND</v>
          </cell>
          <cell r="C90" t="str">
            <v>Couronne danoise</v>
          </cell>
          <cell r="D90" t="str">
            <v>DKK</v>
          </cell>
        </row>
        <row r="91">
          <cell r="A91" t="str">
            <v>GM</v>
          </cell>
          <cell r="B91" t="str">
            <v>GAMBIE</v>
          </cell>
          <cell r="C91" t="str">
            <v>Dalasie</v>
          </cell>
          <cell r="D91" t="str">
            <v>GMD</v>
          </cell>
        </row>
        <row r="92">
          <cell r="A92" t="str">
            <v>GN</v>
          </cell>
          <cell r="B92" t="str">
            <v>GUINEE</v>
          </cell>
          <cell r="C92" t="str">
            <v>Franc guinéen</v>
          </cell>
          <cell r="D92" t="str">
            <v>GNF</v>
          </cell>
        </row>
        <row r="93">
          <cell r="A93" t="str">
            <v>GQ</v>
          </cell>
          <cell r="B93" t="str">
            <v>GUINEE EQUATORIALE</v>
          </cell>
          <cell r="C93" t="str">
            <v>Franc CFA - BEAC</v>
          </cell>
          <cell r="D93" t="str">
            <v>XAF</v>
          </cell>
        </row>
        <row r="94">
          <cell r="A94" t="str">
            <v>GR</v>
          </cell>
          <cell r="B94" t="str">
            <v>GRECE</v>
          </cell>
          <cell r="C94" t="str">
            <v>Euro</v>
          </cell>
          <cell r="D94" t="str">
            <v>EUR</v>
          </cell>
        </row>
        <row r="95">
          <cell r="A95" t="str">
            <v>GS</v>
          </cell>
          <cell r="B95" t="str">
            <v>GEORGIE DU SUD ET ILES SANDWICH DU SUD</v>
          </cell>
          <cell r="C95" t="str">
            <v>Livre sterling</v>
          </cell>
          <cell r="D95" t="str">
            <v>GBP</v>
          </cell>
        </row>
        <row r="96">
          <cell r="A96" t="str">
            <v>GT</v>
          </cell>
          <cell r="B96" t="str">
            <v>GUATEMALA</v>
          </cell>
          <cell r="C96" t="str">
            <v>Quetzal</v>
          </cell>
          <cell r="D96" t="str">
            <v>GTQ</v>
          </cell>
        </row>
        <row r="97">
          <cell r="A97" t="str">
            <v>GU</v>
          </cell>
          <cell r="B97" t="str">
            <v>GUAM</v>
          </cell>
          <cell r="C97" t="str">
            <v>Dollar des Etats-unis</v>
          </cell>
          <cell r="D97" t="str">
            <v>USD</v>
          </cell>
        </row>
        <row r="98">
          <cell r="A98" t="str">
            <v>GW</v>
          </cell>
          <cell r="B98" t="str">
            <v>GUINEE-BISSAO</v>
          </cell>
          <cell r="C98" t="str">
            <v>Franc CFA - BCEAO</v>
          </cell>
          <cell r="D98" t="str">
            <v>XOF</v>
          </cell>
        </row>
        <row r="99">
          <cell r="A99" t="str">
            <v>GY</v>
          </cell>
          <cell r="B99" t="str">
            <v>GUYANA</v>
          </cell>
          <cell r="C99" t="str">
            <v>Dollar de Guyane</v>
          </cell>
          <cell r="D99" t="str">
            <v>GYD</v>
          </cell>
        </row>
        <row r="100">
          <cell r="A100" t="str">
            <v>HK</v>
          </cell>
          <cell r="B100" t="str">
            <v>HONG-KONG</v>
          </cell>
          <cell r="C100" t="str">
            <v>Dollar de Hong-Kong</v>
          </cell>
          <cell r="D100" t="str">
            <v>HKD</v>
          </cell>
        </row>
        <row r="101">
          <cell r="A101" t="str">
            <v>HM</v>
          </cell>
          <cell r="B101" t="str">
            <v>HEARD ET MC DONALD (Îles)</v>
          </cell>
          <cell r="C101" t="str">
            <v>Dollar australien</v>
          </cell>
          <cell r="D101" t="str">
            <v>AUD</v>
          </cell>
        </row>
        <row r="102">
          <cell r="A102" t="str">
            <v>HN</v>
          </cell>
          <cell r="B102" t="str">
            <v>HONDURAS</v>
          </cell>
          <cell r="C102" t="str">
            <v>Lempira</v>
          </cell>
          <cell r="D102" t="str">
            <v>HNL</v>
          </cell>
        </row>
        <row r="103">
          <cell r="A103" t="str">
            <v>HR</v>
          </cell>
          <cell r="B103" t="str">
            <v>CROATIE</v>
          </cell>
          <cell r="C103" t="str">
            <v>Kuna</v>
          </cell>
          <cell r="D103" t="str">
            <v>HRK</v>
          </cell>
        </row>
        <row r="104">
          <cell r="A104" t="str">
            <v>HT</v>
          </cell>
          <cell r="B104" t="str">
            <v>HAITI</v>
          </cell>
          <cell r="C104" t="str">
            <v>Gourde</v>
          </cell>
          <cell r="D104" t="str">
            <v>HTG</v>
          </cell>
        </row>
        <row r="105">
          <cell r="A105" t="str">
            <v>HU</v>
          </cell>
          <cell r="B105" t="str">
            <v>HONGRIE</v>
          </cell>
          <cell r="C105" t="str">
            <v>Forint</v>
          </cell>
          <cell r="D105" t="str">
            <v>HUF</v>
          </cell>
        </row>
        <row r="106">
          <cell r="A106" t="str">
            <v>ID</v>
          </cell>
          <cell r="B106" t="str">
            <v>INDONESIE</v>
          </cell>
          <cell r="C106" t="str">
            <v>Rupiah</v>
          </cell>
          <cell r="D106" t="str">
            <v>IDR</v>
          </cell>
        </row>
        <row r="107">
          <cell r="A107" t="str">
            <v>IE</v>
          </cell>
          <cell r="B107" t="str">
            <v>IRLANDE</v>
          </cell>
          <cell r="C107" t="str">
            <v>Euro</v>
          </cell>
          <cell r="D107" t="str">
            <v>EUR</v>
          </cell>
        </row>
        <row r="108">
          <cell r="A108" t="str">
            <v>IL</v>
          </cell>
          <cell r="B108" t="str">
            <v>ISRAEL</v>
          </cell>
          <cell r="C108" t="str">
            <v>Sheqel</v>
          </cell>
          <cell r="D108" t="str">
            <v>ILS</v>
          </cell>
        </row>
        <row r="109">
          <cell r="A109" t="str">
            <v>IM</v>
          </cell>
          <cell r="B109" t="str">
            <v>MAN (île de)</v>
          </cell>
          <cell r="C109" t="str">
            <v>Livre sterling</v>
          </cell>
          <cell r="D109" t="str">
            <v>GBP</v>
          </cell>
        </row>
        <row r="110">
          <cell r="A110" t="str">
            <v>IN</v>
          </cell>
          <cell r="B110" t="str">
            <v>INDE (incl. le Sikkim)</v>
          </cell>
          <cell r="C110" t="str">
            <v>Roupie indienne</v>
          </cell>
          <cell r="D110" t="str">
            <v>INR</v>
          </cell>
        </row>
        <row r="111">
          <cell r="A111" t="str">
            <v>IO</v>
          </cell>
          <cell r="B111" t="str">
            <v>TERRITOIRE BRITANNIQUE DE L'OCEAN INDIEN - Archipel CHAGOS inclus</v>
          </cell>
          <cell r="C111" t="str">
            <v>Dollar des Etats-unis</v>
          </cell>
          <cell r="D111" t="str">
            <v>USD</v>
          </cell>
        </row>
        <row r="112">
          <cell r="A112" t="str">
            <v>IQ</v>
          </cell>
          <cell r="B112" t="str">
            <v>IRAQ</v>
          </cell>
          <cell r="C112" t="str">
            <v>Dinar iraquien</v>
          </cell>
          <cell r="D112" t="str">
            <v>IQD</v>
          </cell>
        </row>
        <row r="113">
          <cell r="A113" t="str">
            <v>IR</v>
          </cell>
          <cell r="B113" t="str">
            <v>IRAN (République islamique d')</v>
          </cell>
          <cell r="C113" t="str">
            <v>Rial iranien</v>
          </cell>
          <cell r="D113" t="str">
            <v>IRR</v>
          </cell>
        </row>
        <row r="114">
          <cell r="A114" t="str">
            <v>IS</v>
          </cell>
          <cell r="B114" t="str">
            <v>ISLANDE</v>
          </cell>
          <cell r="C114" t="str">
            <v>Couronne islandaise</v>
          </cell>
          <cell r="D114" t="str">
            <v>ISK</v>
          </cell>
        </row>
        <row r="115">
          <cell r="A115" t="str">
            <v>IT</v>
          </cell>
          <cell r="B115" t="str">
            <v>ITALIE</v>
          </cell>
          <cell r="C115" t="str">
            <v>Euro</v>
          </cell>
          <cell r="D115" t="str">
            <v>EUR</v>
          </cell>
        </row>
        <row r="116">
          <cell r="A116" t="str">
            <v>JE</v>
          </cell>
          <cell r="B116" t="str">
            <v>JERSEY</v>
          </cell>
          <cell r="C116" t="str">
            <v>Livre sterling</v>
          </cell>
          <cell r="D116" t="str">
            <v>GBP</v>
          </cell>
        </row>
        <row r="117">
          <cell r="A117" t="str">
            <v>JM</v>
          </cell>
          <cell r="B117" t="str">
            <v>JAMAIQUE</v>
          </cell>
          <cell r="C117" t="str">
            <v>Dollar jamaïcain</v>
          </cell>
          <cell r="D117" t="str">
            <v>JMD</v>
          </cell>
        </row>
        <row r="118">
          <cell r="A118" t="str">
            <v>JO</v>
          </cell>
          <cell r="B118" t="str">
            <v>JORDANIE</v>
          </cell>
          <cell r="C118" t="str">
            <v>Dinar jordanien</v>
          </cell>
          <cell r="D118" t="str">
            <v>JOD</v>
          </cell>
        </row>
        <row r="119">
          <cell r="A119" t="str">
            <v>JP</v>
          </cell>
          <cell r="B119" t="str">
            <v>JAPON</v>
          </cell>
          <cell r="C119" t="str">
            <v>Yen</v>
          </cell>
          <cell r="D119" t="str">
            <v>JPY</v>
          </cell>
        </row>
        <row r="120">
          <cell r="A120" t="str">
            <v>KE</v>
          </cell>
          <cell r="B120" t="str">
            <v>KENYA</v>
          </cell>
          <cell r="C120" t="str">
            <v>Shilling du Kenya</v>
          </cell>
          <cell r="D120" t="str">
            <v>KES</v>
          </cell>
        </row>
        <row r="121">
          <cell r="A121" t="str">
            <v>KG</v>
          </cell>
          <cell r="B121" t="str">
            <v>KIRGHIZISTAN</v>
          </cell>
          <cell r="C121" t="str">
            <v>Som</v>
          </cell>
          <cell r="D121" t="str">
            <v>KGS</v>
          </cell>
        </row>
        <row r="122">
          <cell r="A122" t="str">
            <v>KH</v>
          </cell>
          <cell r="B122" t="str">
            <v>CAMBODGE</v>
          </cell>
          <cell r="C122" t="str">
            <v>Riel</v>
          </cell>
          <cell r="D122" t="str">
            <v>KHR</v>
          </cell>
        </row>
        <row r="123">
          <cell r="A123" t="str">
            <v>KI</v>
          </cell>
          <cell r="B123" t="str">
            <v>KIRIBATI</v>
          </cell>
          <cell r="C123" t="str">
            <v>Dollar australien</v>
          </cell>
          <cell r="D123" t="str">
            <v>AUD</v>
          </cell>
        </row>
        <row r="124">
          <cell r="A124" t="str">
            <v>KM</v>
          </cell>
          <cell r="B124" t="str">
            <v>COMORES (Grande-Comore, Anjouan et Mohéli)</v>
          </cell>
          <cell r="C124" t="str">
            <v>Franc des Comores</v>
          </cell>
          <cell r="D124" t="str">
            <v>KMF</v>
          </cell>
        </row>
        <row r="125">
          <cell r="A125" t="str">
            <v>KN</v>
          </cell>
          <cell r="B125" t="str">
            <v>SAINT-KITTS ET NEVIS</v>
          </cell>
          <cell r="C125" t="str">
            <v>Dollar des Caraïbes orientales</v>
          </cell>
          <cell r="D125" t="str">
            <v>XCD</v>
          </cell>
        </row>
        <row r="126">
          <cell r="A126" t="str">
            <v>KP</v>
          </cell>
          <cell r="B126" t="str">
            <v>COREE DU NORD (République populaire démocratique)</v>
          </cell>
          <cell r="C126" t="str">
            <v>Won de la Corée du Nord</v>
          </cell>
          <cell r="D126" t="str">
            <v>KPW</v>
          </cell>
        </row>
        <row r="127">
          <cell r="A127" t="str">
            <v>KR</v>
          </cell>
          <cell r="B127" t="str">
            <v>COREE (République de )</v>
          </cell>
          <cell r="C127" t="str">
            <v>Won</v>
          </cell>
          <cell r="D127" t="str">
            <v>KRW</v>
          </cell>
        </row>
        <row r="128">
          <cell r="A128" t="str">
            <v>KW</v>
          </cell>
          <cell r="B128" t="str">
            <v>KOWEIT</v>
          </cell>
          <cell r="C128" t="str">
            <v>Dinar koweïtien</v>
          </cell>
          <cell r="D128" t="str">
            <v>KWD</v>
          </cell>
        </row>
        <row r="129">
          <cell r="A129" t="str">
            <v>KY</v>
          </cell>
          <cell r="B129" t="str">
            <v>CAIMANES (Îles)</v>
          </cell>
          <cell r="C129" t="str">
            <v>Dollar des îles Caïmanes</v>
          </cell>
          <cell r="D129" t="str">
            <v>KYD</v>
          </cell>
        </row>
        <row r="130">
          <cell r="A130" t="str">
            <v>KZ</v>
          </cell>
          <cell r="B130" t="str">
            <v>KAZAKHSTAN</v>
          </cell>
          <cell r="C130" t="str">
            <v>Tenge</v>
          </cell>
          <cell r="D130" t="str">
            <v>KZT</v>
          </cell>
        </row>
        <row r="131">
          <cell r="A131" t="str">
            <v>LA</v>
          </cell>
          <cell r="B131" t="str">
            <v>LAOS (République populaire démocratique)</v>
          </cell>
          <cell r="C131" t="str">
            <v>Kip</v>
          </cell>
          <cell r="D131" t="str">
            <v>LAK</v>
          </cell>
        </row>
        <row r="132">
          <cell r="A132" t="str">
            <v>LB</v>
          </cell>
          <cell r="B132" t="str">
            <v>LIBAN</v>
          </cell>
          <cell r="C132" t="str">
            <v>Livre libanaise</v>
          </cell>
          <cell r="D132" t="str">
            <v>LBP</v>
          </cell>
        </row>
        <row r="133">
          <cell r="A133" t="str">
            <v>LC</v>
          </cell>
          <cell r="B133" t="str">
            <v>SAINTE LUCIE</v>
          </cell>
          <cell r="C133" t="str">
            <v>Dollar des Caraïbes orientales</v>
          </cell>
          <cell r="D133" t="str">
            <v>XCD</v>
          </cell>
        </row>
        <row r="134">
          <cell r="A134" t="str">
            <v>LI</v>
          </cell>
          <cell r="B134" t="str">
            <v>LIECHTENSTEIN</v>
          </cell>
          <cell r="C134" t="str">
            <v>Franc suisse</v>
          </cell>
          <cell r="D134" t="str">
            <v>CHF</v>
          </cell>
        </row>
        <row r="135">
          <cell r="A135" t="str">
            <v>LK</v>
          </cell>
          <cell r="B135" t="str">
            <v>SRI LANKA (ex Ceylan)</v>
          </cell>
          <cell r="C135" t="str">
            <v>Roupie de Sri Lanka</v>
          </cell>
          <cell r="D135" t="str">
            <v>LKR</v>
          </cell>
        </row>
        <row r="136">
          <cell r="A136" t="str">
            <v>LR</v>
          </cell>
          <cell r="B136" t="str">
            <v>LIBERIA</v>
          </cell>
          <cell r="C136" t="str">
            <v>Dollar libérien</v>
          </cell>
          <cell r="D136" t="str">
            <v>LRD</v>
          </cell>
        </row>
        <row r="137">
          <cell r="A137" t="str">
            <v>LS</v>
          </cell>
          <cell r="B137" t="str">
            <v>LESOTHO</v>
          </cell>
          <cell r="C137" t="str">
            <v>Loti</v>
          </cell>
          <cell r="D137" t="str">
            <v>LSL</v>
          </cell>
        </row>
        <row r="138">
          <cell r="A138" t="str">
            <v>LT</v>
          </cell>
          <cell r="B138" t="str">
            <v>LITUANIE</v>
          </cell>
          <cell r="C138" t="str">
            <v>Euro</v>
          </cell>
          <cell r="D138" t="str">
            <v>EUR</v>
          </cell>
        </row>
        <row r="139">
          <cell r="A139" t="str">
            <v>LU</v>
          </cell>
          <cell r="B139" t="str">
            <v>LUXEMBOURG</v>
          </cell>
          <cell r="C139" t="str">
            <v>Euro</v>
          </cell>
          <cell r="D139" t="str">
            <v>EUR</v>
          </cell>
        </row>
        <row r="140">
          <cell r="A140" t="str">
            <v>LV</v>
          </cell>
          <cell r="B140" t="str">
            <v>LETTONIE</v>
          </cell>
          <cell r="C140" t="str">
            <v>Euro</v>
          </cell>
          <cell r="D140" t="str">
            <v>EUR</v>
          </cell>
        </row>
        <row r="141">
          <cell r="A141" t="str">
            <v>LY</v>
          </cell>
          <cell r="B141" t="str">
            <v>LIBYE</v>
          </cell>
          <cell r="C141" t="str">
            <v>Dinar libyen</v>
          </cell>
          <cell r="D141" t="str">
            <v>LYD</v>
          </cell>
        </row>
        <row r="142">
          <cell r="A142" t="str">
            <v>MA</v>
          </cell>
          <cell r="B142" t="str">
            <v>MAROC</v>
          </cell>
          <cell r="C142" t="str">
            <v>Dirham marocain</v>
          </cell>
          <cell r="D142" t="str">
            <v>MAD</v>
          </cell>
        </row>
        <row r="143">
          <cell r="A143" t="str">
            <v>MD</v>
          </cell>
          <cell r="B143" t="str">
            <v>MOLDAVIE (République de Moldavie)</v>
          </cell>
          <cell r="C143" t="str">
            <v>Leu de Moldave</v>
          </cell>
          <cell r="D143" t="str">
            <v>MDL</v>
          </cell>
        </row>
        <row r="144">
          <cell r="A144" t="str">
            <v>ME</v>
          </cell>
          <cell r="B144" t="str">
            <v>MONTÉNÉGRO</v>
          </cell>
          <cell r="C144" t="str">
            <v>Euro</v>
          </cell>
          <cell r="D144" t="str">
            <v>EUR</v>
          </cell>
        </row>
        <row r="145">
          <cell r="A145" t="str">
            <v>MF</v>
          </cell>
          <cell r="B145" t="str">
            <v>SAINT MARTIN</v>
          </cell>
          <cell r="C145" t="str">
            <v>Euro</v>
          </cell>
          <cell r="D145" t="str">
            <v>EUR</v>
          </cell>
        </row>
        <row r="146">
          <cell r="A146" t="str">
            <v>MG</v>
          </cell>
          <cell r="B146" t="str">
            <v>MADAGASCAR (Malagasy)</v>
          </cell>
          <cell r="C146" t="str">
            <v>Ariary malgache</v>
          </cell>
          <cell r="D146" t="str">
            <v>MGA</v>
          </cell>
        </row>
        <row r="147">
          <cell r="A147" t="str">
            <v>MH</v>
          </cell>
          <cell r="B147" t="str">
            <v>MARSHALL (Îles)</v>
          </cell>
          <cell r="C147" t="str">
            <v>Dollar des Etats-unis</v>
          </cell>
          <cell r="D147" t="str">
            <v>USD</v>
          </cell>
        </row>
        <row r="148">
          <cell r="A148" t="str">
            <v>MK</v>
          </cell>
          <cell r="B148" t="str">
            <v>MACÉDOINE (ancienne république yougoslave de)</v>
          </cell>
          <cell r="C148" t="str">
            <v>Denar</v>
          </cell>
          <cell r="D148" t="str">
            <v>MKD</v>
          </cell>
        </row>
        <row r="149">
          <cell r="A149" t="str">
            <v>ML</v>
          </cell>
          <cell r="B149" t="str">
            <v>MALI</v>
          </cell>
          <cell r="C149" t="str">
            <v>Franc CFA - BCEAO</v>
          </cell>
          <cell r="D149" t="str">
            <v>XOF</v>
          </cell>
        </row>
        <row r="150">
          <cell r="A150" t="str">
            <v>MM</v>
          </cell>
          <cell r="B150" t="str">
            <v>MYANMAR (anc. Birmanie)</v>
          </cell>
          <cell r="C150" t="str">
            <v>Kyat</v>
          </cell>
          <cell r="D150" t="str">
            <v>MMK</v>
          </cell>
        </row>
        <row r="151">
          <cell r="A151" t="str">
            <v>MN</v>
          </cell>
          <cell r="B151" t="str">
            <v>MONGOLIE</v>
          </cell>
          <cell r="C151" t="str">
            <v>Tugrik</v>
          </cell>
          <cell r="D151" t="str">
            <v>MNT</v>
          </cell>
        </row>
        <row r="152">
          <cell r="A152" t="str">
            <v>MO</v>
          </cell>
          <cell r="B152" t="str">
            <v>MACAO</v>
          </cell>
          <cell r="C152" t="str">
            <v>Pataca</v>
          </cell>
          <cell r="D152" t="str">
            <v>MOP</v>
          </cell>
        </row>
        <row r="153">
          <cell r="A153" t="str">
            <v>MP</v>
          </cell>
          <cell r="B153" t="str">
            <v>MARIANNES DU NORD (îles)</v>
          </cell>
          <cell r="C153" t="str">
            <v>Dollar des Etats-unis</v>
          </cell>
          <cell r="D153" t="str">
            <v>USD</v>
          </cell>
        </row>
        <row r="154">
          <cell r="A154" t="str">
            <v>MR</v>
          </cell>
          <cell r="B154" t="str">
            <v>MAURITANIE</v>
          </cell>
          <cell r="C154" t="str">
            <v>Ouguiya</v>
          </cell>
          <cell r="D154" t="str">
            <v>MRU</v>
          </cell>
        </row>
        <row r="155">
          <cell r="A155" t="str">
            <v>MS</v>
          </cell>
          <cell r="B155" t="str">
            <v>MONTSERRAT</v>
          </cell>
          <cell r="C155" t="str">
            <v>Dollar des Caraïbes de l'Est</v>
          </cell>
          <cell r="D155" t="str">
            <v>XCD</v>
          </cell>
        </row>
        <row r="156">
          <cell r="A156" t="str">
            <v>MT</v>
          </cell>
          <cell r="B156" t="str">
            <v>MALTE</v>
          </cell>
          <cell r="C156" t="str">
            <v>Euro</v>
          </cell>
          <cell r="D156" t="str">
            <v>EUR</v>
          </cell>
        </row>
        <row r="157">
          <cell r="A157" t="str">
            <v>MU</v>
          </cell>
          <cell r="B157" t="str">
            <v>MAURICE</v>
          </cell>
          <cell r="C157" t="str">
            <v>Roupie mauricienne</v>
          </cell>
          <cell r="D157" t="str">
            <v>MUR</v>
          </cell>
        </row>
        <row r="158">
          <cell r="A158" t="str">
            <v>MV</v>
          </cell>
          <cell r="B158" t="str">
            <v>MALDIVES</v>
          </cell>
          <cell r="C158" t="str">
            <v>Rufiyaa</v>
          </cell>
          <cell r="D158" t="str">
            <v>MVR</v>
          </cell>
        </row>
        <row r="159">
          <cell r="A159" t="str">
            <v>MW</v>
          </cell>
          <cell r="B159" t="str">
            <v>MALAWI</v>
          </cell>
          <cell r="C159" t="str">
            <v>Kwacha</v>
          </cell>
          <cell r="D159" t="str">
            <v>MWK</v>
          </cell>
        </row>
        <row r="160">
          <cell r="A160" t="str">
            <v>MX</v>
          </cell>
          <cell r="B160" t="str">
            <v>MEXIQUE</v>
          </cell>
          <cell r="C160" t="str">
            <v>Peso mexicain</v>
          </cell>
          <cell r="D160" t="str">
            <v>MXN</v>
          </cell>
        </row>
        <row r="161">
          <cell r="A161" t="str">
            <v>MY</v>
          </cell>
          <cell r="B161" t="str">
            <v>MALAISIE (Malaisie, Sarawak et Sabah)</v>
          </cell>
          <cell r="C161" t="str">
            <v>Ringgit de Malaisie</v>
          </cell>
          <cell r="D161" t="str">
            <v>MYR</v>
          </cell>
        </row>
        <row r="162">
          <cell r="A162" t="str">
            <v>MZ</v>
          </cell>
          <cell r="B162" t="str">
            <v>MOZAMBIQUE</v>
          </cell>
          <cell r="C162" t="str">
            <v>Nouveau metical</v>
          </cell>
          <cell r="D162" t="str">
            <v>MZN</v>
          </cell>
        </row>
        <row r="163">
          <cell r="A163" t="str">
            <v>NA</v>
          </cell>
          <cell r="B163" t="str">
            <v>NAMIBIE</v>
          </cell>
          <cell r="C163" t="str">
            <v>Dollar namibien</v>
          </cell>
          <cell r="D163" t="str">
            <v>NAD</v>
          </cell>
        </row>
        <row r="164">
          <cell r="A164" t="str">
            <v>NC</v>
          </cell>
          <cell r="B164" t="str">
            <v>NOUVELLE-CALEDONIE</v>
          </cell>
          <cell r="C164" t="str">
            <v>Franc CFP</v>
          </cell>
          <cell r="D164" t="str">
            <v>XPF</v>
          </cell>
        </row>
        <row r="165">
          <cell r="A165" t="str">
            <v>NE</v>
          </cell>
          <cell r="B165" t="str">
            <v>NIGER</v>
          </cell>
          <cell r="C165" t="str">
            <v>Franc CFA (émis par la BCEAO)</v>
          </cell>
          <cell r="D165" t="str">
            <v>XOF</v>
          </cell>
        </row>
        <row r="166">
          <cell r="A166" t="str">
            <v>NF</v>
          </cell>
          <cell r="B166" t="str">
            <v>NORFOLK (Îles)</v>
          </cell>
          <cell r="C166" t="str">
            <v>Dollar australien</v>
          </cell>
          <cell r="D166" t="str">
            <v>AUD</v>
          </cell>
        </row>
        <row r="167">
          <cell r="A167" t="str">
            <v>NG</v>
          </cell>
          <cell r="B167" t="str">
            <v>NIGERIA</v>
          </cell>
          <cell r="C167" t="str">
            <v>Naira</v>
          </cell>
          <cell r="D167" t="str">
            <v>NGN</v>
          </cell>
        </row>
        <row r="168">
          <cell r="A168" t="str">
            <v>NI</v>
          </cell>
          <cell r="B168" t="str">
            <v>NICARAGUA</v>
          </cell>
          <cell r="C168" t="str">
            <v>Cordoba oro</v>
          </cell>
          <cell r="D168" t="str">
            <v>NIO</v>
          </cell>
        </row>
        <row r="169">
          <cell r="A169" t="str">
            <v>NL</v>
          </cell>
          <cell r="B169" t="str">
            <v>PAYS-BAS</v>
          </cell>
          <cell r="C169" t="str">
            <v>Euro</v>
          </cell>
          <cell r="D169" t="str">
            <v>EUR</v>
          </cell>
        </row>
        <row r="170">
          <cell r="A170" t="str">
            <v>NO</v>
          </cell>
          <cell r="B170" t="str">
            <v>NORVEGE</v>
          </cell>
          <cell r="C170" t="str">
            <v>Couronne norvégienne</v>
          </cell>
          <cell r="D170" t="str">
            <v>NOK</v>
          </cell>
        </row>
        <row r="171">
          <cell r="A171" t="str">
            <v>NP</v>
          </cell>
          <cell r="B171" t="str">
            <v>NEPAL</v>
          </cell>
          <cell r="C171" t="str">
            <v>Roupie Népalaise</v>
          </cell>
          <cell r="D171" t="str">
            <v>NPR</v>
          </cell>
        </row>
        <row r="172">
          <cell r="A172" t="str">
            <v>NR</v>
          </cell>
          <cell r="B172" t="str">
            <v>NAURU</v>
          </cell>
          <cell r="C172" t="str">
            <v>Dollar Australien</v>
          </cell>
          <cell r="D172" t="str">
            <v>AUD</v>
          </cell>
        </row>
        <row r="173">
          <cell r="A173" t="str">
            <v>NU</v>
          </cell>
          <cell r="B173" t="str">
            <v>NIUE</v>
          </cell>
          <cell r="C173" t="str">
            <v>Dollar néo-zélandais</v>
          </cell>
          <cell r="D173" t="str">
            <v>NZD</v>
          </cell>
        </row>
        <row r="174">
          <cell r="A174" t="str">
            <v>NZ</v>
          </cell>
          <cell r="B174" t="str">
            <v>NOUVELLE-ZELANDE</v>
          </cell>
          <cell r="C174" t="str">
            <v>Dollar néo-zélandais</v>
          </cell>
          <cell r="D174" t="str">
            <v>NZD</v>
          </cell>
        </row>
        <row r="175">
          <cell r="A175" t="str">
            <v>OM</v>
          </cell>
          <cell r="B175" t="str">
            <v>OMAN</v>
          </cell>
          <cell r="C175" t="str">
            <v>Rial Omani</v>
          </cell>
          <cell r="D175" t="str">
            <v>OMR</v>
          </cell>
        </row>
        <row r="176">
          <cell r="A176" t="str">
            <v>PA</v>
          </cell>
          <cell r="B176" t="str">
            <v>PANAMA</v>
          </cell>
          <cell r="C176" t="str">
            <v>Balboa</v>
          </cell>
          <cell r="D176" t="str">
            <v>PAB</v>
          </cell>
        </row>
        <row r="177">
          <cell r="A177" t="str">
            <v>PE</v>
          </cell>
          <cell r="B177" t="str">
            <v>PEROU</v>
          </cell>
          <cell r="C177" t="str">
            <v>Nouveau sol</v>
          </cell>
          <cell r="D177" t="str">
            <v>PEN</v>
          </cell>
        </row>
        <row r="178">
          <cell r="A178" t="str">
            <v>PF</v>
          </cell>
          <cell r="B178" t="str">
            <v>POLYNESIE FRANCAISE</v>
          </cell>
          <cell r="C178" t="str">
            <v>Franc du Pacifique</v>
          </cell>
          <cell r="D178" t="str">
            <v>XPF</v>
          </cell>
        </row>
        <row r="179">
          <cell r="A179" t="str">
            <v>PG</v>
          </cell>
          <cell r="B179" t="str">
            <v>PAPOUASIE-NOUVELLE-GUINEE</v>
          </cell>
          <cell r="C179" t="str">
            <v>Kina</v>
          </cell>
          <cell r="D179" t="str">
            <v>PGK</v>
          </cell>
        </row>
        <row r="180">
          <cell r="A180" t="str">
            <v>PH</v>
          </cell>
          <cell r="B180" t="str">
            <v>PHILIPPINES</v>
          </cell>
          <cell r="C180" t="str">
            <v>Peso philippin</v>
          </cell>
          <cell r="D180" t="str">
            <v>PHP</v>
          </cell>
        </row>
        <row r="181">
          <cell r="A181" t="str">
            <v>PK</v>
          </cell>
          <cell r="B181" t="str">
            <v>PAKISTAN</v>
          </cell>
          <cell r="C181" t="str">
            <v>Roupie pakistanaise</v>
          </cell>
          <cell r="D181" t="str">
            <v>PKR</v>
          </cell>
        </row>
        <row r="182">
          <cell r="A182" t="str">
            <v>PL</v>
          </cell>
          <cell r="B182" t="str">
            <v>POLOGNE</v>
          </cell>
          <cell r="C182" t="str">
            <v>Zloty</v>
          </cell>
          <cell r="D182" t="str">
            <v>PLN</v>
          </cell>
        </row>
        <row r="183">
          <cell r="A183" t="str">
            <v>PN</v>
          </cell>
          <cell r="B183" t="str">
            <v>PITCAIRN</v>
          </cell>
          <cell r="C183" t="str">
            <v>Dollar néo-zélandais</v>
          </cell>
          <cell r="D183" t="str">
            <v>NZD</v>
          </cell>
        </row>
        <row r="184">
          <cell r="A184" t="str">
            <v>PR</v>
          </cell>
          <cell r="B184" t="str">
            <v>PORTO-RICO</v>
          </cell>
          <cell r="C184" t="str">
            <v>Dollar des États-Unis</v>
          </cell>
          <cell r="D184" t="str">
            <v>USD</v>
          </cell>
        </row>
        <row r="185">
          <cell r="A185" t="str">
            <v>PS</v>
          </cell>
          <cell r="B185" t="str">
            <v>PALESTINIEN OCCUPE (Territoire)</v>
          </cell>
          <cell r="C185"/>
          <cell r="D185"/>
        </row>
        <row r="186">
          <cell r="A186" t="str">
            <v>PT</v>
          </cell>
          <cell r="B186" t="str">
            <v>PORTUGAL (incl. les Açores et Madère)</v>
          </cell>
          <cell r="C186" t="str">
            <v>Euro</v>
          </cell>
          <cell r="D186" t="str">
            <v>EUR</v>
          </cell>
        </row>
        <row r="187">
          <cell r="A187" t="str">
            <v>PW</v>
          </cell>
          <cell r="B187" t="str">
            <v>PALAU</v>
          </cell>
          <cell r="C187" t="str">
            <v>Dollar des Etats-unis</v>
          </cell>
          <cell r="D187" t="str">
            <v>USD</v>
          </cell>
        </row>
        <row r="188">
          <cell r="A188" t="str">
            <v>PY</v>
          </cell>
          <cell r="B188" t="str">
            <v>PARAGUAY</v>
          </cell>
          <cell r="C188" t="str">
            <v>Guarani</v>
          </cell>
          <cell r="D188" t="str">
            <v>PYG</v>
          </cell>
        </row>
        <row r="189">
          <cell r="A189" t="str">
            <v>QA</v>
          </cell>
          <cell r="B189" t="str">
            <v>QATAR</v>
          </cell>
          <cell r="C189" t="str">
            <v>Riyal du Qatar</v>
          </cell>
          <cell r="D189" t="str">
            <v>QAR</v>
          </cell>
        </row>
        <row r="190">
          <cell r="A190" t="str">
            <v>RO</v>
          </cell>
          <cell r="B190" t="str">
            <v>ROUMANIE</v>
          </cell>
          <cell r="C190" t="str">
            <v>Nouveau Leu</v>
          </cell>
          <cell r="D190" t="str">
            <v>RON</v>
          </cell>
        </row>
        <row r="191">
          <cell r="A191" t="str">
            <v>RS</v>
          </cell>
          <cell r="B191" t="str">
            <v>SERBIE</v>
          </cell>
          <cell r="C191" t="str">
            <v>Dinar Serbe</v>
          </cell>
          <cell r="D191" t="str">
            <v>RSD</v>
          </cell>
        </row>
        <row r="192">
          <cell r="A192" t="str">
            <v>RU</v>
          </cell>
          <cell r="B192" t="str">
            <v>RUSSIE (Fédération de)</v>
          </cell>
          <cell r="C192" t="str">
            <v>Rouble russe (nouveau)</v>
          </cell>
          <cell r="D192" t="str">
            <v>RUB</v>
          </cell>
        </row>
        <row r="193">
          <cell r="A193" t="str">
            <v>RW</v>
          </cell>
          <cell r="B193" t="str">
            <v>RWANDA</v>
          </cell>
          <cell r="C193" t="str">
            <v>Franc du Rwanda</v>
          </cell>
          <cell r="D193" t="str">
            <v>RWF</v>
          </cell>
        </row>
        <row r="194">
          <cell r="A194" t="str">
            <v>SA</v>
          </cell>
          <cell r="B194" t="str">
            <v>ARABIE SAOUDITE</v>
          </cell>
          <cell r="C194" t="str">
            <v>Riyal saoudien</v>
          </cell>
          <cell r="D194" t="str">
            <v>SAR</v>
          </cell>
        </row>
        <row r="195">
          <cell r="A195" t="str">
            <v>SB</v>
          </cell>
          <cell r="B195" t="str">
            <v>SALOMON (Îles)</v>
          </cell>
          <cell r="C195" t="str">
            <v>Dollar des îles Salomon</v>
          </cell>
          <cell r="D195" t="str">
            <v>SBD</v>
          </cell>
        </row>
        <row r="196">
          <cell r="A196" t="str">
            <v>SC</v>
          </cell>
          <cell r="B196" t="str">
            <v>SEYCHELLES et dépendances</v>
          </cell>
          <cell r="C196" t="str">
            <v>Roupie des Seychelles</v>
          </cell>
          <cell r="D196" t="str">
            <v>SCR</v>
          </cell>
        </row>
        <row r="197">
          <cell r="A197" t="str">
            <v>SD</v>
          </cell>
          <cell r="B197" t="str">
            <v>SOUDAN</v>
          </cell>
          <cell r="C197" t="str">
            <v>Livre soudanaise</v>
          </cell>
          <cell r="D197" t="str">
            <v>SDG</v>
          </cell>
        </row>
        <row r="198">
          <cell r="A198" t="str">
            <v>SE</v>
          </cell>
          <cell r="B198" t="str">
            <v>SUEDE</v>
          </cell>
          <cell r="C198" t="str">
            <v>Couronne suédoise</v>
          </cell>
          <cell r="D198" t="str">
            <v>SEK</v>
          </cell>
        </row>
        <row r="199">
          <cell r="A199" t="str">
            <v>SG</v>
          </cell>
          <cell r="B199" t="str">
            <v>SINGAPOUR</v>
          </cell>
          <cell r="C199" t="str">
            <v>Dollar de Singapour</v>
          </cell>
          <cell r="D199" t="str">
            <v>SGD</v>
          </cell>
        </row>
        <row r="200">
          <cell r="A200" t="str">
            <v>SH</v>
          </cell>
          <cell r="B200" t="str">
            <v>SAINTE HELENE et dépendances</v>
          </cell>
          <cell r="C200" t="str">
            <v>Livre de Sainte-Hélène</v>
          </cell>
          <cell r="D200" t="str">
            <v>SHP</v>
          </cell>
        </row>
        <row r="201">
          <cell r="A201" t="str">
            <v>SI</v>
          </cell>
          <cell r="B201" t="str">
            <v>SLOVENIE</v>
          </cell>
          <cell r="C201" t="str">
            <v>Euro</v>
          </cell>
          <cell r="D201" t="str">
            <v>EUR</v>
          </cell>
        </row>
        <row r="202">
          <cell r="A202" t="str">
            <v>SJ</v>
          </cell>
          <cell r="B202" t="str">
            <v>SWALBARD ET ILES JAN MAYEN</v>
          </cell>
          <cell r="C202" t="str">
            <v>Couronne norvégienne</v>
          </cell>
          <cell r="D202" t="str">
            <v>NOK</v>
          </cell>
        </row>
        <row r="203">
          <cell r="A203" t="str">
            <v>SK</v>
          </cell>
          <cell r="B203" t="str">
            <v>SLOVAQUIE</v>
          </cell>
          <cell r="C203" t="str">
            <v>Euro</v>
          </cell>
          <cell r="D203" t="str">
            <v>EUR</v>
          </cell>
        </row>
        <row r="204">
          <cell r="A204" t="str">
            <v>SL</v>
          </cell>
          <cell r="B204" t="str">
            <v>SIERRA LEONE</v>
          </cell>
          <cell r="C204" t="str">
            <v>Leone</v>
          </cell>
          <cell r="D204" t="str">
            <v>SLL</v>
          </cell>
        </row>
        <row r="205">
          <cell r="A205" t="str">
            <v>SM</v>
          </cell>
          <cell r="B205" t="str">
            <v>SAINT-MARIN</v>
          </cell>
          <cell r="C205" t="str">
            <v>Euro</v>
          </cell>
          <cell r="D205" t="str">
            <v>EUR</v>
          </cell>
        </row>
        <row r="206">
          <cell r="A206" t="str">
            <v>SN</v>
          </cell>
          <cell r="B206" t="str">
            <v>SENEGAL</v>
          </cell>
          <cell r="C206" t="str">
            <v>Franc CFA - BCEAO</v>
          </cell>
          <cell r="D206" t="str">
            <v>XOF</v>
          </cell>
        </row>
        <row r="207">
          <cell r="A207" t="str">
            <v>SO</v>
          </cell>
          <cell r="B207" t="str">
            <v>SOMALIE</v>
          </cell>
          <cell r="C207" t="str">
            <v>Shilling Somalien</v>
          </cell>
          <cell r="D207" t="str">
            <v>SOS</v>
          </cell>
        </row>
        <row r="208">
          <cell r="A208" t="str">
            <v>SR</v>
          </cell>
          <cell r="B208" t="str">
            <v>SURINAME</v>
          </cell>
          <cell r="C208" t="str">
            <v>Florin du suriname</v>
          </cell>
          <cell r="D208" t="str">
            <v>SRD</v>
          </cell>
        </row>
        <row r="209">
          <cell r="A209" t="str">
            <v>SS</v>
          </cell>
          <cell r="B209" t="str">
            <v>SUD SOUDAN</v>
          </cell>
          <cell r="C209" t="str">
            <v>Livre sud Soudanaise</v>
          </cell>
          <cell r="D209" t="str">
            <v>SSP</v>
          </cell>
        </row>
        <row r="210">
          <cell r="A210" t="str">
            <v>ST</v>
          </cell>
          <cell r="B210" t="str">
            <v>SAO TOME ET PRINCIPE</v>
          </cell>
          <cell r="C210" t="str">
            <v>Dobra</v>
          </cell>
          <cell r="D210" t="str">
            <v>STN</v>
          </cell>
        </row>
        <row r="211">
          <cell r="A211" t="str">
            <v>SV</v>
          </cell>
          <cell r="B211" t="str">
            <v>SALVADOR</v>
          </cell>
          <cell r="C211" t="str">
            <v>Colon salvadorien</v>
          </cell>
          <cell r="D211" t="str">
            <v>SVC</v>
          </cell>
        </row>
        <row r="212">
          <cell r="A212" t="str">
            <v>SX</v>
          </cell>
          <cell r="B212" t="str">
            <v>SAINT-MARTIN (partie néerlandaise)</v>
          </cell>
          <cell r="C212" t="str">
            <v>Florin des Antilles</v>
          </cell>
          <cell r="D212" t="str">
            <v>ANG</v>
          </cell>
        </row>
        <row r="213">
          <cell r="A213" t="str">
            <v>SY</v>
          </cell>
          <cell r="B213" t="str">
            <v>SYRIE (République arabe syrienne)</v>
          </cell>
          <cell r="C213" t="str">
            <v>Livre syrienne</v>
          </cell>
          <cell r="D213" t="str">
            <v>SYP</v>
          </cell>
        </row>
        <row r="214">
          <cell r="A214" t="str">
            <v>SZ</v>
          </cell>
          <cell r="B214" t="str">
            <v>SWAZILAND</v>
          </cell>
          <cell r="C214" t="str">
            <v>Lilangeni</v>
          </cell>
          <cell r="D214" t="str">
            <v>SZL</v>
          </cell>
        </row>
        <row r="215">
          <cell r="A215" t="str">
            <v>TC</v>
          </cell>
          <cell r="B215" t="str">
            <v>TURKS ET CAÏQUES (îles)</v>
          </cell>
          <cell r="C215" t="str">
            <v>Dollar des Etats-unis</v>
          </cell>
          <cell r="D215" t="str">
            <v>USD</v>
          </cell>
        </row>
        <row r="216">
          <cell r="A216" t="str">
            <v>TD</v>
          </cell>
          <cell r="B216" t="str">
            <v>TCHAD</v>
          </cell>
          <cell r="C216" t="str">
            <v>Franc CFA - BEAC</v>
          </cell>
          <cell r="D216" t="str">
            <v>XAF</v>
          </cell>
        </row>
        <row r="217">
          <cell r="A217" t="str">
            <v>TF</v>
          </cell>
          <cell r="B217" t="str">
            <v>TERRES AUSTRALES ET ANTARCTIQUES FRANCAISES</v>
          </cell>
          <cell r="C217" t="str">
            <v>Euro</v>
          </cell>
          <cell r="D217" t="str">
            <v>EUR</v>
          </cell>
        </row>
        <row r="218">
          <cell r="A218" t="str">
            <v>TG</v>
          </cell>
          <cell r="B218" t="str">
            <v>TOGO</v>
          </cell>
          <cell r="C218" t="str">
            <v>Franc CFA - BCEAO</v>
          </cell>
          <cell r="D218" t="str">
            <v>XOF</v>
          </cell>
        </row>
        <row r="219">
          <cell r="A219" t="str">
            <v>TH</v>
          </cell>
          <cell r="B219" t="str">
            <v>THAILANDE</v>
          </cell>
          <cell r="C219" t="str">
            <v>Baht</v>
          </cell>
          <cell r="D219" t="str">
            <v>THB</v>
          </cell>
        </row>
        <row r="220">
          <cell r="A220" t="str">
            <v>TJ</v>
          </cell>
          <cell r="B220" t="str">
            <v>TADJIKISTAN</v>
          </cell>
          <cell r="C220" t="str">
            <v>Somoni</v>
          </cell>
          <cell r="D220" t="str">
            <v>TJS</v>
          </cell>
        </row>
        <row r="221">
          <cell r="A221" t="str">
            <v>TK</v>
          </cell>
          <cell r="B221" t="str">
            <v>TOKELAU</v>
          </cell>
          <cell r="C221" t="str">
            <v>Dollar néo-zélandais</v>
          </cell>
          <cell r="D221" t="str">
            <v>NZD</v>
          </cell>
        </row>
        <row r="222">
          <cell r="A222" t="str">
            <v>TL</v>
          </cell>
          <cell r="B222" t="str">
            <v>TIMOR LESTE</v>
          </cell>
          <cell r="C222" t="str">
            <v>Rupiah</v>
          </cell>
          <cell r="D222" t="str">
            <v>IDR</v>
          </cell>
        </row>
        <row r="223">
          <cell r="A223" t="str">
            <v>TM</v>
          </cell>
          <cell r="B223" t="str">
            <v>TURKMENISTAN</v>
          </cell>
          <cell r="C223" t="str">
            <v xml:space="preserve">Manat </v>
          </cell>
          <cell r="D223" t="str">
            <v>TMT</v>
          </cell>
        </row>
        <row r="224">
          <cell r="A224" t="str">
            <v>TN</v>
          </cell>
          <cell r="B224" t="str">
            <v>TUNISIE</v>
          </cell>
          <cell r="C224" t="str">
            <v>Dinar tunisien</v>
          </cell>
          <cell r="D224" t="str">
            <v>TND</v>
          </cell>
        </row>
        <row r="225">
          <cell r="A225" t="str">
            <v>TO</v>
          </cell>
          <cell r="B225" t="str">
            <v>TONGA (les)</v>
          </cell>
          <cell r="C225" t="str">
            <v>Pa'anga</v>
          </cell>
          <cell r="D225" t="str">
            <v>TOP</v>
          </cell>
        </row>
        <row r="226">
          <cell r="A226" t="str">
            <v>TR</v>
          </cell>
          <cell r="B226" t="str">
            <v>TURQUIE</v>
          </cell>
          <cell r="C226" t="str">
            <v>Nouvelle Livre turque</v>
          </cell>
          <cell r="D226" t="str">
            <v>TRY</v>
          </cell>
        </row>
        <row r="227">
          <cell r="A227" t="str">
            <v>TT</v>
          </cell>
          <cell r="B227" t="str">
            <v>TRINITE-ET-TOBAGO</v>
          </cell>
          <cell r="C227" t="str">
            <v>Dollar de Trinité et de Tobago</v>
          </cell>
          <cell r="D227" t="str">
            <v>TTD</v>
          </cell>
        </row>
        <row r="228">
          <cell r="A228" t="str">
            <v>TV</v>
          </cell>
          <cell r="B228" t="str">
            <v>TUVALU</v>
          </cell>
          <cell r="C228" t="str">
            <v>Dollar australien</v>
          </cell>
          <cell r="D228" t="str">
            <v>AUD</v>
          </cell>
        </row>
        <row r="229">
          <cell r="A229" t="str">
            <v>TW</v>
          </cell>
          <cell r="B229" t="str">
            <v>TAIWAN</v>
          </cell>
          <cell r="C229" t="str">
            <v>Nouveau dollar de Taïwan</v>
          </cell>
          <cell r="D229" t="str">
            <v>TWD</v>
          </cell>
        </row>
        <row r="230">
          <cell r="A230" t="str">
            <v>TZ</v>
          </cell>
          <cell r="B230" t="str">
            <v>TANZANIE (République unie de)</v>
          </cell>
          <cell r="C230" t="str">
            <v>Shilling tanzanien</v>
          </cell>
          <cell r="D230" t="str">
            <v>TZS</v>
          </cell>
        </row>
        <row r="231">
          <cell r="A231" t="str">
            <v>UA</v>
          </cell>
          <cell r="B231" t="str">
            <v>UKRAINE</v>
          </cell>
          <cell r="C231" t="str">
            <v>Hryvnia</v>
          </cell>
          <cell r="D231" t="str">
            <v>UAH</v>
          </cell>
        </row>
        <row r="232">
          <cell r="A232" t="str">
            <v>UG</v>
          </cell>
          <cell r="B232" t="str">
            <v>OUGANDA</v>
          </cell>
          <cell r="C232" t="str">
            <v>Shilling ougandais</v>
          </cell>
          <cell r="D232" t="str">
            <v>UGX</v>
          </cell>
        </row>
        <row r="233">
          <cell r="A233" t="str">
            <v>UM</v>
          </cell>
          <cell r="B233" t="str">
            <v>ILES MINEURES ELOIGNEES DES ETATS-UNIS</v>
          </cell>
          <cell r="C233" t="str">
            <v>Dollar des Etats-unis</v>
          </cell>
          <cell r="D233" t="str">
            <v>USD</v>
          </cell>
        </row>
        <row r="234">
          <cell r="A234" t="str">
            <v>US</v>
          </cell>
          <cell r="B234" t="str">
            <v>ETATS-UNIS d'Amérique</v>
          </cell>
          <cell r="C234" t="str">
            <v>Dollar des États-Unis</v>
          </cell>
          <cell r="D234" t="str">
            <v>USD</v>
          </cell>
        </row>
        <row r="235">
          <cell r="A235" t="str">
            <v>UY</v>
          </cell>
          <cell r="B235" t="str">
            <v>URUGUAY</v>
          </cell>
          <cell r="C235" t="str">
            <v>Nouveau Peso uruguayen</v>
          </cell>
          <cell r="D235" t="str">
            <v>UYU</v>
          </cell>
        </row>
        <row r="236">
          <cell r="A236" t="str">
            <v>UZ</v>
          </cell>
          <cell r="B236" t="str">
            <v>OUZBEKISTAN</v>
          </cell>
          <cell r="C236" t="str">
            <v>Soum ouzbek</v>
          </cell>
          <cell r="D236" t="str">
            <v>UZS</v>
          </cell>
        </row>
        <row r="237">
          <cell r="A237" t="str">
            <v>VA</v>
          </cell>
          <cell r="B237" t="str">
            <v>VATICAN (État de la Cité du)</v>
          </cell>
          <cell r="C237" t="str">
            <v>Euro</v>
          </cell>
          <cell r="D237" t="str">
            <v>EUR</v>
          </cell>
        </row>
        <row r="238">
          <cell r="A238" t="str">
            <v>VC</v>
          </cell>
          <cell r="B238" t="str">
            <v>SAINT VINCENT (y.c. Grenadines du nord)</v>
          </cell>
          <cell r="C238" t="str">
            <v>Dollar des Caraïbes orientales</v>
          </cell>
          <cell r="D238" t="str">
            <v>XCD</v>
          </cell>
        </row>
        <row r="239">
          <cell r="A239" t="str">
            <v>VE</v>
          </cell>
          <cell r="B239" t="str">
            <v>VENEZUELA</v>
          </cell>
          <cell r="C239" t="str">
            <v>Bolivar fuerté</v>
          </cell>
          <cell r="D239" t="str">
            <v>VEF</v>
          </cell>
        </row>
        <row r="240">
          <cell r="A240" t="str">
            <v>VG</v>
          </cell>
          <cell r="B240" t="str">
            <v>VIERGES BRITANNIQUES (Îles)</v>
          </cell>
          <cell r="C240" t="str">
            <v>Dollar des Caraïbes orientales</v>
          </cell>
          <cell r="D240" t="str">
            <v>XCD</v>
          </cell>
        </row>
        <row r="241">
          <cell r="A241" t="str">
            <v>VI</v>
          </cell>
          <cell r="B241" t="str">
            <v>VIERGES DES ETATS-UNIS (Îles)</v>
          </cell>
          <cell r="C241" t="str">
            <v>Dollar des États-Unis</v>
          </cell>
          <cell r="D241" t="str">
            <v>USD</v>
          </cell>
        </row>
        <row r="242">
          <cell r="A242" t="str">
            <v>VN</v>
          </cell>
          <cell r="B242" t="str">
            <v>VIET NAM</v>
          </cell>
          <cell r="C242" t="str">
            <v>Dong</v>
          </cell>
          <cell r="D242" t="str">
            <v>VND</v>
          </cell>
        </row>
        <row r="243">
          <cell r="A243" t="str">
            <v>VU</v>
          </cell>
          <cell r="B243" t="str">
            <v>VANUATU (ex-Nouvelles Hébrides)</v>
          </cell>
          <cell r="C243" t="str">
            <v>Vatu</v>
          </cell>
          <cell r="D243" t="str">
            <v>VUV</v>
          </cell>
        </row>
        <row r="244">
          <cell r="A244" t="str">
            <v>WF</v>
          </cell>
          <cell r="B244" t="str">
            <v>WALLIS ET FUTUNA</v>
          </cell>
          <cell r="C244" t="str">
            <v>Franc CFP</v>
          </cell>
          <cell r="D244" t="str">
            <v>XPF</v>
          </cell>
        </row>
        <row r="245">
          <cell r="A245" t="str">
            <v>WS</v>
          </cell>
          <cell r="B245" t="str">
            <v>SAMOA</v>
          </cell>
          <cell r="C245" t="str">
            <v>Tala</v>
          </cell>
          <cell r="D245" t="str">
            <v>WST</v>
          </cell>
        </row>
        <row r="246">
          <cell r="A246" t="str">
            <v>XG</v>
          </cell>
          <cell r="B246" t="str">
            <v>GAZA AND JERICHO</v>
          </cell>
          <cell r="C246" t="str">
            <v>Sheqel</v>
          </cell>
          <cell r="D246" t="str">
            <v>ILS</v>
          </cell>
        </row>
        <row r="247">
          <cell r="A247" t="str">
            <v>XK</v>
          </cell>
          <cell r="B247" t="str">
            <v>KOSOVO</v>
          </cell>
          <cell r="C247" t="str">
            <v>Euro</v>
          </cell>
          <cell r="D247" t="str">
            <v>EUR</v>
          </cell>
        </row>
        <row r="248">
          <cell r="A248" t="str">
            <v>XZ</v>
          </cell>
          <cell r="B248" t="str">
            <v>ZONE FRANC (Etats africains de la )</v>
          </cell>
          <cell r="C248" t="str">
            <v>Franc CFA</v>
          </cell>
          <cell r="D248" t="str">
            <v>CFA</v>
          </cell>
        </row>
        <row r="249">
          <cell r="A249" t="str">
            <v>YE</v>
          </cell>
          <cell r="B249" t="str">
            <v>YEMEN</v>
          </cell>
          <cell r="C249" t="str">
            <v>Riyal yéménite</v>
          </cell>
          <cell r="D249" t="str">
            <v>YER</v>
          </cell>
        </row>
        <row r="250">
          <cell r="A250" t="str">
            <v>ZA</v>
          </cell>
          <cell r="B250" t="str">
            <v>AFRIQUE DU SUD</v>
          </cell>
          <cell r="C250" t="str">
            <v>Rand</v>
          </cell>
          <cell r="D250" t="str">
            <v>ZAR</v>
          </cell>
        </row>
        <row r="251">
          <cell r="A251" t="str">
            <v>ZM</v>
          </cell>
          <cell r="B251" t="str">
            <v>ZAMBIE</v>
          </cell>
          <cell r="C251" t="str">
            <v>Kwacha de Zambie (nouveau)</v>
          </cell>
          <cell r="D251" t="str">
            <v>ZMW</v>
          </cell>
        </row>
        <row r="252">
          <cell r="A252" t="str">
            <v>ZW</v>
          </cell>
          <cell r="B252" t="str">
            <v>ZIMBABWE</v>
          </cell>
          <cell r="C252" t="str">
            <v>Dollar du Zimbabwe</v>
          </cell>
          <cell r="D252" t="str">
            <v>ZWL</v>
          </cell>
        </row>
        <row r="253">
          <cell r="A253"/>
          <cell r="B253"/>
          <cell r="C253" t="str">
            <v>Peso chilien</v>
          </cell>
          <cell r="D253" t="str">
            <v>CLP</v>
          </cell>
        </row>
        <row r="254">
          <cell r="A254"/>
          <cell r="B254"/>
          <cell r="C254" t="str">
            <v>Peso cubain</v>
          </cell>
          <cell r="D254" t="str">
            <v>CUP</v>
          </cell>
        </row>
        <row r="255">
          <cell r="A255"/>
          <cell r="B255" t="str">
            <v>OR MONETAIRE</v>
          </cell>
          <cell r="C255" t="str">
            <v>Opérations sur or</v>
          </cell>
          <cell r="D255" t="str">
            <v>XAU</v>
          </cell>
        </row>
        <row r="256">
          <cell r="A256"/>
          <cell r="B256"/>
          <cell r="C256" t="str">
            <v>Bolivar soberano</v>
          </cell>
          <cell r="D256" t="str">
            <v>VES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omagoj Leko" id="{BC20C79A-7B23-4808-8488-D217F382E4F0}" userId="S::leko@akuoenergy.com::2c00b724-0133-4660-b5ab-32a3e746a625" providerId="AD"/>
  <person displayName="Marin Uzelac" id="{0D4B8C5C-34C7-45B7-83CB-058F1659C66C}" userId="S::uzelac@akuoenergy.com::7367ae27-62b8-49b3-bd83-581685f56e67" providerId="AD"/>
  <person displayName="Anass Boudhar" id="{330EBDC6-64C4-4BD9-A2D2-FD6CE88CA656}" userId="S::boudhar@akuoenergy.com::64c06d18-dad5-43fa-a20e-a80ab37294f0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1" dT="2026-03-06T12:04:36.85" personId="{0D4B8C5C-34C7-45B7-83CB-058F1659C66C}" id="{F563DEC3-33C3-4C10-8980-C907D8958513}">
    <text>17,119</text>
  </threadedComment>
  <threadedComment ref="K31" dT="2026-03-06T12:04:36.85" personId="{0D4B8C5C-34C7-45B7-83CB-058F1659C66C}" id="{1E033C32-703D-4AAF-914E-F6294C0FB5B9}">
    <text>17,119</text>
  </threadedComment>
  <threadedComment ref="J39" dT="2026-03-06T12:04:52.28" personId="{0D4B8C5C-34C7-45B7-83CB-058F1659C66C}" id="{DB0CECB4-8F2A-4DCA-9A01-6673762A37EA}">
    <text>9,312</text>
  </threadedComment>
  <threadedComment ref="K39" dT="2026-03-06T12:04:52.28" personId="{0D4B8C5C-34C7-45B7-83CB-058F1659C66C}" id="{F7EE7753-0278-4D93-86BA-357C578C1EC6}">
    <text>9,312</text>
  </threadedComment>
  <threadedComment ref="C54" dT="2026-01-15T14:15:32.05" personId="{330EBDC6-64C4-4BD9-A2D2-FD6CE88CA656}" id="{37292016-F685-4EE0-AB2F-5B9B35D47EC6}">
    <text>90 €/kW</text>
  </threadedComment>
  <threadedComment ref="J57" dT="2026-03-06T12:06:30.09" personId="{0D4B8C5C-34C7-45B7-83CB-058F1659C66C}" id="{AC3545BA-F5FD-4542-B503-853339FF98B6}">
    <text>1543</text>
  </threadedComment>
  <threadedComment ref="K57" dT="2026-03-06T12:06:30.09" personId="{0D4B8C5C-34C7-45B7-83CB-058F1659C66C}" id="{B4CCC677-473A-4AE5-AEC9-739F03EA1BBA}">
    <text>1543</text>
  </threadedComment>
  <threadedComment ref="H71" dT="2025-12-16T14:25:12.05" personId="{BC20C79A-7B23-4808-8488-D217F382E4F0}" id="{A9DB386A-8AA4-46D2-A24E-3A9995BBA58A}">
    <text xml:space="preserve">TBD
</text>
  </threadedComment>
  <threadedComment ref="I71" dT="2025-12-16T14:25:12.05" personId="{BC20C79A-7B23-4808-8488-D217F382E4F0}" id="{F492D49B-D502-4B54-A061-FB2CB67D70E3}">
    <text xml:space="preserve">TBD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1" dT="2025-11-03T11:27:59.81" personId="{0D4B8C5C-34C7-45B7-83CB-058F1659C66C}" id="{3035FB28-3B69-49A4-BBC9-2C3E57263E47}">
    <text>To check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3.emf"/><Relationship Id="rId18" Type="http://schemas.openxmlformats.org/officeDocument/2006/relationships/control" Target="../activeX/activeX10.xml"/><Relationship Id="rId26" Type="http://schemas.openxmlformats.org/officeDocument/2006/relationships/control" Target="../activeX/activeX17.xml"/><Relationship Id="rId3" Type="http://schemas.openxmlformats.org/officeDocument/2006/relationships/vmlDrawing" Target="../drawings/vmlDrawing2.vml"/><Relationship Id="rId21" Type="http://schemas.openxmlformats.org/officeDocument/2006/relationships/control" Target="../activeX/activeX12.xml"/><Relationship Id="rId7" Type="http://schemas.openxmlformats.org/officeDocument/2006/relationships/control" Target="../activeX/activeX2.xml"/><Relationship Id="rId12" Type="http://schemas.openxmlformats.org/officeDocument/2006/relationships/control" Target="../activeX/activeX6.xml"/><Relationship Id="rId17" Type="http://schemas.openxmlformats.org/officeDocument/2006/relationships/control" Target="../activeX/activeX9.xml"/><Relationship Id="rId25" Type="http://schemas.openxmlformats.org/officeDocument/2006/relationships/control" Target="../activeX/activeX16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8.xml"/><Relationship Id="rId20" Type="http://schemas.openxmlformats.org/officeDocument/2006/relationships/image" Target="../media/image5.emf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1.emf"/><Relationship Id="rId11" Type="http://schemas.openxmlformats.org/officeDocument/2006/relationships/image" Target="../media/image2.emf"/><Relationship Id="rId24" Type="http://schemas.openxmlformats.org/officeDocument/2006/relationships/control" Target="../activeX/activeX15.xml"/><Relationship Id="rId5" Type="http://schemas.openxmlformats.org/officeDocument/2006/relationships/control" Target="../activeX/activeX1.xml"/><Relationship Id="rId15" Type="http://schemas.openxmlformats.org/officeDocument/2006/relationships/image" Target="../media/image4.emf"/><Relationship Id="rId23" Type="http://schemas.openxmlformats.org/officeDocument/2006/relationships/control" Target="../activeX/activeX14.xml"/><Relationship Id="rId10" Type="http://schemas.openxmlformats.org/officeDocument/2006/relationships/control" Target="../activeX/activeX5.xml"/><Relationship Id="rId19" Type="http://schemas.openxmlformats.org/officeDocument/2006/relationships/control" Target="../activeX/activeX11.xml"/><Relationship Id="rId4" Type="http://schemas.openxmlformats.org/officeDocument/2006/relationships/vmlDrawing" Target="../drawings/vmlDrawing3.v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7.xml"/><Relationship Id="rId22" Type="http://schemas.openxmlformats.org/officeDocument/2006/relationships/control" Target="../activeX/activeX13.xml"/><Relationship Id="rId27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hyperlink" Target="https://www.hep.hr/elektra/poduzetnistvo/tarifne-stavke-cijene-1578/1578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2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1772-92D4-4D8B-A81F-3EF634F3EA25}">
  <dimension ref="A1:AA56"/>
  <sheetViews>
    <sheetView zoomScale="77" workbookViewId="0">
      <selection activeCell="A57" sqref="A57"/>
    </sheetView>
  </sheetViews>
  <sheetFormatPr defaultColWidth="10.85546875" defaultRowHeight="12.75"/>
  <cols>
    <col min="1" max="1" width="21.140625" style="1835" customWidth="1"/>
    <col min="2" max="2" width="13.85546875" style="1835" customWidth="1"/>
    <col min="3" max="3" width="9.85546875" style="1835" customWidth="1"/>
    <col min="4" max="13" width="10.140625" style="1835" customWidth="1"/>
    <col min="14" max="16384" width="10.85546875" style="1835"/>
  </cols>
  <sheetData>
    <row r="1" spans="1:13">
      <c r="A1" s="1835" t="s">
        <v>0</v>
      </c>
    </row>
    <row r="2" spans="1:13">
      <c r="B2" s="1836" t="s">
        <v>1</v>
      </c>
      <c r="C2" s="1837">
        <v>0</v>
      </c>
      <c r="D2" s="1837">
        <v>1</v>
      </c>
      <c r="E2" s="1837">
        <v>2</v>
      </c>
      <c r="F2" s="1837">
        <v>3</v>
      </c>
      <c r="G2" s="1837">
        <v>4</v>
      </c>
      <c r="H2" s="1837">
        <v>5</v>
      </c>
      <c r="I2" s="1838">
        <v>10</v>
      </c>
      <c r="J2" s="1838">
        <v>15</v>
      </c>
      <c r="K2" s="1838">
        <v>20</v>
      </c>
      <c r="L2" s="1838">
        <v>25</v>
      </c>
      <c r="M2" s="1838">
        <v>30</v>
      </c>
    </row>
    <row r="3" spans="1:13">
      <c r="A3" s="1835" t="s">
        <v>2</v>
      </c>
      <c r="C3" s="1839"/>
      <c r="D3" s="1840">
        <f>'[43]P&amp;L'!H8+'[43]P&amp;L'!I8</f>
        <v>11896.588410592227</v>
      </c>
      <c r="E3" s="1840">
        <f>'[43]P&amp;L'!K8+'[43]P&amp;L'!J8</f>
        <v>10964.725347325131</v>
      </c>
      <c r="F3" s="1840">
        <f>'[43]P&amp;L'!L8+'[43]P&amp;L'!M8</f>
        <v>9990.8291261631166</v>
      </c>
      <c r="G3" s="1840">
        <f>'[43]P&amp;L'!O8+'[43]P&amp;L'!N8</f>
        <v>10042.194536204583</v>
      </c>
      <c r="H3" s="1840">
        <f>'[43]P&amp;L'!P8+'[43]P&amp;L'!Q8</f>
        <v>10091.618230997239</v>
      </c>
      <c r="I3" s="1840">
        <f>'[43]P&amp;L'!Z8+'[43]P&amp;L'!AA8</f>
        <v>9923.0885540280906</v>
      </c>
      <c r="J3" s="1840">
        <f>'[43]P&amp;L'!AJ8+'[43]P&amp;L'!AK8</f>
        <v>9702.1469973695002</v>
      </c>
      <c r="K3" s="1840">
        <f>'[43]P&amp;L'!AT8+'[43]P&amp;L'!AU8</f>
        <v>10363.076989106217</v>
      </c>
      <c r="L3" s="1840">
        <f>'[43]P&amp;L'!BD8+'[43]P&amp;L'!BE8</f>
        <v>10779.280020711714</v>
      </c>
      <c r="M3" s="1840">
        <f>'[43]P&amp;L'!BN8+'[43]P&amp;L'!BO8</f>
        <v>5613.3459913054458</v>
      </c>
    </row>
    <row r="4" spans="1:13">
      <c r="A4" s="1835" t="s">
        <v>3</v>
      </c>
      <c r="C4" s="1839"/>
      <c r="D4" s="1840">
        <f>-SUM('[43]P&amp;L'!H10,'[43]P&amp;L'!I10)</f>
        <v>-2140.1785518759466</v>
      </c>
      <c r="E4" s="1840">
        <f>-SUM('[43]P&amp;L'!K10,'[43]P&amp;L'!J10)</f>
        <v>-2290.0577626952881</v>
      </c>
      <c r="F4" s="1840">
        <f>-SUM('[43]P&amp;L'!L10,'[43]P&amp;L'!M10)</f>
        <v>-2231.7363985799025</v>
      </c>
      <c r="G4" s="1840">
        <f>-SUM('[43]P&amp;L'!O10,'[43]P&amp;L'!N10)</f>
        <v>-2247.7589883652313</v>
      </c>
      <c r="H4" s="1840">
        <f>-SUM('[43]P&amp;L'!P10,'[43]P&amp;L'!Q10)</f>
        <v>-2292.4175005020488</v>
      </c>
      <c r="I4" s="1840">
        <f>-SUM('[43]P&amp;L'!Z10,'[43]P&amp;L'!AA10,)</f>
        <v>-2782.5963991409726</v>
      </c>
      <c r="J4" s="1840">
        <f>-SUM('[43]P&amp;L'!AJ10+'[43]P&amp;L'!AK10)</f>
        <v>-3085.1230882477148</v>
      </c>
      <c r="K4" s="1840">
        <f>-SUM('[43]P&amp;L'!AT10+'[43]P&amp;L'!AU10)</f>
        <v>-3454.9061250657069</v>
      </c>
      <c r="L4" s="1840">
        <f>-SUM('[43]P&amp;L'!BD10+'[43]P&amp;L'!BE10)</f>
        <v>-3957.7435621875638</v>
      </c>
      <c r="M4" s="1840">
        <f>-SUM('[43]P&amp;L'!BN10+'[43]P&amp;L'!BO10)</f>
        <v>-3676.5229804288442</v>
      </c>
    </row>
    <row r="5" spans="1:13">
      <c r="A5" s="1835" t="s">
        <v>4</v>
      </c>
      <c r="C5" s="1839"/>
      <c r="D5" s="1840">
        <f>-SUM('[43]P&amp;L'!H11,'[43]P&amp;L'!I11)</f>
        <v>-280.19153845980003</v>
      </c>
      <c r="E5" s="1840">
        <f>-SUM('[43]P&amp;L'!K11,'[43]P&amp;L'!J11)</f>
        <v>-279.20880050404173</v>
      </c>
      <c r="F5" s="1840">
        <f>-SUM('[43]P&amp;L'!L11,'[43]P&amp;L'!M11)</f>
        <v>-278.37117410252961</v>
      </c>
      <c r="G5" s="1840">
        <f>-SUM('[43]P&amp;L'!O11,'[43]P&amp;L'!N11)</f>
        <v>-276.68819074138224</v>
      </c>
      <c r="H5" s="1840">
        <f>-SUM('[43]P&amp;L'!P11,'[43]P&amp;L'!Q11)</f>
        <v>-275.71723846427091</v>
      </c>
      <c r="I5" s="1840">
        <f>-SUM('[43]P&amp;L'!Z11,'[43]P&amp;L'!AA11)</f>
        <v>-272.16136823161156</v>
      </c>
      <c r="J5" s="1840">
        <f>-SUM('[43]P&amp;L'!AJ11+'[43]P&amp;L'!AK11)</f>
        <v>-267.28306278283117</v>
      </c>
      <c r="K5" s="1840">
        <f>-SUM('[43]P&amp;L'!AT11+'[43]P&amp;L'!AU11)</f>
        <v>-263.29780025849692</v>
      </c>
      <c r="L5" s="1840">
        <f>-SUM('[43]P&amp;L'!BD11+'[43]P&amp;L'!BE11)</f>
        <v>-259.76997230923718</v>
      </c>
      <c r="M5" s="1840">
        <f>-SUM('[43]P&amp;L'!BN11+'[43]P&amp;L'!BO11)</f>
        <v>-256.28881074112888</v>
      </c>
    </row>
    <row r="6" spans="1:13">
      <c r="A6" s="1841" t="s">
        <v>5</v>
      </c>
      <c r="B6" s="1841"/>
      <c r="C6" s="1842"/>
      <c r="D6" s="1843">
        <f>D3+D5+D4</f>
        <v>9476.2183202564811</v>
      </c>
      <c r="E6" s="1843">
        <f t="shared" ref="E6:M6" si="0">E3+E5+E4</f>
        <v>8395.4587841257999</v>
      </c>
      <c r="F6" s="1843">
        <f t="shared" si="0"/>
        <v>7480.7215534806855</v>
      </c>
      <c r="G6" s="1843">
        <f t="shared" si="0"/>
        <v>7517.7473570979691</v>
      </c>
      <c r="H6" s="1843">
        <f t="shared" si="0"/>
        <v>7523.4834920309195</v>
      </c>
      <c r="I6" s="1843">
        <f t="shared" si="0"/>
        <v>6868.3307866555069</v>
      </c>
      <c r="J6" s="1843">
        <f t="shared" si="0"/>
        <v>6349.7408463389538</v>
      </c>
      <c r="K6" s="1843">
        <f t="shared" si="0"/>
        <v>6644.8730637820136</v>
      </c>
      <c r="L6" s="1843">
        <f t="shared" si="0"/>
        <v>6561.7664862149131</v>
      </c>
      <c r="M6" s="1843">
        <f t="shared" si="0"/>
        <v>1680.5342001354725</v>
      </c>
    </row>
    <row r="7" spans="1:13">
      <c r="A7" s="1835" t="s">
        <v>6</v>
      </c>
      <c r="C7" s="1839"/>
      <c r="D7" s="1840">
        <f>-('[43]P&amp;L'!H13+'[43]P&amp;L'!I13)</f>
        <v>-3232.3212662376582</v>
      </c>
      <c r="E7" s="1840">
        <f>-('[43]P&amp;L'!K13+'[43]P&amp;L'!J13)</f>
        <v>-3232.3212662376582</v>
      </c>
      <c r="F7" s="1840">
        <f>-('[43]P&amp;L'!L13+'[43]P&amp;L'!M13)</f>
        <v>-3232.3212662376582</v>
      </c>
      <c r="G7" s="1840">
        <f>-('[43]P&amp;L'!O13+'[43]P&amp;L'!N13)</f>
        <v>-3232.3212662376582</v>
      </c>
      <c r="H7" s="1840">
        <f>-('[43]P&amp;L'!P13+'[43]P&amp;L'!Q13)</f>
        <v>-3232.3212662376582</v>
      </c>
      <c r="I7" s="1840">
        <f>-('[43]P&amp;L'!Z13+'[43]P&amp;L'!AA13)</f>
        <v>-3232.3212662376582</v>
      </c>
      <c r="J7" s="1840">
        <f>-('[43]P&amp;L'!AJ13+'[43]P&amp;L'!AK13)</f>
        <v>-3137.1190702320077</v>
      </c>
      <c r="K7" s="1840">
        <f>-('[43]P&amp;L'!AT13+'[43]P&amp;L'!AU13)</f>
        <v>-3137.1190702320077</v>
      </c>
      <c r="L7" s="1840">
        <f>-('[43]P&amp;L'!BD13+'[43]P&amp;L'!BE13)</f>
        <v>-72.378296232007713</v>
      </c>
      <c r="M7" s="1840">
        <f>-('[43]P&amp;L'!BN13+'[43]P&amp;L'!BO13)</f>
        <v>-72.378296232007713</v>
      </c>
    </row>
    <row r="8" spans="1:13">
      <c r="A8" s="1835" t="s">
        <v>7</v>
      </c>
      <c r="C8" s="1839"/>
      <c r="D8" s="1840">
        <f t="shared" ref="D8:M8" si="1">D7+D6</f>
        <v>6243.8970540188229</v>
      </c>
      <c r="E8" s="1840">
        <f t="shared" si="1"/>
        <v>5163.1375178881417</v>
      </c>
      <c r="F8" s="1840">
        <f t="shared" si="1"/>
        <v>4248.4002872430274</v>
      </c>
      <c r="G8" s="1840">
        <f t="shared" si="1"/>
        <v>4285.426090860311</v>
      </c>
      <c r="H8" s="1840">
        <f t="shared" si="1"/>
        <v>4291.1622257932613</v>
      </c>
      <c r="I8" s="1840">
        <f t="shared" si="1"/>
        <v>3636.0095204178488</v>
      </c>
      <c r="J8" s="1840">
        <f t="shared" si="1"/>
        <v>3212.6217761069461</v>
      </c>
      <c r="K8" s="1840">
        <f t="shared" si="1"/>
        <v>3507.7539935500058</v>
      </c>
      <c r="L8" s="1840">
        <f t="shared" si="1"/>
        <v>6489.3881899829057</v>
      </c>
      <c r="M8" s="1840">
        <f t="shared" si="1"/>
        <v>1608.1559039034648</v>
      </c>
    </row>
    <row r="9" spans="1:13">
      <c r="A9" s="1835" t="s">
        <v>8</v>
      </c>
      <c r="C9" s="1839"/>
      <c r="D9" s="1840">
        <f>'[43]P&amp;L'!H30+'[43]P&amp;L'!I30</f>
        <v>-4473.5806573096979</v>
      </c>
      <c r="E9" s="1840">
        <f>'[43]P&amp;L'!K30+'[43]P&amp;L'!J30</f>
        <v>-4205.3840972465441</v>
      </c>
      <c r="F9" s="1840">
        <f>'[43]P&amp;L'!L30+'[43]P&amp;L'!M30</f>
        <v>-4011.2721653394419</v>
      </c>
      <c r="G9" s="1840">
        <f>'[43]P&amp;L'!O30+'[43]P&amp;L'!N30</f>
        <v>-3849.2708622725399</v>
      </c>
      <c r="H9" s="1840">
        <f>'[43]P&amp;L'!P30+'[43]P&amp;L'!Q30</f>
        <v>-3654.8595009070659</v>
      </c>
      <c r="I9" s="1840">
        <f>'[43]P&amp;L'!AA30+'[43]P&amp;L'!Z30</f>
        <v>-2618.0805839128043</v>
      </c>
      <c r="J9" s="1840">
        <f>'[43]P&amp;L'!AJ30+'[43]P&amp;L'!AK30</f>
        <v>-811.5006538634243</v>
      </c>
      <c r="K9" s="1840">
        <f>'[43]P&amp;L'!AT30+'[43]P&amp;L'!AU30</f>
        <v>0</v>
      </c>
      <c r="L9" s="1840">
        <f>'[43]P&amp;L'!BD30+'[43]P&amp;L'!BE30</f>
        <v>0</v>
      </c>
      <c r="M9" s="1840">
        <f>'[43]P&amp;L'!BN30+'[43]P&amp;L'!BO30</f>
        <v>2.7904961115934199</v>
      </c>
    </row>
    <row r="10" spans="1:13">
      <c r="A10" s="1841" t="s">
        <v>9</v>
      </c>
      <c r="B10" s="1841"/>
      <c r="C10" s="1842"/>
      <c r="D10" s="1843">
        <f t="shared" ref="D10:M10" si="2">D9+D8</f>
        <v>1770.316396709125</v>
      </c>
      <c r="E10" s="1843">
        <f t="shared" si="2"/>
        <v>957.75342064159759</v>
      </c>
      <c r="F10" s="1843">
        <f t="shared" si="2"/>
        <v>237.12812190358545</v>
      </c>
      <c r="G10" s="1843">
        <f t="shared" si="2"/>
        <v>436.15522858777103</v>
      </c>
      <c r="H10" s="1843">
        <f t="shared" si="2"/>
        <v>636.30272488619539</v>
      </c>
      <c r="I10" s="1843">
        <f t="shared" si="2"/>
        <v>1017.9289365050445</v>
      </c>
      <c r="J10" s="1843">
        <f t="shared" si="2"/>
        <v>2401.1211222435218</v>
      </c>
      <c r="K10" s="1843">
        <f t="shared" si="2"/>
        <v>3507.7539935500058</v>
      </c>
      <c r="L10" s="1843">
        <f t="shared" si="2"/>
        <v>6489.3881899829057</v>
      </c>
      <c r="M10" s="1843">
        <f t="shared" si="2"/>
        <v>1610.9464000150583</v>
      </c>
    </row>
    <row r="11" spans="1:13">
      <c r="A11" s="1835" t="s">
        <v>10</v>
      </c>
      <c r="C11" s="1839"/>
      <c r="D11" s="1840">
        <f>-'[43]P&amp;L'!I44</f>
        <v>-713.65735188414089</v>
      </c>
      <c r="E11" s="1840">
        <f>-'[43]P&amp;L'!K44</f>
        <v>-475.8902539353914</v>
      </c>
      <c r="F11" s="1840">
        <f>-'[43]P&amp;L'!M44</f>
        <v>-274.64806319346582</v>
      </c>
      <c r="G11" s="1840">
        <f>-'[43]P&amp;L'!O44</f>
        <v>-282.79373998926843</v>
      </c>
      <c r="H11" s="1840">
        <f>-'[43]P&amp;L'!Q44</f>
        <v>-284.05568967451751</v>
      </c>
      <c r="I11" s="1840">
        <f>-'[43]P&amp;L'!AA44</f>
        <v>-139.92209449192674</v>
      </c>
      <c r="J11" s="1840">
        <f>-'[43]P&amp;L'!AK44</f>
        <v>-46.776790743528238</v>
      </c>
      <c r="K11" s="1840">
        <f>-'[43]P&amp;L'!AU44</f>
        <v>-771.70587858100134</v>
      </c>
      <c r="L11" s="1840">
        <f>-'[43]P&amp;L'!BE44</f>
        <v>-1427.6654017962392</v>
      </c>
      <c r="M11" s="1840">
        <f>-'[43]P&amp;L'!BO44</f>
        <v>-354.40820800331278</v>
      </c>
    </row>
    <row r="12" spans="1:13" s="1836" customFormat="1">
      <c r="A12" s="1844" t="s">
        <v>11</v>
      </c>
      <c r="B12" s="1844"/>
      <c r="C12" s="1845"/>
      <c r="D12" s="1846">
        <f t="shared" ref="D12:M12" si="3">D11+D10</f>
        <v>1056.659044824984</v>
      </c>
      <c r="E12" s="1846">
        <f t="shared" si="3"/>
        <v>481.86316670620619</v>
      </c>
      <c r="F12" s="1846">
        <f t="shared" si="3"/>
        <v>-37.519941289880364</v>
      </c>
      <c r="G12" s="1846">
        <f t="shared" si="3"/>
        <v>153.3614885985026</v>
      </c>
      <c r="H12" s="1846">
        <f t="shared" si="3"/>
        <v>352.24703521167788</v>
      </c>
      <c r="I12" s="1846">
        <f t="shared" si="3"/>
        <v>878.00684201311776</v>
      </c>
      <c r="J12" s="1846">
        <f t="shared" si="3"/>
        <v>2354.3443314999936</v>
      </c>
      <c r="K12" s="1846">
        <f t="shared" si="3"/>
        <v>2736.0481149690045</v>
      </c>
      <c r="L12" s="1846">
        <f t="shared" si="3"/>
        <v>5061.7227881866665</v>
      </c>
      <c r="M12" s="1846">
        <f t="shared" si="3"/>
        <v>1256.5381920117457</v>
      </c>
    </row>
    <row r="16" spans="1:13">
      <c r="A16" s="1835" t="s">
        <v>12</v>
      </c>
    </row>
    <row r="17" spans="1:13">
      <c r="B17" s="1836" t="s">
        <v>1</v>
      </c>
      <c r="C17" s="1837">
        <v>0</v>
      </c>
      <c r="D17" s="1837">
        <v>1</v>
      </c>
      <c r="E17" s="1837">
        <v>2</v>
      </c>
      <c r="F17" s="1837">
        <v>3</v>
      </c>
      <c r="G17" s="1837">
        <v>4</v>
      </c>
      <c r="H17" s="1837">
        <v>5</v>
      </c>
      <c r="I17" s="1838">
        <v>10</v>
      </c>
      <c r="J17" s="1838">
        <v>15</v>
      </c>
      <c r="K17" s="1838">
        <v>20</v>
      </c>
      <c r="L17" s="1838">
        <v>25</v>
      </c>
      <c r="M17" s="1838">
        <v>30</v>
      </c>
    </row>
    <row r="18" spans="1:13">
      <c r="A18" s="1835" t="s">
        <v>13</v>
      </c>
      <c r="C18" s="1839"/>
      <c r="D18" s="1847">
        <f>[43]BS!I10</f>
        <v>61376.269452790373</v>
      </c>
      <c r="E18" s="1847">
        <f>[43]BS!K10</f>
        <v>58143.94818655272</v>
      </c>
      <c r="F18" s="1847">
        <f>[43]BS!M10</f>
        <v>54911.626920315059</v>
      </c>
      <c r="G18" s="1847">
        <f>[43]BS!O10</f>
        <v>51679.305654077405</v>
      </c>
      <c r="H18" s="1847">
        <f>[43]BS!Q10</f>
        <v>48446.984387839744</v>
      </c>
      <c r="I18" s="1847">
        <f>[43]BS!AA10</f>
        <v>32285.378056651443</v>
      </c>
      <c r="J18" s="1847">
        <f>[43]BS!AK10</f>
        <v>16409.37831348012</v>
      </c>
      <c r="K18" s="1847">
        <f>[43]BS!AU10</f>
        <v>723.78296232011053</v>
      </c>
      <c r="L18" s="1847">
        <f>[43]BS!BE10</f>
        <v>361.89148116005526</v>
      </c>
      <c r="M18" s="1847">
        <f>[43]BS!BO10</f>
        <v>0</v>
      </c>
    </row>
    <row r="19" spans="1:13">
      <c r="A19" s="1835" t="s">
        <v>14</v>
      </c>
      <c r="C19" s="1839"/>
      <c r="D19" s="1847">
        <f>[43]BS!I15</f>
        <v>0</v>
      </c>
      <c r="E19" s="1847">
        <f>[43]BS!K15</f>
        <v>0</v>
      </c>
      <c r="F19" s="1847">
        <f>[43]BS!M15</f>
        <v>0</v>
      </c>
      <c r="G19" s="1847">
        <f>[43]BS!O15</f>
        <v>0</v>
      </c>
      <c r="H19" s="1847">
        <f>[43]BS!Q15</f>
        <v>0</v>
      </c>
      <c r="I19" s="1847">
        <f>[43]BS!AA15</f>
        <v>0</v>
      </c>
      <c r="J19" s="1847">
        <f>[43]BS!AK15</f>
        <v>0</v>
      </c>
      <c r="K19" s="1847">
        <f>[43]BS!AU15</f>
        <v>0</v>
      </c>
      <c r="L19" s="1847">
        <f>[43]BS!BE15</f>
        <v>0</v>
      </c>
      <c r="M19" s="1847">
        <f>[43]BS!BO15</f>
        <v>333.33333333334804</v>
      </c>
    </row>
    <row r="20" spans="1:13" s="1836" customFormat="1">
      <c r="A20" s="1844" t="s">
        <v>15</v>
      </c>
      <c r="B20" s="1844"/>
      <c r="C20" s="1845"/>
      <c r="D20" s="1848">
        <f>D19+D18</f>
        <v>61376.269452790373</v>
      </c>
      <c r="E20" s="1848">
        <f t="shared" ref="E20:M20" si="4">E19+E18</f>
        <v>58143.94818655272</v>
      </c>
      <c r="F20" s="1848">
        <f t="shared" si="4"/>
        <v>54911.626920315059</v>
      </c>
      <c r="G20" s="1848">
        <f t="shared" si="4"/>
        <v>51679.305654077405</v>
      </c>
      <c r="H20" s="1848">
        <f t="shared" si="4"/>
        <v>48446.984387839744</v>
      </c>
      <c r="I20" s="1848">
        <f t="shared" si="4"/>
        <v>32285.378056651443</v>
      </c>
      <c r="J20" s="1848">
        <f t="shared" si="4"/>
        <v>16409.37831348012</v>
      </c>
      <c r="K20" s="1848">
        <f t="shared" si="4"/>
        <v>723.78296232011053</v>
      </c>
      <c r="L20" s="1848">
        <f t="shared" si="4"/>
        <v>361.89148116005526</v>
      </c>
      <c r="M20" s="1848">
        <f t="shared" si="4"/>
        <v>333.33333333334804</v>
      </c>
    </row>
    <row r="21" spans="1:13">
      <c r="C21" s="1839"/>
      <c r="D21" s="1847"/>
      <c r="E21" s="1847"/>
      <c r="F21" s="1847"/>
      <c r="G21" s="1847"/>
      <c r="H21" s="1847"/>
      <c r="I21" s="1847"/>
      <c r="J21" s="1847"/>
      <c r="K21" s="1847"/>
      <c r="L21" s="1847"/>
      <c r="M21" s="1847"/>
    </row>
    <row r="22" spans="1:13">
      <c r="A22" s="1835" t="s">
        <v>16</v>
      </c>
      <c r="C22" s="1839"/>
      <c r="D22" s="1847">
        <f>[43]BS!I21+[43]BS!I22</f>
        <v>302.83295224124913</v>
      </c>
      <c r="E22" s="1847">
        <f>[43]BS!K21+[43]BS!K22</f>
        <v>326.92611057655949</v>
      </c>
      <c r="F22" s="1847">
        <f>[43]BS!M21+[43]BS!M22</f>
        <v>332.49136148243474</v>
      </c>
      <c r="G22" s="1847">
        <f>[43]BS!O21+[43]BS!O22</f>
        <v>333.33333333333331</v>
      </c>
      <c r="H22" s="1847">
        <f>[43]BS!Q21+[43]BS!Q22</f>
        <v>333.33333333333331</v>
      </c>
      <c r="I22" s="1847">
        <f>[43]BS!AA21+[43]BS!AA22</f>
        <v>333.33333333333331</v>
      </c>
      <c r="J22" s="1847">
        <f>[43]BS!AK21+[43]BS!AK22</f>
        <v>333.33333333333331</v>
      </c>
      <c r="K22" s="1847">
        <f>[43]BS!AU21+[43]BS!AU22</f>
        <v>333.33333333333331</v>
      </c>
      <c r="L22" s="1847">
        <f>[43]BS!BE21+[43]BS!BE22</f>
        <v>333.33333333333331</v>
      </c>
      <c r="M22" s="1847">
        <f>[43]BS!BO21+[43]BS!BO22</f>
        <v>333.33333333333331</v>
      </c>
    </row>
    <row r="23" spans="1:13">
      <c r="A23" s="1835" t="s">
        <v>17</v>
      </c>
      <c r="C23" s="1839"/>
      <c r="D23" s="1847">
        <f>[43]BS!I23</f>
        <v>-1996.3343712171365</v>
      </c>
      <c r="E23" s="1847">
        <f>[43]BS!K23</f>
        <v>-1538.5643628462399</v>
      </c>
      <c r="F23" s="1847">
        <f>[43]BS!M23</f>
        <v>-1581.6495550419966</v>
      </c>
      <c r="G23" s="1847">
        <f>[43]BS!O23</f>
        <v>-1429.1300382943925</v>
      </c>
      <c r="H23" s="1847">
        <f>[43]BS!Q23</f>
        <v>-1076.8830030827148</v>
      </c>
      <c r="I23" s="1847">
        <f>[43]BS!AA23</f>
        <v>2255.8740987703122</v>
      </c>
      <c r="J23" s="1847">
        <f>[43]BS!AK23</f>
        <v>10053.531564149491</v>
      </c>
      <c r="K23" s="1847">
        <f>[43]BS!AU23</f>
        <v>390.44962898673202</v>
      </c>
      <c r="L23" s="1847">
        <f>[43]BS!BE23</f>
        <v>28.558147826691311</v>
      </c>
      <c r="M23" s="1847">
        <f>[43]BS!BO23</f>
        <v>0</v>
      </c>
    </row>
    <row r="24" spans="1:13">
      <c r="A24" s="1835" t="s">
        <v>18</v>
      </c>
      <c r="C24" s="1839"/>
      <c r="D24" s="1847">
        <f>[43]BS!I24</f>
        <v>32796.003939620241</v>
      </c>
      <c r="E24" s="1847">
        <f>[43]BS!K24</f>
        <v>32594.113898791125</v>
      </c>
      <c r="F24" s="1847">
        <f>[43]BS!M24</f>
        <v>32720.272086903173</v>
      </c>
      <c r="G24" s="1847">
        <f>[43]BS!O24</f>
        <v>32831.405322838771</v>
      </c>
      <c r="H24" s="1847">
        <f>[43]BS!Q24</f>
        <v>32927.517687639935</v>
      </c>
      <c r="I24" s="1847">
        <f>[43]BS!AA24</f>
        <v>29696.170624547798</v>
      </c>
      <c r="J24" s="1847">
        <f>[43]BS!AK24</f>
        <v>6022.5134159972786</v>
      </c>
      <c r="K24" s="1847">
        <f>[43]BS!AU24</f>
        <v>0</v>
      </c>
      <c r="L24" s="1847">
        <f>[43]BS!BE24</f>
        <v>0</v>
      </c>
      <c r="M24" s="1847">
        <f>[43]BS!BO24</f>
        <v>0</v>
      </c>
    </row>
    <row r="25" spans="1:13">
      <c r="A25" s="1835" t="s">
        <v>19</v>
      </c>
      <c r="C25" s="1839"/>
      <c r="D25" s="1847">
        <f>[43]BS!I26</f>
        <v>30273.76693214602</v>
      </c>
      <c r="E25" s="1847">
        <f>[43]BS!K26</f>
        <v>26761.472540031271</v>
      </c>
      <c r="F25" s="1847">
        <f>[43]BS!M26</f>
        <v>23440.51302697145</v>
      </c>
      <c r="G25" s="1847">
        <f>[43]BS!O26</f>
        <v>19943.697036199694</v>
      </c>
      <c r="H25" s="1847">
        <f>[43]BS!Q26</f>
        <v>16263.016369949193</v>
      </c>
      <c r="I25" s="1847">
        <f>[43]BS!AA26</f>
        <v>0</v>
      </c>
      <c r="J25" s="1847">
        <f>[43]BS!AK26</f>
        <v>0</v>
      </c>
      <c r="K25" s="1847">
        <f>[43]BS!AU26</f>
        <v>0</v>
      </c>
      <c r="L25" s="1847">
        <f>[43]BS!BE26</f>
        <v>0</v>
      </c>
      <c r="M25" s="1847">
        <f>[43]BS!BO26</f>
        <v>0</v>
      </c>
    </row>
    <row r="26" spans="1:13" s="1836" customFormat="1">
      <c r="A26" s="1844" t="s">
        <v>20</v>
      </c>
      <c r="B26" s="1844"/>
      <c r="C26" s="1845"/>
      <c r="D26" s="1848">
        <f>SUM(D22:D25)</f>
        <v>61376.269452790373</v>
      </c>
      <c r="E26" s="1848">
        <f t="shared" ref="E26:M26" si="5">SUM(E22:E25)</f>
        <v>58143.94818655272</v>
      </c>
      <c r="F26" s="1848">
        <f t="shared" si="5"/>
        <v>54911.626920315059</v>
      </c>
      <c r="G26" s="1848">
        <f t="shared" si="5"/>
        <v>51679.305654077405</v>
      </c>
      <c r="H26" s="1848">
        <f t="shared" si="5"/>
        <v>48446.984387839751</v>
      </c>
      <c r="I26" s="1848">
        <f t="shared" si="5"/>
        <v>32285.378056651443</v>
      </c>
      <c r="J26" s="1848">
        <f t="shared" si="5"/>
        <v>16409.378313480105</v>
      </c>
      <c r="K26" s="1848">
        <f t="shared" si="5"/>
        <v>723.78296232006528</v>
      </c>
      <c r="L26" s="1848">
        <f t="shared" si="5"/>
        <v>361.89148116002463</v>
      </c>
      <c r="M26" s="1848">
        <f t="shared" si="5"/>
        <v>333.33333333333331</v>
      </c>
    </row>
    <row r="30" spans="1:13">
      <c r="A30" s="1835" t="s">
        <v>21</v>
      </c>
    </row>
    <row r="31" spans="1:13">
      <c r="B31" s="1836" t="s">
        <v>1</v>
      </c>
      <c r="C31" s="1837">
        <v>0</v>
      </c>
      <c r="D31" s="1837">
        <v>1</v>
      </c>
      <c r="E31" s="1837">
        <v>2</v>
      </c>
      <c r="F31" s="1837">
        <v>3</v>
      </c>
      <c r="G31" s="1837">
        <v>4</v>
      </c>
      <c r="H31" s="1837">
        <v>5</v>
      </c>
      <c r="I31" s="1838">
        <v>10</v>
      </c>
      <c r="J31" s="1838">
        <v>15</v>
      </c>
      <c r="K31" s="1838">
        <v>20</v>
      </c>
      <c r="L31" s="1838">
        <v>25</v>
      </c>
      <c r="M31" s="1838">
        <v>30</v>
      </c>
    </row>
    <row r="32" spans="1:13">
      <c r="A32" s="1835" t="s">
        <v>5</v>
      </c>
      <c r="C32" s="1847"/>
      <c r="D32" s="1847">
        <f>D3+D4</f>
        <v>9756.4098587162807</v>
      </c>
      <c r="E32" s="1847">
        <f t="shared" ref="E32:M32" si="6">E3+E4</f>
        <v>8674.6675846298422</v>
      </c>
      <c r="F32" s="1847">
        <f t="shared" si="6"/>
        <v>7759.0927275832146</v>
      </c>
      <c r="G32" s="1847">
        <f t="shared" si="6"/>
        <v>7794.4355478393518</v>
      </c>
      <c r="H32" s="1847">
        <f t="shared" si="6"/>
        <v>7799.2007304951903</v>
      </c>
      <c r="I32" s="1847">
        <f t="shared" si="6"/>
        <v>7140.492154887118</v>
      </c>
      <c r="J32" s="1847">
        <f t="shared" si="6"/>
        <v>6617.0239091217854</v>
      </c>
      <c r="K32" s="1847">
        <f t="shared" si="6"/>
        <v>6908.1708640405104</v>
      </c>
      <c r="L32" s="1847">
        <f t="shared" si="6"/>
        <v>6821.5364585241505</v>
      </c>
      <c r="M32" s="1847">
        <f t="shared" si="6"/>
        <v>1936.8230108766015</v>
      </c>
    </row>
    <row r="33" spans="1:13">
      <c r="A33" s="1835" t="s">
        <v>4</v>
      </c>
      <c r="C33" s="1847"/>
      <c r="D33" s="1847">
        <f>D5</f>
        <v>-280.19153845980003</v>
      </c>
      <c r="E33" s="1847">
        <f t="shared" ref="E33:M33" si="7">E5</f>
        <v>-279.20880050404173</v>
      </c>
      <c r="F33" s="1847">
        <f t="shared" si="7"/>
        <v>-278.37117410252961</v>
      </c>
      <c r="G33" s="1847">
        <f t="shared" si="7"/>
        <v>-276.68819074138224</v>
      </c>
      <c r="H33" s="1847">
        <f t="shared" si="7"/>
        <v>-275.71723846427091</v>
      </c>
      <c r="I33" s="1847">
        <f t="shared" si="7"/>
        <v>-272.16136823161156</v>
      </c>
      <c r="J33" s="1847">
        <f t="shared" si="7"/>
        <v>-267.28306278283117</v>
      </c>
      <c r="K33" s="1847">
        <f t="shared" si="7"/>
        <v>-263.29780025849692</v>
      </c>
      <c r="L33" s="1847">
        <f t="shared" si="7"/>
        <v>-259.76997230923718</v>
      </c>
      <c r="M33" s="1847">
        <f t="shared" si="7"/>
        <v>-256.28881074112888</v>
      </c>
    </row>
    <row r="34" spans="1:13">
      <c r="A34" s="1849" t="s">
        <v>10</v>
      </c>
      <c r="B34" s="1849"/>
      <c r="C34" s="1850"/>
      <c r="D34" s="1850">
        <f>D11</f>
        <v>-713.65735188414089</v>
      </c>
      <c r="E34" s="1850">
        <f t="shared" ref="E34:M34" si="8">E11</f>
        <v>-475.8902539353914</v>
      </c>
      <c r="F34" s="1850">
        <f t="shared" si="8"/>
        <v>-274.64806319346582</v>
      </c>
      <c r="G34" s="1850">
        <f t="shared" si="8"/>
        <v>-282.79373998926843</v>
      </c>
      <c r="H34" s="1850">
        <f t="shared" si="8"/>
        <v>-284.05568967451751</v>
      </c>
      <c r="I34" s="1850">
        <f t="shared" si="8"/>
        <v>-139.92209449192674</v>
      </c>
      <c r="J34" s="1850">
        <f t="shared" si="8"/>
        <v>-46.776790743528238</v>
      </c>
      <c r="K34" s="1850">
        <f t="shared" si="8"/>
        <v>-771.70587858100134</v>
      </c>
      <c r="L34" s="1850">
        <f t="shared" si="8"/>
        <v>-1427.6654017962392</v>
      </c>
      <c r="M34" s="1850">
        <f t="shared" si="8"/>
        <v>-354.40820800331278</v>
      </c>
    </row>
    <row r="35" spans="1:13">
      <c r="A35" s="1835" t="s">
        <v>22</v>
      </c>
      <c r="C35" s="1847"/>
      <c r="D35" s="1847">
        <f>SUM(D32:D34)</f>
        <v>8762.5609683723396</v>
      </c>
      <c r="E35" s="1847">
        <f t="shared" ref="E35:M35" si="9">SUM(E32:E34)</f>
        <v>7919.5685301904086</v>
      </c>
      <c r="F35" s="1847">
        <f t="shared" si="9"/>
        <v>7206.0734902872191</v>
      </c>
      <c r="G35" s="1847">
        <f t="shared" si="9"/>
        <v>7234.9536171087011</v>
      </c>
      <c r="H35" s="1847">
        <f t="shared" si="9"/>
        <v>7239.427802356402</v>
      </c>
      <c r="I35" s="1847">
        <f t="shared" si="9"/>
        <v>6728.408692163579</v>
      </c>
      <c r="J35" s="1847">
        <f t="shared" si="9"/>
        <v>6302.9640555954265</v>
      </c>
      <c r="K35" s="1847">
        <f t="shared" si="9"/>
        <v>5873.1671852010122</v>
      </c>
      <c r="L35" s="1847">
        <f t="shared" si="9"/>
        <v>5134.101084418674</v>
      </c>
      <c r="M35" s="1847">
        <f t="shared" si="9"/>
        <v>1326.1259921321598</v>
      </c>
    </row>
    <row r="36" spans="1:13">
      <c r="A36" s="1835" t="s">
        <v>23</v>
      </c>
      <c r="C36" s="1847"/>
      <c r="D36" s="1847">
        <f>[43]CF!H86+[43]CF!I86</f>
        <v>-4622.8772451415689</v>
      </c>
      <c r="E36" s="1847">
        <f>[43]CF!J86+[43]CF!K86</f>
        <v>-4166.6240902612353</v>
      </c>
      <c r="F36" s="1847">
        <f>[43]CF!L86+[43]CF!M86</f>
        <v>-3900.247563810683</v>
      </c>
      <c r="G36" s="1847">
        <f>[43]CF!N86+[43]CF!O86</f>
        <v>-3886.445622627617</v>
      </c>
      <c r="H36" s="1847">
        <f>[43]CF!P86+[43]CF!Q86</f>
        <v>-3869.211594709318</v>
      </c>
      <c r="I36" s="1847">
        <f>[43]CF!Z86+[43]CF!AA86</f>
        <v>-156.91302066978923</v>
      </c>
      <c r="J36" s="1847">
        <f>[43]CF!AJ86+[43]CF!AK86</f>
        <v>0</v>
      </c>
      <c r="K36" s="1847">
        <f>[43]CF!AT86+[43]CF!AU86</f>
        <v>0</v>
      </c>
      <c r="L36" s="1847">
        <f>[43]CF!BD86+[43]CF!BE86</f>
        <v>0</v>
      </c>
      <c r="M36" s="1847">
        <f>[43]CF!BN86+[43]CF!BO86</f>
        <v>0</v>
      </c>
    </row>
    <row r="37" spans="1:13">
      <c r="A37" s="1849" t="s">
        <v>24</v>
      </c>
      <c r="B37" s="1849"/>
      <c r="C37" s="1850"/>
      <c r="D37" s="1850">
        <f>[43]CF!H113+[43]CF!I113</f>
        <v>-1034.9209308076929</v>
      </c>
      <c r="E37" s="1850">
        <f>[43]CF!J113+[43]CF!K113</f>
        <v>-938.2361099822931</v>
      </c>
      <c r="F37" s="1850">
        <f>[43]CF!L113+[43]CF!M113</f>
        <v>-826.45648161913391</v>
      </c>
      <c r="G37" s="1850">
        <f>[43]CF!N113+[43]CF!O113</f>
        <v>-837.12699862027102</v>
      </c>
      <c r="H37" s="1850">
        <f>[43]CF!P113+[43]CF!Q113</f>
        <v>-842.55405191177124</v>
      </c>
      <c r="I37" s="1850">
        <f>[43]CF!Z113+[43]CF!AA113</f>
        <v>0</v>
      </c>
      <c r="J37" s="1850">
        <f>[43]CF!AJ113+[43]CF!AK113</f>
        <v>0</v>
      </c>
      <c r="K37" s="1850">
        <f>[43]CF!AT113+[43]CF!AU113</f>
        <v>0</v>
      </c>
      <c r="L37" s="1850">
        <f>[43]CF!BD113+[43]CF!BE113</f>
        <v>0</v>
      </c>
      <c r="M37" s="1850">
        <f>[43]CF!BN113+[43]CF!BO113</f>
        <v>0</v>
      </c>
    </row>
    <row r="38" spans="1:13">
      <c r="A38" s="1835" t="s">
        <v>25</v>
      </c>
      <c r="C38" s="1847"/>
      <c r="D38" s="1847">
        <f>SUM(D35:D37)+[43]CF!G130</f>
        <v>3714.7627924230778</v>
      </c>
      <c r="E38" s="1847">
        <f t="shared" ref="E38:M38" si="10">SUM(E35:E37)</f>
        <v>2814.7083299468804</v>
      </c>
      <c r="F38" s="1847">
        <f t="shared" si="10"/>
        <v>2479.3694448574024</v>
      </c>
      <c r="G38" s="1847">
        <f t="shared" si="10"/>
        <v>2511.3809958608131</v>
      </c>
      <c r="H38" s="1847">
        <f t="shared" si="10"/>
        <v>2527.6621557353128</v>
      </c>
      <c r="I38" s="1847">
        <f t="shared" si="10"/>
        <v>6571.4956714937898</v>
      </c>
      <c r="J38" s="1847">
        <f t="shared" si="10"/>
        <v>6302.9640555954265</v>
      </c>
      <c r="K38" s="1847">
        <f t="shared" si="10"/>
        <v>5873.1671852010122</v>
      </c>
      <c r="L38" s="1847">
        <f t="shared" si="10"/>
        <v>5134.101084418674</v>
      </c>
      <c r="M38" s="1847">
        <f t="shared" si="10"/>
        <v>1326.1259921321598</v>
      </c>
    </row>
    <row r="39" spans="1:13">
      <c r="A39" s="1835" t="s">
        <v>26</v>
      </c>
      <c r="C39" s="1847"/>
      <c r="D39" s="1847">
        <f>[43]CF!H136+[43]CF!I136</f>
        <v>-3714.7627924230783</v>
      </c>
      <c r="E39" s="1847">
        <f>[43]CF!J136+[43]CF!K136</f>
        <v>-2814.7083299468795</v>
      </c>
      <c r="F39" s="1847">
        <f>[43]CF!L136+[43]CF!M136</f>
        <v>-2479.3694448574015</v>
      </c>
      <c r="G39" s="1847">
        <f>[43]CF!N136+[43]CF!O136</f>
        <v>-2511.3809958608126</v>
      </c>
      <c r="H39" s="1847">
        <f>[43]CF!P136+[43]CF!Q136</f>
        <v>-2527.6621557353128</v>
      </c>
      <c r="I39" s="1847">
        <f>[43]CF!Z136+[43]CF!AA136</f>
        <v>-6571.4956714937907</v>
      </c>
      <c r="J39" s="1847">
        <f>[43]CF!AJ136+[43]CF!AK136</f>
        <v>-6302.9640555954265</v>
      </c>
      <c r="K39" s="1847">
        <f>[43]CF!AT136+[43]CF!AU136</f>
        <v>0</v>
      </c>
      <c r="L39" s="1847">
        <f>[43]CF!BD136+[43]CF!BE136</f>
        <v>0</v>
      </c>
      <c r="M39" s="1847">
        <f>[43]CF!BN136+[43]CF!BO136</f>
        <v>0</v>
      </c>
    </row>
    <row r="40" spans="1:13">
      <c r="A40" s="1835" t="s">
        <v>27</v>
      </c>
      <c r="C40" s="1847"/>
      <c r="D40" s="1847">
        <f>D39+D38</f>
        <v>0</v>
      </c>
      <c r="E40" s="1847">
        <f t="shared" ref="E40:M40" si="11">E39+E38</f>
        <v>0</v>
      </c>
      <c r="F40" s="1847">
        <f t="shared" si="11"/>
        <v>0</v>
      </c>
      <c r="G40" s="1847">
        <f t="shared" si="11"/>
        <v>0</v>
      </c>
      <c r="H40" s="1847">
        <f t="shared" si="11"/>
        <v>0</v>
      </c>
      <c r="I40" s="1847">
        <f t="shared" si="11"/>
        <v>0</v>
      </c>
      <c r="J40" s="1847">
        <f t="shared" si="11"/>
        <v>0</v>
      </c>
      <c r="K40" s="1847">
        <f t="shared" si="11"/>
        <v>5873.1671852010122</v>
      </c>
      <c r="L40" s="1847">
        <f t="shared" si="11"/>
        <v>5134.101084418674</v>
      </c>
      <c r="M40" s="1847">
        <f t="shared" si="11"/>
        <v>1326.1259921321598</v>
      </c>
    </row>
    <row r="41" spans="1:13" s="1836" customFormat="1">
      <c r="A41" s="1844" t="s">
        <v>28</v>
      </c>
      <c r="B41" s="1844"/>
      <c r="C41" s="1848"/>
      <c r="D41" s="1848">
        <f>[43]CF!H147+[43]CF!I147</f>
        <v>0</v>
      </c>
      <c r="E41" s="1848">
        <f>[43]CF!J147+[43]CF!K147</f>
        <v>0</v>
      </c>
      <c r="F41" s="1848">
        <f>[43]CF!L147+[43]CF!M147</f>
        <v>0</v>
      </c>
      <c r="G41" s="1848">
        <f>[43]CF!N147+[43]CF!O147</f>
        <v>0</v>
      </c>
      <c r="H41" s="1848">
        <f>[43]CF!P147+[43]CF!Q147</f>
        <v>0</v>
      </c>
      <c r="I41" s="1848">
        <f>[43]CF!Z147+[43]CF!AA147</f>
        <v>0</v>
      </c>
      <c r="J41" s="1848">
        <f>[43]CF!AJ147+[43]CF!AK147</f>
        <v>0</v>
      </c>
      <c r="K41" s="1848">
        <f>[43]CF!AT147+[43]CF!AU147</f>
        <v>5873.1671852010122</v>
      </c>
      <c r="L41" s="1848">
        <f>[43]CF!BD147+[43]CF!BE147</f>
        <v>5134.101084418674</v>
      </c>
      <c r="M41" s="1848">
        <f>[43]CF!BN147+[43]CF!BO147</f>
        <v>1256.5381920117452</v>
      </c>
    </row>
    <row r="45" spans="1:13">
      <c r="A45" s="1835" t="s">
        <v>29</v>
      </c>
    </row>
    <row r="46" spans="1:13">
      <c r="B46" s="1836" t="s">
        <v>1</v>
      </c>
      <c r="C46" s="1851">
        <v>0</v>
      </c>
      <c r="D46" s="1851">
        <v>1</v>
      </c>
      <c r="E46" s="1851">
        <v>2</v>
      </c>
      <c r="F46" s="1851">
        <v>3</v>
      </c>
      <c r="G46" s="1851">
        <v>4</v>
      </c>
      <c r="H46" s="1851">
        <v>5</v>
      </c>
      <c r="I46" s="1852">
        <v>10</v>
      </c>
      <c r="J46" s="1852">
        <v>15</v>
      </c>
      <c r="K46" s="1852">
        <v>20</v>
      </c>
      <c r="L46" s="1852">
        <v>25</v>
      </c>
      <c r="M46" s="1852">
        <v>30</v>
      </c>
    </row>
    <row r="47" spans="1:13">
      <c r="A47" s="1835" t="s">
        <v>30</v>
      </c>
      <c r="C47" s="1847">
        <f>-[43]CF!B158</f>
        <v>-63077.987300175962</v>
      </c>
      <c r="D47" s="1847"/>
      <c r="E47" s="1847"/>
      <c r="F47" s="1847"/>
      <c r="G47" s="1847"/>
      <c r="H47" s="1847"/>
      <c r="I47" s="1847"/>
      <c r="J47" s="1847"/>
      <c r="K47" s="1847"/>
      <c r="L47" s="1847"/>
      <c r="M47" s="1847"/>
    </row>
    <row r="48" spans="1:13">
      <c r="A48" s="1835" t="s">
        <v>5</v>
      </c>
      <c r="C48" s="1847"/>
      <c r="D48" s="1847">
        <f>D6</f>
        <v>9476.2183202564811</v>
      </c>
      <c r="E48" s="1847">
        <f t="shared" ref="E48:M48" si="12">E6</f>
        <v>8395.4587841257999</v>
      </c>
      <c r="F48" s="1847">
        <f t="shared" si="12"/>
        <v>7480.7215534806855</v>
      </c>
      <c r="G48" s="1847">
        <f t="shared" si="12"/>
        <v>7517.7473570979691</v>
      </c>
      <c r="H48" s="1847">
        <f t="shared" si="12"/>
        <v>7523.4834920309195</v>
      </c>
      <c r="I48" s="1847">
        <f t="shared" si="12"/>
        <v>6868.3307866555069</v>
      </c>
      <c r="J48" s="1847">
        <f t="shared" si="12"/>
        <v>6349.7408463389538</v>
      </c>
      <c r="K48" s="1847">
        <f t="shared" si="12"/>
        <v>6644.8730637820136</v>
      </c>
      <c r="L48" s="1847">
        <f t="shared" si="12"/>
        <v>6561.7664862149131</v>
      </c>
      <c r="M48" s="1847">
        <f t="shared" si="12"/>
        <v>1680.5342001354725</v>
      </c>
    </row>
    <row r="49" spans="1:27">
      <c r="A49" s="1835" t="s">
        <v>31</v>
      </c>
      <c r="C49" s="1847"/>
      <c r="D49" s="1847">
        <f>-[43]CF!$B$170*('[43]P&amp;L'!H16+'[43]P&amp;L'!I16+'[43]P&amp;L'!H13+'[43]P&amp;L'!I13-'[43]Dep&amp;WC'!H31-'[43]Dep&amp;WC'!I31)</f>
        <v>-1390.0983340731993</v>
      </c>
      <c r="E49" s="1847">
        <f>-[43]CF!$B$170*('[43]P&amp;L'!K16+'[43]P&amp;L'!J16+'[43]P&amp;L'!K13+'[43]P&amp;L'!J13-'[43]Dep&amp;WC'!K31-'[43]Dep&amp;WC'!J31)</f>
        <v>-1152.33123612445</v>
      </c>
      <c r="F49" s="1847">
        <f>-[43]CF!$B$170*('[43]P&amp;L'!L16+'[43]P&amp;L'!M16+'[43]P&amp;L'!L13+'[43]P&amp;L'!M13-'[43]Dep&amp;WC'!L31-'[43]Dep&amp;WC'!M31)</f>
        <v>-951.08904538252443</v>
      </c>
      <c r="G49" s="1847">
        <f>-[43]CF!$B$170*('[43]P&amp;L'!O16+'[43]P&amp;L'!N16+'[43]P&amp;L'!O13+'[43]P&amp;L'!N13-'[43]Dep&amp;WC'!O31-'[43]Dep&amp;WC'!N31)</f>
        <v>-959.23472217832716</v>
      </c>
      <c r="H49" s="1847">
        <f>-[43]CF!$B$170*('[43]P&amp;L'!P16+'[43]P&amp;L'!Q16+'[43]P&amp;L'!P13+'[43]P&amp;L'!Q13-'[43]Dep&amp;WC'!P31-'[43]Dep&amp;WC'!Q31)</f>
        <v>-960.49667186357613</v>
      </c>
      <c r="I49" s="1847">
        <f>-[43]CF!$B$170*('[43]P&amp;L'!Z16+'[43]P&amp;L'!AA16+'[43]P&amp;L'!Z13+'[43]P&amp;L'!AA13-'[43]Dep&amp;WC'!Z31-'[43]Dep&amp;WC'!AA31)</f>
        <v>-816.36307668098527</v>
      </c>
      <c r="J49" s="1847">
        <f>-[43]CF!$B$170*('[43]P&amp;L'!AJ16+'[43]P&amp;L'!AK16+'[43]P&amp;L'!AJ13+'[43]P&amp;L'!AK13-'[43]Dep&amp;WC'!AJ31+'[43]Dep&amp;WC'!AK31)</f>
        <v>-1396.9429861945698</v>
      </c>
      <c r="K49" s="1847">
        <f>-[43]CF!$B$170*('[43]P&amp;L'!AT16+'[43]P&amp;L'!AU16+'[43]P&amp;L'!AT13+'[43]P&amp;L'!AU13-'[43]Dep&amp;WC'!AT31-'[43]Dep&amp;WC'!AU31)</f>
        <v>-775.4803766853762</v>
      </c>
      <c r="L49" s="1847">
        <f>-[43]CF!$B$170*('[43]P&amp;L'!BD16+'[43]P&amp;L'!BE16+'[43]P&amp;L'!BD13+'[43]P&amp;L'!BE13-'[43]Dep&amp;WC'!BD31-'[43]Dep&amp;WC'!BE31)</f>
        <v>-1431.4398999006141</v>
      </c>
      <c r="M49" s="1847">
        <f>-[43]CF!$B$170*('[43]P&amp;L'!BN16+'[43]P&amp;L'!BO16+'[43]P&amp;L'!BN13+'[43]P&amp;L'!BO13-'[43]Dep&amp;WC'!BN31-'[43]Dep&amp;WC'!BO31)</f>
        <v>-357.56879696313723</v>
      </c>
    </row>
    <row r="50" spans="1:27" s="1836" customFormat="1">
      <c r="A50" s="1844" t="s">
        <v>32</v>
      </c>
      <c r="B50" s="1844"/>
      <c r="C50" s="1848">
        <f>SUM(C47:C49)</f>
        <v>-63077.987300175962</v>
      </c>
      <c r="D50" s="1848">
        <f t="shared" ref="D50:M50" si="13">SUM(D47:D49)</f>
        <v>8086.119986183282</v>
      </c>
      <c r="E50" s="1848">
        <f t="shared" si="13"/>
        <v>7243.1275480013501</v>
      </c>
      <c r="F50" s="1848">
        <f t="shared" si="13"/>
        <v>6529.6325080981615</v>
      </c>
      <c r="G50" s="1848">
        <f t="shared" si="13"/>
        <v>6558.5126349196416</v>
      </c>
      <c r="H50" s="1848">
        <f t="shared" si="13"/>
        <v>6562.9868201673435</v>
      </c>
      <c r="I50" s="1848">
        <f t="shared" si="13"/>
        <v>6051.9677099745213</v>
      </c>
      <c r="J50" s="1848">
        <f t="shared" si="13"/>
        <v>4952.7978601443838</v>
      </c>
      <c r="K50" s="1848">
        <f t="shared" si="13"/>
        <v>5869.392687096637</v>
      </c>
      <c r="L50" s="1848">
        <f t="shared" si="13"/>
        <v>5130.3265863142988</v>
      </c>
      <c r="M50" s="1848">
        <f t="shared" si="13"/>
        <v>1322.9654031723353</v>
      </c>
    </row>
    <row r="51" spans="1:27" ht="15">
      <c r="A51" s="1853" t="s">
        <v>33</v>
      </c>
      <c r="B51" s="1854">
        <f>[43]Scenarios!D120</f>
        <v>7.9588273167610191E-2</v>
      </c>
    </row>
    <row r="53" spans="1:27" ht="15">
      <c r="A53" s="1835" t="s">
        <v>34</v>
      </c>
      <c r="B53" s="1149">
        <f>[43]Inputs!D570</f>
        <v>6.8940641287060886E-2</v>
      </c>
    </row>
    <row r="54" spans="1:27">
      <c r="A54" s="1855" t="s">
        <v>35</v>
      </c>
      <c r="B54" s="1856">
        <f>[43]Scenarios!D122</f>
        <v>6635.5895962339537</v>
      </c>
    </row>
    <row r="56" spans="1:27">
      <c r="AA56" s="185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E1DF-A751-43BE-A343-6F5E69A79983}">
  <sheetPr>
    <tabColor theme="5"/>
    <pageSetUpPr fitToPage="1"/>
  </sheetPr>
  <dimension ref="A1:AW47"/>
  <sheetViews>
    <sheetView showGridLines="0" zoomScale="70" zoomScaleNormal="70" workbookViewId="0">
      <selection activeCell="X42" sqref="X42"/>
    </sheetView>
  </sheetViews>
  <sheetFormatPr defaultColWidth="10.7109375" defaultRowHeight="15" outlineLevelCol="3"/>
  <cols>
    <col min="1" max="1" width="8.7109375" style="1721" customWidth="1"/>
    <col min="2" max="2" width="24.7109375" style="1721" hidden="1" customWidth="1" outlineLevel="1"/>
    <col min="3" max="4" width="12.7109375" style="1721" hidden="1" customWidth="1" outlineLevel="1"/>
    <col min="5" max="5" width="17.7109375" style="1721" hidden="1" customWidth="1" outlineLevel="1"/>
    <col min="6" max="6" width="26.7109375" style="1721" customWidth="1" collapsed="1"/>
    <col min="7" max="7" width="8.7109375" style="1721" hidden="1" customWidth="1" outlineLevel="2"/>
    <col min="8" max="8" width="8.7109375" style="1725" hidden="1" customWidth="1" outlineLevel="2"/>
    <col min="9" max="9" width="8.7109375" style="1721" hidden="1" customWidth="1" outlineLevel="2"/>
    <col min="10" max="10" width="2.7109375" style="1721" customWidth="1" outlineLevel="1" collapsed="1"/>
    <col min="11" max="11" width="8.7109375" style="1721" customWidth="1" outlineLevel="2"/>
    <col min="12" max="14" width="8.7109375" style="1721" hidden="1" customWidth="1" outlineLevel="3"/>
    <col min="15" max="15" width="8.7109375" style="1721" customWidth="1" outlineLevel="2" collapsed="1"/>
    <col min="16" max="16" width="10.7109375" style="1721" customWidth="1" outlineLevel="2"/>
    <col min="17" max="20" width="8.7109375" style="1721" customWidth="1" outlineLevel="2"/>
    <col min="21" max="23" width="8.7109375" style="1721" customWidth="1" outlineLevel="1"/>
    <col min="24" max="24" width="10.7109375" style="1721" customWidth="1" outlineLevel="1"/>
    <col min="25" max="27" width="8.7109375" style="1721" customWidth="1" outlineLevel="1"/>
    <col min="28" max="28" width="2.7109375" style="1721" customWidth="1"/>
    <col min="29" max="29" width="8.7109375" style="1724" hidden="1" customWidth="1"/>
    <col min="30" max="31" width="0" style="1724" hidden="1" customWidth="1"/>
    <col min="32" max="32" width="2.7109375" style="1721" hidden="1" customWidth="1"/>
    <col min="33" max="36" width="8.7109375" style="1724" hidden="1" customWidth="1"/>
    <col min="37" max="39" width="8.7109375" style="1724" customWidth="1"/>
    <col min="40" max="40" width="10.7109375" style="1724"/>
    <col min="41" max="41" width="8.7109375" style="1721" hidden="1" customWidth="1" outlineLevel="1"/>
    <col min="42" max="42" width="16.7109375" style="1721" hidden="1" customWidth="1" outlineLevel="1"/>
    <col min="43" max="43" width="2.7109375" style="1721" hidden="1" customWidth="1" outlineLevel="1"/>
    <col min="44" max="47" width="8.7109375" style="1721" hidden="1" customWidth="1" outlineLevel="1"/>
    <col min="48" max="48" width="2.7109375" style="1721" hidden="1" customWidth="1" outlineLevel="1"/>
    <col min="49" max="49" width="10.7109375" style="1721" collapsed="1"/>
    <col min="50" max="16384" width="10.7109375" style="1721"/>
  </cols>
  <sheetData>
    <row r="1" spans="1:47" ht="18.75">
      <c r="A1" s="1720" t="s">
        <v>37</v>
      </c>
      <c r="C1" s="1722"/>
      <c r="D1" s="1722"/>
      <c r="F1" s="1722"/>
      <c r="G1" s="1722"/>
      <c r="H1" s="1723"/>
      <c r="I1" s="1722"/>
      <c r="J1" s="1722"/>
      <c r="K1" s="1722"/>
      <c r="L1" s="1722"/>
      <c r="M1" s="1722"/>
      <c r="N1" s="1722"/>
      <c r="O1" s="1722"/>
      <c r="P1" s="1722"/>
      <c r="Q1" s="1722"/>
      <c r="R1" s="1722"/>
      <c r="S1" s="1722"/>
      <c r="T1" s="1722" t="s">
        <v>38</v>
      </c>
      <c r="U1" s="1722"/>
      <c r="V1" s="1722"/>
      <c r="W1" s="1722"/>
      <c r="X1" s="1722"/>
      <c r="Y1" s="1722"/>
      <c r="Z1" s="1722"/>
      <c r="AA1" s="1722"/>
      <c r="AO1" s="1722"/>
      <c r="AP1" s="1722"/>
      <c r="AQ1" s="1722"/>
      <c r="AR1" s="1722"/>
      <c r="AS1" s="1722"/>
      <c r="AT1" s="1722"/>
      <c r="AU1" s="1722"/>
    </row>
    <row r="2" spans="1:47">
      <c r="K2" s="1721" t="s">
        <v>39</v>
      </c>
    </row>
    <row r="3" spans="1:47">
      <c r="K3" s="1952"/>
      <c r="L3" s="1952"/>
      <c r="M3" s="1952"/>
      <c r="N3" s="1952"/>
      <c r="O3" s="1952"/>
      <c r="P3" s="1952"/>
      <c r="Q3" s="1952"/>
      <c r="R3" s="1952"/>
      <c r="S3" s="1952"/>
      <c r="T3" s="1952"/>
    </row>
    <row r="4" spans="1:47" ht="48.95" customHeight="1">
      <c r="A4" s="1953"/>
      <c r="B4" s="1953"/>
      <c r="C4" s="1953"/>
      <c r="D4" s="1953"/>
      <c r="E4" s="1953"/>
      <c r="F4" s="1953"/>
      <c r="G4" s="1726"/>
      <c r="H4" s="1726"/>
      <c r="I4" s="1727"/>
      <c r="K4" s="1954" t="s">
        <v>40</v>
      </c>
      <c r="L4" s="1956" t="s">
        <v>41</v>
      </c>
      <c r="M4" s="1957"/>
      <c r="N4" s="1957"/>
      <c r="O4" s="1957"/>
      <c r="P4" s="1957"/>
      <c r="Q4" s="1958"/>
      <c r="R4" s="1959" t="s">
        <v>42</v>
      </c>
      <c r="S4" s="1960"/>
      <c r="T4" s="1961"/>
      <c r="U4" s="1959" t="s">
        <v>43</v>
      </c>
      <c r="V4" s="1960"/>
      <c r="W4" s="1961"/>
      <c r="Y4" s="1962" t="s">
        <v>44</v>
      </c>
      <c r="Z4" s="1963"/>
      <c r="AA4" s="1963"/>
      <c r="AC4" s="1966" t="s">
        <v>45</v>
      </c>
      <c r="AD4" s="1967"/>
      <c r="AE4" s="1967"/>
      <c r="AG4" s="1731"/>
      <c r="AI4" s="1968" t="s">
        <v>46</v>
      </c>
      <c r="AJ4" s="1969"/>
      <c r="AP4" s="1729" t="s">
        <v>47</v>
      </c>
      <c r="AR4" s="1946" t="s">
        <v>48</v>
      </c>
      <c r="AS4" s="1947"/>
      <c r="AT4" s="1947"/>
      <c r="AU4" s="1947"/>
    </row>
    <row r="5" spans="1:47" ht="45">
      <c r="A5" s="1953"/>
      <c r="B5" s="1953"/>
      <c r="C5" s="1953"/>
      <c r="D5" s="1953"/>
      <c r="E5" s="1953"/>
      <c r="F5" s="1953"/>
      <c r="G5" s="1726"/>
      <c r="H5" s="1726"/>
      <c r="I5" s="1727"/>
      <c r="K5" s="1955"/>
      <c r="L5" s="1732" t="s">
        <v>49</v>
      </c>
      <c r="M5" s="1732" t="s">
        <v>50</v>
      </c>
      <c r="N5" s="1732" t="s">
        <v>51</v>
      </c>
      <c r="O5" s="1733" t="s">
        <v>52</v>
      </c>
      <c r="P5" s="1733" t="s">
        <v>53</v>
      </c>
      <c r="Q5" s="1734" t="s">
        <v>54</v>
      </c>
      <c r="R5" s="1728" t="s">
        <v>55</v>
      </c>
      <c r="S5" s="1728" t="s">
        <v>56</v>
      </c>
      <c r="T5" s="1728" t="s">
        <v>57</v>
      </c>
      <c r="U5" s="1735" t="s">
        <v>58</v>
      </c>
      <c r="V5" s="1730" t="s">
        <v>59</v>
      </c>
      <c r="W5" s="1730" t="s">
        <v>60</v>
      </c>
      <c r="X5" s="1736" t="s">
        <v>61</v>
      </c>
      <c r="Y5" s="1964"/>
      <c r="Z5" s="1965"/>
      <c r="AA5" s="1965"/>
      <c r="AC5" s="1968"/>
      <c r="AD5" s="1969"/>
      <c r="AE5" s="1969"/>
      <c r="AG5" s="1731"/>
      <c r="AI5" s="1737" t="s">
        <v>62</v>
      </c>
      <c r="AJ5" s="1737" t="s">
        <v>63</v>
      </c>
      <c r="AP5" s="1738"/>
      <c r="AR5" s="1948"/>
      <c r="AS5" s="1949"/>
      <c r="AT5" s="1949"/>
      <c r="AU5" s="1949"/>
    </row>
    <row r="6" spans="1:47" ht="15" customHeight="1">
      <c r="A6" s="1739"/>
      <c r="F6" s="1739"/>
      <c r="G6" s="1739"/>
      <c r="H6" s="1740"/>
      <c r="I6" s="1741"/>
      <c r="K6" s="1742"/>
      <c r="L6" s="1742"/>
      <c r="M6" s="1742"/>
      <c r="N6" s="1742"/>
      <c r="O6" s="1742"/>
      <c r="P6" s="1742"/>
      <c r="Q6" s="1743"/>
      <c r="R6" s="1743"/>
      <c r="S6" s="1743"/>
      <c r="T6" s="1743"/>
      <c r="U6" s="1743"/>
      <c r="V6" s="1743"/>
      <c r="W6" s="1743"/>
      <c r="X6" s="1744"/>
      <c r="Y6" s="1742"/>
      <c r="Z6" s="1742"/>
      <c r="AA6" s="1742"/>
      <c r="AB6" s="1742"/>
      <c r="AC6" s="1745"/>
      <c r="AD6" s="1746"/>
      <c r="AE6" s="1746"/>
      <c r="AF6" s="1742"/>
      <c r="AG6" s="1745"/>
      <c r="AO6" s="1742"/>
      <c r="AP6" s="1747">
        <v>0.35</v>
      </c>
      <c r="AR6" s="1950"/>
      <c r="AS6" s="1951"/>
      <c r="AT6" s="1951"/>
      <c r="AU6" s="1951"/>
    </row>
    <row r="7" spans="1:47" s="1760" customFormat="1" ht="60">
      <c r="A7" s="1748" t="s">
        <v>64</v>
      </c>
      <c r="B7" s="1749" t="s">
        <v>65</v>
      </c>
      <c r="C7" s="1749" t="s">
        <v>66</v>
      </c>
      <c r="D7" s="1749" t="s">
        <v>67</v>
      </c>
      <c r="E7" s="1750" t="s">
        <v>68</v>
      </c>
      <c r="F7" s="1748" t="s">
        <v>69</v>
      </c>
      <c r="G7" s="1751" t="s">
        <v>70</v>
      </c>
      <c r="H7" s="1751" t="s">
        <v>71</v>
      </c>
      <c r="I7" s="1752" t="s">
        <v>72</v>
      </c>
      <c r="J7" s="1721"/>
      <c r="K7" s="1753" t="s">
        <v>73</v>
      </c>
      <c r="L7" s="1754">
        <v>46023</v>
      </c>
      <c r="M7" s="1754">
        <v>46023</v>
      </c>
      <c r="N7" s="1755">
        <f>+[127]ERP!E6</f>
        <v>1.5233781316153723</v>
      </c>
      <c r="O7" s="1753" t="s">
        <v>74</v>
      </c>
      <c r="P7" s="1753" t="s">
        <v>75</v>
      </c>
      <c r="Q7" s="1753">
        <v>0.49</v>
      </c>
      <c r="R7" s="1756">
        <v>0</v>
      </c>
      <c r="S7" s="1757">
        <v>0.05</v>
      </c>
      <c r="T7" s="1757">
        <v>0.1</v>
      </c>
      <c r="U7" s="1970" t="s">
        <v>76</v>
      </c>
      <c r="V7" s="1971"/>
      <c r="W7" s="1972"/>
      <c r="X7" s="1758"/>
      <c r="Y7" s="1759" t="s">
        <v>58</v>
      </c>
      <c r="Z7" s="1759" t="s">
        <v>59</v>
      </c>
      <c r="AA7" s="1759" t="s">
        <v>60</v>
      </c>
      <c r="AC7" s="1737" t="s">
        <v>77</v>
      </c>
      <c r="AD7" s="1737" t="s">
        <v>78</v>
      </c>
      <c r="AE7" s="1737" t="s">
        <v>79</v>
      </c>
      <c r="AG7" s="1737" t="s">
        <v>63</v>
      </c>
      <c r="AH7" s="1724"/>
      <c r="AI7" s="1737" t="s">
        <v>80</v>
      </c>
      <c r="AJ7" s="1737" t="s">
        <v>80</v>
      </c>
      <c r="AK7" s="1724"/>
      <c r="AL7" s="1724"/>
      <c r="AM7" s="1724"/>
      <c r="AN7" s="1761"/>
      <c r="AO7" s="1753" t="s">
        <v>81</v>
      </c>
      <c r="AP7" s="1762" t="s">
        <v>82</v>
      </c>
      <c r="AR7" s="1763" t="s">
        <v>82</v>
      </c>
      <c r="AS7" s="1763" t="s">
        <v>83</v>
      </c>
      <c r="AT7" s="1763" t="s">
        <v>84</v>
      </c>
      <c r="AU7" s="1764" t="s">
        <v>85</v>
      </c>
    </row>
    <row r="8" spans="1:47" hidden="1">
      <c r="A8" s="1765" t="s">
        <v>86</v>
      </c>
      <c r="B8" s="1725" t="str">
        <f>VLOOKUP(A8,[128]Codes_ISO_pays_monnaies!$A$6:$D$256,3,FALSE)</f>
        <v>Dollar des États-Unis</v>
      </c>
      <c r="C8" s="1725" t="str">
        <f>VLOOKUP(A8,[128]Codes_ISO_pays_monnaies!$A$6:$D$256,4,FALSE)</f>
        <v>USD</v>
      </c>
      <c r="D8" s="1725" t="s">
        <v>87</v>
      </c>
      <c r="E8" s="1721" t="s">
        <v>88</v>
      </c>
      <c r="F8" s="1766" t="s">
        <v>88</v>
      </c>
      <c r="G8" s="1766" t="s">
        <v>86</v>
      </c>
      <c r="H8" s="1767" t="s">
        <v>71</v>
      </c>
      <c r="I8" s="1768">
        <v>2025</v>
      </c>
      <c r="K8" s="1769">
        <f>VLOOKUP(D8,'[127]Sources&gt;&gt;'!$B$5:$C$7,2,FALSE)</f>
        <v>3.9589763779527574E-2</v>
      </c>
      <c r="L8" s="1769"/>
      <c r="M8" s="1770">
        <f>+[127]ERP!G160</f>
        <v>3.0000000000000001E-3</v>
      </c>
      <c r="N8" s="1771">
        <f>$N$7</f>
        <v>1.5233781316153723</v>
      </c>
      <c r="O8" s="1769">
        <f>IF(M8&lt;&gt;0,(M8*N8),L8)</f>
        <v>4.5701343948461167E-3</v>
      </c>
      <c r="P8" s="1769">
        <f>+'[127]Sources&gt;&gt;'!$F$6</f>
        <v>4.24E-2</v>
      </c>
      <c r="Q8" s="1772">
        <f>+$Q$7</f>
        <v>0.49</v>
      </c>
      <c r="R8" s="1773">
        <f>+R$7</f>
        <v>0</v>
      </c>
      <c r="S8" s="1773">
        <f t="shared" ref="S8:T24" si="0">+S$7</f>
        <v>0.05</v>
      </c>
      <c r="T8" s="1773">
        <f t="shared" si="0"/>
        <v>0.1</v>
      </c>
      <c r="U8" s="1774">
        <f>($K8+$O8+$P8*$Q8)*(1+R8)</f>
        <v>6.4935898174373688E-2</v>
      </c>
      <c r="V8" s="1774">
        <f t="shared" ref="V8:W24" si="1">($K8+$O8+$P8*$Q8)*(1+S8)</f>
        <v>6.8182693083092369E-2</v>
      </c>
      <c r="W8" s="1774">
        <f t="shared" si="1"/>
        <v>7.1429487991811064E-2</v>
      </c>
      <c r="X8" s="1773">
        <v>0.15</v>
      </c>
      <c r="Y8" s="1775">
        <f>U8*(1+$X8)</f>
        <v>7.4676282900529731E-2</v>
      </c>
      <c r="Z8" s="1775">
        <f t="shared" ref="Z8:AA24" si="2">V8*(1+$X8)</f>
        <v>7.8410097045556224E-2</v>
      </c>
      <c r="AA8" s="1775">
        <f t="shared" si="2"/>
        <v>8.2143911190582716E-2</v>
      </c>
      <c r="AC8" s="1776"/>
      <c r="AD8" s="1777"/>
      <c r="AE8" s="1777"/>
      <c r="AG8" s="1776"/>
      <c r="AJ8" s="1778"/>
      <c r="AN8" s="1761"/>
      <c r="AO8" s="1779">
        <f t="shared" ref="AO8:AO24" si="3">+P8*$AP$6</f>
        <v>1.4839999999999999E-2</v>
      </c>
      <c r="AP8" s="1774">
        <f t="shared" ref="AP8:AP24" si="4">$K8+($O8+$AO8)*Q8</f>
        <v>4.9100729633002174E-2</v>
      </c>
      <c r="AR8" s="1780">
        <v>0.09</v>
      </c>
      <c r="AS8" s="1780">
        <v>0.1</v>
      </c>
      <c r="AT8" s="1780"/>
      <c r="AU8" s="1780"/>
    </row>
    <row r="9" spans="1:47" hidden="1">
      <c r="A9" s="1765" t="s">
        <v>89</v>
      </c>
      <c r="B9" s="1725" t="str">
        <f>VLOOKUP(A9,[128]Codes_ISO_pays_monnaies!$A$6:$D$256,3,FALSE)</f>
        <v>Peso dominicain</v>
      </c>
      <c r="C9" s="1725" t="str">
        <f>VLOOKUP(A9,[128]Codes_ISO_pays_monnaies!$A$6:$D$256,4,FALSE)</f>
        <v>DOP</v>
      </c>
      <c r="D9" s="1725" t="s">
        <v>87</v>
      </c>
      <c r="E9" s="1721" t="s">
        <v>90</v>
      </c>
      <c r="F9" s="1766" t="s">
        <v>90</v>
      </c>
      <c r="G9" s="1766" t="s">
        <v>91</v>
      </c>
      <c r="H9" s="1767"/>
      <c r="I9" s="1768">
        <v>2025</v>
      </c>
      <c r="K9" s="1769">
        <f>VLOOKUP(D9,'[127]Sources&gt;&gt;'!$B$5:$C$7,2,FALSE)</f>
        <v>3.9589763779527574E-2</v>
      </c>
      <c r="L9" s="1769">
        <f>+[127]ERP!F53</f>
        <v>3.8952503854626126E-2</v>
      </c>
      <c r="M9" s="1771"/>
      <c r="N9" s="1771">
        <f t="shared" ref="N9:N24" si="5">$N$7</f>
        <v>1.5233781316153723</v>
      </c>
      <c r="O9" s="1769">
        <f t="shared" ref="O9:O24" si="6">IF(M9&lt;&gt;0,(M9*N9),L9)</f>
        <v>3.8952503854626126E-2</v>
      </c>
      <c r="P9" s="1769">
        <f>+'[127]Sources&gt;&gt;'!$F$6</f>
        <v>4.24E-2</v>
      </c>
      <c r="Q9" s="1772">
        <f t="shared" ref="Q9:Q24" si="7">+$Q$7</f>
        <v>0.49</v>
      </c>
      <c r="R9" s="1773">
        <f t="shared" ref="R9:R24" si="8">+R$7</f>
        <v>0</v>
      </c>
      <c r="S9" s="1773">
        <f t="shared" si="0"/>
        <v>0.05</v>
      </c>
      <c r="T9" s="1773">
        <f t="shared" si="0"/>
        <v>0.1</v>
      </c>
      <c r="U9" s="1774">
        <f t="shared" ref="U9:U24" si="9">($K9+$O9+$P9*$Q9)*(1+R9)</f>
        <v>9.9318267634153704E-2</v>
      </c>
      <c r="V9" s="1774">
        <f t="shared" si="1"/>
        <v>0.1042841810158614</v>
      </c>
      <c r="W9" s="1774">
        <f t="shared" si="1"/>
        <v>0.10925009439756908</v>
      </c>
      <c r="X9" s="1773">
        <v>0.15</v>
      </c>
      <c r="Y9" s="1775">
        <f t="shared" ref="Y9:Y24" si="10">U9*(1+$X9)</f>
        <v>0.11421600777927675</v>
      </c>
      <c r="Z9" s="1775">
        <f t="shared" si="2"/>
        <v>0.1199268081682406</v>
      </c>
      <c r="AA9" s="1775">
        <f t="shared" si="2"/>
        <v>0.12563760855720443</v>
      </c>
      <c r="AC9" s="1776">
        <v>0.11</v>
      </c>
      <c r="AD9" s="1777">
        <f>+AC9+1.5%</f>
        <v>0.125</v>
      </c>
      <c r="AE9" s="1777">
        <f>AVERAGE(AC9:AD9)</f>
        <v>0.11749999999999999</v>
      </c>
      <c r="AG9" s="1776">
        <v>2.4299999999999999E-2</v>
      </c>
      <c r="AH9" s="1776"/>
      <c r="AI9" s="1781">
        <f>Z9-AE9</f>
        <v>2.4268081682406045E-3</v>
      </c>
      <c r="AJ9" s="1781">
        <f>O9-AG9</f>
        <v>1.4652503854626128E-2</v>
      </c>
      <c r="AK9" s="1776"/>
      <c r="AL9" s="1776"/>
      <c r="AM9" s="1776"/>
      <c r="AN9" s="1761"/>
      <c r="AO9" s="1779">
        <f t="shared" si="3"/>
        <v>1.4839999999999999E-2</v>
      </c>
      <c r="AP9" s="1774">
        <f t="shared" si="4"/>
        <v>6.5948090668294379E-2</v>
      </c>
      <c r="AR9" s="1780">
        <v>0.11</v>
      </c>
      <c r="AS9" s="1780">
        <v>0.12</v>
      </c>
      <c r="AT9" s="1780"/>
      <c r="AU9" s="1780"/>
    </row>
    <row r="10" spans="1:47" ht="15" hidden="1" customHeight="1">
      <c r="A10" s="1765" t="s">
        <v>92</v>
      </c>
      <c r="B10" s="1725" t="str">
        <f>VLOOKUP(A10,[128]Codes_ISO_pays_monnaies!$A$6:$D$256,3,FALSE)</f>
        <v>Nouveau Peso uruguayen</v>
      </c>
      <c r="C10" s="1725" t="str">
        <f>VLOOKUP(A10,[128]Codes_ISO_pays_monnaies!$A$6:$D$256,4,FALSE)</f>
        <v>UYU</v>
      </c>
      <c r="D10" s="1725" t="s">
        <v>87</v>
      </c>
      <c r="E10" s="1721" t="s">
        <v>93</v>
      </c>
      <c r="F10" s="1766" t="s">
        <v>93</v>
      </c>
      <c r="G10" s="1766" t="s">
        <v>91</v>
      </c>
      <c r="H10" s="1767"/>
      <c r="I10" s="1768">
        <v>2025</v>
      </c>
      <c r="K10" s="1769">
        <f>VLOOKUP(D10,'[127]Sources&gt;&gt;'!$B$5:$C$7,2,FALSE)</f>
        <v>3.9589763779527574E-2</v>
      </c>
      <c r="L10" s="1769"/>
      <c r="M10" s="1770">
        <f>+[127]ERP!G161</f>
        <v>6.3E-3</v>
      </c>
      <c r="N10" s="1771">
        <f t="shared" si="5"/>
        <v>1.5233781316153723</v>
      </c>
      <c r="O10" s="1769">
        <f t="shared" si="6"/>
        <v>9.5972822291768446E-3</v>
      </c>
      <c r="P10" s="1769">
        <f>+'[127]Sources&gt;&gt;'!$F$6</f>
        <v>4.24E-2</v>
      </c>
      <c r="Q10" s="1772">
        <f t="shared" si="7"/>
        <v>0.49</v>
      </c>
      <c r="R10" s="1773">
        <f t="shared" si="8"/>
        <v>0</v>
      </c>
      <c r="S10" s="1773">
        <f t="shared" si="0"/>
        <v>0.05</v>
      </c>
      <c r="T10" s="1773">
        <f t="shared" si="0"/>
        <v>0.1</v>
      </c>
      <c r="U10" s="1774">
        <f t="shared" si="9"/>
        <v>6.9963046008704413E-2</v>
      </c>
      <c r="V10" s="1774">
        <f t="shared" si="1"/>
        <v>7.3461198309139636E-2</v>
      </c>
      <c r="W10" s="1774">
        <f t="shared" si="1"/>
        <v>7.6959350609574859E-2</v>
      </c>
      <c r="X10" s="1773">
        <v>0.15</v>
      </c>
      <c r="Y10" s="1775">
        <f t="shared" si="10"/>
        <v>8.0457502910010067E-2</v>
      </c>
      <c r="Z10" s="1775">
        <f t="shared" si="2"/>
        <v>8.4480378055510577E-2</v>
      </c>
      <c r="AA10" s="1775">
        <f t="shared" si="2"/>
        <v>8.8503253201011087E-2</v>
      </c>
      <c r="AC10" s="1776">
        <v>0.10100000000000001</v>
      </c>
      <c r="AD10" s="1777">
        <f>+AC10+1.5%</f>
        <v>0.11600000000000001</v>
      </c>
      <c r="AE10" s="1777">
        <f t="shared" ref="AE10:AE23" si="11">AVERAGE(AC10:AD10)</f>
        <v>0.10850000000000001</v>
      </c>
      <c r="AG10" s="1776">
        <v>7.4999999999999997E-3</v>
      </c>
      <c r="AH10" s="1776"/>
      <c r="AI10" s="1782">
        <f>Z10-AE10</f>
        <v>-2.4019621944489436E-2</v>
      </c>
      <c r="AJ10" s="1781">
        <f>O10-AG10</f>
        <v>2.0972822291768448E-3</v>
      </c>
      <c r="AK10" s="1776"/>
      <c r="AL10" s="1776"/>
      <c r="AM10" s="1776"/>
      <c r="AN10" s="1761"/>
      <c r="AO10" s="1779">
        <f t="shared" si="3"/>
        <v>1.4839999999999999E-2</v>
      </c>
      <c r="AP10" s="1774">
        <f t="shared" si="4"/>
        <v>5.1564032071824223E-2</v>
      </c>
      <c r="AR10" s="1780">
        <v>0.1</v>
      </c>
      <c r="AS10" s="1780">
        <v>0.11</v>
      </c>
      <c r="AT10" s="1780"/>
      <c r="AU10" s="1780"/>
    </row>
    <row r="11" spans="1:47" hidden="1">
      <c r="A11" s="1783" t="s">
        <v>94</v>
      </c>
      <c r="B11" s="1723" t="s">
        <v>95</v>
      </c>
      <c r="C11" s="1723" t="str">
        <f>VLOOKUP(A11,[128]Codes_ISO_pays_monnaies!$A$6:$D$256,4,FALSE)</f>
        <v>CLF</v>
      </c>
      <c r="D11" s="1723" t="s">
        <v>87</v>
      </c>
      <c r="E11" s="1722" t="s">
        <v>96</v>
      </c>
      <c r="F11" s="1784" t="s">
        <v>96</v>
      </c>
      <c r="G11" s="1784" t="s">
        <v>91</v>
      </c>
      <c r="H11" s="1785" t="s">
        <v>71</v>
      </c>
      <c r="I11" s="1786">
        <v>2025</v>
      </c>
      <c r="J11" s="1722"/>
      <c r="K11" s="1787">
        <f>VLOOKUP(D11,'[127]Sources&gt;&gt;'!$B$5:$C$7,2,FALSE)</f>
        <v>3.9589763779527574E-2</v>
      </c>
      <c r="L11" s="1787"/>
      <c r="M11" s="1788">
        <f>+[127]ERP!G39</f>
        <v>7.2999999999999992E-3</v>
      </c>
      <c r="N11" s="1789">
        <f t="shared" si="5"/>
        <v>1.5233781316153723</v>
      </c>
      <c r="O11" s="1787">
        <f t="shared" si="6"/>
        <v>1.1120660360792217E-2</v>
      </c>
      <c r="P11" s="1787">
        <f>+'[127]Sources&gt;&gt;'!$F$6</f>
        <v>4.24E-2</v>
      </c>
      <c r="Q11" s="1790">
        <f t="shared" si="7"/>
        <v>0.49</v>
      </c>
      <c r="R11" s="1791">
        <f t="shared" si="8"/>
        <v>0</v>
      </c>
      <c r="S11" s="1791">
        <f t="shared" si="0"/>
        <v>0.05</v>
      </c>
      <c r="T11" s="1791">
        <f t="shared" si="0"/>
        <v>0.1</v>
      </c>
      <c r="U11" s="1792">
        <f t="shared" si="9"/>
        <v>7.148642414031979E-2</v>
      </c>
      <c r="V11" s="1792">
        <f t="shared" si="1"/>
        <v>7.5060745347335783E-2</v>
      </c>
      <c r="W11" s="1792">
        <f t="shared" si="1"/>
        <v>7.8635066554351776E-2</v>
      </c>
      <c r="X11" s="1773">
        <v>0.15</v>
      </c>
      <c r="Y11" s="1793">
        <f t="shared" si="10"/>
        <v>8.2209387761367755E-2</v>
      </c>
      <c r="Z11" s="1793">
        <f t="shared" si="2"/>
        <v>8.6319857149436144E-2</v>
      </c>
      <c r="AA11" s="1793">
        <f t="shared" si="2"/>
        <v>9.0430326537504532E-2</v>
      </c>
      <c r="AC11" s="1776">
        <v>9.6000000000000002E-2</v>
      </c>
      <c r="AD11" s="1777">
        <f>+AC11+1.5%</f>
        <v>0.111</v>
      </c>
      <c r="AE11" s="1777">
        <f t="shared" si="11"/>
        <v>0.10350000000000001</v>
      </c>
      <c r="AG11" s="1776">
        <v>7.7000000000000002E-3</v>
      </c>
      <c r="AH11" s="1776"/>
      <c r="AI11" s="1782">
        <f>Z11-AE11</f>
        <v>-1.7180142850563865E-2</v>
      </c>
      <c r="AJ11" s="1781">
        <f>O11-AG11</f>
        <v>3.4206603607922163E-3</v>
      </c>
      <c r="AK11" s="1776"/>
      <c r="AL11" s="1776"/>
      <c r="AM11" s="1776"/>
      <c r="AN11" s="1761"/>
      <c r="AO11" s="1794">
        <f t="shared" si="3"/>
        <v>1.4839999999999999E-2</v>
      </c>
      <c r="AP11" s="1792">
        <f t="shared" si="4"/>
        <v>5.2310487356315757E-2</v>
      </c>
      <c r="AR11" s="1795">
        <v>0.1</v>
      </c>
      <c r="AS11" s="1795">
        <v>0.11</v>
      </c>
      <c r="AT11" s="1795"/>
      <c r="AU11" s="1795"/>
    </row>
    <row r="12" spans="1:47" hidden="1">
      <c r="A12" s="1740" t="s">
        <v>97</v>
      </c>
      <c r="B12" s="1725" t="s">
        <v>98</v>
      </c>
      <c r="C12" s="1725" t="s">
        <v>99</v>
      </c>
      <c r="D12" s="1725" t="s">
        <v>87</v>
      </c>
      <c r="E12" s="1721" t="s">
        <v>100</v>
      </c>
      <c r="F12" s="1739" t="s">
        <v>100</v>
      </c>
      <c r="G12" s="1739" t="s">
        <v>101</v>
      </c>
      <c r="H12" s="1740" t="s">
        <v>71</v>
      </c>
      <c r="I12" s="1741">
        <v>2025</v>
      </c>
      <c r="J12" s="1796"/>
      <c r="K12" s="1797">
        <f>VLOOKUP(D12,'[127]Sources&gt;&gt;'!$B$5:$C$7,2,FALSE)</f>
        <v>3.9589763779527574E-2</v>
      </c>
      <c r="L12" s="1797"/>
      <c r="M12" s="1770">
        <f>+[127]ERP!G112</f>
        <v>8.9999999999999998E-4</v>
      </c>
      <c r="N12" s="1798">
        <f t="shared" si="5"/>
        <v>1.5233781316153723</v>
      </c>
      <c r="O12" s="1797">
        <f t="shared" si="6"/>
        <v>1.3710403184538349E-3</v>
      </c>
      <c r="P12" s="1797">
        <f>+'[127]Sources&gt;&gt;'!$F$6</f>
        <v>4.24E-2</v>
      </c>
      <c r="Q12" s="1799">
        <f t="shared" si="7"/>
        <v>0.49</v>
      </c>
      <c r="R12" s="1800">
        <f t="shared" si="8"/>
        <v>0</v>
      </c>
      <c r="S12" s="1800">
        <f t="shared" si="0"/>
        <v>0.05</v>
      </c>
      <c r="T12" s="1800">
        <f t="shared" si="0"/>
        <v>0.1</v>
      </c>
      <c r="U12" s="1801">
        <f t="shared" si="9"/>
        <v>6.1736804097981407E-2</v>
      </c>
      <c r="V12" s="1801">
        <f t="shared" si="1"/>
        <v>6.4823644302880484E-2</v>
      </c>
      <c r="W12" s="1801">
        <f t="shared" si="1"/>
        <v>6.7910484507779548E-2</v>
      </c>
      <c r="X12" s="1773">
        <v>0.15</v>
      </c>
      <c r="Y12" s="1802">
        <f t="shared" si="10"/>
        <v>7.0997324712678611E-2</v>
      </c>
      <c r="Z12" s="1802">
        <f t="shared" si="2"/>
        <v>7.4547190948312553E-2</v>
      </c>
      <c r="AA12" s="1802">
        <f t="shared" si="2"/>
        <v>7.8097057183946481E-2</v>
      </c>
      <c r="AC12" s="1776"/>
      <c r="AD12" s="1777"/>
      <c r="AE12" s="1777"/>
      <c r="AG12" s="1776"/>
      <c r="AH12" s="1776"/>
      <c r="AI12" s="1776"/>
      <c r="AJ12" s="1781"/>
      <c r="AK12" s="1776"/>
      <c r="AL12" s="1776"/>
      <c r="AM12" s="1776"/>
      <c r="AN12" s="1761"/>
      <c r="AO12" s="1803">
        <f t="shared" si="3"/>
        <v>1.4839999999999999E-2</v>
      </c>
      <c r="AP12" s="1801">
        <f t="shared" si="4"/>
        <v>4.7533173535569954E-2</v>
      </c>
      <c r="AR12" s="1804"/>
      <c r="AS12" s="1804"/>
      <c r="AT12" s="1804"/>
      <c r="AU12" s="1804"/>
    </row>
    <row r="13" spans="1:47" hidden="1">
      <c r="A13" s="1765" t="s">
        <v>102</v>
      </c>
      <c r="B13" s="1725" t="s">
        <v>103</v>
      </c>
      <c r="C13" s="1725" t="s">
        <v>104</v>
      </c>
      <c r="D13" s="1725" t="s">
        <v>87</v>
      </c>
      <c r="E13" s="1721" t="s">
        <v>105</v>
      </c>
      <c r="F13" s="1721" t="s">
        <v>105</v>
      </c>
      <c r="G13" s="1766" t="s">
        <v>101</v>
      </c>
      <c r="H13" s="1765"/>
      <c r="I13" s="1768">
        <v>2025</v>
      </c>
      <c r="J13" s="1805"/>
      <c r="K13" s="1769">
        <f>VLOOKUP(D13,'[127]Sources&gt;&gt;'!$B$5:$C$7,2,FALSE)</f>
        <v>3.9589763779527574E-2</v>
      </c>
      <c r="L13" s="1769">
        <f>+[127]ERP!F101</f>
        <v>2.8453586800058932E-2</v>
      </c>
      <c r="M13" s="1770"/>
      <c r="N13" s="1771">
        <f t="shared" si="5"/>
        <v>1.5233781316153723</v>
      </c>
      <c r="O13" s="1769">
        <f t="shared" si="6"/>
        <v>2.8453586800058932E-2</v>
      </c>
      <c r="P13" s="1769">
        <f>+'[127]Sources&gt;&gt;'!$F$6</f>
        <v>4.24E-2</v>
      </c>
      <c r="Q13" s="1772">
        <f t="shared" si="7"/>
        <v>0.49</v>
      </c>
      <c r="R13" s="1773">
        <f t="shared" si="8"/>
        <v>0</v>
      </c>
      <c r="S13" s="1773">
        <f t="shared" si="0"/>
        <v>0.05</v>
      </c>
      <c r="T13" s="1773">
        <f t="shared" si="0"/>
        <v>0.1</v>
      </c>
      <c r="U13" s="1774">
        <f t="shared" si="9"/>
        <v>8.8819350579586509E-2</v>
      </c>
      <c r="V13" s="1774">
        <f t="shared" si="1"/>
        <v>9.3260318108565832E-2</v>
      </c>
      <c r="W13" s="1774">
        <f t="shared" si="1"/>
        <v>9.7701285637545168E-2</v>
      </c>
      <c r="X13" s="1773">
        <v>0.15</v>
      </c>
      <c r="Y13" s="1775">
        <f t="shared" si="10"/>
        <v>0.10214225316652448</v>
      </c>
      <c r="Z13" s="1775">
        <f t="shared" si="2"/>
        <v>0.1072493658248507</v>
      </c>
      <c r="AA13" s="1775">
        <f t="shared" si="2"/>
        <v>0.11235647848317694</v>
      </c>
      <c r="AC13" s="1776">
        <v>0.1</v>
      </c>
      <c r="AD13" s="1777">
        <f t="shared" ref="AD13:AD23" si="12">+AC13+1.5%</f>
        <v>0.115</v>
      </c>
      <c r="AE13" s="1777">
        <f t="shared" si="11"/>
        <v>0.10750000000000001</v>
      </c>
      <c r="AG13" s="1776"/>
      <c r="AH13" s="1776"/>
      <c r="AI13" s="1776">
        <f>Z13-AE13</f>
        <v>-2.506341751493113E-4</v>
      </c>
      <c r="AJ13" s="1781"/>
      <c r="AK13" s="1776"/>
      <c r="AL13" s="1776"/>
      <c r="AM13" s="1776"/>
      <c r="AN13" s="1761"/>
      <c r="AO13" s="1779">
        <f t="shared" si="3"/>
        <v>1.4839999999999999E-2</v>
      </c>
      <c r="AP13" s="1774">
        <f t="shared" si="4"/>
        <v>6.0803621311556449E-2</v>
      </c>
      <c r="AR13" s="1780"/>
      <c r="AS13" s="1780"/>
      <c r="AT13" s="1780"/>
      <c r="AU13" s="1780"/>
    </row>
    <row r="14" spans="1:47" hidden="1">
      <c r="A14" s="1765" t="s">
        <v>106</v>
      </c>
      <c r="B14" s="1725" t="str">
        <f>VLOOKUP(A14,[128]Codes_ISO_pays_monnaies!$A$6:$D$256,3,FALSE)</f>
        <v>Euro</v>
      </c>
      <c r="C14" s="1725" t="str">
        <f>VLOOKUP(A14,[128]Codes_ISO_pays_monnaies!$A$6:$D$256,4,FALSE)</f>
        <v>EUR</v>
      </c>
      <c r="D14" s="1725" t="s">
        <v>107</v>
      </c>
      <c r="E14" s="1721" t="s">
        <v>108</v>
      </c>
      <c r="F14" s="1766" t="s">
        <v>108</v>
      </c>
      <c r="G14" s="1766" t="s">
        <v>108</v>
      </c>
      <c r="H14" s="1767" t="s">
        <v>71</v>
      </c>
      <c r="I14" s="1768">
        <v>2025</v>
      </c>
      <c r="K14" s="1769">
        <f>VLOOKUP(D14,'[127]Sources&gt;&gt;'!$B$5:$C$7,2,FALSE)</f>
        <v>2.7381927803030309E-2</v>
      </c>
      <c r="L14" s="1769"/>
      <c r="M14" s="1770">
        <f>+[127]ERP!G61</f>
        <v>5.0000000000000001E-3</v>
      </c>
      <c r="N14" s="1771">
        <f t="shared" si="5"/>
        <v>1.5233781316153723</v>
      </c>
      <c r="O14" s="1769">
        <f t="shared" si="6"/>
        <v>7.6168906580768615E-3</v>
      </c>
      <c r="P14" s="1769">
        <f>+'[127]Sources&gt;&gt;'!$F$6</f>
        <v>4.24E-2</v>
      </c>
      <c r="Q14" s="1772">
        <f t="shared" si="7"/>
        <v>0.49</v>
      </c>
      <c r="R14" s="1773">
        <f t="shared" si="8"/>
        <v>0</v>
      </c>
      <c r="S14" s="1773">
        <f t="shared" si="0"/>
        <v>0.05</v>
      </c>
      <c r="T14" s="1773">
        <f t="shared" si="0"/>
        <v>0.1</v>
      </c>
      <c r="U14" s="1774">
        <f t="shared" si="9"/>
        <v>5.577481846110717E-2</v>
      </c>
      <c r="V14" s="1774">
        <f t="shared" si="1"/>
        <v>5.8563559384162529E-2</v>
      </c>
      <c r="W14" s="1774">
        <f t="shared" si="1"/>
        <v>6.1352300307217895E-2</v>
      </c>
      <c r="X14" s="1773">
        <v>0.15</v>
      </c>
      <c r="Y14" s="1775">
        <f t="shared" si="10"/>
        <v>6.4141041230273241E-2</v>
      </c>
      <c r="Z14" s="1775">
        <f t="shared" si="2"/>
        <v>6.7348093291786898E-2</v>
      </c>
      <c r="AA14" s="1775">
        <f t="shared" si="2"/>
        <v>7.0555145353300569E-2</v>
      </c>
      <c r="AC14" s="1776">
        <v>6.5000000000000002E-2</v>
      </c>
      <c r="AD14" s="1777">
        <f t="shared" si="12"/>
        <v>0.08</v>
      </c>
      <c r="AE14" s="1777">
        <f t="shared" si="11"/>
        <v>7.2500000000000009E-2</v>
      </c>
      <c r="AG14" s="1776"/>
      <c r="AH14" s="1776"/>
      <c r="AI14" s="1776">
        <f>Z14-AE14</f>
        <v>-5.1519067082131109E-3</v>
      </c>
      <c r="AJ14" s="1781"/>
      <c r="AK14" s="1776"/>
      <c r="AL14" s="1776"/>
      <c r="AM14" s="1776"/>
      <c r="AN14" s="1761"/>
      <c r="AO14" s="1779">
        <f t="shared" si="3"/>
        <v>1.4839999999999999E-2</v>
      </c>
      <c r="AP14" s="1774">
        <f t="shared" si="4"/>
        <v>3.8385804225487971E-2</v>
      </c>
      <c r="AR14" s="1780">
        <v>0.06</v>
      </c>
      <c r="AS14" s="1780">
        <v>7.0000000000000007E-2</v>
      </c>
      <c r="AT14" s="1780"/>
      <c r="AU14" s="1780"/>
    </row>
    <row r="15" spans="1:47" hidden="1">
      <c r="A15" s="1765" t="s">
        <v>109</v>
      </c>
      <c r="B15" s="1725" t="str">
        <f>VLOOKUP(A15,[128]Codes_ISO_pays_monnaies!$A$6:$D$256,3,FALSE)</f>
        <v>Euro</v>
      </c>
      <c r="C15" s="1725" t="str">
        <f>VLOOKUP(A15,[128]Codes_ISO_pays_monnaies!$A$6:$D$256,4,FALSE)</f>
        <v>EUR</v>
      </c>
      <c r="D15" s="1725" t="s">
        <v>107</v>
      </c>
      <c r="E15" s="1721" t="s">
        <v>110</v>
      </c>
      <c r="F15" s="1766" t="s">
        <v>110</v>
      </c>
      <c r="G15" s="1766" t="s">
        <v>101</v>
      </c>
      <c r="H15" s="1767" t="s">
        <v>71</v>
      </c>
      <c r="I15" s="1768">
        <v>2025</v>
      </c>
      <c r="K15" s="1769">
        <f>VLOOKUP(D15,'[127]Sources&gt;&gt;'!$B$5:$C$7,2,FALSE)</f>
        <v>2.7381927803030309E-2</v>
      </c>
      <c r="L15" s="1769"/>
      <c r="M15" s="1770">
        <f>+[127]ERP!G125</f>
        <v>3.0999999999999995E-3</v>
      </c>
      <c r="N15" s="1771">
        <f t="shared" si="5"/>
        <v>1.5233781316153723</v>
      </c>
      <c r="O15" s="1769">
        <f t="shared" si="6"/>
        <v>4.7224722080076529E-3</v>
      </c>
      <c r="P15" s="1769">
        <f>+'[127]Sources&gt;&gt;'!$F$6</f>
        <v>4.24E-2</v>
      </c>
      <c r="Q15" s="1772">
        <f t="shared" si="7"/>
        <v>0.49</v>
      </c>
      <c r="R15" s="1773">
        <f t="shared" si="8"/>
        <v>0</v>
      </c>
      <c r="S15" s="1773">
        <f t="shared" si="0"/>
        <v>0.05</v>
      </c>
      <c r="T15" s="1773">
        <f t="shared" si="0"/>
        <v>0.1</v>
      </c>
      <c r="U15" s="1774">
        <f t="shared" si="9"/>
        <v>5.2880400011037956E-2</v>
      </c>
      <c r="V15" s="1774">
        <f t="shared" si="1"/>
        <v>5.5524420011589859E-2</v>
      </c>
      <c r="W15" s="1774">
        <f t="shared" si="1"/>
        <v>5.8168440012141755E-2</v>
      </c>
      <c r="X15" s="1773">
        <v>0.15</v>
      </c>
      <c r="Y15" s="1775">
        <f t="shared" si="10"/>
        <v>6.0812460012693643E-2</v>
      </c>
      <c r="Z15" s="1775">
        <f t="shared" si="2"/>
        <v>6.3853083013328329E-2</v>
      </c>
      <c r="AA15" s="1775">
        <f t="shared" si="2"/>
        <v>6.6893706013963009E-2</v>
      </c>
      <c r="AC15" s="1776">
        <v>7.1499999999999994E-2</v>
      </c>
      <c r="AD15" s="1777">
        <f t="shared" si="12"/>
        <v>8.6499999999999994E-2</v>
      </c>
      <c r="AE15" s="1777">
        <f t="shared" si="11"/>
        <v>7.8999999999999987E-2</v>
      </c>
      <c r="AG15" s="1776">
        <v>2.3E-3</v>
      </c>
      <c r="AH15" s="1776"/>
      <c r="AI15" s="1782">
        <f>Z15-AE15</f>
        <v>-1.5146916986671657E-2</v>
      </c>
      <c r="AJ15" s="1781">
        <f>O15-AG15</f>
        <v>2.4224722080076529E-3</v>
      </c>
      <c r="AK15" s="1776"/>
      <c r="AL15" s="1776"/>
      <c r="AM15" s="1776"/>
      <c r="AN15" s="1761"/>
      <c r="AO15" s="1779">
        <f t="shared" si="3"/>
        <v>1.4839999999999999E-2</v>
      </c>
      <c r="AP15" s="1774">
        <f t="shared" si="4"/>
        <v>3.696753918495406E-2</v>
      </c>
      <c r="AR15" s="1780">
        <v>7.4999999999999997E-2</v>
      </c>
      <c r="AS15" s="1780">
        <v>8.5000000000000006E-2</v>
      </c>
      <c r="AT15" s="1780"/>
      <c r="AU15" s="1780"/>
    </row>
    <row r="16" spans="1:47">
      <c r="A16" s="1765" t="s">
        <v>111</v>
      </c>
      <c r="B16" s="1725" t="str">
        <f>VLOOKUP(A16,[128]Codes_ISO_pays_monnaies!$A$6:$D$256,3,FALSE)</f>
        <v>Euro</v>
      </c>
      <c r="C16" s="1725" t="str">
        <f>VLOOKUP(A16,[128]Codes_ISO_pays_monnaies!$A$6:$D$256,4,FALSE)</f>
        <v>EUR</v>
      </c>
      <c r="D16" s="1725" t="s">
        <v>107</v>
      </c>
      <c r="E16" s="1721" t="s">
        <v>112</v>
      </c>
      <c r="F16" s="1766" t="s">
        <v>112</v>
      </c>
      <c r="G16" s="1766" t="s">
        <v>101</v>
      </c>
      <c r="H16" s="1767" t="s">
        <v>71</v>
      </c>
      <c r="I16" s="1768">
        <v>2025</v>
      </c>
      <c r="K16" s="1769">
        <f>VLOOKUP(D16,'[127]Sources&gt;&gt;'!$B$5:$C$7,2,FALSE)</f>
        <v>2.7381927803030309E-2</v>
      </c>
      <c r="L16" s="1769"/>
      <c r="M16" s="1770">
        <f>+[127]ERP!G66</f>
        <v>6.0999999999999995E-3</v>
      </c>
      <c r="N16" s="1771">
        <f t="shared" si="5"/>
        <v>1.5233781316153723</v>
      </c>
      <c r="O16" s="1769">
        <f t="shared" si="6"/>
        <v>9.2926066028537705E-3</v>
      </c>
      <c r="P16" s="1769">
        <f>+'[127]Sources&gt;&gt;'!$F$6</f>
        <v>4.24E-2</v>
      </c>
      <c r="Q16" s="1772">
        <f t="shared" si="7"/>
        <v>0.49</v>
      </c>
      <c r="R16" s="1773">
        <f t="shared" si="8"/>
        <v>0</v>
      </c>
      <c r="S16" s="1773">
        <f t="shared" si="0"/>
        <v>0.05</v>
      </c>
      <c r="T16" s="1773">
        <f t="shared" si="0"/>
        <v>0.1</v>
      </c>
      <c r="U16" s="1774">
        <f t="shared" si="9"/>
        <v>5.7450534405884074E-2</v>
      </c>
      <c r="V16" s="1774">
        <f t="shared" si="1"/>
        <v>6.032306112617828E-2</v>
      </c>
      <c r="W16" s="1774">
        <f t="shared" si="1"/>
        <v>6.3195587846472487E-2</v>
      </c>
      <c r="X16" s="1773">
        <v>0.15</v>
      </c>
      <c r="Y16" s="1775">
        <f t="shared" si="10"/>
        <v>6.6068114566766686E-2</v>
      </c>
      <c r="Z16" s="1775">
        <f t="shared" si="2"/>
        <v>6.9371520295105016E-2</v>
      </c>
      <c r="AA16" s="1820">
        <f t="shared" si="2"/>
        <v>7.2674926023443359E-2</v>
      </c>
      <c r="AC16" s="1776">
        <v>7.4999999999999997E-2</v>
      </c>
      <c r="AD16" s="1777">
        <f t="shared" si="12"/>
        <v>0.09</v>
      </c>
      <c r="AE16" s="1777">
        <f t="shared" si="11"/>
        <v>8.249999999999999E-2</v>
      </c>
      <c r="AG16" s="1776">
        <v>9.4000000000000004E-3</v>
      </c>
      <c r="AH16" s="1776"/>
      <c r="AI16" s="1782">
        <f>Z16-AE16</f>
        <v>-1.3128479704894974E-2</v>
      </c>
      <c r="AJ16" s="1781">
        <f>O16-AG16</f>
        <v>-1.0739339714622986E-4</v>
      </c>
      <c r="AK16" s="1776"/>
      <c r="AL16" s="1776">
        <f>10%*Z16+90%*AA16</f>
        <v>7.2344585450609539E-2</v>
      </c>
      <c r="AM16" s="1776"/>
      <c r="AN16" s="1761"/>
      <c r="AO16" s="1779">
        <f t="shared" si="3"/>
        <v>1.4839999999999999E-2</v>
      </c>
      <c r="AP16" s="1774">
        <f t="shared" si="4"/>
        <v>3.9206905038428656E-2</v>
      </c>
      <c r="AR16" s="1780">
        <v>0.08</v>
      </c>
      <c r="AS16" s="1780">
        <v>0.09</v>
      </c>
      <c r="AT16" s="1780"/>
      <c r="AU16" s="1780"/>
    </row>
    <row r="17" spans="1:47">
      <c r="A17" s="1765" t="s">
        <v>113</v>
      </c>
      <c r="B17" s="1725" t="str">
        <f>VLOOKUP(A17,[128]Codes_ISO_pays_monnaies!$A$6:$D$256,3,FALSE)</f>
        <v>Lev</v>
      </c>
      <c r="C17" s="1725" t="str">
        <f>VLOOKUP(A17,[128]Codes_ISO_pays_monnaies!$A$6:$D$256,4,FALSE)</f>
        <v>BGN</v>
      </c>
      <c r="D17" s="1725" t="s">
        <v>107</v>
      </c>
      <c r="E17" s="1721" t="s">
        <v>114</v>
      </c>
      <c r="F17" s="1766" t="s">
        <v>114</v>
      </c>
      <c r="G17" s="1766" t="s">
        <v>101</v>
      </c>
      <c r="H17" s="1767"/>
      <c r="I17" s="1768">
        <v>2025</v>
      </c>
      <c r="K17" s="1769">
        <f>VLOOKUP(D17,'[127]Sources&gt;&gt;'!$B$5:$C$7,2,FALSE)</f>
        <v>2.7381927803030309E-2</v>
      </c>
      <c r="L17" s="1769"/>
      <c r="M17" s="1770">
        <f>+[127]ERP!G32</f>
        <v>6.3E-3</v>
      </c>
      <c r="N17" s="1771">
        <f t="shared" si="5"/>
        <v>1.5233781316153723</v>
      </c>
      <c r="O17" s="1769">
        <f t="shared" si="6"/>
        <v>9.5972822291768446E-3</v>
      </c>
      <c r="P17" s="1769">
        <f>+'[127]Sources&gt;&gt;'!$F$6</f>
        <v>4.24E-2</v>
      </c>
      <c r="Q17" s="1772">
        <f t="shared" si="7"/>
        <v>0.49</v>
      </c>
      <c r="R17" s="1773">
        <f t="shared" si="8"/>
        <v>0</v>
      </c>
      <c r="S17" s="1773">
        <f t="shared" si="0"/>
        <v>0.05</v>
      </c>
      <c r="T17" s="1773">
        <f t="shared" si="0"/>
        <v>0.1</v>
      </c>
      <c r="U17" s="1774">
        <f t="shared" si="9"/>
        <v>5.7755210032207155E-2</v>
      </c>
      <c r="V17" s="1774">
        <f t="shared" si="1"/>
        <v>6.0642970533817515E-2</v>
      </c>
      <c r="W17" s="1774">
        <f t="shared" si="1"/>
        <v>6.3530731035427876E-2</v>
      </c>
      <c r="X17" s="1773">
        <v>0.15</v>
      </c>
      <c r="Y17" s="1775">
        <f t="shared" si="10"/>
        <v>6.6418491537038229E-2</v>
      </c>
      <c r="Z17" s="1775">
        <f t="shared" si="2"/>
        <v>6.9739416113890132E-2</v>
      </c>
      <c r="AA17" s="1775">
        <f t="shared" si="2"/>
        <v>7.3060340690742048E-2</v>
      </c>
      <c r="AC17" s="1776"/>
      <c r="AD17" s="1777"/>
      <c r="AE17" s="1777"/>
      <c r="AG17" s="1776"/>
      <c r="AH17" s="1776"/>
      <c r="AI17" s="1776"/>
      <c r="AJ17" s="1781"/>
      <c r="AK17" s="1776"/>
      <c r="AL17" s="1776"/>
      <c r="AM17" s="1776"/>
      <c r="AN17" s="1761"/>
      <c r="AO17" s="1779">
        <f t="shared" si="3"/>
        <v>1.4839999999999999E-2</v>
      </c>
      <c r="AP17" s="1774">
        <f t="shared" si="4"/>
        <v>3.9356196095326965E-2</v>
      </c>
      <c r="AR17" s="1780"/>
      <c r="AS17" s="1780"/>
      <c r="AT17" s="1780"/>
      <c r="AU17" s="1780"/>
    </row>
    <row r="18" spans="1:47">
      <c r="A18" s="1858" t="s">
        <v>115</v>
      </c>
      <c r="B18" s="1725" t="str">
        <f>VLOOKUP(A18,[128]Codes_ISO_pays_monnaies!$A$6:$D$256,3,FALSE)</f>
        <v>Zloty</v>
      </c>
      <c r="C18" s="1725" t="str">
        <f>VLOOKUP(A18,[128]Codes_ISO_pays_monnaies!$A$6:$D$256,4,FALSE)</f>
        <v>PLN</v>
      </c>
      <c r="D18" s="1725" t="s">
        <v>107</v>
      </c>
      <c r="E18" s="1721" t="s">
        <v>116</v>
      </c>
      <c r="F18" s="1859" t="s">
        <v>116</v>
      </c>
      <c r="G18" s="1859" t="s">
        <v>101</v>
      </c>
      <c r="H18" s="1860" t="s">
        <v>71</v>
      </c>
      <c r="I18" s="1861">
        <v>2025</v>
      </c>
      <c r="K18" s="1869">
        <f>VLOOKUP(D18,'[127]Sources&gt;&gt;'!$B$5:$C$7,2,FALSE)</f>
        <v>2.7381927803030309E-2</v>
      </c>
      <c r="L18" s="1869"/>
      <c r="M18" s="1870">
        <f>+[127]ERP!G124</f>
        <v>8.6E-3</v>
      </c>
      <c r="N18" s="1871">
        <f t="shared" si="5"/>
        <v>1.5233781316153723</v>
      </c>
      <c r="O18" s="1869">
        <f t="shared" si="6"/>
        <v>1.3101051931892201E-2</v>
      </c>
      <c r="P18" s="1869">
        <f>+'[127]Sources&gt;&gt;'!$F$6</f>
        <v>4.24E-2</v>
      </c>
      <c r="Q18" s="1872">
        <f t="shared" si="7"/>
        <v>0.49</v>
      </c>
      <c r="R18" s="1866">
        <f t="shared" si="8"/>
        <v>0</v>
      </c>
      <c r="S18" s="1866">
        <f t="shared" si="0"/>
        <v>0.05</v>
      </c>
      <c r="T18" s="1866">
        <f t="shared" si="0"/>
        <v>0.1</v>
      </c>
      <c r="U18" s="1873">
        <f t="shared" si="9"/>
        <v>6.1258979734922517E-2</v>
      </c>
      <c r="V18" s="1873">
        <f t="shared" si="1"/>
        <v>6.4321928721668642E-2</v>
      </c>
      <c r="W18" s="1873">
        <f t="shared" si="1"/>
        <v>6.7384877708414767E-2</v>
      </c>
      <c r="X18" s="1866">
        <v>0.15</v>
      </c>
      <c r="Y18" s="1874">
        <f t="shared" si="10"/>
        <v>7.0447826695160892E-2</v>
      </c>
      <c r="Z18" s="1874">
        <f t="shared" si="2"/>
        <v>7.3970218029918933E-2</v>
      </c>
      <c r="AA18" s="1874">
        <f t="shared" si="2"/>
        <v>7.7492609364676973E-2</v>
      </c>
      <c r="AC18" s="1776">
        <v>7.85E-2</v>
      </c>
      <c r="AD18" s="1777">
        <f t="shared" si="12"/>
        <v>9.35E-2</v>
      </c>
      <c r="AE18" s="1777">
        <f t="shared" si="11"/>
        <v>8.5999999999999993E-2</v>
      </c>
      <c r="AG18" s="1776">
        <v>6.4000000000000003E-3</v>
      </c>
      <c r="AH18" s="1776"/>
      <c r="AI18" s="1782">
        <f>Z18-AE18</f>
        <v>-1.202978197008106E-2</v>
      </c>
      <c r="AJ18" s="1781">
        <f>O18-AG18</f>
        <v>6.701051931892201E-3</v>
      </c>
      <c r="AK18" s="1776"/>
      <c r="AL18" s="1776"/>
      <c r="AM18" s="1776"/>
      <c r="AN18" s="1761"/>
      <c r="AO18" s="1794">
        <f t="shared" si="3"/>
        <v>1.4839999999999999E-2</v>
      </c>
      <c r="AP18" s="1792">
        <f t="shared" si="4"/>
        <v>4.1073043249657486E-2</v>
      </c>
      <c r="AR18" s="1795">
        <v>8.5000000000000006E-2</v>
      </c>
      <c r="AS18" s="1795">
        <v>0.09</v>
      </c>
      <c r="AT18" s="1795"/>
      <c r="AU18" s="1795"/>
    </row>
    <row r="19" spans="1:47">
      <c r="A19" s="1875" t="s">
        <v>62</v>
      </c>
      <c r="B19" s="1876" t="str">
        <f>VLOOKUP(A19,[128]Codes_ISO_pays_monnaies!$A$6:$D$256,3,FALSE)</f>
        <v>Kuna</v>
      </c>
      <c r="C19" s="1876" t="str">
        <f>VLOOKUP(A19,[128]Codes_ISO_pays_monnaies!$A$6:$D$256,4,FALSE)</f>
        <v>HRK</v>
      </c>
      <c r="D19" s="1876" t="s">
        <v>107</v>
      </c>
      <c r="E19" s="1877" t="s">
        <v>117</v>
      </c>
      <c r="F19" s="1878" t="s">
        <v>117</v>
      </c>
      <c r="G19" s="1878" t="s">
        <v>101</v>
      </c>
      <c r="H19" s="1879"/>
      <c r="I19" s="1880">
        <v>2025</v>
      </c>
      <c r="J19" s="1877"/>
      <c r="K19" s="1881">
        <f>VLOOKUP(D19,'[127]Sources&gt;&gt;'!$B$5:$C$7,2,FALSE)</f>
        <v>2.7381927803030309E-2</v>
      </c>
      <c r="L19" s="1881"/>
      <c r="M19" s="1882">
        <f>+[127]ERP!G47</f>
        <v>8.8000000000000005E-3</v>
      </c>
      <c r="N19" s="1883">
        <f t="shared" si="5"/>
        <v>1.5233781316153723</v>
      </c>
      <c r="O19" s="1881">
        <f t="shared" si="6"/>
        <v>1.3405727558215277E-2</v>
      </c>
      <c r="P19" s="1881">
        <f>+'[127]Sources&gt;&gt;'!$F$6</f>
        <v>4.24E-2</v>
      </c>
      <c r="Q19" s="1884">
        <f t="shared" si="7"/>
        <v>0.49</v>
      </c>
      <c r="R19" s="1885">
        <f t="shared" si="8"/>
        <v>0</v>
      </c>
      <c r="S19" s="1885">
        <f t="shared" si="0"/>
        <v>0.05</v>
      </c>
      <c r="T19" s="1885">
        <f t="shared" si="0"/>
        <v>0.1</v>
      </c>
      <c r="U19" s="1886">
        <f t="shared" si="9"/>
        <v>6.1563655361245584E-2</v>
      </c>
      <c r="V19" s="1886">
        <f t="shared" si="1"/>
        <v>6.4641838129307863E-2</v>
      </c>
      <c r="W19" s="1886">
        <f t="shared" si="1"/>
        <v>6.7720020897370142E-2</v>
      </c>
      <c r="X19" s="1885">
        <v>0.15</v>
      </c>
      <c r="Y19" s="1887">
        <f t="shared" si="10"/>
        <v>7.0798203665432421E-2</v>
      </c>
      <c r="Z19" s="1887">
        <f t="shared" si="2"/>
        <v>7.4338113848704035E-2</v>
      </c>
      <c r="AA19" s="1888">
        <f t="shared" si="2"/>
        <v>7.7878024031975662E-2</v>
      </c>
      <c r="AC19" s="1776">
        <v>7.8E-2</v>
      </c>
      <c r="AD19" s="1777">
        <f t="shared" si="12"/>
        <v>9.2999999999999999E-2</v>
      </c>
      <c r="AE19" s="1777">
        <f t="shared" si="11"/>
        <v>8.5499999999999993E-2</v>
      </c>
      <c r="AG19" s="1776">
        <v>1.0200000000000001E-2</v>
      </c>
      <c r="AH19" s="1776"/>
      <c r="AI19" s="1782">
        <f>Z19-AE19</f>
        <v>-1.1161886151295958E-2</v>
      </c>
      <c r="AJ19" s="1781">
        <f>O19-AG19</f>
        <v>3.2057275582152763E-3</v>
      </c>
      <c r="AK19" s="1776"/>
      <c r="AL19" s="1776"/>
      <c r="AM19" s="1776"/>
      <c r="AN19" s="1761"/>
      <c r="AO19" s="1803">
        <f t="shared" si="3"/>
        <v>1.4839999999999999E-2</v>
      </c>
      <c r="AP19" s="1801">
        <f t="shared" si="4"/>
        <v>4.1222334306555794E-2</v>
      </c>
      <c r="AR19" s="1804">
        <v>0.1</v>
      </c>
      <c r="AS19" s="1804">
        <v>0.11</v>
      </c>
      <c r="AT19" s="1804"/>
      <c r="AU19" s="1804"/>
    </row>
    <row r="20" spans="1:47">
      <c r="A20" s="1740" t="s">
        <v>118</v>
      </c>
      <c r="B20" s="1725" t="str">
        <f>VLOOKUP(A20,[128]Codes_ISO_pays_monnaies!$A$6:$D$256,3,FALSE)</f>
        <v>Euro</v>
      </c>
      <c r="C20" s="1725" t="str">
        <f>VLOOKUP(A20,[128]Codes_ISO_pays_monnaies!$A$6:$D$256,4,FALSE)</f>
        <v>EUR</v>
      </c>
      <c r="D20" s="1725" t="s">
        <v>107</v>
      </c>
      <c r="E20" s="1721" t="s">
        <v>119</v>
      </c>
      <c r="F20" s="1739" t="s">
        <v>119</v>
      </c>
      <c r="G20" s="1739" t="s">
        <v>101</v>
      </c>
      <c r="H20" s="1806"/>
      <c r="I20" s="1741">
        <v>2025</v>
      </c>
      <c r="K20" s="1797">
        <f>VLOOKUP(D20,'[127]Sources&gt;&gt;'!$B$5:$C$7,2,FALSE)</f>
        <v>2.7381927803030309E-2</v>
      </c>
      <c r="L20" s="1797">
        <f>+[127]ERP!F105</f>
        <v>5.827659756375704E-2</v>
      </c>
      <c r="M20" s="1807"/>
      <c r="N20" s="1798">
        <f t="shared" si="5"/>
        <v>1.5233781316153723</v>
      </c>
      <c r="O20" s="1797">
        <f t="shared" si="6"/>
        <v>5.827659756375704E-2</v>
      </c>
      <c r="P20" s="1797">
        <f>+'[127]Sources&gt;&gt;'!$F$6</f>
        <v>4.24E-2</v>
      </c>
      <c r="Q20" s="1799">
        <f t="shared" si="7"/>
        <v>0.49</v>
      </c>
      <c r="R20" s="1800">
        <f t="shared" si="8"/>
        <v>0</v>
      </c>
      <c r="S20" s="1800">
        <f t="shared" si="0"/>
        <v>0.05</v>
      </c>
      <c r="T20" s="1800">
        <f t="shared" si="0"/>
        <v>0.1</v>
      </c>
      <c r="U20" s="1801">
        <f t="shared" si="9"/>
        <v>0.10643452536678735</v>
      </c>
      <c r="V20" s="1801">
        <f t="shared" si="1"/>
        <v>0.11175625163512673</v>
      </c>
      <c r="W20" s="1801">
        <f t="shared" si="1"/>
        <v>0.11707797790346609</v>
      </c>
      <c r="X20" s="1800">
        <v>0.15</v>
      </c>
      <c r="Y20" s="1802">
        <f t="shared" si="10"/>
        <v>0.12239970417180544</v>
      </c>
      <c r="Z20" s="1802">
        <f t="shared" si="2"/>
        <v>0.12851968938039574</v>
      </c>
      <c r="AA20" s="1802">
        <f t="shared" si="2"/>
        <v>0.13463967458898599</v>
      </c>
      <c r="AC20" s="1776"/>
      <c r="AD20" s="1777"/>
      <c r="AE20" s="1777"/>
      <c r="AG20" s="1776"/>
      <c r="AH20" s="1776"/>
      <c r="AI20" s="1776"/>
      <c r="AJ20" s="1781"/>
      <c r="AK20" s="1776"/>
      <c r="AL20" s="1776"/>
      <c r="AM20" s="1776"/>
      <c r="AN20" s="1761"/>
      <c r="AO20" s="1779">
        <f t="shared" si="3"/>
        <v>1.4839999999999999E-2</v>
      </c>
      <c r="AP20" s="1774">
        <f t="shared" si="4"/>
        <v>6.3209060609271256E-2</v>
      </c>
      <c r="AR20" s="1804">
        <v>0.1</v>
      </c>
      <c r="AS20" s="1804">
        <v>0.11</v>
      </c>
      <c r="AT20" s="1780"/>
      <c r="AU20" s="1780"/>
    </row>
    <row r="21" spans="1:47">
      <c r="A21" s="1765" t="s">
        <v>120</v>
      </c>
      <c r="B21" s="1725" t="str">
        <f>VLOOKUP(A21,[128]Codes_ISO_pays_monnaies!$A$6:$D$256,3,FALSE)</f>
        <v>Euro</v>
      </c>
      <c r="C21" s="1725" t="str">
        <f>VLOOKUP(A21,[128]Codes_ISO_pays_monnaies!$A$6:$D$256,4,FALSE)</f>
        <v>EUR</v>
      </c>
      <c r="D21" s="1725" t="s">
        <v>107</v>
      </c>
      <c r="E21" s="1721" t="s">
        <v>121</v>
      </c>
      <c r="F21" s="1766" t="s">
        <v>121</v>
      </c>
      <c r="G21" s="1766" t="s">
        <v>101</v>
      </c>
      <c r="H21" s="1767"/>
      <c r="I21" s="1768">
        <v>2025</v>
      </c>
      <c r="K21" s="1769">
        <f>VLOOKUP(D21,'[127]Sources&gt;&gt;'!$B$5:$C$7,2,FALSE)</f>
        <v>2.7381927803030309E-2</v>
      </c>
      <c r="L21" s="1769">
        <f>+L20</f>
        <v>5.827659756375704E-2</v>
      </c>
      <c r="M21" s="1770"/>
      <c r="N21" s="1771">
        <f t="shared" si="5"/>
        <v>1.5233781316153723</v>
      </c>
      <c r="O21" s="1769">
        <f t="shared" si="6"/>
        <v>5.827659756375704E-2</v>
      </c>
      <c r="P21" s="1769">
        <f>+'[127]Sources&gt;&gt;'!$F$6</f>
        <v>4.24E-2</v>
      </c>
      <c r="Q21" s="1772">
        <f t="shared" si="7"/>
        <v>0.49</v>
      </c>
      <c r="R21" s="1773">
        <f t="shared" si="8"/>
        <v>0</v>
      </c>
      <c r="S21" s="1773">
        <f t="shared" si="0"/>
        <v>0.05</v>
      </c>
      <c r="T21" s="1773">
        <f t="shared" si="0"/>
        <v>0.1</v>
      </c>
      <c r="U21" s="1774">
        <f t="shared" si="9"/>
        <v>0.10643452536678735</v>
      </c>
      <c r="V21" s="1774">
        <f t="shared" si="1"/>
        <v>0.11175625163512673</v>
      </c>
      <c r="W21" s="1774">
        <f t="shared" si="1"/>
        <v>0.11707797790346609</v>
      </c>
      <c r="X21" s="1773">
        <v>0.15</v>
      </c>
      <c r="Y21" s="1775">
        <f t="shared" si="10"/>
        <v>0.12239970417180544</v>
      </c>
      <c r="Z21" s="1775">
        <f t="shared" si="2"/>
        <v>0.12851968938039574</v>
      </c>
      <c r="AA21" s="1775">
        <f t="shared" si="2"/>
        <v>0.13463967458898599</v>
      </c>
      <c r="AC21" s="1776">
        <v>9.9000000000000005E-2</v>
      </c>
      <c r="AD21" s="1777">
        <f t="shared" si="12"/>
        <v>0.114</v>
      </c>
      <c r="AE21" s="1777">
        <f t="shared" si="11"/>
        <v>0.10650000000000001</v>
      </c>
      <c r="AG21" s="1776">
        <v>3.0599999999999999E-2</v>
      </c>
      <c r="AH21" s="1776"/>
      <c r="AI21" s="1808">
        <f>Z21-AE21</f>
        <v>2.2019689380395724E-2</v>
      </c>
      <c r="AJ21" s="1781">
        <f>O21-AG21</f>
        <v>2.7676597563757042E-2</v>
      </c>
      <c r="AK21" s="1776"/>
      <c r="AL21" s="1776"/>
      <c r="AM21" s="1776"/>
      <c r="AN21" s="1761"/>
      <c r="AO21" s="1779">
        <f t="shared" si="3"/>
        <v>1.4839999999999999E-2</v>
      </c>
      <c r="AP21" s="1774">
        <f t="shared" si="4"/>
        <v>6.3209060609271256E-2</v>
      </c>
      <c r="AR21" s="1804">
        <v>0.1</v>
      </c>
      <c r="AS21" s="1804">
        <v>0.11</v>
      </c>
      <c r="AT21" s="1780"/>
      <c r="AU21" s="1780"/>
    </row>
    <row r="22" spans="1:47">
      <c r="A22" s="1765" t="s">
        <v>122</v>
      </c>
      <c r="B22" s="1725" t="str">
        <f>VLOOKUP(A22,[128]Codes_ISO_pays_monnaies!$A$6:$D$256,3,FALSE)</f>
        <v>Dinar Serbe</v>
      </c>
      <c r="C22" s="1725" t="str">
        <f>VLOOKUP(A22,[128]Codes_ISO_pays_monnaies!$A$6:$D$256,4,FALSE)</f>
        <v>RSD</v>
      </c>
      <c r="D22" s="1725" t="s">
        <v>107</v>
      </c>
      <c r="E22" s="1721" t="s">
        <v>123</v>
      </c>
      <c r="F22" s="1766" t="s">
        <v>123</v>
      </c>
      <c r="G22" s="1766" t="s">
        <v>101</v>
      </c>
      <c r="H22" s="1767"/>
      <c r="I22" s="1768">
        <v>2025</v>
      </c>
      <c r="K22" s="1769">
        <f>VLOOKUP(D22,'[127]Sources&gt;&gt;'!$B$5:$C$7,2,FALSE)</f>
        <v>2.7381927803030309E-2</v>
      </c>
      <c r="L22" s="1769"/>
      <c r="M22" s="1770">
        <f>+[127]ERP!G132</f>
        <v>1.8200000000000001E-2</v>
      </c>
      <c r="N22" s="1771">
        <f t="shared" si="5"/>
        <v>1.5233781316153723</v>
      </c>
      <c r="O22" s="1769">
        <f t="shared" si="6"/>
        <v>2.7725481995399776E-2</v>
      </c>
      <c r="P22" s="1769">
        <f>+'[127]Sources&gt;&gt;'!$F$6</f>
        <v>4.24E-2</v>
      </c>
      <c r="Q22" s="1772">
        <f t="shared" si="7"/>
        <v>0.49</v>
      </c>
      <c r="R22" s="1773">
        <f t="shared" si="8"/>
        <v>0</v>
      </c>
      <c r="S22" s="1773">
        <f t="shared" si="0"/>
        <v>0.05</v>
      </c>
      <c r="T22" s="1773">
        <f t="shared" si="0"/>
        <v>0.1</v>
      </c>
      <c r="U22" s="1774">
        <f t="shared" si="9"/>
        <v>7.5883409798430085E-2</v>
      </c>
      <c r="V22" s="1774">
        <f t="shared" si="1"/>
        <v>7.967758028835159E-2</v>
      </c>
      <c r="W22" s="1774">
        <f t="shared" si="1"/>
        <v>8.3471750778273096E-2</v>
      </c>
      <c r="X22" s="1773">
        <v>0.15</v>
      </c>
      <c r="Y22" s="1775">
        <f t="shared" si="10"/>
        <v>8.7265921268194588E-2</v>
      </c>
      <c r="Z22" s="1775">
        <f t="shared" si="2"/>
        <v>9.1629217331604326E-2</v>
      </c>
      <c r="AA22" s="1775">
        <f t="shared" si="2"/>
        <v>9.5992513395014051E-2</v>
      </c>
      <c r="AC22" s="1776">
        <v>9.9000000000000005E-2</v>
      </c>
      <c r="AD22" s="1777">
        <f t="shared" si="12"/>
        <v>0.114</v>
      </c>
      <c r="AE22" s="1777">
        <f t="shared" si="11"/>
        <v>0.10650000000000001</v>
      </c>
      <c r="AG22" s="1776">
        <v>3.0599999999999999E-2</v>
      </c>
      <c r="AH22" s="1776"/>
      <c r="AI22" s="1782">
        <f>Z22-AE22</f>
        <v>-1.4870782668395685E-2</v>
      </c>
      <c r="AJ22" s="1781">
        <f>O22-AG22</f>
        <v>-2.8745180046002225E-3</v>
      </c>
      <c r="AK22" s="1776"/>
      <c r="AL22" s="1776"/>
      <c r="AM22" s="1776"/>
      <c r="AN22" s="1761"/>
      <c r="AO22" s="1779">
        <f t="shared" si="3"/>
        <v>1.4839999999999999E-2</v>
      </c>
      <c r="AP22" s="1774">
        <f t="shared" si="4"/>
        <v>4.8239013980776201E-2</v>
      </c>
      <c r="AR22" s="1804">
        <v>0.1</v>
      </c>
      <c r="AS22" s="1804">
        <v>0.11</v>
      </c>
      <c r="AT22" s="1780"/>
      <c r="AU22" s="1780"/>
    </row>
    <row r="23" spans="1:47">
      <c r="A23" s="1765" t="s">
        <v>124</v>
      </c>
      <c r="B23" s="1725" t="str">
        <f>VLOOKUP(A23,[128]Codes_ISO_pays_monnaies!$A$6:$D$256,3,FALSE)</f>
        <v>Denar</v>
      </c>
      <c r="C23" s="1725" t="str">
        <f>VLOOKUP(A23,[128]Codes_ISO_pays_monnaies!$A$6:$D$256,4,FALSE)</f>
        <v>MKD</v>
      </c>
      <c r="D23" s="1725" t="s">
        <v>107</v>
      </c>
      <c r="E23" s="1721" t="s">
        <v>125</v>
      </c>
      <c r="F23" s="1766" t="s">
        <v>126</v>
      </c>
      <c r="G23" s="1766" t="s">
        <v>101</v>
      </c>
      <c r="H23" s="1767"/>
      <c r="I23" s="1768">
        <v>2025</v>
      </c>
      <c r="K23" s="1769">
        <f>VLOOKUP(D23,'[127]Sources&gt;&gt;'!$B$5:$C$7,2,FALSE)</f>
        <v>2.7381927803030309E-2</v>
      </c>
      <c r="L23" s="1769">
        <f>+[127]ERP!F96</f>
        <v>4.6560414763732787E-2</v>
      </c>
      <c r="M23" s="1770"/>
      <c r="N23" s="1771">
        <f t="shared" si="5"/>
        <v>1.5233781316153723</v>
      </c>
      <c r="O23" s="1769">
        <f t="shared" si="6"/>
        <v>4.6560414763732787E-2</v>
      </c>
      <c r="P23" s="1769">
        <f>+'[127]Sources&gt;&gt;'!$F$6</f>
        <v>4.24E-2</v>
      </c>
      <c r="Q23" s="1772">
        <f t="shared" si="7"/>
        <v>0.49</v>
      </c>
      <c r="R23" s="1773">
        <f t="shared" si="8"/>
        <v>0</v>
      </c>
      <c r="S23" s="1773">
        <f t="shared" si="0"/>
        <v>0.05</v>
      </c>
      <c r="T23" s="1773">
        <f t="shared" si="0"/>
        <v>0.1</v>
      </c>
      <c r="U23" s="1774">
        <f t="shared" si="9"/>
        <v>9.4718342566763106E-2</v>
      </c>
      <c r="V23" s="1774">
        <f t="shared" si="1"/>
        <v>9.9454259695101271E-2</v>
      </c>
      <c r="W23" s="1774">
        <f t="shared" si="1"/>
        <v>0.10419017682343942</v>
      </c>
      <c r="X23" s="1773">
        <v>0.15</v>
      </c>
      <c r="Y23" s="1775">
        <f t="shared" si="10"/>
        <v>0.10892609395177756</v>
      </c>
      <c r="Z23" s="1775">
        <f t="shared" si="2"/>
        <v>0.11437239864936645</v>
      </c>
      <c r="AA23" s="1775">
        <f t="shared" si="2"/>
        <v>0.11981870334695532</v>
      </c>
      <c r="AC23" s="1776">
        <v>9.9000000000000005E-2</v>
      </c>
      <c r="AD23" s="1777">
        <f t="shared" si="12"/>
        <v>0.114</v>
      </c>
      <c r="AE23" s="1777">
        <f t="shared" si="11"/>
        <v>0.10650000000000001</v>
      </c>
      <c r="AG23" s="1776">
        <f>+AG22</f>
        <v>3.0599999999999999E-2</v>
      </c>
      <c r="AH23" s="1776"/>
      <c r="AI23" s="1781">
        <f>Z23-AE23</f>
        <v>7.8723986493664383E-3</v>
      </c>
      <c r="AJ23" s="1781">
        <f>O23-AG23</f>
        <v>1.5960414763732788E-2</v>
      </c>
      <c r="AK23" s="1776"/>
      <c r="AL23" s="1776"/>
      <c r="AM23" s="1776"/>
      <c r="AN23" s="1761"/>
      <c r="AO23" s="1779">
        <f t="shared" si="3"/>
        <v>1.4839999999999999E-2</v>
      </c>
      <c r="AP23" s="1774">
        <f t="shared" si="4"/>
        <v>5.7468131037259375E-2</v>
      </c>
      <c r="AR23" s="1804">
        <v>0.1</v>
      </c>
      <c r="AS23" s="1804">
        <v>0.11</v>
      </c>
      <c r="AT23" s="1780"/>
      <c r="AU23" s="1780"/>
    </row>
    <row r="24" spans="1:47">
      <c r="A24" s="1765" t="s">
        <v>127</v>
      </c>
      <c r="B24" s="1725" t="str">
        <f>VLOOKUP(A24,[128]Codes_ISO_pays_monnaies!$A$6:$D$256,3,FALSE)</f>
        <v>Mark bosniaque convertible</v>
      </c>
      <c r="C24" s="1725" t="str">
        <f>VLOOKUP(A24,[128]Codes_ISO_pays_monnaies!$A$6:$D$256,4,FALSE)</f>
        <v>BAM</v>
      </c>
      <c r="D24" s="1725" t="s">
        <v>107</v>
      </c>
      <c r="E24" s="1721" t="s">
        <v>128</v>
      </c>
      <c r="F24" s="1766" t="s">
        <v>128</v>
      </c>
      <c r="G24" s="1766" t="s">
        <v>101</v>
      </c>
      <c r="H24" s="1765"/>
      <c r="I24" s="1768">
        <v>2025</v>
      </c>
      <c r="J24" s="1809"/>
      <c r="K24" s="1769">
        <f>VLOOKUP(D24,'[127]Sources&gt;&gt;'!$B$5:$C$7,2,FALSE)</f>
        <v>2.7381927803030309E-2</v>
      </c>
      <c r="L24" s="1769">
        <f>+[127]ERP!F29</f>
        <v>8.4143494654719708E-2</v>
      </c>
      <c r="M24" s="1770"/>
      <c r="N24" s="1771">
        <f t="shared" si="5"/>
        <v>1.5233781316153723</v>
      </c>
      <c r="O24" s="1769">
        <f t="shared" si="6"/>
        <v>8.4143494654719708E-2</v>
      </c>
      <c r="P24" s="1769">
        <f>+'[127]Sources&gt;&gt;'!$F$6</f>
        <v>4.24E-2</v>
      </c>
      <c r="Q24" s="1772">
        <f t="shared" si="7"/>
        <v>0.49</v>
      </c>
      <c r="R24" s="1773">
        <f t="shared" si="8"/>
        <v>0</v>
      </c>
      <c r="S24" s="1773">
        <f t="shared" si="0"/>
        <v>0.05</v>
      </c>
      <c r="T24" s="1773">
        <f t="shared" si="0"/>
        <v>0.1</v>
      </c>
      <c r="U24" s="1774">
        <f t="shared" si="9"/>
        <v>0.13230142245775001</v>
      </c>
      <c r="V24" s="1774">
        <f t="shared" si="1"/>
        <v>0.13891649358063751</v>
      </c>
      <c r="W24" s="1774">
        <f t="shared" si="1"/>
        <v>0.14553156470352502</v>
      </c>
      <c r="X24" s="1773">
        <v>0.15</v>
      </c>
      <c r="Y24" s="1775">
        <f t="shared" si="10"/>
        <v>0.1521466358264125</v>
      </c>
      <c r="Z24" s="1775">
        <f t="shared" si="2"/>
        <v>0.15975396761773314</v>
      </c>
      <c r="AA24" s="1775">
        <f t="shared" si="2"/>
        <v>0.16736129940905375</v>
      </c>
      <c r="AC24" s="1776"/>
      <c r="AD24" s="1777"/>
      <c r="AE24" s="1777"/>
      <c r="AG24" s="1776"/>
      <c r="AH24" s="1776"/>
      <c r="AI24" s="1776"/>
      <c r="AJ24" s="1776"/>
      <c r="AK24" s="1776"/>
      <c r="AL24" s="1776"/>
      <c r="AM24" s="1776"/>
      <c r="AN24" s="1761"/>
      <c r="AO24" s="1779">
        <f t="shared" si="3"/>
        <v>1.4839999999999999E-2</v>
      </c>
      <c r="AP24" s="1774">
        <f t="shared" si="4"/>
        <v>7.5883840183842963E-2</v>
      </c>
      <c r="AR24" s="1804">
        <v>0.1</v>
      </c>
      <c r="AS24" s="1804">
        <v>0.11</v>
      </c>
      <c r="AT24" s="1780"/>
      <c r="AU24" s="1780"/>
    </row>
    <row r="25" spans="1:47" ht="15" customHeight="1">
      <c r="AD25" s="1761"/>
      <c r="AE25" s="1761"/>
      <c r="AN25" s="1761"/>
    </row>
    <row r="27" spans="1:47" ht="21" customHeight="1">
      <c r="A27" s="1953"/>
      <c r="B27" s="1953"/>
      <c r="C27" s="1953"/>
      <c r="D27" s="1953"/>
      <c r="E27" s="1953"/>
      <c r="F27" s="1953"/>
      <c r="G27" s="1726"/>
      <c r="H27" s="1726"/>
      <c r="I27" s="1727"/>
      <c r="K27" s="1973" t="s">
        <v>129</v>
      </c>
      <c r="L27" s="1973"/>
      <c r="M27" s="1973"/>
      <c r="N27" s="1973"/>
      <c r="O27" s="1973"/>
      <c r="P27" s="1973"/>
      <c r="Q27" s="1955"/>
      <c r="R27" s="1959" t="s">
        <v>42</v>
      </c>
      <c r="S27" s="1960"/>
      <c r="T27" s="1961"/>
      <c r="U27" s="1959" t="s">
        <v>130</v>
      </c>
      <c r="V27" s="1960"/>
      <c r="W27" s="1961"/>
      <c r="Y27" s="1962" t="s">
        <v>131</v>
      </c>
      <c r="Z27" s="1963"/>
      <c r="AA27" s="1963"/>
    </row>
    <row r="28" spans="1:47" ht="45">
      <c r="A28" s="1953"/>
      <c r="B28" s="1953"/>
      <c r="C28" s="1953"/>
      <c r="D28" s="1953"/>
      <c r="E28" s="1953"/>
      <c r="F28" s="1953"/>
      <c r="G28" s="1726"/>
      <c r="H28" s="1726"/>
      <c r="I28" s="1727"/>
      <c r="K28" s="1810" t="s">
        <v>54</v>
      </c>
      <c r="L28" s="1810"/>
      <c r="M28" s="1810"/>
      <c r="N28" s="1810"/>
      <c r="O28" s="1811" t="s">
        <v>132</v>
      </c>
      <c r="P28" s="1812" t="s">
        <v>133</v>
      </c>
      <c r="Q28" s="1810" t="s">
        <v>134</v>
      </c>
      <c r="R28" s="1810" t="s">
        <v>55</v>
      </c>
      <c r="S28" s="1810" t="s">
        <v>56</v>
      </c>
      <c r="T28" s="1810" t="s">
        <v>57</v>
      </c>
      <c r="U28" s="1810" t="s">
        <v>58</v>
      </c>
      <c r="V28" s="1810" t="s">
        <v>59</v>
      </c>
      <c r="W28" s="1810" t="s">
        <v>60</v>
      </c>
      <c r="X28" s="1736" t="str">
        <f>X5</f>
        <v>Value creation Target</v>
      </c>
      <c r="Y28" s="1964"/>
      <c r="Z28" s="1965"/>
      <c r="AA28" s="1965"/>
    </row>
    <row r="29" spans="1:47">
      <c r="A29" s="1739"/>
      <c r="F29" s="1739"/>
      <c r="G29" s="1739"/>
      <c r="H29" s="1740"/>
      <c r="I29" s="1741"/>
      <c r="K29" s="1743"/>
      <c r="L29" s="1813"/>
      <c r="M29" s="1813"/>
      <c r="N29" s="1813"/>
      <c r="O29" s="1742"/>
      <c r="P29" s="1742"/>
      <c r="Q29" s="1742"/>
      <c r="R29" s="1743"/>
      <c r="S29" s="1743"/>
      <c r="T29" s="1743"/>
      <c r="U29" s="1743"/>
      <c r="V29" s="1743"/>
      <c r="W29" s="1743"/>
      <c r="X29" s="1744"/>
      <c r="Y29" s="1742"/>
      <c r="Z29" s="1742"/>
      <c r="AA29" s="1742"/>
    </row>
    <row r="30" spans="1:47" ht="60">
      <c r="A30" s="1748" t="s">
        <v>64</v>
      </c>
      <c r="B30" s="1749" t="s">
        <v>65</v>
      </c>
      <c r="C30" s="1749" t="s">
        <v>66</v>
      </c>
      <c r="D30" s="1749" t="s">
        <v>67</v>
      </c>
      <c r="E30" s="1750" t="s">
        <v>68</v>
      </c>
      <c r="F30" s="1748" t="s">
        <v>69</v>
      </c>
      <c r="G30" s="1751" t="s">
        <v>70</v>
      </c>
      <c r="H30" s="1751" t="s">
        <v>71</v>
      </c>
      <c r="I30" s="1752" t="s">
        <v>72</v>
      </c>
      <c r="K30" s="1753">
        <f>+Q7</f>
        <v>0.49</v>
      </c>
      <c r="L30" s="1753"/>
      <c r="M30" s="1753"/>
      <c r="N30" s="1753"/>
      <c r="O30" s="1762" t="s">
        <v>10</v>
      </c>
      <c r="P30" s="1814" t="s">
        <v>135</v>
      </c>
      <c r="Q30" s="1753" t="s">
        <v>136</v>
      </c>
      <c r="R30" s="1756">
        <v>0</v>
      </c>
      <c r="S30" s="1757">
        <v>0.05</v>
      </c>
      <c r="T30" s="1757">
        <v>0.1</v>
      </c>
      <c r="U30" s="1970" t="s">
        <v>137</v>
      </c>
      <c r="V30" s="1971"/>
      <c r="W30" s="1972"/>
      <c r="X30" s="1758"/>
      <c r="Y30" s="1759" t="s">
        <v>58</v>
      </c>
      <c r="Z30" s="1759" t="s">
        <v>59</v>
      </c>
      <c r="AA30" s="1759" t="s">
        <v>60</v>
      </c>
    </row>
    <row r="31" spans="1:47" hidden="1">
      <c r="A31" s="1765" t="s">
        <v>86</v>
      </c>
      <c r="B31" s="1725" t="str">
        <f>VLOOKUP(A31,[128]Codes_ISO_pays_monnaies!$A$6:$D$256,3,FALSE)</f>
        <v>Dollar des États-Unis</v>
      </c>
      <c r="C31" s="1725" t="str">
        <f>VLOOKUP(A31,[128]Codes_ISO_pays_monnaies!$A$6:$D$256,4,FALSE)</f>
        <v>USD</v>
      </c>
      <c r="D31" s="1725" t="s">
        <v>87</v>
      </c>
      <c r="E31" s="1721" t="s">
        <v>88</v>
      </c>
      <c r="F31" s="1766" t="s">
        <v>88</v>
      </c>
      <c r="G31" s="1766" t="s">
        <v>86</v>
      </c>
      <c r="H31" s="1767" t="s">
        <v>71</v>
      </c>
      <c r="I31" s="1768">
        <v>2025</v>
      </c>
      <c r="K31" s="1815">
        <f>+Q8</f>
        <v>0.49</v>
      </c>
      <c r="L31" s="1815"/>
      <c r="M31" s="1815"/>
      <c r="N31" s="1815"/>
      <c r="O31" s="1816">
        <v>0.25600000000000001</v>
      </c>
      <c r="P31" s="1817">
        <v>1.4</v>
      </c>
      <c r="Q31" s="1818">
        <f>K31*(1+(1-O31)*P31)</f>
        <v>1.0003839999999999</v>
      </c>
      <c r="R31" s="1773">
        <f>+R$7</f>
        <v>0</v>
      </c>
      <c r="S31" s="1773">
        <f t="shared" ref="S31:T47" si="13">+S$7</f>
        <v>0.05</v>
      </c>
      <c r="T31" s="1773">
        <f t="shared" si="13"/>
        <v>0.1</v>
      </c>
      <c r="U31" s="1819">
        <f t="shared" ref="U31:W46" si="14">($K8+$O8+$P8*$Q31)*(1+R31)</f>
        <v>8.6576179774373679E-2</v>
      </c>
      <c r="V31" s="1819">
        <f t="shared" si="14"/>
        <v>9.0904988763092373E-2</v>
      </c>
      <c r="W31" s="1819">
        <f t="shared" si="14"/>
        <v>9.5233797751811053E-2</v>
      </c>
      <c r="X31" s="1773">
        <f t="shared" ref="X31:X47" si="15">X8</f>
        <v>0.15</v>
      </c>
      <c r="Y31" s="1820">
        <f t="shared" ref="Y31:AA47" si="16">U31*(1+$X31)</f>
        <v>9.9562606740529719E-2</v>
      </c>
      <c r="Z31" s="1820">
        <f t="shared" si="16"/>
        <v>0.10454073707755622</v>
      </c>
      <c r="AA31" s="1820">
        <f t="shared" si="16"/>
        <v>0.10951886741458271</v>
      </c>
    </row>
    <row r="32" spans="1:47" hidden="1">
      <c r="A32" s="1765" t="s">
        <v>89</v>
      </c>
      <c r="B32" s="1725" t="str">
        <f>VLOOKUP(A32,[128]Codes_ISO_pays_monnaies!$A$6:$D$256,3,FALSE)</f>
        <v>Peso dominicain</v>
      </c>
      <c r="C32" s="1725" t="str">
        <f>VLOOKUP(A32,[128]Codes_ISO_pays_monnaies!$A$6:$D$256,4,FALSE)</f>
        <v>DOP</v>
      </c>
      <c r="D32" s="1725" t="s">
        <v>87</v>
      </c>
      <c r="E32" s="1721" t="s">
        <v>90</v>
      </c>
      <c r="F32" s="1766" t="s">
        <v>90</v>
      </c>
      <c r="G32" s="1766" t="s">
        <v>91</v>
      </c>
      <c r="H32" s="1767"/>
      <c r="I32" s="1768">
        <v>2025</v>
      </c>
      <c r="K32" s="1815">
        <f t="shared" ref="K32:K47" si="17">+Q9</f>
        <v>0.49</v>
      </c>
      <c r="L32" s="1815"/>
      <c r="M32" s="1815"/>
      <c r="N32" s="1815"/>
      <c r="O32" s="1816">
        <v>0.27</v>
      </c>
      <c r="P32" s="1821">
        <v>1.4</v>
      </c>
      <c r="Q32" s="1818">
        <f t="shared" ref="Q32:Q47" si="18">K32*(1+(1-O32)*P32)</f>
        <v>0.99078000000000011</v>
      </c>
      <c r="R32" s="1773">
        <f t="shared" ref="R32:R47" si="19">+R$7</f>
        <v>0</v>
      </c>
      <c r="S32" s="1773">
        <f t="shared" si="13"/>
        <v>0.05</v>
      </c>
      <c r="T32" s="1773">
        <f t="shared" si="13"/>
        <v>0.1</v>
      </c>
      <c r="U32" s="1819">
        <f t="shared" si="14"/>
        <v>0.12055133963415371</v>
      </c>
      <c r="V32" s="1819">
        <f t="shared" si="14"/>
        <v>0.12657890661586141</v>
      </c>
      <c r="W32" s="1819">
        <f t="shared" si="14"/>
        <v>0.13260647359756908</v>
      </c>
      <c r="X32" s="1773">
        <f t="shared" si="15"/>
        <v>0.15</v>
      </c>
      <c r="Y32" s="1820">
        <f t="shared" si="16"/>
        <v>0.13863404057927675</v>
      </c>
      <c r="Z32" s="1820">
        <f t="shared" si="16"/>
        <v>0.14556574260824059</v>
      </c>
      <c r="AA32" s="1820">
        <f t="shared" si="16"/>
        <v>0.15249744463720444</v>
      </c>
    </row>
    <row r="33" spans="1:38" hidden="1">
      <c r="A33" s="1765" t="s">
        <v>92</v>
      </c>
      <c r="B33" s="1725" t="str">
        <f>VLOOKUP(A33,[128]Codes_ISO_pays_monnaies!$A$6:$D$256,3,FALSE)</f>
        <v>Nouveau Peso uruguayen</v>
      </c>
      <c r="C33" s="1725" t="str">
        <f>VLOOKUP(A33,[128]Codes_ISO_pays_monnaies!$A$6:$D$256,4,FALSE)</f>
        <v>UYU</v>
      </c>
      <c r="D33" s="1725" t="s">
        <v>87</v>
      </c>
      <c r="E33" s="1721" t="s">
        <v>93</v>
      </c>
      <c r="F33" s="1766" t="s">
        <v>93</v>
      </c>
      <c r="G33" s="1766" t="s">
        <v>91</v>
      </c>
      <c r="H33" s="1767"/>
      <c r="I33" s="1768">
        <v>2025</v>
      </c>
      <c r="K33" s="1815">
        <f t="shared" si="17"/>
        <v>0.49</v>
      </c>
      <c r="L33" s="1815"/>
      <c r="M33" s="1815"/>
      <c r="N33" s="1815"/>
      <c r="O33" s="1816">
        <v>0.25</v>
      </c>
      <c r="P33" s="1821">
        <v>1.4</v>
      </c>
      <c r="Q33" s="1818">
        <f t="shared" si="18"/>
        <v>1.0044999999999999</v>
      </c>
      <c r="R33" s="1773">
        <f t="shared" si="19"/>
        <v>0</v>
      </c>
      <c r="S33" s="1773">
        <f t="shared" si="13"/>
        <v>0.05</v>
      </c>
      <c r="T33" s="1773">
        <f t="shared" si="13"/>
        <v>0.1</v>
      </c>
      <c r="U33" s="1819">
        <f t="shared" si="14"/>
        <v>9.1777846008704422E-2</v>
      </c>
      <c r="V33" s="1819">
        <f t="shared" si="14"/>
        <v>9.6366738309139652E-2</v>
      </c>
      <c r="W33" s="1819">
        <f t="shared" si="14"/>
        <v>0.10095563060957487</v>
      </c>
      <c r="X33" s="1773">
        <f t="shared" si="15"/>
        <v>0.15</v>
      </c>
      <c r="Y33" s="1820">
        <f t="shared" si="16"/>
        <v>0.10554452291001008</v>
      </c>
      <c r="Z33" s="1820">
        <f t="shared" si="16"/>
        <v>0.11082174905551059</v>
      </c>
      <c r="AA33" s="1820">
        <f t="shared" si="16"/>
        <v>0.11609897520101109</v>
      </c>
    </row>
    <row r="34" spans="1:38" hidden="1">
      <c r="A34" s="1783" t="s">
        <v>94</v>
      </c>
      <c r="B34" s="1723" t="s">
        <v>95</v>
      </c>
      <c r="C34" s="1723" t="str">
        <f>VLOOKUP(A34,[128]Codes_ISO_pays_monnaies!$A$6:$D$256,4,FALSE)</f>
        <v>CLF</v>
      </c>
      <c r="D34" s="1723" t="s">
        <v>87</v>
      </c>
      <c r="E34" s="1722" t="s">
        <v>96</v>
      </c>
      <c r="F34" s="1784" t="s">
        <v>96</v>
      </c>
      <c r="G34" s="1784" t="s">
        <v>91</v>
      </c>
      <c r="H34" s="1785" t="s">
        <v>71</v>
      </c>
      <c r="I34" s="1786">
        <v>2025</v>
      </c>
      <c r="J34" s="1722"/>
      <c r="K34" s="1822">
        <f t="shared" si="17"/>
        <v>0.49</v>
      </c>
      <c r="L34" s="1822"/>
      <c r="M34" s="1822"/>
      <c r="N34" s="1822"/>
      <c r="O34" s="1823">
        <v>0.25</v>
      </c>
      <c r="P34" s="1824">
        <v>1.4</v>
      </c>
      <c r="Q34" s="1825">
        <f t="shared" si="18"/>
        <v>1.0044999999999999</v>
      </c>
      <c r="R34" s="1791">
        <f t="shared" si="19"/>
        <v>0</v>
      </c>
      <c r="S34" s="1791">
        <f t="shared" si="13"/>
        <v>0.05</v>
      </c>
      <c r="T34" s="1791">
        <f t="shared" si="13"/>
        <v>0.1</v>
      </c>
      <c r="U34" s="1826">
        <f t="shared" si="14"/>
        <v>9.3301224140319786E-2</v>
      </c>
      <c r="V34" s="1826">
        <f t="shared" si="14"/>
        <v>9.7966285347335785E-2</v>
      </c>
      <c r="W34" s="1826">
        <f t="shared" si="14"/>
        <v>0.10263134655435177</v>
      </c>
      <c r="X34" s="1773">
        <f t="shared" si="15"/>
        <v>0.15</v>
      </c>
      <c r="Y34" s="1827">
        <f t="shared" si="16"/>
        <v>0.10729640776136774</v>
      </c>
      <c r="Z34" s="1827">
        <f t="shared" si="16"/>
        <v>0.11266122814943615</v>
      </c>
      <c r="AA34" s="1827">
        <f t="shared" si="16"/>
        <v>0.11802604853750452</v>
      </c>
    </row>
    <row r="35" spans="1:38" hidden="1">
      <c r="A35" s="1740" t="s">
        <v>97</v>
      </c>
      <c r="B35" s="1725" t="s">
        <v>98</v>
      </c>
      <c r="C35" s="1725" t="s">
        <v>99</v>
      </c>
      <c r="D35" s="1725" t="s">
        <v>87</v>
      </c>
      <c r="E35" s="1721" t="s">
        <v>100</v>
      </c>
      <c r="F35" s="1739" t="s">
        <v>100</v>
      </c>
      <c r="G35" s="1739" t="s">
        <v>101</v>
      </c>
      <c r="H35" s="1740" t="s">
        <v>71</v>
      </c>
      <c r="I35" s="1741">
        <v>2025</v>
      </c>
      <c r="J35" s="1796"/>
      <c r="K35" s="1828">
        <f t="shared" si="17"/>
        <v>0.49</v>
      </c>
      <c r="L35" s="1828"/>
      <c r="M35" s="1828"/>
      <c r="N35" s="1828"/>
      <c r="O35" s="1829">
        <v>0.28000000000000003</v>
      </c>
      <c r="P35" s="1830">
        <v>1.4</v>
      </c>
      <c r="Q35" s="1831">
        <f t="shared" si="18"/>
        <v>0.98392000000000002</v>
      </c>
      <c r="R35" s="1800">
        <f t="shared" si="19"/>
        <v>0</v>
      </c>
      <c r="S35" s="1800">
        <f t="shared" si="13"/>
        <v>0.05</v>
      </c>
      <c r="T35" s="1800">
        <f t="shared" si="13"/>
        <v>0.1</v>
      </c>
      <c r="U35" s="1832">
        <f t="shared" si="14"/>
        <v>8.2679012097981411E-2</v>
      </c>
      <c r="V35" s="1832">
        <f t="shared" si="14"/>
        <v>8.6812962702880483E-2</v>
      </c>
      <c r="W35" s="1832">
        <f t="shared" si="14"/>
        <v>9.0946913307779556E-2</v>
      </c>
      <c r="X35" s="1773">
        <f t="shared" si="15"/>
        <v>0.15</v>
      </c>
      <c r="Y35" s="1833">
        <f t="shared" si="16"/>
        <v>9.5080863912678615E-2</v>
      </c>
      <c r="Z35" s="1833">
        <f t="shared" si="16"/>
        <v>9.9834907108312554E-2</v>
      </c>
      <c r="AA35" s="1833">
        <f t="shared" si="16"/>
        <v>0.10458895030394648</v>
      </c>
    </row>
    <row r="36" spans="1:38" hidden="1">
      <c r="A36" s="1765" t="s">
        <v>102</v>
      </c>
      <c r="B36" s="1725" t="s">
        <v>103</v>
      </c>
      <c r="C36" s="1725" t="s">
        <v>104</v>
      </c>
      <c r="D36" s="1725" t="s">
        <v>87</v>
      </c>
      <c r="E36" s="1721" t="s">
        <v>105</v>
      </c>
      <c r="F36" s="1721" t="s">
        <v>105</v>
      </c>
      <c r="G36" s="1766" t="s">
        <v>101</v>
      </c>
      <c r="H36" s="1765"/>
      <c r="I36" s="1768">
        <v>2025</v>
      </c>
      <c r="J36" s="1805"/>
      <c r="K36" s="1815">
        <f t="shared" si="17"/>
        <v>0.49</v>
      </c>
      <c r="L36" s="1815"/>
      <c r="M36" s="1815"/>
      <c r="N36" s="1815"/>
      <c r="O36" s="1816">
        <v>0.15</v>
      </c>
      <c r="P36" s="1821">
        <v>1.4</v>
      </c>
      <c r="Q36" s="1818">
        <f t="shared" si="18"/>
        <v>1.0730999999999999</v>
      </c>
      <c r="R36" s="1773">
        <f t="shared" si="19"/>
        <v>0</v>
      </c>
      <c r="S36" s="1773">
        <f t="shared" si="13"/>
        <v>0.05</v>
      </c>
      <c r="T36" s="1773">
        <f t="shared" si="13"/>
        <v>0.1</v>
      </c>
      <c r="U36" s="1819">
        <f t="shared" si="14"/>
        <v>0.11354279057958649</v>
      </c>
      <c r="V36" s="1819">
        <f t="shared" si="14"/>
        <v>0.11921993010856582</v>
      </c>
      <c r="W36" s="1819">
        <f t="shared" si="14"/>
        <v>0.12489706963754516</v>
      </c>
      <c r="X36" s="1773">
        <f t="shared" si="15"/>
        <v>0.15</v>
      </c>
      <c r="Y36" s="1820">
        <f t="shared" si="16"/>
        <v>0.13057420916652446</v>
      </c>
      <c r="Z36" s="1820">
        <f t="shared" si="16"/>
        <v>0.13710291962485069</v>
      </c>
      <c r="AA36" s="1820">
        <f t="shared" si="16"/>
        <v>0.14363163008317692</v>
      </c>
    </row>
    <row r="37" spans="1:38" hidden="1">
      <c r="A37" s="1765" t="s">
        <v>106</v>
      </c>
      <c r="B37" s="1725" t="str">
        <f>VLOOKUP(A37,[128]Codes_ISO_pays_monnaies!$A$6:$D$256,3,FALSE)</f>
        <v>Euro</v>
      </c>
      <c r="C37" s="1725" t="str">
        <f>VLOOKUP(A37,[128]Codes_ISO_pays_monnaies!$A$6:$D$256,4,FALSE)</f>
        <v>EUR</v>
      </c>
      <c r="D37" s="1725" t="s">
        <v>107</v>
      </c>
      <c r="E37" s="1721" t="s">
        <v>108</v>
      </c>
      <c r="F37" s="1766" t="s">
        <v>108</v>
      </c>
      <c r="G37" s="1766" t="s">
        <v>108</v>
      </c>
      <c r="H37" s="1767" t="s">
        <v>71</v>
      </c>
      <c r="I37" s="1768">
        <v>2025</v>
      </c>
      <c r="K37" s="1815">
        <f t="shared" si="17"/>
        <v>0.49</v>
      </c>
      <c r="L37" s="1815"/>
      <c r="M37" s="1815"/>
      <c r="N37" s="1815"/>
      <c r="O37" s="1816">
        <v>0.25</v>
      </c>
      <c r="P37" s="1821">
        <v>1.4</v>
      </c>
      <c r="Q37" s="1818">
        <f t="shared" si="18"/>
        <v>1.0044999999999999</v>
      </c>
      <c r="R37" s="1773">
        <f t="shared" si="19"/>
        <v>0</v>
      </c>
      <c r="S37" s="1773">
        <f t="shared" si="13"/>
        <v>0.05</v>
      </c>
      <c r="T37" s="1773">
        <f t="shared" si="13"/>
        <v>0.1</v>
      </c>
      <c r="U37" s="1819">
        <f t="shared" si="14"/>
        <v>7.7589618461107165E-2</v>
      </c>
      <c r="V37" s="1819">
        <f t="shared" si="14"/>
        <v>8.1469099384162524E-2</v>
      </c>
      <c r="W37" s="1819">
        <f t="shared" si="14"/>
        <v>8.5348580307217883E-2</v>
      </c>
      <c r="X37" s="1773">
        <f t="shared" si="15"/>
        <v>0.15</v>
      </c>
      <c r="Y37" s="1820">
        <f t="shared" si="16"/>
        <v>8.9228061230273228E-2</v>
      </c>
      <c r="Z37" s="1820">
        <f t="shared" si="16"/>
        <v>9.36894642917869E-2</v>
      </c>
      <c r="AA37" s="1820">
        <f t="shared" si="16"/>
        <v>9.8150867353300558E-2</v>
      </c>
    </row>
    <row r="38" spans="1:38" hidden="1">
      <c r="A38" s="1765" t="s">
        <v>109</v>
      </c>
      <c r="B38" s="1725" t="str">
        <f>VLOOKUP(A38,[128]Codes_ISO_pays_monnaies!$A$6:$D$256,3,FALSE)</f>
        <v>Euro</v>
      </c>
      <c r="C38" s="1725" t="str">
        <f>VLOOKUP(A38,[128]Codes_ISO_pays_monnaies!$A$6:$D$256,4,FALSE)</f>
        <v>EUR</v>
      </c>
      <c r="D38" s="1725" t="s">
        <v>107</v>
      </c>
      <c r="E38" s="1721" t="s">
        <v>110</v>
      </c>
      <c r="F38" s="1766" t="s">
        <v>110</v>
      </c>
      <c r="G38" s="1766" t="s">
        <v>101</v>
      </c>
      <c r="H38" s="1767" t="s">
        <v>71</v>
      </c>
      <c r="I38" s="1768">
        <v>2025</v>
      </c>
      <c r="K38" s="1815">
        <f t="shared" si="17"/>
        <v>0.49</v>
      </c>
      <c r="L38" s="1815"/>
      <c r="M38" s="1815"/>
      <c r="N38" s="1815"/>
      <c r="O38" s="1816">
        <v>0.3</v>
      </c>
      <c r="P38" s="1821">
        <v>1.4</v>
      </c>
      <c r="Q38" s="1818">
        <f t="shared" si="18"/>
        <v>0.97019999999999995</v>
      </c>
      <c r="R38" s="1773">
        <f t="shared" si="19"/>
        <v>0</v>
      </c>
      <c r="S38" s="1773">
        <f t="shared" si="13"/>
        <v>0.05</v>
      </c>
      <c r="T38" s="1773">
        <f t="shared" si="13"/>
        <v>0.1</v>
      </c>
      <c r="U38" s="1819">
        <f t="shared" si="14"/>
        <v>7.3240880011037957E-2</v>
      </c>
      <c r="V38" s="1819">
        <f t="shared" si="14"/>
        <v>7.6902924011589852E-2</v>
      </c>
      <c r="W38" s="1819">
        <f t="shared" si="14"/>
        <v>8.0564968012141761E-2</v>
      </c>
      <c r="X38" s="1773">
        <f t="shared" si="15"/>
        <v>0.15</v>
      </c>
      <c r="Y38" s="1820">
        <f t="shared" si="16"/>
        <v>8.4227012012693642E-2</v>
      </c>
      <c r="Z38" s="1820">
        <f t="shared" si="16"/>
        <v>8.8438362613328325E-2</v>
      </c>
      <c r="AA38" s="1820">
        <f t="shared" si="16"/>
        <v>9.2649713213963023E-2</v>
      </c>
    </row>
    <row r="39" spans="1:38">
      <c r="A39" s="1765" t="s">
        <v>111</v>
      </c>
      <c r="B39" s="1725" t="str">
        <f>VLOOKUP(A39,[128]Codes_ISO_pays_monnaies!$A$6:$D$256,3,FALSE)</f>
        <v>Euro</v>
      </c>
      <c r="C39" s="1725" t="str">
        <f>VLOOKUP(A39,[128]Codes_ISO_pays_monnaies!$A$6:$D$256,4,FALSE)</f>
        <v>EUR</v>
      </c>
      <c r="D39" s="1725" t="s">
        <v>107</v>
      </c>
      <c r="E39" s="1721" t="s">
        <v>112</v>
      </c>
      <c r="F39" s="1766" t="s">
        <v>112</v>
      </c>
      <c r="G39" s="1766" t="s">
        <v>101</v>
      </c>
      <c r="H39" s="1767" t="s">
        <v>71</v>
      </c>
      <c r="I39" s="1768">
        <v>2025</v>
      </c>
      <c r="K39" s="1815">
        <f t="shared" si="17"/>
        <v>0.49</v>
      </c>
      <c r="L39" s="1815"/>
      <c r="M39" s="1815"/>
      <c r="N39" s="1815"/>
      <c r="O39" s="1816">
        <v>0.22</v>
      </c>
      <c r="P39" s="1821">
        <v>1.4</v>
      </c>
      <c r="Q39" s="1818">
        <f t="shared" si="18"/>
        <v>1.0250799999999998</v>
      </c>
      <c r="R39" s="1773">
        <f t="shared" si="19"/>
        <v>0</v>
      </c>
      <c r="S39" s="1773">
        <f t="shared" si="13"/>
        <v>0.05</v>
      </c>
      <c r="T39" s="1773">
        <f t="shared" si="13"/>
        <v>0.1</v>
      </c>
      <c r="U39" s="1819">
        <f t="shared" si="14"/>
        <v>8.0137926405884075E-2</v>
      </c>
      <c r="V39" s="1819">
        <f t="shared" si="14"/>
        <v>8.4144822726178278E-2</v>
      </c>
      <c r="W39" s="1774">
        <f t="shared" si="14"/>
        <v>8.8151719046472496E-2</v>
      </c>
      <c r="X39" s="1773">
        <f t="shared" si="15"/>
        <v>0.15</v>
      </c>
      <c r="Y39" s="1820">
        <f t="shared" si="16"/>
        <v>9.2158615366766672E-2</v>
      </c>
      <c r="Z39" s="1820">
        <f t="shared" si="16"/>
        <v>9.6766546135105019E-2</v>
      </c>
      <c r="AA39" s="1820">
        <f t="shared" si="16"/>
        <v>0.10137447690344337</v>
      </c>
      <c r="AD39" s="1149"/>
      <c r="AL39" s="1776"/>
    </row>
    <row r="40" spans="1:38">
      <c r="A40" s="1765" t="s">
        <v>113</v>
      </c>
      <c r="B40" s="1725" t="str">
        <f>VLOOKUP(A40,[128]Codes_ISO_pays_monnaies!$A$6:$D$256,3,FALSE)</f>
        <v>Lev</v>
      </c>
      <c r="C40" s="1725" t="str">
        <f>VLOOKUP(A40,[128]Codes_ISO_pays_monnaies!$A$6:$D$256,4,FALSE)</f>
        <v>BGN</v>
      </c>
      <c r="D40" s="1725" t="s">
        <v>107</v>
      </c>
      <c r="E40" s="1721" t="s">
        <v>114</v>
      </c>
      <c r="F40" s="1766" t="s">
        <v>114</v>
      </c>
      <c r="G40" s="1766" t="s">
        <v>101</v>
      </c>
      <c r="H40" s="1767"/>
      <c r="I40" s="1768">
        <v>2025</v>
      </c>
      <c r="K40" s="1815">
        <f t="shared" si="17"/>
        <v>0.49</v>
      </c>
      <c r="L40" s="1815"/>
      <c r="M40" s="1815"/>
      <c r="N40" s="1815"/>
      <c r="O40" s="1816">
        <v>0.1</v>
      </c>
      <c r="P40" s="1821">
        <v>1.4</v>
      </c>
      <c r="Q40" s="1818">
        <f t="shared" si="18"/>
        <v>1.1073999999999999</v>
      </c>
      <c r="R40" s="1773">
        <f t="shared" si="19"/>
        <v>0</v>
      </c>
      <c r="S40" s="1773">
        <f t="shared" si="13"/>
        <v>0.05</v>
      </c>
      <c r="T40" s="1773">
        <f t="shared" si="13"/>
        <v>0.1</v>
      </c>
      <c r="U40" s="1819">
        <f t="shared" si="14"/>
        <v>8.3932970032207149E-2</v>
      </c>
      <c r="V40" s="1819">
        <f t="shared" si="14"/>
        <v>8.8129618533817511E-2</v>
      </c>
      <c r="W40" s="1819">
        <f t="shared" si="14"/>
        <v>9.2326267035427872E-2</v>
      </c>
      <c r="X40" s="1773">
        <f t="shared" si="15"/>
        <v>0.15</v>
      </c>
      <c r="Y40" s="1820">
        <f t="shared" si="16"/>
        <v>9.652291553703822E-2</v>
      </c>
      <c r="Z40" s="1820">
        <f t="shared" si="16"/>
        <v>0.10134906131389013</v>
      </c>
      <c r="AA40" s="1820">
        <f t="shared" si="16"/>
        <v>0.10617520709074205</v>
      </c>
    </row>
    <row r="41" spans="1:38">
      <c r="A41" s="1858" t="s">
        <v>115</v>
      </c>
      <c r="B41" s="1725" t="str">
        <f>VLOOKUP(A41,[128]Codes_ISO_pays_monnaies!$A$6:$D$256,3,FALSE)</f>
        <v>Zloty</v>
      </c>
      <c r="C41" s="1725" t="str">
        <f>VLOOKUP(A41,[128]Codes_ISO_pays_monnaies!$A$6:$D$256,4,FALSE)</f>
        <v>PLN</v>
      </c>
      <c r="D41" s="1725" t="s">
        <v>107</v>
      </c>
      <c r="E41" s="1721" t="s">
        <v>116</v>
      </c>
      <c r="F41" s="1859" t="s">
        <v>116</v>
      </c>
      <c r="G41" s="1859" t="s">
        <v>101</v>
      </c>
      <c r="H41" s="1860" t="s">
        <v>71</v>
      </c>
      <c r="I41" s="1861">
        <v>2025</v>
      </c>
      <c r="K41" s="1862">
        <f t="shared" si="17"/>
        <v>0.49</v>
      </c>
      <c r="L41" s="1862"/>
      <c r="M41" s="1862"/>
      <c r="N41" s="1862"/>
      <c r="O41" s="1863">
        <v>0.19</v>
      </c>
      <c r="P41" s="1864">
        <v>1.4</v>
      </c>
      <c r="Q41" s="1865">
        <f t="shared" si="18"/>
        <v>1.04566</v>
      </c>
      <c r="R41" s="1866">
        <f t="shared" si="19"/>
        <v>0</v>
      </c>
      <c r="S41" s="1866">
        <f t="shared" si="13"/>
        <v>0.05</v>
      </c>
      <c r="T41" s="1866">
        <f t="shared" si="13"/>
        <v>0.1</v>
      </c>
      <c r="U41" s="1867">
        <f t="shared" si="14"/>
        <v>8.4818963734922509E-2</v>
      </c>
      <c r="V41" s="1867">
        <f t="shared" si="14"/>
        <v>8.9059911921668636E-2</v>
      </c>
      <c r="W41" s="1867">
        <f t="shared" si="14"/>
        <v>9.3300860108414763E-2</v>
      </c>
      <c r="X41" s="1866">
        <f t="shared" si="15"/>
        <v>0.15</v>
      </c>
      <c r="Y41" s="1868">
        <f t="shared" si="16"/>
        <v>9.7541808295160876E-2</v>
      </c>
      <c r="Z41" s="1868">
        <f t="shared" si="16"/>
        <v>0.10241889870991892</v>
      </c>
      <c r="AA41" s="1868">
        <f t="shared" si="16"/>
        <v>0.10729598912467697</v>
      </c>
    </row>
    <row r="42" spans="1:38">
      <c r="A42" s="1875" t="s">
        <v>62</v>
      </c>
      <c r="B42" s="1876" t="str">
        <f>VLOOKUP(A42,[128]Codes_ISO_pays_monnaies!$A$6:$D$256,3,FALSE)</f>
        <v>Kuna</v>
      </c>
      <c r="C42" s="1876" t="str">
        <f>VLOOKUP(A42,[128]Codes_ISO_pays_monnaies!$A$6:$D$256,4,FALSE)</f>
        <v>HRK</v>
      </c>
      <c r="D42" s="1876" t="s">
        <v>107</v>
      </c>
      <c r="E42" s="1877" t="s">
        <v>117</v>
      </c>
      <c r="F42" s="1878" t="s">
        <v>117</v>
      </c>
      <c r="G42" s="1878" t="s">
        <v>101</v>
      </c>
      <c r="H42" s="1879"/>
      <c r="I42" s="1880">
        <v>2025</v>
      </c>
      <c r="J42" s="1877"/>
      <c r="K42" s="1889">
        <f t="shared" si="17"/>
        <v>0.49</v>
      </c>
      <c r="L42" s="1889"/>
      <c r="M42" s="1889"/>
      <c r="N42" s="1889"/>
      <c r="O42" s="1890">
        <v>0.18</v>
      </c>
      <c r="P42" s="1891">
        <f ca="1">Inputs!D466</f>
        <v>1.7310639842395188</v>
      </c>
      <c r="Q42" s="1892">
        <f t="shared" ca="1" si="18"/>
        <v>1.1855415088674388</v>
      </c>
      <c r="R42" s="1885">
        <f t="shared" si="19"/>
        <v>0</v>
      </c>
      <c r="S42" s="1885">
        <f t="shared" si="13"/>
        <v>0.05</v>
      </c>
      <c r="T42" s="1885">
        <f t="shared" si="13"/>
        <v>0.1</v>
      </c>
      <c r="U42" s="1893">
        <f t="shared" ca="1" si="14"/>
        <v>9.1054615337225003E-2</v>
      </c>
      <c r="V42" s="1893">
        <f t="shared" ca="1" si="14"/>
        <v>9.5607346104086263E-2</v>
      </c>
      <c r="W42" s="1893">
        <f t="shared" ca="1" si="14"/>
        <v>0.10016007687094751</v>
      </c>
      <c r="X42" s="1885">
        <f t="shared" si="15"/>
        <v>0.15</v>
      </c>
      <c r="Y42" s="1894">
        <f t="shared" ca="1" si="16"/>
        <v>0.10471280763780874</v>
      </c>
      <c r="Z42" s="1894">
        <f t="shared" ca="1" si="16"/>
        <v>0.10994844801969919</v>
      </c>
      <c r="AA42" s="1895">
        <f t="shared" ca="1" si="16"/>
        <v>0.11518408840158963</v>
      </c>
    </row>
    <row r="43" spans="1:38">
      <c r="A43" s="1740" t="s">
        <v>118</v>
      </c>
      <c r="B43" s="1725" t="str">
        <f>VLOOKUP(A43,[128]Codes_ISO_pays_monnaies!$A$6:$D$256,3,FALSE)</f>
        <v>Euro</v>
      </c>
      <c r="C43" s="1725" t="str">
        <f>VLOOKUP(A43,[128]Codes_ISO_pays_monnaies!$A$6:$D$256,4,FALSE)</f>
        <v>EUR</v>
      </c>
      <c r="D43" s="1725" t="s">
        <v>107</v>
      </c>
      <c r="E43" s="1721" t="s">
        <v>119</v>
      </c>
      <c r="F43" s="1739" t="s">
        <v>119</v>
      </c>
      <c r="G43" s="1739" t="s">
        <v>101</v>
      </c>
      <c r="H43" s="1806"/>
      <c r="I43" s="1741">
        <v>2025</v>
      </c>
      <c r="K43" s="1828">
        <f t="shared" si="17"/>
        <v>0.49</v>
      </c>
      <c r="L43" s="1828"/>
      <c r="M43" s="1828"/>
      <c r="N43" s="1828"/>
      <c r="O43" s="1829">
        <v>0.15</v>
      </c>
      <c r="P43" s="1830">
        <v>1.4</v>
      </c>
      <c r="Q43" s="1831">
        <f t="shared" si="18"/>
        <v>1.0730999999999999</v>
      </c>
      <c r="R43" s="1800">
        <f t="shared" si="19"/>
        <v>0</v>
      </c>
      <c r="S43" s="1800">
        <f t="shared" si="13"/>
        <v>0.05</v>
      </c>
      <c r="T43" s="1800">
        <f t="shared" si="13"/>
        <v>0.1</v>
      </c>
      <c r="U43" s="1832">
        <f t="shared" si="14"/>
        <v>0.13115796536678734</v>
      </c>
      <c r="V43" s="1832">
        <f t="shared" si="14"/>
        <v>0.13771586363512672</v>
      </c>
      <c r="W43" s="1832">
        <f t="shared" si="14"/>
        <v>0.14427376190346608</v>
      </c>
      <c r="X43" s="1800">
        <f t="shared" si="15"/>
        <v>0.15</v>
      </c>
      <c r="Y43" s="1833">
        <f t="shared" si="16"/>
        <v>0.15083166017180544</v>
      </c>
      <c r="Z43" s="1833">
        <f t="shared" si="16"/>
        <v>0.15837324318039572</v>
      </c>
      <c r="AA43" s="1833">
        <f t="shared" si="16"/>
        <v>0.16591482618898598</v>
      </c>
    </row>
    <row r="44" spans="1:38">
      <c r="A44" s="1765" t="s">
        <v>120</v>
      </c>
      <c r="B44" s="1725" t="str">
        <f>VLOOKUP(A44,[128]Codes_ISO_pays_monnaies!$A$6:$D$256,3,FALSE)</f>
        <v>Euro</v>
      </c>
      <c r="C44" s="1725" t="str">
        <f>VLOOKUP(A44,[128]Codes_ISO_pays_monnaies!$A$6:$D$256,4,FALSE)</f>
        <v>EUR</v>
      </c>
      <c r="D44" s="1725" t="s">
        <v>107</v>
      </c>
      <c r="E44" s="1721" t="s">
        <v>121</v>
      </c>
      <c r="F44" s="1766" t="s">
        <v>121</v>
      </c>
      <c r="G44" s="1766" t="s">
        <v>101</v>
      </c>
      <c r="H44" s="1767"/>
      <c r="I44" s="1768">
        <v>2025</v>
      </c>
      <c r="K44" s="1815">
        <f t="shared" si="17"/>
        <v>0.49</v>
      </c>
      <c r="L44" s="1815"/>
      <c r="M44" s="1815"/>
      <c r="N44" s="1815"/>
      <c r="O44" s="1816">
        <v>0.1</v>
      </c>
      <c r="P44" s="1821">
        <v>1.4</v>
      </c>
      <c r="Q44" s="1818">
        <f t="shared" si="18"/>
        <v>1.1073999999999999</v>
      </c>
      <c r="R44" s="1773">
        <f t="shared" si="19"/>
        <v>0</v>
      </c>
      <c r="S44" s="1773">
        <f t="shared" si="13"/>
        <v>0.05</v>
      </c>
      <c r="T44" s="1773">
        <f t="shared" si="13"/>
        <v>0.1</v>
      </c>
      <c r="U44" s="1819">
        <f t="shared" si="14"/>
        <v>0.13261228536678735</v>
      </c>
      <c r="V44" s="1819">
        <f t="shared" si="14"/>
        <v>0.13924289963512673</v>
      </c>
      <c r="W44" s="1819">
        <f t="shared" si="14"/>
        <v>0.14587351390346609</v>
      </c>
      <c r="X44" s="1773">
        <f t="shared" si="15"/>
        <v>0.15</v>
      </c>
      <c r="Y44" s="1820">
        <f t="shared" si="16"/>
        <v>0.15250412817180545</v>
      </c>
      <c r="Z44" s="1820">
        <f t="shared" si="16"/>
        <v>0.16012933458039574</v>
      </c>
      <c r="AA44" s="1820">
        <f t="shared" si="16"/>
        <v>0.16775454098898598</v>
      </c>
    </row>
    <row r="45" spans="1:38">
      <c r="A45" s="1765" t="s">
        <v>122</v>
      </c>
      <c r="B45" s="1725" t="str">
        <f>VLOOKUP(A45,[128]Codes_ISO_pays_monnaies!$A$6:$D$256,3,FALSE)</f>
        <v>Dinar Serbe</v>
      </c>
      <c r="C45" s="1725" t="str">
        <f>VLOOKUP(A45,[128]Codes_ISO_pays_monnaies!$A$6:$D$256,4,FALSE)</f>
        <v>RSD</v>
      </c>
      <c r="D45" s="1725" t="s">
        <v>107</v>
      </c>
      <c r="E45" s="1721" t="s">
        <v>123</v>
      </c>
      <c r="F45" s="1766" t="s">
        <v>123</v>
      </c>
      <c r="G45" s="1766" t="s">
        <v>101</v>
      </c>
      <c r="H45" s="1767"/>
      <c r="I45" s="1768">
        <v>2025</v>
      </c>
      <c r="K45" s="1815">
        <f t="shared" si="17"/>
        <v>0.49</v>
      </c>
      <c r="L45" s="1815"/>
      <c r="M45" s="1815"/>
      <c r="N45" s="1815"/>
      <c r="O45" s="1816">
        <v>0.15</v>
      </c>
      <c r="P45" s="1821">
        <v>1.4</v>
      </c>
      <c r="Q45" s="1818">
        <f t="shared" si="18"/>
        <v>1.0730999999999999</v>
      </c>
      <c r="R45" s="1773">
        <f t="shared" si="19"/>
        <v>0</v>
      </c>
      <c r="S45" s="1773">
        <f t="shared" si="13"/>
        <v>0.05</v>
      </c>
      <c r="T45" s="1773">
        <f t="shared" si="13"/>
        <v>0.1</v>
      </c>
      <c r="U45" s="1819">
        <f t="shared" si="14"/>
        <v>0.10060684979843007</v>
      </c>
      <c r="V45" s="1819">
        <f t="shared" si="14"/>
        <v>0.10563719228835158</v>
      </c>
      <c r="W45" s="1819">
        <f t="shared" si="14"/>
        <v>0.11066753477827308</v>
      </c>
      <c r="X45" s="1773">
        <f t="shared" si="15"/>
        <v>0.15</v>
      </c>
      <c r="Y45" s="1820">
        <f t="shared" si="16"/>
        <v>0.11569787726819457</v>
      </c>
      <c r="Z45" s="1820">
        <f t="shared" si="16"/>
        <v>0.12148277113160431</v>
      </c>
      <c r="AA45" s="1820">
        <f t="shared" si="16"/>
        <v>0.12726766499501405</v>
      </c>
    </row>
    <row r="46" spans="1:38">
      <c r="A46" s="1765" t="s">
        <v>124</v>
      </c>
      <c r="B46" s="1725" t="str">
        <f>VLOOKUP(A46,[128]Codes_ISO_pays_monnaies!$A$6:$D$256,3,FALSE)</f>
        <v>Denar</v>
      </c>
      <c r="C46" s="1725" t="str">
        <f>VLOOKUP(A46,[128]Codes_ISO_pays_monnaies!$A$6:$D$256,4,FALSE)</f>
        <v>MKD</v>
      </c>
      <c r="D46" s="1725" t="s">
        <v>107</v>
      </c>
      <c r="E46" s="1721" t="s">
        <v>125</v>
      </c>
      <c r="F46" s="1766" t="s">
        <v>126</v>
      </c>
      <c r="G46" s="1766" t="s">
        <v>101</v>
      </c>
      <c r="H46" s="1767"/>
      <c r="I46" s="1768">
        <v>2025</v>
      </c>
      <c r="K46" s="1815">
        <f t="shared" si="17"/>
        <v>0.49</v>
      </c>
      <c r="L46" s="1815"/>
      <c r="M46" s="1815"/>
      <c r="N46" s="1815"/>
      <c r="O46" s="1816">
        <v>0.1</v>
      </c>
      <c r="P46" s="1821">
        <v>1.4</v>
      </c>
      <c r="Q46" s="1818">
        <f t="shared" si="18"/>
        <v>1.1073999999999999</v>
      </c>
      <c r="R46" s="1773">
        <f t="shared" si="19"/>
        <v>0</v>
      </c>
      <c r="S46" s="1773">
        <f t="shared" si="13"/>
        <v>0.05</v>
      </c>
      <c r="T46" s="1773">
        <f t="shared" si="13"/>
        <v>0.1</v>
      </c>
      <c r="U46" s="1819">
        <f t="shared" si="14"/>
        <v>0.1208961025667631</v>
      </c>
      <c r="V46" s="1819">
        <f t="shared" si="14"/>
        <v>0.12694090769510127</v>
      </c>
      <c r="W46" s="1819">
        <f t="shared" si="14"/>
        <v>0.13298571282343943</v>
      </c>
      <c r="X46" s="1773">
        <f t="shared" si="15"/>
        <v>0.15</v>
      </c>
      <c r="Y46" s="1820">
        <f t="shared" si="16"/>
        <v>0.13903051795177757</v>
      </c>
      <c r="Z46" s="1820">
        <f t="shared" si="16"/>
        <v>0.14598204384936644</v>
      </c>
      <c r="AA46" s="1820">
        <f t="shared" si="16"/>
        <v>0.15293356974695535</v>
      </c>
    </row>
    <row r="47" spans="1:38">
      <c r="A47" s="1765" t="s">
        <v>127</v>
      </c>
      <c r="B47" s="1725" t="str">
        <f>VLOOKUP(A47,[128]Codes_ISO_pays_monnaies!$A$6:$D$256,3,FALSE)</f>
        <v>Mark bosniaque convertible</v>
      </c>
      <c r="C47" s="1725" t="str">
        <f>VLOOKUP(A47,[128]Codes_ISO_pays_monnaies!$A$6:$D$256,4,FALSE)</f>
        <v>BAM</v>
      </c>
      <c r="D47" s="1725" t="s">
        <v>107</v>
      </c>
      <c r="E47" s="1721" t="s">
        <v>128</v>
      </c>
      <c r="F47" s="1766" t="s">
        <v>128</v>
      </c>
      <c r="G47" s="1766" t="s">
        <v>101</v>
      </c>
      <c r="H47" s="1765"/>
      <c r="I47" s="1768">
        <v>2025</v>
      </c>
      <c r="J47" s="1809"/>
      <c r="K47" s="1815">
        <f t="shared" si="17"/>
        <v>0.49</v>
      </c>
      <c r="L47" s="1815"/>
      <c r="M47" s="1815"/>
      <c r="N47" s="1815"/>
      <c r="O47" s="1816">
        <v>0.1</v>
      </c>
      <c r="P47" s="1834">
        <v>1.4</v>
      </c>
      <c r="Q47" s="1818">
        <f t="shared" si="18"/>
        <v>1.1073999999999999</v>
      </c>
      <c r="R47" s="1773">
        <f t="shared" si="19"/>
        <v>0</v>
      </c>
      <c r="S47" s="1773">
        <f t="shared" si="13"/>
        <v>0.05</v>
      </c>
      <c r="T47" s="1773">
        <f t="shared" si="13"/>
        <v>0.1</v>
      </c>
      <c r="U47" s="1819">
        <f>($K24+$O24+$P24*$Q47)*(1+R47)</f>
        <v>0.15847918245775</v>
      </c>
      <c r="V47" s="1819">
        <f>($K24+$O24+$P24*$Q47)*(1+S47)</f>
        <v>0.16640314158063751</v>
      </c>
      <c r="W47" s="1819">
        <f>($K24+$O24+$P24*$Q47)*(1+T47)</f>
        <v>0.17432710070352503</v>
      </c>
      <c r="X47" s="1773">
        <f t="shared" si="15"/>
        <v>0.15</v>
      </c>
      <c r="Y47" s="1820">
        <f t="shared" si="16"/>
        <v>0.18225105982641249</v>
      </c>
      <c r="Z47" s="1820">
        <f t="shared" si="16"/>
        <v>0.19136361281773312</v>
      </c>
      <c r="AA47" s="1820">
        <f t="shared" si="16"/>
        <v>0.20047616580905378</v>
      </c>
    </row>
  </sheetData>
  <mergeCells count="19">
    <mergeCell ref="U30:W30"/>
    <mergeCell ref="U7:W7"/>
    <mergeCell ref="A27:F28"/>
    <mergeCell ref="K27:Q27"/>
    <mergeCell ref="R27:T27"/>
    <mergeCell ref="U27:W27"/>
    <mergeCell ref="Y27:AA28"/>
    <mergeCell ref="U4:W4"/>
    <mergeCell ref="Y4:AA5"/>
    <mergeCell ref="AC4:AE5"/>
    <mergeCell ref="AI4:AJ4"/>
    <mergeCell ref="AR4:AU5"/>
    <mergeCell ref="AR6:AU6"/>
    <mergeCell ref="K3:Q3"/>
    <mergeCell ref="R3:T3"/>
    <mergeCell ref="A4:F5"/>
    <mergeCell ref="K4:K5"/>
    <mergeCell ref="L4:Q4"/>
    <mergeCell ref="R4:T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_outputs">
    <outlinePr summaryBelow="0"/>
    <pageSetUpPr fitToPage="1"/>
  </sheetPr>
  <dimension ref="B1:AL157"/>
  <sheetViews>
    <sheetView showGridLines="0" view="pageBreakPreview" topLeftCell="A7" zoomScale="115" zoomScaleNormal="100" zoomScaleSheetLayoutView="115" workbookViewId="0">
      <selection activeCell="D14" sqref="D14"/>
    </sheetView>
  </sheetViews>
  <sheetFormatPr defaultColWidth="11.42578125" defaultRowHeight="11.25" outlineLevelRow="1"/>
  <cols>
    <col min="1" max="1" width="2.42578125" style="304" customWidth="1"/>
    <col min="2" max="2" width="21.5703125" style="304" customWidth="1"/>
    <col min="3" max="3" width="16.5703125" style="304" customWidth="1"/>
    <col min="4" max="4" width="12.5703125" style="304" customWidth="1"/>
    <col min="5" max="5" width="8.140625" style="304" customWidth="1"/>
    <col min="6" max="6" width="17.5703125" style="304" customWidth="1"/>
    <col min="7" max="7" width="6.5703125" style="304" customWidth="1"/>
    <col min="8" max="8" width="12.5703125" style="304" customWidth="1"/>
    <col min="9" max="9" width="5.5703125" style="304" customWidth="1"/>
    <col min="10" max="13" width="12.5703125" style="304" customWidth="1"/>
    <col min="14" max="14" width="12.5703125" style="334" customWidth="1"/>
    <col min="15" max="15" width="12.5703125" style="304" customWidth="1"/>
    <col min="16" max="16" width="7.5703125" style="304" bestFit="1" customWidth="1"/>
    <col min="17" max="17" width="15" style="304" customWidth="1"/>
    <col min="18" max="18" width="12.42578125" style="304" customWidth="1"/>
    <col min="19" max="20" width="15" style="304" customWidth="1"/>
    <col min="21" max="21" width="16" style="304" customWidth="1"/>
    <col min="22" max="23" width="15" style="304" customWidth="1"/>
    <col min="24" max="16384" width="11.42578125" style="304"/>
  </cols>
  <sheetData>
    <row r="1" spans="2:26"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6"/>
      <c r="O1" s="305"/>
      <c r="R1" s="307"/>
      <c r="S1" s="308"/>
      <c r="W1" s="309"/>
      <c r="X1" s="310"/>
    </row>
    <row r="2" spans="2:26">
      <c r="B2" s="731" t="s">
        <v>138</v>
      </c>
      <c r="C2" s="731"/>
      <c r="D2" s="731"/>
      <c r="E2" s="732"/>
      <c r="F2" s="731" t="s">
        <v>139</v>
      </c>
      <c r="G2" s="731"/>
      <c r="H2" s="731"/>
      <c r="I2" s="305"/>
      <c r="J2" s="1155"/>
      <c r="K2" s="1155"/>
      <c r="L2" s="1155"/>
      <c r="M2" s="1155"/>
      <c r="N2" s="1155"/>
      <c r="O2" s="1155"/>
      <c r="R2" s="307"/>
      <c r="S2" s="308"/>
      <c r="W2" s="310"/>
      <c r="X2" s="310"/>
    </row>
    <row r="3" spans="2:26">
      <c r="B3" s="741" t="s">
        <v>140</v>
      </c>
      <c r="C3" s="741"/>
      <c r="D3" s="742" t="str">
        <f>Inputs!D2</f>
        <v>Oborovo</v>
      </c>
      <c r="E3" s="741"/>
      <c r="F3" s="743"/>
      <c r="G3" s="743"/>
      <c r="H3" s="743"/>
      <c r="I3" s="305"/>
      <c r="J3" s="314"/>
      <c r="K3" s="314"/>
      <c r="L3" s="314"/>
      <c r="M3" s="314"/>
      <c r="N3" s="1156"/>
      <c r="O3" s="1157"/>
      <c r="P3" s="312"/>
      <c r="R3" s="307"/>
      <c r="S3" s="308"/>
      <c r="T3" s="313"/>
      <c r="U3" s="313"/>
      <c r="V3" s="313"/>
    </row>
    <row r="4" spans="2:26">
      <c r="B4" s="744"/>
      <c r="C4" s="744"/>
      <c r="D4" s="745"/>
      <c r="E4" s="746"/>
      <c r="F4" s="304" t="s">
        <v>141</v>
      </c>
      <c r="H4" s="10">
        <f>Inputs!D9</f>
        <v>47298</v>
      </c>
      <c r="I4" s="305"/>
      <c r="J4" s="481"/>
      <c r="K4" s="314"/>
      <c r="L4" s="1142"/>
      <c r="M4" s="481"/>
      <c r="N4" s="1142"/>
      <c r="O4" s="1156"/>
      <c r="P4" s="312"/>
      <c r="R4" s="307"/>
      <c r="S4" s="308"/>
      <c r="T4" s="313"/>
      <c r="U4" s="313"/>
      <c r="V4" s="313"/>
    </row>
    <row r="5" spans="2:26">
      <c r="B5" s="743" t="str">
        <f>Inputs!A51</f>
        <v xml:space="preserve">Capacity </v>
      </c>
      <c r="C5" s="743"/>
      <c r="D5" s="748">
        <f>Inputs!D51</f>
        <v>75.260000000000005</v>
      </c>
      <c r="E5" s="749"/>
      <c r="F5" s="304" t="str">
        <f>Inputs!A11</f>
        <v>Operation Start</v>
      </c>
      <c r="H5" s="10">
        <f>Inputs!D11</f>
        <v>47663</v>
      </c>
      <c r="I5" s="305"/>
      <c r="J5" s="481"/>
      <c r="K5" s="1158"/>
      <c r="L5" s="481"/>
      <c r="M5" s="1158"/>
      <c r="N5" s="481"/>
      <c r="O5" s="1156"/>
      <c r="P5" s="316"/>
      <c r="Q5" s="317"/>
      <c r="R5" s="313"/>
      <c r="S5" s="313"/>
      <c r="T5" s="318"/>
      <c r="U5" s="318"/>
      <c r="V5" s="313"/>
      <c r="W5" s="310"/>
      <c r="X5" s="310"/>
      <c r="Y5" s="310"/>
    </row>
    <row r="6" spans="2:26">
      <c r="B6" s="743" t="s">
        <v>142</v>
      </c>
      <c r="C6" s="750"/>
      <c r="D6" s="751" t="str">
        <f>ROUND(Inputs!D64,0)&amp;"h - "&amp;ROUND(Inputs!D68,0)&amp;"h"</f>
        <v>1494h - 1410h</v>
      </c>
      <c r="E6" s="752"/>
      <c r="F6" s="743" t="str">
        <f>Inputs!A14</f>
        <v>Investment Horizon</v>
      </c>
      <c r="G6" s="743"/>
      <c r="H6" s="747">
        <f>Inputs!D14</f>
        <v>30</v>
      </c>
      <c r="I6" s="305"/>
      <c r="J6" s="481"/>
      <c r="K6" s="1158"/>
      <c r="L6" s="481"/>
      <c r="M6" s="1158"/>
      <c r="N6" s="481"/>
      <c r="O6" s="1156"/>
      <c r="P6" s="320"/>
      <c r="Q6" s="317"/>
      <c r="R6" s="321"/>
      <c r="S6" s="321"/>
      <c r="T6" s="318"/>
      <c r="U6" s="318"/>
      <c r="V6" s="313"/>
      <c r="W6" s="310"/>
      <c r="X6" s="310"/>
      <c r="Y6" s="310"/>
    </row>
    <row r="7" spans="2:26">
      <c r="B7" s="743" t="s">
        <v>143</v>
      </c>
      <c r="C7" s="743"/>
      <c r="D7" s="754">
        <f>Inputs!C68</f>
        <v>0.94377510040160639</v>
      </c>
      <c r="E7" s="743"/>
      <c r="F7" s="743"/>
      <c r="G7" s="743"/>
      <c r="H7" s="743"/>
      <c r="I7" s="305"/>
      <c r="J7" s="481"/>
      <c r="K7" s="314"/>
      <c r="L7" s="1143"/>
      <c r="M7" s="1141"/>
      <c r="N7" s="1141"/>
      <c r="O7" s="1156"/>
      <c r="P7" s="316"/>
      <c r="Q7" s="317"/>
      <c r="R7" s="321"/>
      <c r="S7" s="321"/>
      <c r="T7" s="318"/>
      <c r="U7" s="318"/>
      <c r="V7" s="313"/>
      <c r="W7" s="310"/>
      <c r="X7" s="310"/>
      <c r="Y7" s="310"/>
    </row>
    <row r="8" spans="2:26">
      <c r="B8" s="750"/>
      <c r="C8" s="750"/>
      <c r="D8" s="750"/>
      <c r="E8" s="743"/>
      <c r="F8" s="741" t="s">
        <v>144</v>
      </c>
      <c r="G8" s="741" t="s">
        <v>145</v>
      </c>
      <c r="H8" s="1144" t="str">
        <f ca="1">ROUND(K40*100,1)&amp;" / "&amp;ROUND(SUM(K37:K39)*100,1)</f>
        <v>73,9 / 26,1</v>
      </c>
      <c r="I8" s="305"/>
      <c r="J8" s="481"/>
      <c r="K8" s="314"/>
      <c r="L8" s="1141"/>
      <c r="M8" s="1143"/>
      <c r="N8" s="1141"/>
      <c r="O8" s="1156"/>
      <c r="Q8" s="317"/>
      <c r="R8" s="321"/>
      <c r="S8" s="321"/>
      <c r="T8" s="318"/>
      <c r="U8" s="318"/>
      <c r="V8" s="313"/>
      <c r="W8" s="310"/>
    </row>
    <row r="9" spans="2:26">
      <c r="B9" s="755" t="s">
        <v>146</v>
      </c>
      <c r="C9" s="755"/>
      <c r="D9" s="1128">
        <f>Inputs!D78</f>
        <v>57</v>
      </c>
      <c r="E9" s="752"/>
      <c r="F9" s="743"/>
      <c r="G9" s="743" t="s">
        <v>147</v>
      </c>
      <c r="H9" s="753" t="str">
        <f ca="1">ROUND(L40/1000,0)&amp;" / "&amp;ROUND(SUM(L37:L39)/1000,0)</f>
        <v>43 / 15</v>
      </c>
      <c r="I9" s="305"/>
      <c r="J9" s="314"/>
      <c r="K9" s="1142"/>
      <c r="L9" s="1141"/>
      <c r="M9" s="1160"/>
      <c r="N9" s="1141"/>
      <c r="O9" s="1160"/>
      <c r="R9" s="321"/>
      <c r="S9" s="321"/>
      <c r="U9" s="323"/>
    </row>
    <row r="10" spans="2:26">
      <c r="B10" s="743" t="s">
        <v>148</v>
      </c>
      <c r="C10" s="743"/>
      <c r="D10" s="816">
        <f>SUMIF(CF!$G$4:$DW$4,1,CF!$G$23:$DW$23)</f>
        <v>6446.7535300740001</v>
      </c>
      <c r="E10" s="752"/>
      <c r="F10" s="743"/>
      <c r="G10" s="743"/>
      <c r="H10" s="743"/>
      <c r="I10" s="305"/>
      <c r="J10" s="1158"/>
      <c r="K10" s="481"/>
      <c r="L10" s="1159"/>
      <c r="M10" s="387"/>
      <c r="N10" s="1161"/>
      <c r="O10" s="387"/>
      <c r="R10" s="321"/>
      <c r="S10" s="324"/>
      <c r="T10" s="325"/>
      <c r="U10" s="325"/>
      <c r="V10" s="325"/>
      <c r="W10" s="325"/>
      <c r="X10" s="325"/>
      <c r="Y10" s="325"/>
      <c r="Z10" s="325"/>
    </row>
    <row r="11" spans="2:26">
      <c r="B11" s="743" t="s">
        <v>149</v>
      </c>
      <c r="C11" s="743"/>
      <c r="D11" s="758">
        <f>Inputs!D83</f>
        <v>0.02</v>
      </c>
      <c r="E11" s="752"/>
      <c r="F11" s="756" t="str">
        <f>J40</f>
        <v>Senior Debt</v>
      </c>
      <c r="G11" s="756"/>
      <c r="H11" s="815">
        <f ca="1">L40</f>
        <v>42852.266726027869</v>
      </c>
      <c r="I11" s="305"/>
      <c r="J11" s="1158"/>
      <c r="K11" s="481"/>
      <c r="L11" s="314"/>
      <c r="M11" s="314"/>
      <c r="N11" s="1156"/>
      <c r="O11" s="314"/>
      <c r="R11" s="321"/>
      <c r="S11" s="327"/>
      <c r="T11" s="328"/>
      <c r="U11" s="328"/>
      <c r="V11" s="328"/>
      <c r="X11" s="328"/>
      <c r="Y11" s="328"/>
      <c r="Z11" s="328"/>
    </row>
    <row r="12" spans="2:26">
      <c r="B12" s="743" t="str">
        <f>Inputs!A81</f>
        <v>PPA Term</v>
      </c>
      <c r="C12" s="743"/>
      <c r="D12" s="761">
        <f>Inputs!D81</f>
        <v>12</v>
      </c>
      <c r="E12" s="760"/>
      <c r="F12" s="743" t="s">
        <v>150</v>
      </c>
      <c r="G12" s="743"/>
      <c r="H12" s="757">
        <f>Inputs!D196</f>
        <v>14</v>
      </c>
      <c r="I12" s="305"/>
      <c r="J12" s="305"/>
      <c r="K12" s="305"/>
      <c r="L12" s="305"/>
      <c r="M12" s="305"/>
      <c r="N12" s="306"/>
      <c r="O12" s="305"/>
      <c r="R12" s="318"/>
      <c r="S12" s="327"/>
      <c r="T12" s="329"/>
      <c r="U12" s="330"/>
      <c r="V12" s="329"/>
      <c r="W12" s="310"/>
      <c r="X12" s="329"/>
      <c r="Y12" s="329"/>
      <c r="Z12" s="329"/>
    </row>
    <row r="13" spans="2:26">
      <c r="B13" s="750"/>
      <c r="C13" s="750"/>
      <c r="D13" s="750"/>
      <c r="E13" s="762"/>
      <c r="F13" s="743" t="s">
        <v>151</v>
      </c>
      <c r="G13" s="743"/>
      <c r="H13" s="759">
        <f>Inputs!D203</f>
        <v>265</v>
      </c>
      <c r="I13" s="305"/>
      <c r="J13" s="305"/>
      <c r="K13" s="305"/>
      <c r="L13" s="305"/>
      <c r="M13" s="305"/>
      <c r="N13" s="306"/>
      <c r="O13" s="305"/>
      <c r="R13" s="318"/>
      <c r="S13" s="327"/>
      <c r="T13" s="329"/>
      <c r="U13" s="329"/>
      <c r="V13" s="329"/>
      <c r="W13" s="310"/>
      <c r="X13" s="329"/>
      <c r="Y13" s="329"/>
      <c r="Z13" s="329"/>
    </row>
    <row r="14" spans="2:26">
      <c r="B14" s="755" t="s">
        <v>152</v>
      </c>
      <c r="C14" s="755"/>
      <c r="D14" s="815">
        <f>-1*SUMIF(CF!$G$4:$DW$4,1,CF!$G$49:$DW$49)</f>
        <v>1338.7304320000003</v>
      </c>
      <c r="E14" s="762"/>
      <c r="F14" s="741" t="s">
        <v>153</v>
      </c>
      <c r="G14" s="743"/>
      <c r="H14" s="758">
        <f>DS!D44</f>
        <v>5.8384057142857139E-2</v>
      </c>
      <c r="I14" s="305"/>
      <c r="J14" s="305"/>
      <c r="K14" s="305"/>
      <c r="L14" s="305"/>
      <c r="M14" s="305"/>
      <c r="N14" s="306"/>
      <c r="O14" s="305"/>
      <c r="S14" s="327"/>
      <c r="T14" s="328"/>
      <c r="U14" s="328"/>
      <c r="V14" s="328"/>
      <c r="X14" s="328"/>
      <c r="Y14" s="328"/>
      <c r="Z14" s="328"/>
    </row>
    <row r="15" spans="2:26">
      <c r="B15" s="764" t="s">
        <v>154</v>
      </c>
      <c r="C15" s="743"/>
      <c r="D15" s="1612">
        <f>CF!D53</f>
        <v>20.47327227788594</v>
      </c>
      <c r="E15" s="762"/>
      <c r="F15" s="744" t="s">
        <v>155</v>
      </c>
      <c r="G15" s="744"/>
      <c r="H15" s="763" t="str">
        <f>Inputs!C177&amp;" in "&amp;Inputs!A177</f>
        <v>1.15 in P_90-10y</v>
      </c>
      <c r="I15" s="305"/>
      <c r="J15" s="305"/>
      <c r="K15" s="305"/>
      <c r="L15" s="305"/>
      <c r="M15" s="305"/>
      <c r="N15" s="306"/>
      <c r="O15" s="305"/>
      <c r="R15" s="318"/>
      <c r="S15" s="327"/>
      <c r="T15" s="328"/>
      <c r="U15" s="328"/>
      <c r="V15" s="328"/>
      <c r="X15" s="328"/>
      <c r="Y15" s="328"/>
      <c r="Z15" s="328"/>
    </row>
    <row r="16" spans="2:26">
      <c r="B16" s="764" t="s">
        <v>156</v>
      </c>
      <c r="C16" s="743"/>
      <c r="D16" s="1129">
        <f>CF!D54</f>
        <v>18.01652772820351</v>
      </c>
      <c r="E16" s="762"/>
      <c r="F16" s="743"/>
      <c r="G16" s="743"/>
      <c r="H16" s="743"/>
      <c r="I16" s="305"/>
      <c r="J16" s="305"/>
      <c r="K16" s="305"/>
      <c r="L16" s="305"/>
      <c r="M16" s="305"/>
      <c r="N16" s="306"/>
      <c r="O16" s="305"/>
      <c r="S16" s="310"/>
      <c r="T16" s="329"/>
      <c r="U16" s="329"/>
      <c r="V16" s="329"/>
      <c r="X16" s="328"/>
      <c r="Y16" s="328"/>
      <c r="Z16" s="328"/>
    </row>
    <row r="17" spans="2:30">
      <c r="B17" s="741"/>
      <c r="C17" s="741"/>
      <c r="D17" s="1130"/>
      <c r="E17" s="765"/>
      <c r="F17" s="755" t="str">
        <f>J39</f>
        <v>Akuo Carbon Fund</v>
      </c>
      <c r="G17" s="755"/>
      <c r="H17" s="1175" t="str">
        <f ca="1">IF(Inputs!$C$255,L39,"n.a.")</f>
        <v>n.a.</v>
      </c>
      <c r="I17" s="305"/>
      <c r="J17" s="305"/>
      <c r="K17" s="305"/>
      <c r="L17" s="305"/>
      <c r="M17" s="305"/>
      <c r="N17" s="306"/>
      <c r="O17" s="305"/>
      <c r="P17" s="316"/>
      <c r="R17" s="331"/>
      <c r="S17" s="332"/>
    </row>
    <row r="18" spans="2:30">
      <c r="B18" s="743" t="s">
        <v>149</v>
      </c>
      <c r="C18" s="743"/>
      <c r="D18" s="767">
        <f>Inputs!D85</f>
        <v>0.02</v>
      </c>
      <c r="E18" s="765"/>
      <c r="F18" s="743" t="str">
        <f>F12</f>
        <v>Tenor</v>
      </c>
      <c r="G18" s="743"/>
      <c r="H18" s="757" t="str">
        <f>IF(Inputs!$C$255,Inputs!D259,"n.a.")</f>
        <v>n.a.</v>
      </c>
      <c r="I18" s="305"/>
      <c r="J18" s="305"/>
      <c r="K18" s="305"/>
      <c r="L18" s="305"/>
      <c r="M18" s="305"/>
      <c r="R18" s="332"/>
      <c r="S18" s="335"/>
    </row>
    <row r="19" spans="2:30">
      <c r="B19" s="750"/>
      <c r="C19" s="750"/>
      <c r="D19" s="750"/>
      <c r="E19" s="741"/>
      <c r="F19" s="743" t="str">
        <f>F13</f>
        <v>Margin</v>
      </c>
      <c r="G19" s="743"/>
      <c r="H19" s="759" t="str">
        <f>IF(Inputs!$C$255,Inputs!D258,"n.a.")</f>
        <v>n.a.</v>
      </c>
      <c r="I19" s="305"/>
      <c r="J19" s="305"/>
      <c r="K19" s="305"/>
      <c r="L19" s="305"/>
      <c r="M19" s="305"/>
      <c r="R19" s="336"/>
      <c r="S19" s="335"/>
    </row>
    <row r="20" spans="2:30">
      <c r="B20" s="755" t="s">
        <v>157</v>
      </c>
      <c r="C20" s="755"/>
      <c r="D20" s="815">
        <f ca="1">O42</f>
        <v>57973.052657378626</v>
      </c>
      <c r="E20" s="741"/>
      <c r="F20" s="741" t="str">
        <f>F14</f>
        <v>Average Rate</v>
      </c>
      <c r="G20" s="766"/>
      <c r="H20" s="758">
        <f>DS!D101</f>
        <v>8.4657714285714294E-2</v>
      </c>
      <c r="I20" s="305"/>
      <c r="J20" s="305"/>
      <c r="K20" s="305"/>
      <c r="L20" s="305"/>
      <c r="M20" s="305"/>
      <c r="R20" s="337"/>
      <c r="S20" s="336"/>
    </row>
    <row r="21" spans="2:30">
      <c r="B21" s="764" t="s">
        <v>154</v>
      </c>
      <c r="C21" s="743"/>
      <c r="D21" s="819">
        <f ca="1">D20/D5</f>
        <v>770.30364944696544</v>
      </c>
      <c r="E21" s="741"/>
      <c r="F21" s="743" t="str">
        <f>F15</f>
        <v>DSCR</v>
      </c>
      <c r="G21" s="743"/>
      <c r="H21" s="763" t="str">
        <f>IF(Inputs!$C$255,Inputs!$D$262&amp;" in "&amp;Inputs!C182,"n.a.")</f>
        <v>n.a.</v>
      </c>
      <c r="I21" s="305"/>
      <c r="J21" s="305"/>
      <c r="K21" s="305"/>
      <c r="L21" s="305"/>
      <c r="M21" s="305"/>
      <c r="R21" s="336"/>
      <c r="S21" s="336"/>
    </row>
    <row r="22" spans="2:30">
      <c r="B22" s="743" t="s">
        <v>158</v>
      </c>
      <c r="C22" s="743"/>
      <c r="D22" s="816">
        <f>O37</f>
        <v>55999.085499999994</v>
      </c>
      <c r="E22" s="741"/>
      <c r="F22" s="743"/>
      <c r="G22" s="743"/>
      <c r="H22" s="743"/>
      <c r="I22" s="305"/>
      <c r="J22" s="305"/>
      <c r="K22" s="305"/>
      <c r="L22" s="305"/>
      <c r="M22" s="305"/>
      <c r="Q22" s="338"/>
      <c r="R22" s="339"/>
      <c r="S22" s="310"/>
    </row>
    <row r="23" spans="2:30">
      <c r="B23" s="743" t="s">
        <v>159</v>
      </c>
      <c r="C23" s="743"/>
      <c r="D23" s="816">
        <f>CapEx!C6</f>
        <v>10912.7</v>
      </c>
      <c r="E23" s="741"/>
      <c r="F23" s="756" t="s">
        <v>16</v>
      </c>
      <c r="G23" s="755"/>
      <c r="H23" s="815">
        <f ca="1">SUM(L37:L38)</f>
        <v>15120.773894815633</v>
      </c>
      <c r="I23" s="314"/>
      <c r="J23" s="314"/>
      <c r="K23" s="314"/>
      <c r="L23" s="314"/>
      <c r="M23" s="314"/>
      <c r="Q23" s="340"/>
      <c r="R23" s="339"/>
      <c r="S23" s="310"/>
    </row>
    <row r="24" spans="2:30">
      <c r="B24" s="764" t="str">
        <f>B21</f>
        <v>per MW</v>
      </c>
      <c r="C24" s="743"/>
      <c r="D24" s="819">
        <f>D23/D5</f>
        <v>145</v>
      </c>
      <c r="E24" s="741"/>
      <c r="F24" s="741" t="s">
        <v>160</v>
      </c>
      <c r="G24" s="769"/>
      <c r="H24" s="1127">
        <f ca="1">L37</f>
        <v>500</v>
      </c>
      <c r="I24" s="305"/>
      <c r="J24" s="341"/>
      <c r="K24" s="306"/>
      <c r="L24" s="306"/>
      <c r="M24" s="306"/>
      <c r="N24" s="306"/>
      <c r="Q24" s="342"/>
      <c r="R24" s="339"/>
      <c r="S24" s="310"/>
    </row>
    <row r="25" spans="2:30">
      <c r="B25" s="764"/>
      <c r="C25" s="743"/>
      <c r="D25" s="1131"/>
      <c r="E25" s="741"/>
      <c r="F25" s="741" t="s">
        <v>161</v>
      </c>
      <c r="G25" s="769"/>
      <c r="H25" s="805">
        <f>Inputs!F328</f>
        <v>0.08</v>
      </c>
      <c r="I25" s="305"/>
      <c r="J25" s="306"/>
      <c r="K25" s="306"/>
      <c r="L25" s="306"/>
      <c r="M25" s="306"/>
      <c r="N25" s="306"/>
      <c r="O25" s="343"/>
      <c r="P25" s="344"/>
      <c r="Q25" s="342"/>
      <c r="R25" s="335"/>
      <c r="S25" s="345"/>
    </row>
    <row r="26" spans="2:30">
      <c r="B26" s="743" t="s">
        <v>162</v>
      </c>
      <c r="C26" s="743"/>
      <c r="D26" s="816">
        <f>SUM(CapEx!C10:C11)</f>
        <v>26430</v>
      </c>
      <c r="E26" s="741"/>
      <c r="F26" s="304" t="s">
        <v>163</v>
      </c>
      <c r="H26" s="804">
        <f ca="1">DS!D168</f>
        <v>19.519835616438357</v>
      </c>
      <c r="I26" s="305"/>
      <c r="J26" s="306"/>
      <c r="K26" s="306"/>
      <c r="L26" s="306"/>
      <c r="M26" s="306"/>
      <c r="N26" s="306"/>
      <c r="O26" s="343"/>
      <c r="P26" s="344"/>
      <c r="Q26" s="347"/>
      <c r="R26" s="348"/>
      <c r="S26" s="348"/>
    </row>
    <row r="27" spans="2:30" s="352" customFormat="1">
      <c r="B27" s="764" t="str">
        <f>B21</f>
        <v>per MW</v>
      </c>
      <c r="C27" s="743"/>
      <c r="D27" s="819">
        <f>D26/D5</f>
        <v>351.18256710071751</v>
      </c>
      <c r="E27" s="741"/>
      <c r="F27" s="743"/>
      <c r="G27" s="743"/>
      <c r="H27" s="743"/>
      <c r="I27" s="333"/>
      <c r="J27" s="333"/>
      <c r="K27" s="333"/>
      <c r="L27" s="333"/>
      <c r="M27" s="333"/>
      <c r="N27" s="311"/>
      <c r="O27" s="349"/>
      <c r="P27" s="347"/>
      <c r="Q27" s="350"/>
      <c r="R27" s="351"/>
      <c r="S27" s="348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</row>
    <row r="28" spans="2:30" s="334" customFormat="1">
      <c r="B28" s="764"/>
      <c r="C28" s="743"/>
      <c r="D28" s="768"/>
      <c r="E28" s="741"/>
      <c r="F28" s="304" t="s">
        <v>164</v>
      </c>
      <c r="G28" s="826"/>
      <c r="H28" s="869">
        <f>Inputs!I473</f>
        <v>0</v>
      </c>
      <c r="I28" s="306"/>
      <c r="J28" s="306"/>
      <c r="K28" s="306"/>
      <c r="L28" s="306"/>
      <c r="M28" s="306"/>
      <c r="N28" s="331"/>
      <c r="O28" s="353"/>
      <c r="P28" s="353"/>
      <c r="Q28" s="354"/>
      <c r="R28" s="353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</row>
    <row r="29" spans="2:30" s="334" customFormat="1">
      <c r="B29" s="731" t="s">
        <v>165</v>
      </c>
      <c r="C29" s="731"/>
      <c r="D29" s="731"/>
      <c r="E29" s="741"/>
      <c r="F29" s="304" t="s">
        <v>166</v>
      </c>
      <c r="G29" s="826"/>
      <c r="H29" s="816">
        <f>Inputs!I474</f>
        <v>0</v>
      </c>
      <c r="I29" s="306"/>
      <c r="J29" s="306"/>
      <c r="K29" s="306"/>
      <c r="L29" s="306"/>
      <c r="M29" s="306"/>
      <c r="N29" s="331"/>
      <c r="O29" s="353"/>
      <c r="P29" s="353"/>
      <c r="Q29" s="354"/>
      <c r="R29" s="353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</row>
    <row r="30" spans="2:30" s="334" customFormat="1">
      <c r="B30" s="344"/>
      <c r="C30" s="304"/>
      <c r="D30" s="304"/>
      <c r="E30" s="741"/>
      <c r="F30" s="310"/>
      <c r="G30" s="829"/>
      <c r="H30" s="830"/>
      <c r="I30" s="306"/>
      <c r="J30" s="306"/>
      <c r="K30" s="306"/>
      <c r="L30" s="306"/>
      <c r="M30" s="306"/>
      <c r="N30" s="331"/>
      <c r="O30" s="353"/>
      <c r="P30" s="353"/>
      <c r="Q30" s="354"/>
      <c r="R30" s="353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</row>
    <row r="31" spans="2:30">
      <c r="B31" s="822" t="s">
        <v>167</v>
      </c>
      <c r="C31" s="1646" t="s">
        <v>168</v>
      </c>
      <c r="D31" s="817">
        <f ca="1">CF!D136</f>
        <v>8.2801672816276553E-2</v>
      </c>
      <c r="E31" s="733"/>
      <c r="F31" s="731" t="s">
        <v>169</v>
      </c>
      <c r="G31" s="731"/>
      <c r="H31" s="731"/>
      <c r="I31" s="305"/>
      <c r="J31" s="355"/>
      <c r="K31" s="306"/>
      <c r="L31" s="356"/>
      <c r="M31" s="306"/>
      <c r="N31" s="306"/>
      <c r="Q31" s="354"/>
      <c r="R31" s="334"/>
    </row>
    <row r="32" spans="2:30" s="357" customFormat="1">
      <c r="B32" s="823" t="s">
        <v>170</v>
      </c>
      <c r="C32" s="1647" t="s">
        <v>171</v>
      </c>
      <c r="D32" s="1276">
        <f ca="1">Eq!D85</f>
        <v>0.10600581765174866</v>
      </c>
      <c r="E32" s="734"/>
      <c r="F32" s="1"/>
      <c r="G32" s="1"/>
      <c r="H32" s="1"/>
      <c r="I32" s="333"/>
      <c r="J32" s="333"/>
      <c r="K32" s="333"/>
      <c r="L32" s="346"/>
      <c r="M32" s="333"/>
      <c r="N32" s="306"/>
      <c r="O32" s="305"/>
      <c r="P32" s="304"/>
      <c r="Q32" s="354"/>
      <c r="R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</row>
    <row r="33" spans="2:30" s="357" customFormat="1">
      <c r="B33" s="823"/>
      <c r="C33" s="242"/>
      <c r="D33" s="1276"/>
      <c r="E33" s="846"/>
      <c r="F33" s="735" t="s">
        <v>172</v>
      </c>
      <c r="G33" s="1"/>
      <c r="H33" s="813">
        <f ca="1">SUM(H35:H38)</f>
        <v>2524.4845</v>
      </c>
      <c r="I33" s="333"/>
      <c r="J33" s="333"/>
      <c r="K33" s="333"/>
      <c r="L33" s="346"/>
      <c r="M33" s="333"/>
      <c r="N33" s="306"/>
      <c r="O33" s="305"/>
      <c r="P33" s="304"/>
      <c r="Q33" s="354"/>
      <c r="R33" s="304"/>
      <c r="T33" s="304"/>
      <c r="U33" s="304"/>
      <c r="V33" s="304"/>
      <c r="W33" s="304"/>
      <c r="X33" s="304"/>
      <c r="Y33" s="304"/>
      <c r="Z33" s="304"/>
      <c r="AA33" s="304"/>
      <c r="AB33" s="304"/>
      <c r="AC33" s="304"/>
      <c r="AD33" s="304"/>
    </row>
    <row r="34" spans="2:30" s="357" customFormat="1">
      <c r="B34" s="357" t="s">
        <v>173</v>
      </c>
      <c r="C34" s="1648" t="s">
        <v>174</v>
      </c>
      <c r="D34" s="814">
        <f ca="1">CF!C136</f>
        <v>12735.138266483433</v>
      </c>
      <c r="E34" s="846"/>
      <c r="F34" s="764" t="str">
        <f>B24</f>
        <v>per MW</v>
      </c>
      <c r="G34" s="334"/>
      <c r="H34" s="820">
        <f ca="1">H33/D5</f>
        <v>33.543509168216843</v>
      </c>
      <c r="I34" s="333"/>
      <c r="J34" s="333"/>
      <c r="K34" s="333"/>
      <c r="L34" s="358"/>
      <c r="M34" s="333"/>
      <c r="N34" s="311"/>
      <c r="O34" s="349"/>
      <c r="P34" s="347"/>
      <c r="Q34" s="354"/>
      <c r="R34" s="359"/>
    </row>
    <row r="35" spans="2:30" s="334" customFormat="1">
      <c r="B35" s="481" t="s">
        <v>175</v>
      </c>
      <c r="C35" s="1648" t="s">
        <v>176</v>
      </c>
      <c r="D35" s="814">
        <f ca="1">Eq!D86</f>
        <v>2809.8061128591858</v>
      </c>
      <c r="E35" s="846"/>
      <c r="F35" s="736" t="s">
        <v>177</v>
      </c>
      <c r="G35" s="1"/>
      <c r="H35" s="814">
        <f ca="1">L37</f>
        <v>500</v>
      </c>
      <c r="I35" s="333"/>
      <c r="J35" s="333"/>
      <c r="K35" s="306"/>
      <c r="L35" s="360"/>
      <c r="M35" s="306"/>
      <c r="N35" s="331"/>
      <c r="Q35" s="354"/>
      <c r="R35" s="331"/>
      <c r="S35" s="331"/>
      <c r="T35" s="331"/>
      <c r="U35" s="331"/>
      <c r="V35" s="331"/>
      <c r="X35" s="331"/>
    </row>
    <row r="36" spans="2:30">
      <c r="B36" s="1184"/>
      <c r="C36" s="481"/>
      <c r="D36" s="1277"/>
      <c r="E36" s="846"/>
      <c r="F36" s="736" t="s">
        <v>178</v>
      </c>
      <c r="G36" s="1"/>
      <c r="H36" s="814">
        <f>Inputs!D313</f>
        <v>0</v>
      </c>
      <c r="J36" s="5" t="s">
        <v>179</v>
      </c>
      <c r="K36" s="5"/>
      <c r="L36" s="5"/>
      <c r="M36" s="5" t="s">
        <v>180</v>
      </c>
      <c r="N36" s="5"/>
      <c r="O36" s="5"/>
      <c r="Q36" s="354"/>
      <c r="R36" s="348"/>
      <c r="S36" s="348"/>
      <c r="T36" s="348"/>
      <c r="U36" s="361"/>
      <c r="V36" s="348"/>
      <c r="X36" s="362"/>
    </row>
    <row r="37" spans="2:30">
      <c r="B37" s="481"/>
      <c r="C37" s="481"/>
      <c r="D37" s="1186"/>
      <c r="E37" s="846"/>
      <c r="F37" s="736" t="s">
        <v>181</v>
      </c>
      <c r="G37" s="1"/>
      <c r="H37" s="814">
        <v>0</v>
      </c>
      <c r="I37" s="904"/>
      <c r="J37" s="363" t="str">
        <f>Inputs!A165</f>
        <v>Equity Shares</v>
      </c>
      <c r="K37" s="365">
        <f ca="1">Inputs!C165</f>
        <v>8.6246985606656459E-3</v>
      </c>
      <c r="L37" s="366">
        <f ca="1">Inputs!D165</f>
        <v>500</v>
      </c>
      <c r="M37" s="367" t="str">
        <f>Inputs!E165</f>
        <v>CAPEX</v>
      </c>
      <c r="N37" s="364"/>
      <c r="O37" s="366">
        <f>Inputs!G165</f>
        <v>55999.085499999994</v>
      </c>
      <c r="R37" s="348"/>
      <c r="S37" s="348"/>
      <c r="T37" s="348"/>
      <c r="U37" s="348"/>
      <c r="V37" s="348"/>
      <c r="X37" s="362"/>
    </row>
    <row r="38" spans="2:30">
      <c r="B38" s="1184"/>
      <c r="C38" s="481"/>
      <c r="D38" s="1186"/>
      <c r="F38" s="736" t="s">
        <v>182</v>
      </c>
      <c r="G38" s="1"/>
      <c r="H38" s="814">
        <f>CapEx!C113</f>
        <v>2024.4845</v>
      </c>
      <c r="I38" s="904"/>
      <c r="J38" s="369" t="str">
        <f>Inputs!A166</f>
        <v>Shareholder Loan</v>
      </c>
      <c r="K38" s="370">
        <f ca="1">Inputs!C166</f>
        <v>0.25219953513286847</v>
      </c>
      <c r="L38" s="371">
        <f ca="1">Inputs!D166</f>
        <v>14620.773894815633</v>
      </c>
      <c r="M38" s="372" t="str">
        <f>Inputs!E166</f>
        <v>IDCs</v>
      </c>
      <c r="N38" s="373"/>
      <c r="O38" s="371">
        <f>Inputs!G166</f>
        <v>1086.031998482634</v>
      </c>
      <c r="Q38" s="368"/>
      <c r="R38" s="348"/>
      <c r="S38" s="348"/>
      <c r="T38" s="348"/>
      <c r="U38" s="361"/>
      <c r="V38" s="348"/>
      <c r="X38" s="362"/>
    </row>
    <row r="39" spans="2:30" s="334" customFormat="1">
      <c r="B39" s="1184"/>
      <c r="C39" s="1187"/>
      <c r="D39" s="1185"/>
      <c r="E39" s="846"/>
      <c r="F39" s="737"/>
      <c r="G39" s="737"/>
      <c r="H39" s="737"/>
      <c r="I39" s="904"/>
      <c r="J39" s="369" t="str">
        <f>Inputs!A167</f>
        <v>Akuo Carbon Fund</v>
      </c>
      <c r="K39" s="370">
        <f ca="1">Inputs!C167</f>
        <v>0</v>
      </c>
      <c r="L39" s="371">
        <f ca="1">Inputs!D167</f>
        <v>0</v>
      </c>
      <c r="M39" s="372" t="str">
        <f>Inputs!E168</f>
        <v>Bank Fees</v>
      </c>
      <c r="N39" s="373"/>
      <c r="O39" s="371">
        <f>Inputs!G168+Inputs!G167</f>
        <v>665.86558763061544</v>
      </c>
      <c r="P39" s="304"/>
      <c r="Q39" s="350"/>
      <c r="R39" s="351"/>
      <c r="S39" s="348"/>
      <c r="T39" s="348"/>
      <c r="U39" s="348"/>
      <c r="V39" s="348"/>
      <c r="X39" s="362"/>
    </row>
    <row r="40" spans="2:30">
      <c r="B40" s="481"/>
      <c r="C40" s="481"/>
      <c r="D40" s="481"/>
      <c r="E40" s="854"/>
      <c r="F40" s="736" t="s">
        <v>183</v>
      </c>
      <c r="G40" s="739"/>
      <c r="H40" s="813">
        <f>CapEx!C113</f>
        <v>2024.4845</v>
      </c>
      <c r="I40" s="904"/>
      <c r="J40" s="369" t="str">
        <f>Inputs!A168</f>
        <v>Senior Debt</v>
      </c>
      <c r="K40" s="370">
        <f ca="1">Inputs!C168</f>
        <v>0.73917576630646586</v>
      </c>
      <c r="L40" s="371">
        <f ca="1">Inputs!D168</f>
        <v>42852.266726027869</v>
      </c>
      <c r="M40" s="372" t="str">
        <f>Inputs!E169</f>
        <v xml:space="preserve">Reserve Accounts </v>
      </c>
      <c r="N40" s="373"/>
      <c r="O40" s="371">
        <f>Inputs!G169</f>
        <v>0</v>
      </c>
      <c r="P40" s="374"/>
      <c r="R40" s="344"/>
      <c r="S40" s="374"/>
      <c r="U40" s="344"/>
      <c r="V40" s="374"/>
    </row>
    <row r="41" spans="2:30">
      <c r="B41" s="1184"/>
      <c r="C41" s="656"/>
      <c r="D41" s="1185"/>
      <c r="E41" s="854"/>
      <c r="F41" s="304" t="s">
        <v>184</v>
      </c>
      <c r="H41" s="813">
        <f>CapEx!C114</f>
        <v>0</v>
      </c>
      <c r="J41" s="375"/>
      <c r="K41" s="376"/>
      <c r="L41" s="377"/>
      <c r="M41" s="378" t="str">
        <f>Inputs!E170</f>
        <v>VAT Costs</v>
      </c>
      <c r="N41" s="376"/>
      <c r="O41" s="380">
        <f ca="1">Inputs!G170</f>
        <v>222.06957126537966</v>
      </c>
      <c r="P41" s="331"/>
      <c r="Q41" s="311"/>
      <c r="R41" s="331"/>
      <c r="S41" s="331"/>
      <c r="T41" s="311"/>
      <c r="U41" s="331"/>
      <c r="V41" s="331"/>
      <c r="W41" s="311"/>
    </row>
    <row r="42" spans="2:30">
      <c r="B42" s="1184"/>
      <c r="C42" s="1187"/>
      <c r="D42" s="1185"/>
      <c r="F42" s="736" t="s">
        <v>185</v>
      </c>
      <c r="G42" s="737"/>
      <c r="H42" s="813">
        <f>CapEx!C98</f>
        <v>1071.134</v>
      </c>
      <c r="J42" s="383" t="s">
        <v>186</v>
      </c>
      <c r="K42" s="384"/>
      <c r="L42" s="385">
        <f ca="1">Inputs!D171</f>
        <v>57973.040620843502</v>
      </c>
      <c r="M42" s="386" t="str">
        <f>Inputs!E171</f>
        <v>Total</v>
      </c>
      <c r="N42" s="384"/>
      <c r="O42" s="385">
        <f ca="1">Inputs!G171</f>
        <v>57973.052657378626</v>
      </c>
      <c r="P42" s="381"/>
      <c r="Q42" s="382"/>
      <c r="R42" s="348"/>
      <c r="S42" s="348"/>
      <c r="T42" s="382"/>
      <c r="U42" s="353"/>
      <c r="V42" s="353"/>
      <c r="W42" s="382"/>
    </row>
    <row r="43" spans="2:30">
      <c r="B43" s="481"/>
      <c r="C43" s="481"/>
      <c r="D43" s="1185"/>
      <c r="E43" s="305"/>
      <c r="F43" s="304" t="str">
        <f>"Total "&amp;CapEx!B105</f>
        <v>Total Contingencies</v>
      </c>
      <c r="H43" s="813">
        <f>CapEx!C105</f>
        <v>1986.4400000000007</v>
      </c>
      <c r="J43" s="383" t="s">
        <v>187</v>
      </c>
      <c r="K43" s="1137"/>
      <c r="L43" s="385">
        <f ca="1">Inputs!D172</f>
        <v>4877.9899450000012</v>
      </c>
      <c r="M43" s="388"/>
      <c r="N43" s="388"/>
      <c r="O43" s="388"/>
      <c r="P43" s="381"/>
      <c r="Q43" s="382"/>
      <c r="R43" s="817"/>
      <c r="S43" s="817"/>
      <c r="T43" s="817"/>
      <c r="U43" s="353"/>
      <c r="V43" s="353"/>
      <c r="W43" s="382"/>
    </row>
    <row r="44" spans="2:30">
      <c r="B44" s="822"/>
      <c r="C44" s="1188"/>
      <c r="D44" s="1186"/>
      <c r="E44" s="305"/>
      <c r="F44" s="736" t="s">
        <v>188</v>
      </c>
      <c r="G44" s="242"/>
      <c r="H44" s="813">
        <f>OpEx!C4</f>
        <v>64</v>
      </c>
      <c r="K44" s="1147"/>
      <c r="L44" s="1148"/>
      <c r="M44" s="388"/>
      <c r="N44" s="388"/>
      <c r="O44" s="388"/>
      <c r="P44" s="381"/>
      <c r="Q44" s="382"/>
      <c r="R44" s="817"/>
      <c r="S44" s="817"/>
      <c r="T44" s="817"/>
      <c r="U44" s="353"/>
      <c r="V44" s="353"/>
      <c r="W44" s="382"/>
    </row>
    <row r="45" spans="2:30">
      <c r="O45" s="381"/>
      <c r="P45" s="381"/>
      <c r="Q45" s="382"/>
      <c r="R45" s="818"/>
      <c r="S45" s="818"/>
      <c r="T45" s="818"/>
      <c r="U45" s="353"/>
      <c r="V45" s="353"/>
      <c r="W45" s="382"/>
    </row>
    <row r="46" spans="2:30">
      <c r="B46" s="390" t="s">
        <v>189</v>
      </c>
      <c r="C46" s="824">
        <f ca="1">D46</f>
        <v>11182.479442004989</v>
      </c>
      <c r="D46" s="387">
        <f ca="1">SUM(D47:D48)</f>
        <v>11182.479442004989</v>
      </c>
      <c r="E46" s="390"/>
      <c r="F46" s="305"/>
      <c r="G46" s="373"/>
      <c r="H46" s="391"/>
      <c r="J46" s="388"/>
      <c r="K46" s="331"/>
      <c r="N46" s="304"/>
      <c r="R46" s="818"/>
      <c r="S46" s="1270"/>
      <c r="T46" s="818"/>
    </row>
    <row r="47" spans="2:30" outlineLevel="1">
      <c r="B47" s="390" t="s">
        <v>190</v>
      </c>
      <c r="C47" s="824">
        <f ca="1">D47</f>
        <v>11082.461024211574</v>
      </c>
      <c r="D47" s="387">
        <f ca="1">SUM(D50,D62,D67)</f>
        <v>11082.461024211574</v>
      </c>
      <c r="E47" s="390"/>
      <c r="F47" s="305"/>
      <c r="G47" s="373"/>
      <c r="H47" s="391"/>
      <c r="J47" s="388"/>
      <c r="K47" s="331"/>
      <c r="N47" s="304"/>
      <c r="R47" s="242"/>
      <c r="S47" s="1270"/>
      <c r="T47" s="242"/>
    </row>
    <row r="48" spans="2:30" outlineLevel="1">
      <c r="B48" s="390" t="s">
        <v>191</v>
      </c>
      <c r="C48" s="824">
        <f>D48</f>
        <v>100.01841779341503</v>
      </c>
      <c r="D48" s="394">
        <v>100.01841779341503</v>
      </c>
      <c r="E48" s="398" t="s">
        <v>192</v>
      </c>
      <c r="F48" s="396"/>
      <c r="G48" s="396"/>
      <c r="J48" s="336"/>
      <c r="K48" s="388"/>
      <c r="L48" s="395"/>
      <c r="M48" s="310"/>
      <c r="N48" s="304"/>
      <c r="R48" s="818"/>
      <c r="S48" s="818"/>
      <c r="T48" s="818"/>
    </row>
    <row r="49" spans="2:20" outlineLevel="1">
      <c r="B49" s="344"/>
      <c r="D49" s="396"/>
      <c r="F49" s="396"/>
      <c r="G49" s="396"/>
      <c r="J49" s="397"/>
      <c r="K49" s="390"/>
      <c r="L49" s="397"/>
      <c r="M49" s="1041"/>
      <c r="N49" s="304"/>
    </row>
    <row r="50" spans="2:20" outlineLevel="1">
      <c r="B50" s="399" t="s">
        <v>193</v>
      </c>
      <c r="C50" s="825">
        <f ca="1">D50</f>
        <v>100.01395334923569</v>
      </c>
      <c r="D50" s="400">
        <f ca="1">SUM(D51:D60)</f>
        <v>100.01395334923569</v>
      </c>
      <c r="E50" s="396"/>
      <c r="F50" s="390"/>
      <c r="G50" s="390"/>
      <c r="J50" s="397"/>
      <c r="K50" s="396"/>
      <c r="L50" s="397"/>
      <c r="M50" s="1041"/>
      <c r="N50" s="304"/>
      <c r="R50" s="738"/>
      <c r="S50" s="738"/>
      <c r="T50" s="738"/>
    </row>
    <row r="51" spans="2:20" outlineLevel="1">
      <c r="B51" s="390" t="s">
        <v>12</v>
      </c>
      <c r="C51" s="824">
        <f t="shared" ref="C51:C58" ca="1" si="0">D51</f>
        <v>8.4196472016628832E-10</v>
      </c>
      <c r="D51" s="401">
        <f ca="1">SUM(E51)</f>
        <v>8.4196472016628832E-10</v>
      </c>
      <c r="E51" s="394">
        <f ca="1">test_balancesheet</f>
        <v>8.4196472016628832E-10</v>
      </c>
      <c r="F51" s="396"/>
      <c r="G51" s="396"/>
      <c r="J51" s="397"/>
      <c r="K51" s="396"/>
      <c r="L51" s="310"/>
      <c r="M51" s="1041"/>
      <c r="R51" s="813"/>
      <c r="S51" s="813"/>
      <c r="T51" s="813"/>
    </row>
    <row r="52" spans="2:20" outlineLevel="1">
      <c r="B52" s="390" t="s">
        <v>194</v>
      </c>
      <c r="C52" s="824">
        <f t="shared" ca="1" si="0"/>
        <v>1.2036535124934744E-2</v>
      </c>
      <c r="D52" s="403">
        <f ca="1">SUM(E52:H52)</f>
        <v>1.2036535124934744E-2</v>
      </c>
      <c r="E52" s="394">
        <f ca="1">test_sourcesuses</f>
        <v>1.2036535124934744E-2</v>
      </c>
      <c r="F52" s="396">
        <f ca="1">(ABS(Inputs!G171-CapEx!C141)&gt;precision)*1</f>
        <v>0</v>
      </c>
      <c r="G52" s="396">
        <f ca="1">test_funding</f>
        <v>0</v>
      </c>
      <c r="H52" s="396">
        <f ca="1">test_sources</f>
        <v>0</v>
      </c>
      <c r="J52" s="1254"/>
      <c r="K52" s="390"/>
      <c r="L52" s="310"/>
      <c r="M52" s="1041"/>
      <c r="R52" s="813"/>
      <c r="S52" s="813"/>
      <c r="T52" s="813"/>
    </row>
    <row r="53" spans="2:20" outlineLevel="1">
      <c r="B53" s="390" t="s">
        <v>195</v>
      </c>
      <c r="C53" s="824">
        <f t="shared" ca="1" si="0"/>
        <v>0</v>
      </c>
      <c r="D53" s="403">
        <f ca="1">SUM(E53:G53)</f>
        <v>0</v>
      </c>
      <c r="E53" s="394">
        <f ca="1">test_negativecash1</f>
        <v>0</v>
      </c>
      <c r="F53" s="396">
        <f ca="1">test_negativecash2</f>
        <v>0</v>
      </c>
      <c r="G53" s="396">
        <f ca="1">test_negativecash3</f>
        <v>0</v>
      </c>
      <c r="H53" s="396"/>
      <c r="K53" s="396"/>
      <c r="L53" s="310"/>
      <c r="M53" s="1041"/>
      <c r="N53" s="309"/>
    </row>
    <row r="54" spans="2:20" outlineLevel="1">
      <c r="B54" s="390" t="s">
        <v>196</v>
      </c>
      <c r="C54" s="824">
        <f t="shared" si="0"/>
        <v>100</v>
      </c>
      <c r="D54" s="403">
        <f>SUM(E54:F54)</f>
        <v>100</v>
      </c>
      <c r="E54" s="394">
        <f>test_capexspending</f>
        <v>0</v>
      </c>
      <c r="F54" s="394">
        <f>SUM(Scenarios!E27,Scenarios!E30,Scenarios!E56,Scenarios!E70,Scenarios!E79,Scenarios!E84,Scenarios!E91,Scenarios!E95,Scenarios!E98,Scenarios!E123,Scenarios!E127,Scenarios!E131,Scenarios!E138,Scenarios!E153,Scenarios!E159,Scenarios!E218)-(CapEx!C117-CapEx!C105)</f>
        <v>100</v>
      </c>
      <c r="G54" s="396"/>
      <c r="H54" s="396"/>
      <c r="I54" s="813"/>
      <c r="J54" s="396"/>
      <c r="N54" s="304"/>
    </row>
    <row r="55" spans="2:20" outlineLevel="1">
      <c r="B55" s="390" t="s">
        <v>197</v>
      </c>
      <c r="C55" s="824">
        <f>D55</f>
        <v>0</v>
      </c>
      <c r="D55" s="403">
        <f>SUM(E55)</f>
        <v>0</v>
      </c>
      <c r="E55" s="394">
        <f>test_opex</f>
        <v>0</v>
      </c>
      <c r="F55" s="394">
        <f>SUM(Scenarios!E236,Scenarios!E241,Scenarios!E250,Scenarios!E264,Scenarios!E269,Scenarios!E273,Scenarios!E277,Scenarios!E282,Scenarios!E287,Scenarios!E292,Scenarios!E297,Scenarios!E304,Scenarios!E309)-OpEx!C95</f>
        <v>0</v>
      </c>
      <c r="G55" s="396"/>
      <c r="H55" s="396"/>
      <c r="I55" s="396"/>
      <c r="J55" s="396"/>
      <c r="N55" s="304"/>
    </row>
    <row r="56" spans="2:20" outlineLevel="1">
      <c r="B56" s="390" t="s">
        <v>198</v>
      </c>
      <c r="C56" s="824">
        <f t="shared" ca="1" si="0"/>
        <v>0</v>
      </c>
      <c r="D56" s="403">
        <f ca="1">SUM(E56)</f>
        <v>0</v>
      </c>
      <c r="E56" s="394">
        <f ca="1">test_cfbalance</f>
        <v>0</v>
      </c>
      <c r="F56" s="396">
        <f ca="1">CF!B126</f>
        <v>0</v>
      </c>
      <c r="G56" s="1123"/>
      <c r="H56" s="396"/>
      <c r="I56" s="396"/>
      <c r="J56" s="396"/>
      <c r="K56" s="331"/>
      <c r="N56" s="304"/>
    </row>
    <row r="57" spans="2:20" outlineLevel="1">
      <c r="B57" s="390" t="s">
        <v>6</v>
      </c>
      <c r="C57" s="824">
        <f t="shared" ca="1" si="0"/>
        <v>7.2759576141834259E-12</v>
      </c>
      <c r="D57" s="403">
        <f ca="1">SUM(E57:F57)</f>
        <v>7.2759576141834259E-12</v>
      </c>
      <c r="E57" s="394">
        <f ca="1">test_bsdepcheck</f>
        <v>0</v>
      </c>
      <c r="F57" s="396">
        <f ca="1">test_dep</f>
        <v>7.2759576141834259E-12</v>
      </c>
      <c r="G57" s="660" t="s">
        <v>199</v>
      </c>
      <c r="H57" s="396"/>
      <c r="I57" s="396"/>
      <c r="J57" s="396"/>
      <c r="K57" s="331"/>
      <c r="N57" s="304"/>
    </row>
    <row r="58" spans="2:20" outlineLevel="1">
      <c r="B58" s="390" t="s">
        <v>200</v>
      </c>
      <c r="C58" s="824">
        <f t="shared" si="0"/>
        <v>0</v>
      </c>
      <c r="D58" s="403">
        <f>SUM(E58)</f>
        <v>0</v>
      </c>
      <c r="E58" s="394">
        <f>test_scenario</f>
        <v>0</v>
      </c>
      <c r="F58" s="406" t="s">
        <v>201</v>
      </c>
      <c r="G58" s="396"/>
      <c r="H58" s="396"/>
      <c r="I58" s="396"/>
      <c r="J58" s="396"/>
      <c r="N58" s="304"/>
    </row>
    <row r="59" spans="2:20" outlineLevel="1">
      <c r="B59" s="390" t="s">
        <v>202</v>
      </c>
      <c r="C59" s="824">
        <f ca="1">D59</f>
        <v>1.9168132615226972E-3</v>
      </c>
      <c r="D59" s="403">
        <f ca="1">SUM(E59:M59)/9</f>
        <v>1.9168132615226972E-3</v>
      </c>
      <c r="E59" s="394">
        <f ca="1">test_IDCs</f>
        <v>1.7251319353704275E-2</v>
      </c>
      <c r="F59" s="396">
        <f ca="1">test_sdfef</f>
        <v>0</v>
      </c>
      <c r="G59" s="396">
        <f ca="1">test_jdfef</f>
        <v>0</v>
      </c>
      <c r="H59" s="396">
        <f ca="1">test_dsra1</f>
        <v>0</v>
      </c>
      <c r="I59" s="396">
        <f ca="1">test_jdsra</f>
        <v>0</v>
      </c>
      <c r="J59" s="396">
        <f ca="1">test_refifef</f>
        <v>0</v>
      </c>
      <c r="K59" s="396">
        <f ca="1">test_CIT</f>
        <v>0</v>
      </c>
      <c r="L59" s="396">
        <f>test_localtax</f>
        <v>0</v>
      </c>
      <c r="M59" s="396">
        <f ca="1">test_FCFdebt</f>
        <v>0</v>
      </c>
      <c r="N59" s="396">
        <f ca="1">test_stampduty</f>
        <v>0</v>
      </c>
      <c r="O59" s="398" t="s">
        <v>203</v>
      </c>
    </row>
    <row r="60" spans="2:20" outlineLevel="1">
      <c r="B60" s="390" t="s">
        <v>204</v>
      </c>
      <c r="C60" s="824">
        <f>D60</f>
        <v>0</v>
      </c>
      <c r="D60" s="403">
        <f>SUM(E60)</f>
        <v>0</v>
      </c>
      <c r="E60" s="394">
        <f>test_opperiod</f>
        <v>0</v>
      </c>
      <c r="F60" s="404"/>
      <c r="G60" s="404"/>
      <c r="H60" s="404"/>
      <c r="I60" s="404"/>
      <c r="J60" s="404"/>
      <c r="K60" s="404"/>
      <c r="L60" s="404"/>
      <c r="M60" s="398"/>
    </row>
    <row r="61" spans="2:20" outlineLevel="1">
      <c r="B61" s="390"/>
      <c r="C61" s="390"/>
      <c r="D61" s="396"/>
      <c r="E61" s="405"/>
      <c r="F61" s="405"/>
      <c r="G61" s="405"/>
      <c r="H61" s="405"/>
      <c r="I61" s="405"/>
      <c r="J61" s="405"/>
      <c r="K61" s="405"/>
      <c r="L61" s="405"/>
      <c r="M61" s="405"/>
      <c r="N61" s="304"/>
    </row>
    <row r="62" spans="2:20" outlineLevel="1">
      <c r="B62" s="399" t="s">
        <v>16</v>
      </c>
      <c r="C62" s="825">
        <f ca="1">D62</f>
        <v>10982.447070862323</v>
      </c>
      <c r="D62" s="400">
        <f ca="1">SUM(D63:D65)</f>
        <v>10982.447070862323</v>
      </c>
      <c r="E62" s="405"/>
      <c r="F62" s="405"/>
      <c r="G62" s="405"/>
      <c r="H62" s="405"/>
      <c r="I62" s="405"/>
      <c r="J62" s="405"/>
      <c r="K62" s="405"/>
      <c r="L62" s="405"/>
      <c r="M62" s="405"/>
      <c r="N62" s="304"/>
    </row>
    <row r="63" spans="2:20" outlineLevel="1">
      <c r="B63" s="390" t="s">
        <v>205</v>
      </c>
      <c r="C63" s="824">
        <f ca="1">D63</f>
        <v>10982.447070862307</v>
      </c>
      <c r="D63" s="401">
        <f ca="1">SUM(E63:F63)</f>
        <v>10982.447070862307</v>
      </c>
      <c r="E63" s="394">
        <f ca="1">test_shlovercap1</f>
        <v>1</v>
      </c>
      <c r="F63" s="396">
        <f ca="1">test_shlovercap2*(Production_Scenario=base_scenario)</f>
        <v>10981.447070862307</v>
      </c>
      <c r="G63" s="396"/>
      <c r="H63" s="396"/>
      <c r="I63" s="396"/>
      <c r="J63" s="396"/>
      <c r="N63" s="304"/>
    </row>
    <row r="64" spans="2:20" outlineLevel="1">
      <c r="B64" s="390" t="s">
        <v>206</v>
      </c>
      <c r="C64" s="824">
        <f ca="1">D64</f>
        <v>1.6370904631912708E-11</v>
      </c>
      <c r="D64" s="403">
        <f ca="1">SUM(E64)</f>
        <v>1.6370904631912708E-11</v>
      </c>
      <c r="E64" s="394">
        <f ca="1">test_shlrepayment</f>
        <v>1.6370904631912708E-11</v>
      </c>
      <c r="F64" s="404"/>
      <c r="G64" s="408"/>
      <c r="H64" s="405"/>
      <c r="I64" s="405"/>
      <c r="J64" s="405"/>
      <c r="K64" s="405"/>
      <c r="L64" s="405"/>
      <c r="N64" s="304"/>
    </row>
    <row r="65" spans="2:38" outlineLevel="1">
      <c r="B65" s="390" t="s">
        <v>207</v>
      </c>
      <c r="C65" s="824">
        <f ca="1">D65</f>
        <v>0</v>
      </c>
      <c r="D65" s="403">
        <f ca="1">SUM(E65:F65)</f>
        <v>0</v>
      </c>
      <c r="E65" s="394">
        <f ca="1">test_eqbalance</f>
        <v>0</v>
      </c>
      <c r="F65" s="396">
        <f ca="1">test_eqtranslation</f>
        <v>0</v>
      </c>
      <c r="G65" s="396"/>
      <c r="H65" s="396"/>
      <c r="I65" s="396"/>
      <c r="J65" s="396"/>
      <c r="N65" s="304"/>
    </row>
    <row r="66" spans="2:38" outlineLevel="1">
      <c r="B66" s="390"/>
      <c r="C66" s="390"/>
      <c r="D66" s="396"/>
      <c r="E66" s="405"/>
      <c r="F66" s="405"/>
      <c r="G66" s="405"/>
      <c r="H66" s="405"/>
      <c r="I66" s="405"/>
      <c r="J66" s="405"/>
      <c r="K66" s="405"/>
      <c r="L66" s="405"/>
      <c r="M66" s="405"/>
      <c r="N66" s="304"/>
    </row>
    <row r="67" spans="2:38" outlineLevel="1">
      <c r="B67" s="399" t="s">
        <v>19</v>
      </c>
      <c r="C67" s="825">
        <f ca="1">D67</f>
        <v>1.4551915228366852E-11</v>
      </c>
      <c r="D67" s="400">
        <f ca="1">SUM(D68:D71)</f>
        <v>1.4551915228366852E-11</v>
      </c>
      <c r="E67" s="405"/>
      <c r="F67" s="405"/>
      <c r="G67" s="405"/>
      <c r="H67" s="405"/>
      <c r="I67" s="405"/>
      <c r="J67" s="405"/>
      <c r="K67" s="405"/>
      <c r="L67" s="405"/>
      <c r="M67" s="405"/>
      <c r="N67" s="304"/>
    </row>
    <row r="68" spans="2:38" outlineLevel="1">
      <c r="B68" s="390" t="s">
        <v>208</v>
      </c>
      <c r="C68" s="824">
        <f ca="1">D68</f>
        <v>0</v>
      </c>
      <c r="D68" s="409">
        <f ca="1">SUM(E68:H68)</f>
        <v>0</v>
      </c>
      <c r="E68" s="394">
        <f ca="1">test_mindscr</f>
        <v>0</v>
      </c>
      <c r="F68" s="396">
        <f ca="1">test_minjdscr</f>
        <v>0</v>
      </c>
      <c r="G68" s="396">
        <f ca="1">test_gearing1</f>
        <v>0</v>
      </c>
      <c r="H68" s="396">
        <f ca="1">test_gearing2</f>
        <v>0</v>
      </c>
      <c r="I68" s="405">
        <f ca="1">BS!E39</f>
        <v>39</v>
      </c>
      <c r="K68" s="405"/>
      <c r="L68" s="405"/>
      <c r="N68" s="304"/>
    </row>
    <row r="69" spans="2:38" outlineLevel="1">
      <c r="B69" s="390" t="s">
        <v>209</v>
      </c>
      <c r="C69" s="824">
        <f ca="1">D69</f>
        <v>0</v>
      </c>
      <c r="D69" s="410">
        <f ca="1">SUM(E69:F69)</f>
        <v>0</v>
      </c>
      <c r="E69" s="394">
        <f ca="1">test_dsra2</f>
        <v>0</v>
      </c>
      <c r="F69" s="396"/>
      <c r="G69" s="405"/>
      <c r="H69" s="405"/>
      <c r="I69" s="405"/>
      <c r="J69" s="405"/>
      <c r="K69" s="405"/>
      <c r="L69" s="405"/>
      <c r="N69" s="304"/>
    </row>
    <row r="70" spans="2:38" outlineLevel="1">
      <c r="B70" s="390" t="s">
        <v>210</v>
      </c>
      <c r="C70" s="824">
        <f ca="1">D70</f>
        <v>1.4551915228366852E-11</v>
      </c>
      <c r="D70" s="410">
        <f ca="1">SUM(E70:H70)</f>
        <v>1.4551915228366852E-11</v>
      </c>
      <c r="E70" s="394">
        <f ca="1">test_vatfacility</f>
        <v>0</v>
      </c>
      <c r="F70" s="396">
        <f ca="1">test_sdbalance</f>
        <v>1.4551915228366852E-11</v>
      </c>
      <c r="G70" s="396">
        <f ca="1">test_jdfunding</f>
        <v>0</v>
      </c>
      <c r="H70" s="396">
        <f ca="1">test_jdprincipal</f>
        <v>0</v>
      </c>
      <c r="J70" s="402"/>
      <c r="N70" s="304"/>
    </row>
    <row r="71" spans="2:38" outlineLevel="1" collapsed="1">
      <c r="B71" s="390" t="s">
        <v>211</v>
      </c>
      <c r="C71" s="824">
        <f ca="1">D71</f>
        <v>0</v>
      </c>
      <c r="D71" s="403">
        <f ca="1">SUM(E71)</f>
        <v>0</v>
      </c>
      <c r="E71" s="394">
        <f ca="1">test_jdrepayment</f>
        <v>0</v>
      </c>
      <c r="G71" s="407"/>
      <c r="H71" s="407"/>
      <c r="I71" s="402"/>
      <c r="J71" s="405"/>
      <c r="K71" s="402"/>
      <c r="N71" s="304"/>
    </row>
    <row r="72" spans="2:38" outlineLevel="1">
      <c r="E72" s="396"/>
      <c r="F72" s="396"/>
      <c r="G72" s="396"/>
      <c r="H72" s="396"/>
      <c r="I72" s="396"/>
      <c r="J72" s="396"/>
    </row>
    <row r="73" spans="2:38" outlineLevel="1">
      <c r="B73" s="392" t="s">
        <v>212</v>
      </c>
      <c r="C73" s="393"/>
      <c r="D73" s="411"/>
      <c r="E73" s="396"/>
      <c r="F73" s="396"/>
      <c r="G73" s="396"/>
      <c r="H73" s="396"/>
      <c r="I73" s="396"/>
      <c r="J73" s="396"/>
    </row>
    <row r="74" spans="2:38" outlineLevel="1">
      <c r="B74" s="304" t="s">
        <v>213</v>
      </c>
      <c r="C74" s="412"/>
      <c r="D74" s="413">
        <f>SUMIF(Flags!$G$8:$DW$8,D$75*Flags!$B$7,Flags!$G$6:$DW$6)</f>
        <v>47664</v>
      </c>
      <c r="E74" s="413">
        <f>SUMIF(Flags!$G$8:$DW$8,E$75*Flags!$B$7,Flags!$G$6:$DW$6)</f>
        <v>48029</v>
      </c>
      <c r="F74" s="413">
        <f>SUMIF(Flags!$G$8:$DW$8,F$75*Flags!$B$7,Flags!$G$6:$DW$6)</f>
        <v>48395</v>
      </c>
      <c r="G74" s="413">
        <f>SUMIF(Flags!$G$8:$DW$8,G$75*Flags!$B$7,Flags!$G$6:$DW$6)</f>
        <v>48760</v>
      </c>
      <c r="H74" s="413">
        <f>SUMIF(Flags!$G$8:$DW$8,H$75*Flags!$B$7,Flags!$G$6:$DW$6)</f>
        <v>49125</v>
      </c>
      <c r="I74" s="413">
        <f>SUMIF(Flags!$G$8:$DW$8,I$75*Flags!$B$7,Flags!$G$6:$DW$6)</f>
        <v>49490</v>
      </c>
      <c r="J74" s="413">
        <f>SUMIF(Flags!$G$8:$DW$8,J$75*Flags!$B$7,Flags!$G$6:$DW$6)</f>
        <v>49856</v>
      </c>
      <c r="K74" s="413">
        <f>SUMIF(Flags!$G$8:$DW$8,K$75*Flags!$B$7,Flags!$G$6:$DW$6)</f>
        <v>50221</v>
      </c>
      <c r="L74" s="413">
        <f>SUMIF(Flags!$G$8:$DW$8,L$75*Flags!$B$7,Flags!$G$6:$DW$6)</f>
        <v>50586</v>
      </c>
      <c r="M74" s="413">
        <f>SUMIF(Flags!$G$8:$DW$8,M$75*Flags!$B$7,Flags!$G$6:$DW$6)</f>
        <v>50951</v>
      </c>
      <c r="N74" s="413">
        <f>SUMIF(Flags!$G$8:$DW$8,N$75*Flags!$B$7,Flags!$G$6:$DW$6)</f>
        <v>51317</v>
      </c>
      <c r="O74" s="413">
        <f>SUMIF(Flags!$G$8:$DW$8,O$75*Flags!$B$7,Flags!$G$6:$DW$6)</f>
        <v>51682</v>
      </c>
      <c r="P74" s="413">
        <f>SUMIF(Flags!$G$8:$DW$8,P$75*Flags!$B$7,Flags!$G$6:$DW$6)</f>
        <v>52047</v>
      </c>
      <c r="Q74" s="413">
        <f>SUMIF(Flags!$G$8:$DW$8,Q$75*Flags!$B$7,Flags!$G$6:$DW$6)</f>
        <v>52412</v>
      </c>
      <c r="R74" s="413">
        <f>SUMIF(Flags!$G$8:$DW$8,R$75*Flags!$B$7,Flags!$G$6:$DW$6)</f>
        <v>52778</v>
      </c>
      <c r="S74" s="413">
        <f>SUMIF(Flags!$G$8:$DW$8,S$75*Flags!$B$7,Flags!$G$6:$DW$6)</f>
        <v>53143</v>
      </c>
      <c r="T74" s="413">
        <f>SUMIF(Flags!$G$8:$DW$8,T$75*Flags!$B$7,Flags!$G$6:$DW$6)</f>
        <v>53508</v>
      </c>
      <c r="U74" s="413">
        <f>SUMIF(Flags!$G$8:$DW$8,U$75*Flags!$B$7,Flags!$G$6:$DW$6)</f>
        <v>53873</v>
      </c>
      <c r="V74" s="413">
        <f>SUMIF(Flags!$G$8:$DW$8,V$75*Flags!$B$7,Flags!$G$6:$DW$6)</f>
        <v>54239</v>
      </c>
      <c r="W74" s="413">
        <f>SUMIF(Flags!$G$8:$DW$8,W$75*Flags!$B$7,Flags!$G$6:$DW$6)</f>
        <v>54604</v>
      </c>
      <c r="X74" s="413">
        <f>SUMIF(Flags!$G$8:$DW$8,X$75*Flags!$B$7,Flags!$G$6:$DW$6)</f>
        <v>54969</v>
      </c>
      <c r="Y74" s="413">
        <f>SUMIF(Flags!$G$8:$DW$8,Y$75*Flags!$B$7,Flags!$G$6:$DW$6)</f>
        <v>55334</v>
      </c>
      <c r="Z74" s="413">
        <f>SUMIF(Flags!$G$8:$DW$8,Z$75*Flags!$B$7,Flags!$G$6:$DW$6)</f>
        <v>55700</v>
      </c>
      <c r="AA74" s="413">
        <f>SUMIF(Flags!$G$8:$DW$8,AA$75*Flags!$B$7,Flags!$G$6:$DW$6)</f>
        <v>56065</v>
      </c>
      <c r="AB74" s="413">
        <f>SUMIF(Flags!$G$8:$DW$8,AB$75*Flags!$B$7,Flags!$G$6:$DW$6)</f>
        <v>56430</v>
      </c>
      <c r="AC74" s="413">
        <f>SUMIF(Flags!$G$8:$DW$8,AC$75*Flags!$B$7,Flags!$G$6:$DW$6)</f>
        <v>56795</v>
      </c>
      <c r="AD74" s="412"/>
      <c r="AE74" s="412"/>
      <c r="AF74" s="412"/>
      <c r="AG74" s="412"/>
      <c r="AH74" s="412"/>
      <c r="AI74" s="412"/>
      <c r="AJ74" s="412"/>
      <c r="AK74" s="412"/>
      <c r="AL74" s="412"/>
    </row>
    <row r="75" spans="2:38" outlineLevel="1">
      <c r="B75" s="304" t="s">
        <v>214</v>
      </c>
      <c r="C75" s="412"/>
      <c r="D75" s="414">
        <v>0</v>
      </c>
      <c r="E75" s="414">
        <f>D75+1</f>
        <v>1</v>
      </c>
      <c r="F75" s="414">
        <f t="shared" ref="F75:AC75" si="1">E75+1</f>
        <v>2</v>
      </c>
      <c r="G75" s="414">
        <f t="shared" si="1"/>
        <v>3</v>
      </c>
      <c r="H75" s="414">
        <f t="shared" si="1"/>
        <v>4</v>
      </c>
      <c r="I75" s="414">
        <f t="shared" si="1"/>
        <v>5</v>
      </c>
      <c r="J75" s="414">
        <f t="shared" si="1"/>
        <v>6</v>
      </c>
      <c r="K75" s="414">
        <f t="shared" si="1"/>
        <v>7</v>
      </c>
      <c r="L75" s="414">
        <f t="shared" si="1"/>
        <v>8</v>
      </c>
      <c r="M75" s="414">
        <f t="shared" si="1"/>
        <v>9</v>
      </c>
      <c r="N75" s="414">
        <f t="shared" si="1"/>
        <v>10</v>
      </c>
      <c r="O75" s="414">
        <f t="shared" si="1"/>
        <v>11</v>
      </c>
      <c r="P75" s="414">
        <f t="shared" si="1"/>
        <v>12</v>
      </c>
      <c r="Q75" s="414">
        <f t="shared" si="1"/>
        <v>13</v>
      </c>
      <c r="R75" s="414">
        <f t="shared" si="1"/>
        <v>14</v>
      </c>
      <c r="S75" s="414">
        <f t="shared" si="1"/>
        <v>15</v>
      </c>
      <c r="T75" s="414">
        <f t="shared" si="1"/>
        <v>16</v>
      </c>
      <c r="U75" s="414">
        <f t="shared" si="1"/>
        <v>17</v>
      </c>
      <c r="V75" s="414">
        <f t="shared" si="1"/>
        <v>18</v>
      </c>
      <c r="W75" s="414">
        <f t="shared" si="1"/>
        <v>19</v>
      </c>
      <c r="X75" s="414">
        <f t="shared" si="1"/>
        <v>20</v>
      </c>
      <c r="Y75" s="414">
        <f t="shared" si="1"/>
        <v>21</v>
      </c>
      <c r="Z75" s="414">
        <f t="shared" si="1"/>
        <v>22</v>
      </c>
      <c r="AA75" s="414">
        <f t="shared" si="1"/>
        <v>23</v>
      </c>
      <c r="AB75" s="414">
        <f t="shared" si="1"/>
        <v>24</v>
      </c>
      <c r="AC75" s="414">
        <f t="shared" si="1"/>
        <v>25</v>
      </c>
      <c r="AD75" s="412"/>
      <c r="AE75" s="412"/>
      <c r="AF75" s="412"/>
      <c r="AG75" s="412"/>
      <c r="AH75" s="412"/>
      <c r="AI75" s="412"/>
      <c r="AJ75" s="412"/>
      <c r="AK75" s="412"/>
      <c r="AL75" s="412"/>
    </row>
    <row r="76" spans="2:38" outlineLevel="1">
      <c r="B76" s="304" t="s">
        <v>215</v>
      </c>
      <c r="C76" s="415"/>
      <c r="D76" s="233">
        <f ca="1">(SUMIF(CF!$G$4:$DW$4,D$75,CF!$G$23:$DW$23)+SUMIF(CF!$G$4:$DW$4,D$75,CF!$G$76:$DW$76))*(D$75&gt;0)</f>
        <v>0</v>
      </c>
      <c r="E76" s="233">
        <f ca="1">(SUMIF(CF!$G$4:$DW$4,E$75,CF!$G$23:$DW$23)+SUMIF(CF!$G$4:$DW$4,E$75,CF!$G$76:$DW$76))*(E$75&gt;0)</f>
        <v>6446.7535300740001</v>
      </c>
      <c r="F76" s="233">
        <f ca="1">(SUMIF(CF!$G$4:$DW$4,F$75,CF!$G$23:$DW$23)+SUMIF(CF!$G$4:$DW$4,F$75,CF!$G$76:$DW$76))*(F$75&gt;0)</f>
        <v>6483.1879036857144</v>
      </c>
      <c r="G76" s="233">
        <f ca="1">(SUMIF(CF!$G$4:$DW$4,G$75,CF!$G$23:$DW$23)+SUMIF(CF!$G$4:$DW$4,G$75,CF!$G$76:$DW$76))*(G$75&gt;0)</f>
        <v>6582.9455364388668</v>
      </c>
      <c r="H76" s="233">
        <f ca="1">(SUMIF(CF!$G$4:$DW$4,H$75,CF!$G$23:$DW$23)+SUMIF(CF!$G$4:$DW$4,H$75,CF!$G$76:$DW$76))*(H$75&gt;0)</f>
        <v>6684.4795157793378</v>
      </c>
      <c r="I76" s="233">
        <f ca="1">(SUMIF(CF!$G$4:$DW$4,I$75,CF!$G$23:$DW$23)+SUMIF(CF!$G$4:$DW$4,I$75,CF!$G$76:$DW$76))*(I$75&gt;0)</f>
        <v>6787.6429821253059</v>
      </c>
      <c r="J76" s="233">
        <f ca="1">(SUMIF(CF!$G$4:$DW$4,J$75,CF!$G$23:$DW$23)+SUMIF(CF!$G$4:$DW$4,J$75,CF!$G$76:$DW$76))*(J$75&gt;0)</f>
        <v>6892.645407156082</v>
      </c>
      <c r="K76" s="233">
        <f ca="1">(SUMIF(CF!$G$4:$DW$4,K$75,CF!$G$23:$DW$23)+SUMIF(CF!$G$4:$DW$4,K$75,CF!$G$76:$DW$76))*(K$75&gt;0)</f>
        <v>6998.9623448740076</v>
      </c>
      <c r="L76" s="233">
        <f ca="1">(SUMIF(CF!$G$4:$DW$4,L$75,CF!$G$23:$DW$23)+SUMIF(CF!$G$4:$DW$4,L$75,CF!$G$76:$DW$76))*(L$75&gt;0)</f>
        <v>7107.1712632724457</v>
      </c>
      <c r="M76" s="233">
        <f ca="1">(SUMIF(CF!$G$4:$DW$4,M$75,CF!$G$23:$DW$23)+SUMIF(CF!$G$4:$DW$4,M$75,CF!$G$76:$DW$76))*(M$75&gt;0)</f>
        <v>7217.1157259003139</v>
      </c>
      <c r="N76" s="233">
        <f ca="1">(SUMIF(CF!$G$4:$DW$4,N$75,CF!$G$23:$DW$23)+SUMIF(CF!$G$4:$DW$4,N$75,CF!$G$76:$DW$76))*(N$75&gt;0)</f>
        <v>7329.0188663780882</v>
      </c>
      <c r="O76" s="233">
        <f ca="1">(SUMIF(CF!$G$4:$DW$4,O$75,CF!$G$23:$DW$23)+SUMIF(CF!$G$4:$DW$4,O$75,CF!$G$76:$DW$76))*(O$75&gt;0)</f>
        <v>7442.322036823256</v>
      </c>
      <c r="P76" s="233">
        <f ca="1">(SUMIF(CF!$G$4:$DW$4,P$75,CF!$G$23:$DW$23)+SUMIF(CF!$G$4:$DW$4,P$75,CF!$G$76:$DW$76))*(P$75&gt;0)</f>
        <v>7557.6403667357754</v>
      </c>
      <c r="Q76" s="233">
        <f ca="1">(SUMIF(CF!$G$4:$DW$4,Q$75,CF!$G$23:$DW$23)+SUMIF(CF!$G$4:$DW$4,Q$75,CF!$G$76:$DW$76))*(Q$75&gt;0)</f>
        <v>7886.1289093971718</v>
      </c>
      <c r="R76" s="233">
        <f ca="1">(SUMIF(CF!$G$4:$DW$4,R$75,CF!$G$23:$DW$23)+SUMIF(CF!$G$4:$DW$4,R$75,CF!$G$76:$DW$76))*(R$75&gt;0)</f>
        <v>7901.4477701875367</v>
      </c>
      <c r="S76" s="233">
        <f ca="1">(SUMIF(CF!$G$4:$DW$4,S$75,CF!$G$23:$DW$23)+SUMIF(CF!$G$4:$DW$4,S$75,CF!$G$76:$DW$76))*(S$75&gt;0)</f>
        <v>7783.0577812844604</v>
      </c>
      <c r="T76" s="233">
        <f ca="1">(SUMIF(CF!$G$4:$DW$4,T$75,CF!$G$23:$DW$23)+SUMIF(CF!$G$4:$DW$4,T$75,CF!$G$76:$DW$76))*(T$75&gt;0)</f>
        <v>7738.0253108680072</v>
      </c>
      <c r="U76" s="233">
        <f ca="1">(SUMIF(CF!$G$4:$DW$4,U$75,CF!$G$23:$DW$23)+SUMIF(CF!$G$4:$DW$4,U$75,CF!$G$76:$DW$76))*(U$75&gt;0)</f>
        <v>7876.969718694595</v>
      </c>
      <c r="V76" s="233">
        <f ca="1">(SUMIF(CF!$G$4:$DW$4,V$75,CF!$G$23:$DW$23)+SUMIF(CF!$G$4:$DW$4,V$75,CF!$G$76:$DW$76))*(V$75&gt;0)</f>
        <v>8014.7818688132766</v>
      </c>
      <c r="W76" s="233">
        <f ca="1">(SUMIF(CF!$G$4:$DW$4,W$75,CF!$G$23:$DW$23)+SUMIF(CF!$G$4:$DW$4,W$75,CF!$G$76:$DW$76))*(W$75&gt;0)</f>
        <v>8151.588671669404</v>
      </c>
      <c r="X76" s="233">
        <f ca="1">(SUMIF(CF!$G$4:$DW$4,X$75,CF!$G$23:$DW$23)+SUMIF(CF!$G$4:$DW$4,X$75,CF!$G$76:$DW$76))*(X$75&gt;0)</f>
        <v>8288.9548097558109</v>
      </c>
      <c r="Y76" s="233">
        <f ca="1">(SUMIF(CF!$G$4:$DW$4,Y$75,CF!$G$23:$DW$23)+SUMIF(CF!$G$4:$DW$4,Y$75,CF!$G$76:$DW$76))*(Y$75&gt;0)</f>
        <v>8455.3817926267729</v>
      </c>
      <c r="Z76" s="233">
        <f ca="1">(SUMIF(CF!$G$4:$DW$4,Z$75,CF!$G$23:$DW$23)+SUMIF(CF!$G$4:$DW$4,Z$75,CF!$G$76:$DW$76))*(Z$75&gt;0)</f>
        <v>8616.2708811671364</v>
      </c>
      <c r="AA76" s="233">
        <f ca="1">(SUMIF(CF!$G$4:$DW$4,AA$75,CF!$G$23:$DW$23)+SUMIF(CF!$G$4:$DW$4,AA$75,CF!$G$76:$DW$76))*(AA$75&gt;0)</f>
        <v>8750.8180329323368</v>
      </c>
      <c r="AB76" s="233">
        <f ca="1">(SUMIF(CF!$G$4:$DW$4,AB$75,CF!$G$23:$DW$23)+SUMIF(CF!$G$4:$DW$4,AB$75,CF!$G$76:$DW$76))*(AB$75&gt;0)</f>
        <v>8909.8907761819337</v>
      </c>
      <c r="AC76" s="233">
        <f ca="1">(SUMIF(CF!$G$4:$DW$4,AC$75,CF!$G$23:$DW$23)+SUMIF(CF!$G$4:$DW$4,AC$75,CF!$G$76:$DW$76))*(AC$75&gt;0)</f>
        <v>9068.6799155520857</v>
      </c>
      <c r="AD76" s="233"/>
      <c r="AE76" s="233"/>
      <c r="AF76" s="233"/>
      <c r="AG76" s="233"/>
      <c r="AH76" s="233"/>
      <c r="AI76" s="233"/>
      <c r="AJ76" s="233"/>
      <c r="AK76" s="233"/>
      <c r="AL76" s="233"/>
    </row>
    <row r="77" spans="2:38" outlineLevel="1">
      <c r="B77" s="304" t="s">
        <v>216</v>
      </c>
      <c r="D77" s="233">
        <f ca="1">(-SUMIF(CF!$G$4:$DW$4,D$75,CF!$G$49:$DW$49)-SUMIF(Macro!$G$33:$DW$33,D$75,Macro!$G$43:$DW$43)-SUMIF(CF!$G$4:$DW$4,D$75,CF!$G$76:$DW$76))*(D$75&gt;0)</f>
        <v>0</v>
      </c>
      <c r="E77" s="233">
        <f ca="1">(-SUMIF(CF!$G$4:$DW$4,E$75,CF!$G$49:$DW$49)-SUMIF(Macro!$G$33:$DW$33,E$75,Macro!$G$43:$DW$43)-SUMIF(CF!$G$4:$DW$4,E$75,CF!$G$76:$DW$76))*(E$75&gt;0)</f>
        <v>1338.7304320000003</v>
      </c>
      <c r="F77" s="233">
        <f ca="1">(-SUMIF(CF!$G$4:$DW$4,F$75,CF!$G$49:$DW$49)-SUMIF(Macro!$G$33:$DW$33,F$75,Macro!$G$43:$DW$43)-SUMIF(CF!$G$4:$DW$4,F$75,CF!$G$76:$DW$76))*(F$75&gt;0)</f>
        <v>1295.7655359999999</v>
      </c>
      <c r="G77" s="233">
        <f ca="1">(-SUMIF(CF!$G$4:$DW$4,G$75,CF!$G$49:$DW$49)-SUMIF(Macro!$G$33:$DW$33,G$75,Macro!$G$43:$DW$43)-SUMIF(CF!$G$4:$DW$4,G$75,CF!$G$76:$DW$76))*(G$75&gt;0)</f>
        <v>1287.4144940800002</v>
      </c>
      <c r="H77" s="233">
        <f ca="1">(-SUMIF(CF!$G$4:$DW$4,H$75,CF!$G$49:$DW$49)-SUMIF(Macro!$G$33:$DW$33,H$75,Macro!$G$43:$DW$43)-SUMIF(CF!$G$4:$DW$4,H$75,CF!$G$76:$DW$76))*(H$75&gt;0)</f>
        <v>1309.1928793216</v>
      </c>
      <c r="I77" s="233">
        <f ca="1">(-SUMIF(CF!$G$4:$DW$4,I$75,CF!$G$49:$DW$49)-SUMIF(Macro!$G$33:$DW$33,I$75,Macro!$G$43:$DW$43)-SUMIF(CF!$G$4:$DW$4,I$75,CF!$G$76:$DW$76))*(I$75&gt;0)</f>
        <v>1331.4068322680321</v>
      </c>
      <c r="J77" s="233">
        <f ca="1">(-SUMIF(CF!$G$4:$DW$4,J$75,CF!$G$49:$DW$49)-SUMIF(Macro!$G$33:$DW$33,J$75,Macro!$G$43:$DW$43)-SUMIF(CF!$G$4:$DW$4,J$75,CF!$G$76:$DW$76))*(J$75&gt;0)</f>
        <v>1354.0650642733926</v>
      </c>
      <c r="K77" s="233">
        <f ca="1">(-SUMIF(CF!$G$4:$DW$4,K$75,CF!$G$49:$DW$49)-SUMIF(Macro!$G$33:$DW$33,K$75,Macro!$G$43:$DW$43)-SUMIF(CF!$G$4:$DW$4,K$75,CF!$G$76:$DW$76))*(K$75&gt;0)</f>
        <v>1377.1764609188608</v>
      </c>
      <c r="L77" s="233">
        <f ca="1">(-SUMIF(CF!$G$4:$DW$4,L$75,CF!$G$49:$DW$49)-SUMIF(Macro!$G$33:$DW$33,L$75,Macro!$G$43:$DW$43)-SUMIF(CF!$G$4:$DW$4,L$75,CF!$G$76:$DW$76))*(L$75&gt;0)</f>
        <v>1400.7500854972377</v>
      </c>
      <c r="M77" s="233">
        <f ca="1">(-SUMIF(CF!$G$4:$DW$4,M$75,CF!$G$49:$DW$49)-SUMIF(Macro!$G$33:$DW$33,M$75,Macro!$G$43:$DW$43)-SUMIF(CF!$G$4:$DW$4,M$75,CF!$G$76:$DW$76))*(M$75&gt;0)</f>
        <v>1424.7951825671826</v>
      </c>
      <c r="N77" s="233">
        <f ca="1">(-SUMIF(CF!$G$4:$DW$4,N$75,CF!$G$49:$DW$49)-SUMIF(Macro!$G$33:$DW$33,N$75,Macro!$G$43:$DW$43)-SUMIF(CF!$G$4:$DW$4,N$75,CF!$G$76:$DW$76))*(N$75&gt;0)</f>
        <v>1449.321181578526</v>
      </c>
      <c r="O77" s="233">
        <f ca="1">(-SUMIF(CF!$G$4:$DW$4,O$75,CF!$G$49:$DW$49)-SUMIF(Macro!$G$33:$DW$33,O$75,Macro!$G$43:$DW$43)-SUMIF(CF!$G$4:$DW$4,O$75,CF!$G$76:$DW$76))*(O$75&gt;0)</f>
        <v>1862.1561965700964</v>
      </c>
      <c r="P77" s="233">
        <f ca="1">(-SUMIF(CF!$G$4:$DW$4,P$75,CF!$G$49:$DW$49)-SUMIF(Macro!$G$33:$DW$33,P$75,Macro!$G$43:$DW$43)-SUMIF(CF!$G$4:$DW$4,P$75,CF!$G$76:$DW$76))*(P$75&gt;0)</f>
        <v>1887.673045941498</v>
      </c>
      <c r="Q77" s="233">
        <f ca="1">(-SUMIF(CF!$G$4:$DW$4,Q$75,CF!$G$49:$DW$49)-SUMIF(Macro!$G$33:$DW$33,Q$75,Macro!$G$43:$DW$43)-SUMIF(CF!$G$4:$DW$4,Q$75,CF!$G$76:$DW$76))*(Q$75&gt;0)</f>
        <v>1913.7002323003285</v>
      </c>
      <c r="R77" s="233">
        <f ca="1">(-SUMIF(CF!$G$4:$DW$4,R$75,CF!$G$49:$DW$49)-SUMIF(Macro!$G$33:$DW$33,R$75,Macro!$G$43:$DW$43)-SUMIF(CF!$G$4:$DW$4,R$75,CF!$G$76:$DW$76))*(R$75&gt;0)</f>
        <v>1940.2479623863351</v>
      </c>
      <c r="S77" s="233">
        <f ca="1">(-SUMIF(CF!$G$4:$DW$4,S$75,CF!$G$49:$DW$49)-SUMIF(Macro!$G$33:$DW$33,S$75,Macro!$G$43:$DW$43)-SUMIF(CF!$G$4:$DW$4,S$75,CF!$G$76:$DW$76))*(S$75&gt;0)</f>
        <v>1939.8814888023539</v>
      </c>
      <c r="T77" s="233">
        <f ca="1">(-SUMIF(CF!$G$4:$DW$4,T$75,CF!$G$49:$DW$49)-SUMIF(Macro!$G$33:$DW$33,T$75,Macro!$G$43:$DW$43)-SUMIF(CF!$G$4:$DW$4,T$75,CF!$G$76:$DW$76))*(T$75&gt;0)</f>
        <v>1966.9528440184008</v>
      </c>
      <c r="U77" s="233">
        <f ca="1">(-SUMIF(CF!$G$4:$DW$4,U$75,CF!$G$49:$DW$49)-SUMIF(Macro!$G$33:$DW$33,U$75,Macro!$G$43:$DW$43)-SUMIF(CF!$G$4:$DW$4,U$75,CF!$G$76:$DW$76))*(U$75&gt;0)</f>
        <v>1994.5656263387689</v>
      </c>
      <c r="V77" s="233">
        <f ca="1">(-SUMIF(CF!$G$4:$DW$4,V$75,CF!$G$49:$DW$49)-SUMIF(Macro!$G$33:$DW$33,V$75,Macro!$G$43:$DW$43)-SUMIF(CF!$G$4:$DW$4,V$75,CF!$G$76:$DW$76))*(V$75&gt;0)</f>
        <v>2022.7306643055447</v>
      </c>
      <c r="W77" s="233">
        <f ca="1">(-SUMIF(CF!$G$4:$DW$4,W$75,CF!$G$49:$DW$49)-SUMIF(Macro!$G$33:$DW$33,W$75,Macro!$G$43:$DW$43)-SUMIF(CF!$G$4:$DW$4,W$75,CF!$G$76:$DW$76))*(W$75&gt;0)</f>
        <v>2051.4590030316554</v>
      </c>
      <c r="X77" s="233">
        <f ca="1">(-SUMIF(CF!$G$4:$DW$4,X$75,CF!$G$49:$DW$49)-SUMIF(Macro!$G$33:$DW$33,X$75,Macro!$G$43:$DW$43)-SUMIF(CF!$G$4:$DW$4,X$75,CF!$G$76:$DW$76))*(X$75&gt;0)</f>
        <v>2080.7619085322885</v>
      </c>
      <c r="Y77" s="233">
        <f ca="1">(-SUMIF(CF!$G$4:$DW$4,Y$75,CF!$G$49:$DW$49)-SUMIF(Macro!$G$33:$DW$33,Y$75,Macro!$G$43:$DW$43)-SUMIF(CF!$G$4:$DW$4,Y$75,CF!$G$76:$DW$76))*(Y$75&gt;0)</f>
        <v>2105.1508721429341</v>
      </c>
      <c r="Z77" s="233">
        <f ca="1">(-SUMIF(CF!$G$4:$DW$4,Z$75,CF!$G$49:$DW$49)-SUMIF(Macro!$G$33:$DW$33,Z$75,Macro!$G$43:$DW$43)-SUMIF(CF!$G$4:$DW$4,Z$75,CF!$G$76:$DW$76))*(Z$75&gt;0)</f>
        <v>2135.6376150257925</v>
      </c>
      <c r="AA77" s="233">
        <f ca="1">(-SUMIF(CF!$G$4:$DW$4,AA$75,CF!$G$49:$DW$49)-SUMIF(Macro!$G$33:$DW$33,AA$75,Macro!$G$43:$DW$43)-SUMIF(CF!$G$4:$DW$4,AA$75,CF!$G$76:$DW$76))*(AA$75&gt;0)</f>
        <v>2166.7340927663085</v>
      </c>
      <c r="AB77" s="233">
        <f ca="1">(-SUMIF(CF!$G$4:$DW$4,AB$75,CF!$G$49:$DW$49)-SUMIF(Macro!$G$33:$DW$33,AB$75,Macro!$G$43:$DW$43)-SUMIF(CF!$G$4:$DW$4,AB$75,CF!$G$76:$DW$76))*(AB$75&gt;0)</f>
        <v>2198.4525000616341</v>
      </c>
      <c r="AC77" s="233">
        <f ca="1">(-SUMIF(CF!$G$4:$DW$4,AC$75,CF!$G$49:$DW$49)-SUMIF(Macro!$G$33:$DW$33,AC$75,Macro!$G$43:$DW$43)-SUMIF(CF!$G$4:$DW$4,AC$75,CF!$G$76:$DW$76))*(AC$75&gt;0)</f>
        <v>2230.8052755028671</v>
      </c>
      <c r="AD77" s="233"/>
      <c r="AE77" s="233"/>
      <c r="AF77" s="233"/>
      <c r="AG77" s="233"/>
      <c r="AH77" s="233"/>
      <c r="AI77" s="233"/>
      <c r="AJ77" s="233"/>
      <c r="AK77" s="233"/>
      <c r="AL77" s="233"/>
    </row>
    <row r="78" spans="2:38" outlineLevel="1">
      <c r="B78" s="304" t="s">
        <v>217</v>
      </c>
      <c r="D78" s="233">
        <f>-SUMIF(CF!$G$4:$DW$4,D$75,CF!$G$77:$DW$77)*(D$75&gt;0)</f>
        <v>0</v>
      </c>
      <c r="E78" s="233">
        <f>-SUMIF(CF!$G$4:$DW$4,E$75,CF!$G$77:$DW$77)*(E$75&gt;0)</f>
        <v>0</v>
      </c>
      <c r="F78" s="233">
        <f>-SUMIF(CF!$G$4:$DW$4,F$75,CF!$G$77:$DW$77)*(F$75&gt;0)</f>
        <v>0</v>
      </c>
      <c r="G78" s="233">
        <f>-SUMIF(CF!$G$4:$DW$4,G$75,CF!$G$77:$DW$77)*(G$75&gt;0)</f>
        <v>8.9040490955094818</v>
      </c>
      <c r="H78" s="233">
        <f>-SUMIF(CF!$G$4:$DW$4,H$75,CF!$G$77:$DW$77)*(H$75&gt;0)</f>
        <v>31.336962777804274</v>
      </c>
      <c r="I78" s="233">
        <f>-SUMIF(CF!$G$4:$DW$4,I$75,CF!$G$77:$DW$77)*(I$75&gt;0)</f>
        <v>54.454350041205764</v>
      </c>
      <c r="J78" s="233">
        <f>-SUMIF(CF!$G$4:$DW$4,J$75,CF!$G$77:$DW$77)*(J$75&gt;0)</f>
        <v>78.215568397135684</v>
      </c>
      <c r="K78" s="233">
        <f>-SUMIF(CF!$G$4:$DW$4,K$75,CF!$G$77:$DW$77)*(K$75&gt;0)</f>
        <v>104.29075994632126</v>
      </c>
      <c r="L78" s="233">
        <f>-SUMIF(CF!$G$4:$DW$4,L$75,CF!$G$77:$DW$77)*(L$75&gt;0)</f>
        <v>131.51136796406126</v>
      </c>
      <c r="M78" s="233">
        <f>-SUMIF(CF!$G$4:$DW$4,M$75,CF!$G$77:$DW$77)*(M$75&gt;0)</f>
        <v>160.43809095155504</v>
      </c>
      <c r="N78" s="233">
        <f>-SUMIF(CF!$G$4:$DW$4,N$75,CF!$G$77:$DW$77)*(N$75&gt;0)</f>
        <v>190.87897685546332</v>
      </c>
      <c r="O78" s="233">
        <f>-SUMIF(CF!$G$4:$DW$4,O$75,CF!$G$77:$DW$77)*(O$75&gt;0)</f>
        <v>184.43495072012698</v>
      </c>
      <c r="P78" s="233">
        <f>-SUMIF(CF!$G$4:$DW$4,P$75,CF!$G$77:$DW$77)*(P$75&gt;0)</f>
        <v>217.1428458446205</v>
      </c>
      <c r="Q78" s="233">
        <f>-SUMIF(CF!$G$4:$DW$4,Q$75,CF!$G$77:$DW$77)*(Q$75&gt;0)</f>
        <v>285.10673595316121</v>
      </c>
      <c r="R78" s="233">
        <f>-SUMIF(CF!$G$4:$DW$4,R$75,CF!$G$77:$DW$77)*(R$75&gt;0)</f>
        <v>301.61782354670004</v>
      </c>
      <c r="S78" s="233">
        <f>-SUMIF(CF!$G$4:$DW$4,S$75,CF!$G$77:$DW$77)*(S$75&gt;0)</f>
        <v>303.21185389188378</v>
      </c>
      <c r="T78" s="233">
        <f>-SUMIF(CF!$G$4:$DW$4,T$75,CF!$G$77:$DW$77)*(T$75&gt;0)</f>
        <v>296.00147132863373</v>
      </c>
      <c r="U78" s="233">
        <f>-SUMIF(CF!$G$4:$DW$4,U$75,CF!$G$77:$DW$77)*(U$75&gt;0)</f>
        <v>307.13463387925572</v>
      </c>
      <c r="V78" s="233">
        <f>-SUMIF(CF!$G$4:$DW$4,V$75,CF!$G$77:$DW$77)*(V$75&gt;0)</f>
        <v>318.09934509444628</v>
      </c>
      <c r="W78" s="233">
        <f>-SUMIF(CF!$G$4:$DW$4,W$75,CF!$G$77:$DW$77)*(W$75&gt;0)</f>
        <v>328.90719150744792</v>
      </c>
      <c r="X78" s="233">
        <f>-SUMIF(CF!$G$4:$DW$4,X$75,CF!$G$77:$DW$77)*(X$75&gt;0)</f>
        <v>339.7135147660253</v>
      </c>
      <c r="Y78" s="233">
        <f>-SUMIF(CF!$G$4:$DW$4,Y$75,CF!$G$77:$DW$77)*(Y$75&gt;0)</f>
        <v>634.47309204838393</v>
      </c>
      <c r="Z78" s="233">
        <f>-SUMIF(CF!$G$4:$DW$4,Z$75,CF!$G$77:$DW$77)*(Z$75&gt;0)</f>
        <v>647.51332661413426</v>
      </c>
      <c r="AA78" s="233">
        <f>-SUMIF(CF!$G$4:$DW$4,AA$75,CF!$G$77:$DW$77)*(AA$75&gt;0)</f>
        <v>657.85839401660292</v>
      </c>
      <c r="AB78" s="233">
        <f>-SUMIF(CF!$G$4:$DW$4,AB$75,CF!$G$77:$DW$77)*(AB$75&gt;0)</f>
        <v>670.59382761203005</v>
      </c>
      <c r="AC78" s="233">
        <f>-SUMIF(CF!$G$4:$DW$4,AC$75,CF!$G$77:$DW$77)*(AC$75&gt;0)</f>
        <v>683.23746400492189</v>
      </c>
      <c r="AD78" s="233"/>
      <c r="AE78" s="233"/>
      <c r="AF78" s="233"/>
      <c r="AG78" s="233"/>
      <c r="AH78" s="233"/>
      <c r="AI78" s="233"/>
      <c r="AJ78" s="233"/>
      <c r="AK78" s="233"/>
      <c r="AL78" s="233"/>
    </row>
    <row r="79" spans="2:38" outlineLevel="1">
      <c r="B79" s="304" t="s">
        <v>218</v>
      </c>
      <c r="D79" s="233">
        <f ca="1">(-SUMIF(CF!$G$4:$DW$4,D$75,CF!$G$83:$DW$83)-SUMIF(CF!$G$4:$DW$4,D$75,CF!$G$80:$DW$80)-SUMIF(CF!$G$4:$DW$4,D$75,CF!$G$92:$DW$92))*(D$75&gt;0)</f>
        <v>0</v>
      </c>
      <c r="E79" s="233">
        <f ca="1">(-SUMIF(CF!$G$4:$DW$4,E$75,CF!$G$83:$DW$83)-SUMIF(CF!$G$4:$DW$4,E$75,CF!$G$80:$DW$80)-SUMIF(CF!$G$4:$DW$4,E$75,CF!$G$92:$DW$92))*(E$75&gt;0)</f>
        <v>4441.7592157165218</v>
      </c>
      <c r="F79" s="233">
        <f ca="1">(-SUMIF(CF!$G$4:$DW$4,F$75,CF!$G$83:$DW$83)-SUMIF(CF!$G$4:$DW$4,F$75,CF!$G$80:$DW$80)-SUMIF(CF!$G$4:$DW$4,F$75,CF!$G$92:$DW$92))*(F$75&gt;0)</f>
        <v>4510.8020588571435</v>
      </c>
      <c r="G79" s="233">
        <f ca="1">(-SUMIF(CF!$G$4:$DW$4,G$75,CF!$G$83:$DW$83)-SUMIF(CF!$G$4:$DW$4,G$75,CF!$G$80:$DW$80)-SUMIF(CF!$G$4:$DW$4,G$75,CF!$G$92:$DW$92))*(G$75&gt;0)</f>
        <v>4597.0615548590877</v>
      </c>
      <c r="H79" s="233">
        <f ca="1">(-SUMIF(CF!$G$4:$DW$4,H$75,CF!$G$83:$DW$83)-SUMIF(CF!$G$4:$DW$4,H$75,CF!$G$80:$DW$80)-SUMIF(CF!$G$4:$DW$4,H$75,CF!$G$92:$DW$92))*(H$75&gt;0)</f>
        <v>4646.9079223491499</v>
      </c>
      <c r="I79" s="233">
        <f ca="1">(-SUMIF(CF!$G$4:$DW$4,I$75,CF!$G$83:$DW$83)-SUMIF(CF!$G$4:$DW$4,I$75,CF!$G$80:$DW$80)-SUMIF(CF!$G$4:$DW$4,I$75,CF!$G$92:$DW$92))*(I$75&gt;0)</f>
        <v>4697.1972390667343</v>
      </c>
      <c r="J79" s="233">
        <f ca="1">(-SUMIF(CF!$G$4:$DW$4,J$75,CF!$G$83:$DW$83)-SUMIF(CF!$G$4:$DW$4,J$75,CF!$G$80:$DW$80)-SUMIF(CF!$G$4:$DW$4,J$75,CF!$G$92:$DW$92))*(J$75&gt;0)</f>
        <v>4748.1394191633426</v>
      </c>
      <c r="K79" s="233">
        <f ca="1">(-SUMIF(CF!$G$4:$DW$4,K$75,CF!$G$83:$DW$83)-SUMIF(CF!$G$4:$DW$4,K$75,CF!$G$80:$DW$80)-SUMIF(CF!$G$4:$DW$4,K$75,CF!$G$92:$DW$92))*(K$75&gt;0)</f>
        <v>4797.8184124947884</v>
      </c>
      <c r="L79" s="233">
        <f ca="1">(-SUMIF(CF!$G$4:$DW$4,L$75,CF!$G$83:$DW$83)-SUMIF(CF!$G$4:$DW$4,L$75,CF!$G$80:$DW$80)-SUMIF(CF!$G$4:$DW$4,L$75,CF!$G$92:$DW$92))*(L$75&gt;0)</f>
        <v>4847.7445974114235</v>
      </c>
      <c r="M79" s="233">
        <f ca="1">(-SUMIF(CF!$G$4:$DW$4,M$75,CF!$G$83:$DW$83)-SUMIF(CF!$G$4:$DW$4,M$75,CF!$G$80:$DW$80)-SUMIF(CF!$G$4:$DW$4,M$75,CF!$G$92:$DW$92))*(M$75&gt;0)</f>
        <v>4897.2863384959528</v>
      </c>
      <c r="N79" s="233">
        <f ca="1">(-SUMIF(CF!$G$4:$DW$4,N$75,CF!$G$83:$DW$83)-SUMIF(CF!$G$4:$DW$4,N$75,CF!$G$80:$DW$80)-SUMIF(CF!$G$4:$DW$4,N$75,CF!$G$92:$DW$92))*(N$75&gt;0)</f>
        <v>4946.7963708245607</v>
      </c>
      <c r="O79" s="233">
        <f ca="1">(-SUMIF(CF!$G$4:$DW$4,O$75,CF!$G$83:$DW$83)-SUMIF(CF!$G$4:$DW$4,O$75,CF!$G$80:$DW$80)-SUMIF(CF!$G$4:$DW$4,O$75,CF!$G$92:$DW$92))*(O$75&gt;0)</f>
        <v>4691.9375709600881</v>
      </c>
      <c r="P79" s="233">
        <f ca="1">(-SUMIF(CF!$G$4:$DW$4,P$75,CF!$G$83:$DW$83)-SUMIF(CF!$G$4:$DW$4,P$75,CF!$G$80:$DW$80)-SUMIF(CF!$G$4:$DW$4,P$75,CF!$G$92:$DW$92))*(P$75&gt;0)</f>
        <v>4741.5842527608056</v>
      </c>
      <c r="Q79" s="233">
        <f ca="1">(-SUMIF(CF!$G$4:$DW$4,Q$75,CF!$G$83:$DW$83)-SUMIF(CF!$G$4:$DW$4,Q$75,CF!$G$80:$DW$80)-SUMIF(CF!$G$4:$DW$4,Q$75,CF!$G$92:$DW$92))*(Q$75&gt;0)</f>
        <v>3247.1338656612943</v>
      </c>
      <c r="R79" s="233">
        <f ca="1">(-SUMIF(CF!$G$4:$DW$4,R$75,CF!$G$83:$DW$83)-SUMIF(CF!$G$4:$DW$4,R$75,CF!$G$80:$DW$80)-SUMIF(CF!$G$4:$DW$4,R$75,CF!$G$92:$DW$92))*(R$75&gt;0)</f>
        <v>3173.1892342604206</v>
      </c>
      <c r="S79" s="233">
        <f ca="1">(-SUMIF(CF!$G$4:$DW$4,S$75,CF!$G$83:$DW$83)-SUMIF(CF!$G$4:$DW$4,S$75,CF!$G$80:$DW$80)-SUMIF(CF!$G$4:$DW$4,S$75,CF!$G$92:$DW$92))*(S$75&gt;0)</f>
        <v>0</v>
      </c>
      <c r="T79" s="233">
        <f ca="1">(-SUMIF(CF!$G$4:$DW$4,T$75,CF!$G$83:$DW$83)-SUMIF(CF!$G$4:$DW$4,T$75,CF!$G$80:$DW$80)-SUMIF(CF!$G$4:$DW$4,T$75,CF!$G$92:$DW$92))*(T$75&gt;0)</f>
        <v>0</v>
      </c>
      <c r="U79" s="233">
        <f ca="1">(-SUMIF(CF!$G$4:$DW$4,U$75,CF!$G$83:$DW$83)-SUMIF(CF!$G$4:$DW$4,U$75,CF!$G$80:$DW$80)-SUMIF(CF!$G$4:$DW$4,U$75,CF!$G$92:$DW$92))*(U$75&gt;0)</f>
        <v>0</v>
      </c>
      <c r="V79" s="233">
        <f ca="1">(-SUMIF(CF!$G$4:$DW$4,V$75,CF!$G$83:$DW$83)-SUMIF(CF!$G$4:$DW$4,V$75,CF!$G$80:$DW$80)-SUMIF(CF!$G$4:$DW$4,V$75,CF!$G$92:$DW$92))*(V$75&gt;0)</f>
        <v>0</v>
      </c>
      <c r="W79" s="233">
        <f ca="1">(-SUMIF(CF!$G$4:$DW$4,W$75,CF!$G$83:$DW$83)-SUMIF(CF!$G$4:$DW$4,W$75,CF!$G$80:$DW$80)-SUMIF(CF!$G$4:$DW$4,W$75,CF!$G$92:$DW$92))*(W$75&gt;0)</f>
        <v>0</v>
      </c>
      <c r="X79" s="233">
        <f ca="1">(-SUMIF(CF!$G$4:$DW$4,X$75,CF!$G$83:$DW$83)-SUMIF(CF!$G$4:$DW$4,X$75,CF!$G$80:$DW$80)-SUMIF(CF!$G$4:$DW$4,X$75,CF!$G$92:$DW$92))*(X$75&gt;0)</f>
        <v>0</v>
      </c>
      <c r="Y79" s="233">
        <f ca="1">(-SUMIF(CF!$G$4:$DW$4,Y$75,CF!$G$83:$DW$83)-SUMIF(CF!$G$4:$DW$4,Y$75,CF!$G$80:$DW$80)-SUMIF(CF!$G$4:$DW$4,Y$75,CF!$G$92:$DW$92))*(Y$75&gt;0)</f>
        <v>0</v>
      </c>
      <c r="Z79" s="233">
        <f ca="1">(-SUMIF(CF!$G$4:$DW$4,Z$75,CF!$G$83:$DW$83)-SUMIF(CF!$G$4:$DW$4,Z$75,CF!$G$80:$DW$80)-SUMIF(CF!$G$4:$DW$4,Z$75,CF!$G$92:$DW$92))*(Z$75&gt;0)</f>
        <v>0</v>
      </c>
      <c r="AA79" s="233">
        <f ca="1">(-SUMIF(CF!$G$4:$DW$4,AA$75,CF!$G$83:$DW$83)-SUMIF(CF!$G$4:$DW$4,AA$75,CF!$G$80:$DW$80)-SUMIF(CF!$G$4:$DW$4,AA$75,CF!$G$92:$DW$92))*(AA$75&gt;0)</f>
        <v>0</v>
      </c>
      <c r="AB79" s="233">
        <f ca="1">(-SUMIF(CF!$G$4:$DW$4,AB$75,CF!$G$83:$DW$83)-SUMIF(CF!$G$4:$DW$4,AB$75,CF!$G$80:$DW$80)-SUMIF(CF!$G$4:$DW$4,AB$75,CF!$G$92:$DW$92))*(AB$75&gt;0)</f>
        <v>0</v>
      </c>
      <c r="AC79" s="233">
        <f ca="1">(-SUMIF(CF!$G$4:$DW$4,AC$75,CF!$G$83:$DW$83)-SUMIF(CF!$G$4:$DW$4,AC$75,CF!$G$80:$DW$80)-SUMIF(CF!$G$4:$DW$4,AC$75,CF!$G$92:$DW$92))*(AC$75&gt;0)</f>
        <v>0</v>
      </c>
      <c r="AD79" s="233"/>
      <c r="AE79" s="233"/>
      <c r="AF79" s="233"/>
      <c r="AG79" s="233"/>
      <c r="AH79" s="233"/>
      <c r="AI79" s="233"/>
      <c r="AJ79" s="233"/>
      <c r="AK79" s="233"/>
      <c r="AL79" s="233"/>
    </row>
    <row r="80" spans="2:38" outlineLevel="1">
      <c r="B80" s="304" t="s">
        <v>219</v>
      </c>
      <c r="D80" s="233">
        <f ca="1">-SUMIF(CF!$G$4:$DW$4,D$75,CF!$G$95:$DW$95)*(D$75&gt;0)</f>
        <v>0</v>
      </c>
      <c r="E80" s="233">
        <f ca="1">-SUMIF(CF!$G$4:$DW$4,E$75,CF!$G$95:$DW$95)*(E$75&gt;0)</f>
        <v>0</v>
      </c>
      <c r="F80" s="233">
        <f ca="1">-SUMIF(CF!$G$4:$DW$4,F$75,CF!$G$95:$DW$95)*(F$75&gt;0)</f>
        <v>0</v>
      </c>
      <c r="G80" s="233">
        <f ca="1">-SUMIF(CF!$G$4:$DW$4,G$75,CF!$G$95:$DW$95)*(G$75&gt;0)</f>
        <v>0</v>
      </c>
      <c r="H80" s="233">
        <f ca="1">-SUMIF(CF!$G$4:$DW$4,H$75,CF!$G$95:$DW$95)*(H$75&gt;0)</f>
        <v>0</v>
      </c>
      <c r="I80" s="233">
        <f ca="1">-SUMIF(CF!$G$4:$DW$4,I$75,CF!$G$95:$DW$95)*(I$75&gt;0)</f>
        <v>0</v>
      </c>
      <c r="J80" s="233">
        <f ca="1">-SUMIF(CF!$G$4:$DW$4,J$75,CF!$G$95:$DW$95)*(J$75&gt;0)</f>
        <v>0</v>
      </c>
      <c r="K80" s="233">
        <f ca="1">-SUMIF(CF!$G$4:$DW$4,K$75,CF!$G$95:$DW$95)*(K$75&gt;0)</f>
        <v>0</v>
      </c>
      <c r="L80" s="233">
        <f ca="1">-SUMIF(CF!$G$4:$DW$4,L$75,CF!$G$95:$DW$95)*(L$75&gt;0)</f>
        <v>0</v>
      </c>
      <c r="M80" s="233">
        <f ca="1">-SUMIF(CF!$G$4:$DW$4,M$75,CF!$G$95:$DW$95)*(M$75&gt;0)</f>
        <v>0</v>
      </c>
      <c r="N80" s="233">
        <f ca="1">-SUMIF(CF!$G$4:$DW$4,N$75,CF!$G$95:$DW$95)*(N$75&gt;0)</f>
        <v>0</v>
      </c>
      <c r="O80" s="233">
        <f ca="1">-SUMIF(CF!$G$4:$DW$4,O$75,CF!$G$95:$DW$95)*(O$75&gt;0)</f>
        <v>0</v>
      </c>
      <c r="P80" s="233">
        <f ca="1">-SUMIF(CF!$G$4:$DW$4,P$75,CF!$G$95:$DW$95)*(P$75&gt;0)</f>
        <v>0</v>
      </c>
      <c r="Q80" s="233">
        <f ca="1">-SUMIF(CF!$G$4:$DW$4,Q$75,CF!$G$95:$DW$95)*(Q$75&gt;0)</f>
        <v>0</v>
      </c>
      <c r="R80" s="233">
        <f ca="1">-SUMIF(CF!$G$4:$DW$4,R$75,CF!$G$95:$DW$95)*(R$75&gt;0)</f>
        <v>0</v>
      </c>
      <c r="S80" s="233">
        <f ca="1">-SUMIF(CF!$G$4:$DW$4,S$75,CF!$G$95:$DW$95)*(S$75&gt;0)</f>
        <v>0</v>
      </c>
      <c r="T80" s="233">
        <f ca="1">-SUMIF(CF!$G$4:$DW$4,T$75,CF!$G$95:$DW$95)*(T$75&gt;0)</f>
        <v>0</v>
      </c>
      <c r="U80" s="233">
        <f ca="1">-SUMIF(CF!$G$4:$DW$4,U$75,CF!$G$95:$DW$95)*(U$75&gt;0)</f>
        <v>0</v>
      </c>
      <c r="V80" s="233">
        <f ca="1">-SUMIF(CF!$G$4:$DW$4,V$75,CF!$G$95:$DW$95)*(V$75&gt;0)</f>
        <v>0</v>
      </c>
      <c r="W80" s="233">
        <f ca="1">-SUMIF(CF!$G$4:$DW$4,W$75,CF!$G$95:$DW$95)*(W$75&gt;0)</f>
        <v>0</v>
      </c>
      <c r="X80" s="233">
        <f ca="1">-SUMIF(CF!$G$4:$DW$4,X$75,CF!$G$95:$DW$95)*(X$75&gt;0)</f>
        <v>0</v>
      </c>
      <c r="Y80" s="233">
        <f ca="1">-SUMIF(CF!$G$4:$DW$4,Y$75,CF!$G$95:$DW$95)*(Y$75&gt;0)</f>
        <v>0</v>
      </c>
      <c r="Z80" s="233">
        <f ca="1">-SUMIF(CF!$G$4:$DW$4,Z$75,CF!$G$95:$DW$95)*(Z$75&gt;0)</f>
        <v>0</v>
      </c>
      <c r="AA80" s="233">
        <f ca="1">-SUMIF(CF!$G$4:$DW$4,AA$75,CF!$G$95:$DW$95)*(AA$75&gt;0)</f>
        <v>0</v>
      </c>
      <c r="AB80" s="233">
        <f ca="1">-SUMIF(CF!$G$4:$DW$4,AB$75,CF!$G$95:$DW$95)*(AB$75&gt;0)</f>
        <v>0</v>
      </c>
      <c r="AC80" s="233">
        <f ca="1">-SUMIF(CF!$G$4:$DW$4,AC$75,CF!$G$95:$DW$95)*(AC$75&gt;0)</f>
        <v>0</v>
      </c>
      <c r="AD80" s="233"/>
      <c r="AE80" s="233"/>
      <c r="AF80" s="233"/>
      <c r="AG80" s="233"/>
      <c r="AH80" s="233"/>
      <c r="AI80" s="233"/>
      <c r="AJ80" s="233"/>
      <c r="AK80" s="233"/>
      <c r="AL80" s="233"/>
    </row>
    <row r="81" spans="2:38" outlineLevel="1">
      <c r="B81" s="304" t="s">
        <v>220</v>
      </c>
      <c r="D81" s="233">
        <f ca="1">MAX(+SUMIF(CF!$G$4:$DW$4,D$75,CF!$G$92:$DW$92)+SUMIF(CF!$G$4:$DW$4,D$75,CF!$G$106:$DW$106),0)*(D$75&gt;0)</f>
        <v>0</v>
      </c>
      <c r="E81" s="233">
        <f ca="1">MAX(+SUMIF(CF!$G$4:$DW$4,E$75,CF!$G$92:$DW$92)+SUMIF(CF!$G$4:$DW$4,E$75,CF!$G$106:$DW$106),0)*(E$75&gt;0)</f>
        <v>0</v>
      </c>
      <c r="F81" s="233">
        <f ca="1">MAX(+SUMIF(CF!$G$4:$DW$4,F$75,CF!$G$92:$DW$92)+SUMIF(CF!$G$4:$DW$4,F$75,CF!$G$106:$DW$106),0)*(F$75&gt;0)</f>
        <v>0</v>
      </c>
      <c r="G81" s="233">
        <f ca="1">MAX(+SUMIF(CF!$G$4:$DW$4,G$75,CF!$G$92:$DW$92)+SUMIF(CF!$G$4:$DW$4,G$75,CF!$G$106:$DW$106),0)*(G$75&gt;0)</f>
        <v>0</v>
      </c>
      <c r="H81" s="233">
        <f ca="1">MAX(+SUMIF(CF!$G$4:$DW$4,H$75,CF!$G$92:$DW$92)+SUMIF(CF!$G$4:$DW$4,H$75,CF!$G$106:$DW$106),0)*(H$75&gt;0)</f>
        <v>0</v>
      </c>
      <c r="I81" s="233">
        <f ca="1">MAX(+SUMIF(CF!$G$4:$DW$4,I$75,CF!$G$92:$DW$92)+SUMIF(CF!$G$4:$DW$4,I$75,CF!$G$106:$DW$106),0)*(I$75&gt;0)</f>
        <v>0</v>
      </c>
      <c r="J81" s="233">
        <f ca="1">MAX(+SUMIF(CF!$G$4:$DW$4,J$75,CF!$G$92:$DW$92)+SUMIF(CF!$G$4:$DW$4,J$75,CF!$G$106:$DW$106),0)*(J$75&gt;0)</f>
        <v>0</v>
      </c>
      <c r="K81" s="233">
        <f ca="1">MAX(+SUMIF(CF!$G$4:$DW$4,K$75,CF!$G$92:$DW$92)+SUMIF(CF!$G$4:$DW$4,K$75,CF!$G$106:$DW$106),0)*(K$75&gt;0)</f>
        <v>0</v>
      </c>
      <c r="L81" s="233">
        <f ca="1">MAX(+SUMIF(CF!$G$4:$DW$4,L$75,CF!$G$92:$DW$92)+SUMIF(CF!$G$4:$DW$4,L$75,CF!$G$106:$DW$106),0)*(L$75&gt;0)</f>
        <v>0</v>
      </c>
      <c r="M81" s="233">
        <f ca="1">MAX(+SUMIF(CF!$G$4:$DW$4,M$75,CF!$G$92:$DW$92)+SUMIF(CF!$G$4:$DW$4,M$75,CF!$G$106:$DW$106),0)*(M$75&gt;0)</f>
        <v>0</v>
      </c>
      <c r="N81" s="233">
        <f ca="1">MAX(+SUMIF(CF!$G$4:$DW$4,N$75,CF!$G$92:$DW$92)+SUMIF(CF!$G$4:$DW$4,N$75,CF!$G$106:$DW$106),0)*(N$75&gt;0)</f>
        <v>0</v>
      </c>
      <c r="O81" s="233">
        <f ca="1">MAX(+SUMIF(CF!$G$4:$DW$4,O$75,CF!$G$92:$DW$92)+SUMIF(CF!$G$4:$DW$4,O$75,CF!$G$106:$DW$106),0)*(O$75&gt;0)</f>
        <v>0</v>
      </c>
      <c r="P81" s="233">
        <f ca="1">MAX(+SUMIF(CF!$G$4:$DW$4,P$75,CF!$G$92:$DW$92)+SUMIF(CF!$G$4:$DW$4,P$75,CF!$G$106:$DW$106),0)*(P$75&gt;0)</f>
        <v>0</v>
      </c>
      <c r="Q81" s="233">
        <f ca="1">MAX(+SUMIF(CF!$G$4:$DW$4,Q$75,CF!$G$92:$DW$92)+SUMIF(CF!$G$4:$DW$4,Q$75,CF!$G$106:$DW$106),0)*(Q$75&gt;0)</f>
        <v>0</v>
      </c>
      <c r="R81" s="233">
        <f ca="1">MAX(+SUMIF(CF!$G$4:$DW$4,R$75,CF!$G$92:$DW$92)+SUMIF(CF!$G$4:$DW$4,R$75,CF!$G$106:$DW$106),0)*(R$75&gt;0)</f>
        <v>0</v>
      </c>
      <c r="S81" s="233">
        <f ca="1">MAX(+SUMIF(CF!$G$4:$DW$4,S$75,CF!$G$92:$DW$92)+SUMIF(CF!$G$4:$DW$4,S$75,CF!$G$106:$DW$106),0)*(S$75&gt;0)</f>
        <v>0</v>
      </c>
      <c r="T81" s="233">
        <f ca="1">MAX(+SUMIF(CF!$G$4:$DW$4,T$75,CF!$G$92:$DW$92)+SUMIF(CF!$G$4:$DW$4,T$75,CF!$G$106:$DW$106),0)*(T$75&gt;0)</f>
        <v>0</v>
      </c>
      <c r="U81" s="233">
        <f ca="1">MAX(+SUMIF(CF!$G$4:$DW$4,U$75,CF!$G$92:$DW$92)+SUMIF(CF!$G$4:$DW$4,U$75,CF!$G$106:$DW$106),0)*(U$75&gt;0)</f>
        <v>0</v>
      </c>
      <c r="V81" s="233">
        <f ca="1">MAX(+SUMIF(CF!$G$4:$DW$4,V$75,CF!$G$92:$DW$92)+SUMIF(CF!$G$4:$DW$4,V$75,CF!$G$106:$DW$106),0)*(V$75&gt;0)</f>
        <v>0</v>
      </c>
      <c r="W81" s="233">
        <f ca="1">MAX(+SUMIF(CF!$G$4:$DW$4,W$75,CF!$G$92:$DW$92)+SUMIF(CF!$G$4:$DW$4,W$75,CF!$G$106:$DW$106),0)*(W$75&gt;0)</f>
        <v>0</v>
      </c>
      <c r="X81" s="233">
        <f ca="1">MAX(+SUMIF(CF!$G$4:$DW$4,X$75,CF!$G$92:$DW$92)+SUMIF(CF!$G$4:$DW$4,X$75,CF!$G$106:$DW$106),0)*(X$75&gt;0)</f>
        <v>0</v>
      </c>
      <c r="Y81" s="233">
        <f ca="1">MAX(+SUMIF(CF!$G$4:$DW$4,Y$75,CF!$G$92:$DW$92)+SUMIF(CF!$G$4:$DW$4,Y$75,CF!$G$106:$DW$106),0)*(Y$75&gt;0)</f>
        <v>0</v>
      </c>
      <c r="Z81" s="233">
        <f ca="1">MAX(+SUMIF(CF!$G$4:$DW$4,Z$75,CF!$G$92:$DW$92)+SUMIF(CF!$G$4:$DW$4,Z$75,CF!$G$106:$DW$106),0)*(Z$75&gt;0)</f>
        <v>0</v>
      </c>
      <c r="AA81" s="233">
        <f ca="1">MAX(+SUMIF(CF!$G$4:$DW$4,AA$75,CF!$G$92:$DW$92)+SUMIF(CF!$G$4:$DW$4,AA$75,CF!$G$106:$DW$106),0)*(AA$75&gt;0)</f>
        <v>0</v>
      </c>
      <c r="AB81" s="233">
        <f ca="1">MAX(+SUMIF(CF!$G$4:$DW$4,AB$75,CF!$G$92:$DW$92)+SUMIF(CF!$G$4:$DW$4,AB$75,CF!$G$106:$DW$106),0)*(AB$75&gt;0)</f>
        <v>0</v>
      </c>
      <c r="AC81" s="233">
        <f ca="1">MAX(+SUMIF(CF!$G$4:$DW$4,AC$75,CF!$G$92:$DW$92)+SUMIF(CF!$G$4:$DW$4,AC$75,CF!$G$106:$DW$106),0)*(AC$75&gt;0)</f>
        <v>0</v>
      </c>
      <c r="AD81" s="233"/>
      <c r="AE81" s="233"/>
      <c r="AF81" s="233"/>
      <c r="AG81" s="233"/>
      <c r="AH81" s="233"/>
      <c r="AI81" s="233"/>
      <c r="AJ81" s="233"/>
      <c r="AK81" s="233"/>
      <c r="AL81" s="233"/>
    </row>
    <row r="82" spans="2:38" outlineLevel="1">
      <c r="B82" s="304" t="s">
        <v>221</v>
      </c>
      <c r="D82" s="233">
        <f ca="1">(-SUMIF(CF!$G$4:$DW$4,D$75,CF!$G$113:$DW$113)-SUMIF(CF!$G$4:$DW$4,D$75,CF!$G$114:$DW$114))*(D$75&gt;0)</f>
        <v>0</v>
      </c>
      <c r="E82" s="233">
        <f ca="1">(-SUMIF(CF!$G$4:$DW$4,E$75,CF!$G$113:$DW$113)-SUMIF(CF!$G$4:$DW$4,E$75,CF!$G$114:$DW$114))*(E$75&gt;0)</f>
        <v>666.263882357478</v>
      </c>
      <c r="F82" s="233">
        <f ca="1">(-SUMIF(CF!$G$4:$DW$4,F$75,CF!$G$113:$DW$113)-SUMIF(CF!$G$4:$DW$4,F$75,CF!$G$114:$DW$114))*(F$75&gt;0)</f>
        <v>676.62030882857107</v>
      </c>
      <c r="G82" s="233">
        <f ca="1">(-SUMIF(CF!$G$4:$DW$4,G$75,CF!$G$113:$DW$113)-SUMIF(CF!$G$4:$DW$4,G$75,CF!$G$114:$DW$114))*(G$75&gt;0)</f>
        <v>689.56543840426912</v>
      </c>
      <c r="H82" s="233">
        <f ca="1">(-SUMIF(CF!$G$4:$DW$4,H$75,CF!$G$113:$DW$113)-SUMIF(CF!$G$4:$DW$4,H$75,CF!$G$114:$DW$114))*(H$75&gt;0)</f>
        <v>697.04175133078297</v>
      </c>
      <c r="I82" s="233">
        <f ca="1">(-SUMIF(CF!$G$4:$DW$4,I$75,CF!$G$113:$DW$113)-SUMIF(CF!$G$4:$DW$4,I$75,CF!$G$114:$DW$114))*(I$75&gt;0)</f>
        <v>704.58456074933474</v>
      </c>
      <c r="J82" s="233">
        <f ca="1">(-SUMIF(CF!$G$4:$DW$4,J$75,CF!$G$113:$DW$113)-SUMIF(CF!$G$4:$DW$4,J$75,CF!$G$114:$DW$114))*(J$75&gt;0)</f>
        <v>712.22535532221082</v>
      </c>
      <c r="K82" s="233">
        <f ca="1">(-SUMIF(CF!$G$4:$DW$4,K$75,CF!$G$113:$DW$113)-SUMIF(CF!$G$4:$DW$4,K$75,CF!$G$114:$DW$114))*(K$75&gt;0)</f>
        <v>719.67671151403738</v>
      </c>
      <c r="L82" s="233">
        <f ca="1">(-SUMIF(CF!$G$4:$DW$4,L$75,CF!$G$113:$DW$113)-SUMIF(CF!$G$4:$DW$4,L$75,CF!$G$114:$DW$114))*(L$75&gt;0)</f>
        <v>727.16521239972326</v>
      </c>
      <c r="M82" s="233">
        <f ca="1">(-SUMIF(CF!$G$4:$DW$4,M$75,CF!$G$113:$DW$113)-SUMIF(CF!$G$4:$DW$4,M$75,CF!$G$114:$DW$114))*(M$75&gt;0)</f>
        <v>734.59611388562462</v>
      </c>
      <c r="N82" s="233">
        <f ca="1">(-SUMIF(CF!$G$4:$DW$4,N$75,CF!$G$113:$DW$113)-SUMIF(CF!$G$4:$DW$4,N$75,CF!$G$114:$DW$114))*(N$75&gt;0)</f>
        <v>742.02233711953841</v>
      </c>
      <c r="O82" s="233">
        <f ca="1">(-SUMIF(CF!$G$4:$DW$4,O$75,CF!$G$113:$DW$113)-SUMIF(CF!$G$4:$DW$4,O$75,CF!$G$114:$DW$114))*(O$75&gt;0)</f>
        <v>703.79331857294437</v>
      </c>
      <c r="P82" s="233">
        <f ca="1">(-SUMIF(CF!$G$4:$DW$4,P$75,CF!$G$113:$DW$113)-SUMIF(CF!$G$4:$DW$4,P$75,CF!$G$114:$DW$114))*(P$75&gt;0)</f>
        <v>711.24022218885102</v>
      </c>
      <c r="Q82" s="233">
        <f ca="1">(-SUMIF(CF!$G$4:$DW$4,Q$75,CF!$G$113:$DW$113)-SUMIF(CF!$G$4:$DW$4,Q$75,CF!$G$114:$DW$114))*(Q$75&gt;0)</f>
        <v>2440.1880754823878</v>
      </c>
      <c r="R82" s="233">
        <f ca="1">(-SUMIF(CF!$G$4:$DW$4,R$75,CF!$G$113:$DW$113)-SUMIF(CF!$G$4:$DW$4,R$75,CF!$G$114:$DW$114))*(R$75&gt;0)</f>
        <v>2486.3927499940814</v>
      </c>
      <c r="S82" s="233">
        <f ca="1">(-SUMIF(CF!$G$4:$DW$4,S$75,CF!$G$113:$DW$113)-SUMIF(CF!$G$4:$DW$4,S$75,CF!$G$114:$DW$114))*(S$75&gt;0)</f>
        <v>5539.9644385902229</v>
      </c>
      <c r="T82" s="233">
        <f ca="1">(-SUMIF(CF!$G$4:$DW$4,T$75,CF!$G$113:$DW$113)-SUMIF(CF!$G$4:$DW$4,T$75,CF!$G$114:$DW$114))*(T$75&gt;0)</f>
        <v>5475.0709955209732</v>
      </c>
      <c r="U82" s="233">
        <f ca="1">(-SUMIF(CF!$G$4:$DW$4,U$75,CF!$G$113:$DW$113)-SUMIF(CF!$G$4:$DW$4,U$75,CF!$G$114:$DW$114))*(U$75&gt;0)</f>
        <v>5575.2694584765704</v>
      </c>
      <c r="V82" s="233">
        <f ca="1">(-SUMIF(CF!$G$4:$DW$4,V$75,CF!$G$113:$DW$113)-SUMIF(CF!$G$4:$DW$4,V$75,CF!$G$114:$DW$114))*(V$75&gt;0)</f>
        <v>5673.951859413286</v>
      </c>
      <c r="W82" s="233">
        <f ca="1">(-SUMIF(CF!$G$4:$DW$4,W$75,CF!$G$113:$DW$113)-SUMIF(CF!$G$4:$DW$4,W$75,CF!$G$114:$DW$114))*(W$75&gt;0)</f>
        <v>5771.2224771303008</v>
      </c>
      <c r="X82" s="233">
        <f ca="1">(-SUMIF(CF!$G$4:$DW$4,X$75,CF!$G$113:$DW$113)-SUMIF(CF!$G$4:$DW$4,X$75,CF!$G$114:$DW$114))*(X$75&gt;0)</f>
        <v>5278.8297362160047</v>
      </c>
      <c r="Y82" s="233">
        <f ca="1">(-SUMIF(CF!$G$4:$DW$4,Y$75,CF!$G$113:$DW$113)-SUMIF(CF!$G$4:$DW$4,Y$75,CF!$G$114:$DW$114))*(Y$75&gt;0)</f>
        <v>0</v>
      </c>
      <c r="Z82" s="233">
        <f ca="1">(-SUMIF(CF!$G$4:$DW$4,Z$75,CF!$G$113:$DW$113)-SUMIF(CF!$G$4:$DW$4,Z$75,CF!$G$114:$DW$114))*(Z$75&gt;0)</f>
        <v>0</v>
      </c>
      <c r="AA82" s="233">
        <f ca="1">(-SUMIF(CF!$G$4:$DW$4,AA$75,CF!$G$113:$DW$113)-SUMIF(CF!$G$4:$DW$4,AA$75,CF!$G$114:$DW$114))*(AA$75&gt;0)</f>
        <v>0</v>
      </c>
      <c r="AB82" s="233">
        <f ca="1">(-SUMIF(CF!$G$4:$DW$4,AB$75,CF!$G$113:$DW$113)-SUMIF(CF!$G$4:$DW$4,AB$75,CF!$G$114:$DW$114))*(AB$75&gt;0)</f>
        <v>0</v>
      </c>
      <c r="AC82" s="233">
        <f ca="1">(-SUMIF(CF!$G$4:$DW$4,AC$75,CF!$G$113:$DW$113)-SUMIF(CF!$G$4:$DW$4,AC$75,CF!$G$114:$DW$114))*(AC$75&gt;0)</f>
        <v>0</v>
      </c>
      <c r="AD82" s="233"/>
      <c r="AE82" s="233"/>
      <c r="AF82" s="233"/>
      <c r="AG82" s="233"/>
      <c r="AH82" s="233"/>
      <c r="AI82" s="233"/>
      <c r="AJ82" s="233"/>
      <c r="AK82" s="233"/>
      <c r="AL82" s="233"/>
    </row>
    <row r="83" spans="2:38" outlineLevel="1">
      <c r="B83" s="304" t="s">
        <v>222</v>
      </c>
      <c r="D83" s="233">
        <f ca="1">SUMIF(CF!$G$4:$DW$4,D$75,CF!$G$130:$DW$130)*(D$75&gt;0)</f>
        <v>0</v>
      </c>
      <c r="E83" s="233">
        <f ca="1">SUMIF(CF!$G$4:$DW$4,E$75,CF!$G$130:$DW$130)*(E$75&gt;0)</f>
        <v>0</v>
      </c>
      <c r="F83" s="233">
        <f ca="1">SUMIF(CF!$G$4:$DW$4,F$75,CF!$G$130:$DW$130)*(F$75&gt;0)</f>
        <v>0</v>
      </c>
      <c r="G83" s="233">
        <f ca="1">SUMIF(CF!$G$4:$DW$4,G$75,CF!$G$130:$DW$130)*(G$75&gt;0)</f>
        <v>0</v>
      </c>
      <c r="H83" s="233">
        <f ca="1">SUMIF(CF!$G$4:$DW$4,H$75,CF!$G$130:$DW$130)*(H$75&gt;0)</f>
        <v>0</v>
      </c>
      <c r="I83" s="233">
        <f ca="1">SUMIF(CF!$G$4:$DW$4,I$75,CF!$G$130:$DW$130)*(I$75&gt;0)</f>
        <v>0</v>
      </c>
      <c r="J83" s="233">
        <f ca="1">SUMIF(CF!$G$4:$DW$4,J$75,CF!$G$130:$DW$130)*(J$75&gt;0)</f>
        <v>0</v>
      </c>
      <c r="K83" s="233">
        <f ca="1">SUMIF(CF!$G$4:$DW$4,K$75,CF!$G$130:$DW$130)*(K$75&gt;0)</f>
        <v>0</v>
      </c>
      <c r="L83" s="233">
        <f ca="1">SUMIF(CF!$G$4:$DW$4,L$75,CF!$G$130:$DW$130)*(L$75&gt;0)</f>
        <v>0</v>
      </c>
      <c r="M83" s="233">
        <f ca="1">SUMIF(CF!$G$4:$DW$4,M$75,CF!$G$130:$DW$130)*(M$75&gt;0)</f>
        <v>0</v>
      </c>
      <c r="N83" s="233">
        <f ca="1">SUMIF(CF!$G$4:$DW$4,N$75,CF!$G$130:$DW$130)*(N$75&gt;0)</f>
        <v>0</v>
      </c>
      <c r="O83" s="233">
        <f ca="1">SUMIF(CF!$G$4:$DW$4,O$75,CF!$G$130:$DW$130)*(O$75&gt;0)</f>
        <v>0</v>
      </c>
      <c r="P83" s="233">
        <f ca="1">SUMIF(CF!$G$4:$DW$4,P$75,CF!$G$130:$DW$130)*(P$75&gt;0)</f>
        <v>0</v>
      </c>
      <c r="Q83" s="233">
        <f ca="1">SUMIF(CF!$G$4:$DW$4,Q$75,CF!$G$130:$DW$130)*(Q$75&gt;0)</f>
        <v>0</v>
      </c>
      <c r="R83" s="233">
        <f ca="1">SUMIF(CF!$G$4:$DW$4,R$75,CF!$G$130:$DW$130)*(R$75&gt;0)</f>
        <v>0</v>
      </c>
      <c r="S83" s="233">
        <f ca="1">SUMIF(CF!$G$4:$DW$4,S$75,CF!$G$130:$DW$130)*(S$75&gt;0)</f>
        <v>0</v>
      </c>
      <c r="T83" s="233">
        <f ca="1">SUMIF(CF!$G$4:$DW$4,T$75,CF!$G$130:$DW$130)*(T$75&gt;0)</f>
        <v>0</v>
      </c>
      <c r="U83" s="233">
        <f ca="1">SUMIF(CF!$G$4:$DW$4,U$75,CF!$G$130:$DW$130)*(U$75&gt;0)</f>
        <v>0</v>
      </c>
      <c r="V83" s="233">
        <f ca="1">SUMIF(CF!$G$4:$DW$4,V$75,CF!$G$130:$DW$130)*(V$75&gt;0)</f>
        <v>0</v>
      </c>
      <c r="W83" s="233">
        <f ca="1">SUMIF(CF!$G$4:$DW$4,W$75,CF!$G$130:$DW$130)*(W$75&gt;0)</f>
        <v>0</v>
      </c>
      <c r="X83" s="233">
        <f ca="1">SUMIF(CF!$G$4:$DW$4,X$75,CF!$G$130:$DW$130)*(X$75&gt;0)</f>
        <v>39.649650241465224</v>
      </c>
      <c r="Y83" s="233">
        <f ca="1">SUMIF(CF!$G$4:$DW$4,Y$75,CF!$G$130:$DW$130)*(Y$75&gt;0)</f>
        <v>5710.2578284354549</v>
      </c>
      <c r="Z83" s="233">
        <f ca="1">SUMIF(CF!$G$4:$DW$4,Z$75,CF!$G$130:$DW$130)*(Z$75&gt;0)</f>
        <v>5827.6199395272088</v>
      </c>
      <c r="AA83" s="233">
        <f ca="1">SUMIF(CF!$G$4:$DW$4,AA$75,CF!$G$130:$DW$130)*(AA$75&gt;0)</f>
        <v>5920.725546149426</v>
      </c>
      <c r="AB83" s="233">
        <f ca="1">SUMIF(CF!$G$4:$DW$4,AB$75,CF!$G$130:$DW$130)*(AB$75&gt;0)</f>
        <v>6035.3444485082691</v>
      </c>
      <c r="AC83" s="233">
        <f ca="1">SUMIF(CF!$G$4:$DW$4,AC$75,CF!$G$130:$DW$130)*(AC$75&gt;0)</f>
        <v>6149.1371760442962</v>
      </c>
      <c r="AD83" s="233"/>
      <c r="AE83" s="233"/>
      <c r="AF83" s="233"/>
      <c r="AG83" s="233"/>
      <c r="AH83" s="233"/>
      <c r="AI83" s="233"/>
      <c r="AJ83" s="233"/>
      <c r="AK83" s="233"/>
      <c r="AL83" s="233"/>
    </row>
    <row r="84" spans="2:38" outlineLevel="1">
      <c r="B84" s="304" t="s">
        <v>223</v>
      </c>
      <c r="D84" s="233">
        <f ca="1">(SUMIF(CF!$G$4:$DW$4,D$75,CF!$G$132:$DW$132)+SUMIF(CF!$G$4:$DW$4,D$75,CF!$G$110:$DW$110))*(D$75&gt;0)</f>
        <v>0</v>
      </c>
      <c r="E84" s="233">
        <f ca="1">(SUMIF(CF!$G$4:$DW$4,E$75,CF!$G$132:$DW$132)+SUMIF(CF!$G$4:$DW$4,E$75,CF!$G$110:$DW$110))*(E$75&gt;0)</f>
        <v>0</v>
      </c>
      <c r="F84" s="233">
        <f ca="1">(SUMIF(CF!$G$4:$DW$4,F$75,CF!$G$132:$DW$132)+SUMIF(CF!$G$4:$DW$4,F$75,CF!$G$110:$DW$110))*(F$75&gt;0)</f>
        <v>0</v>
      </c>
      <c r="G84" s="233">
        <f ca="1">(SUMIF(CF!$G$4:$DW$4,G$75,CF!$G$132:$DW$132)+SUMIF(CF!$G$4:$DW$4,G$75,CF!$G$110:$DW$110))*(G$75&gt;0)</f>
        <v>0</v>
      </c>
      <c r="H84" s="233">
        <f ca="1">(SUMIF(CF!$G$4:$DW$4,H$75,CF!$G$132:$DW$132)+SUMIF(CF!$G$4:$DW$4,H$75,CF!$G$110:$DW$110))*(H$75&gt;0)</f>
        <v>0</v>
      </c>
      <c r="I84" s="233">
        <f ca="1">(SUMIF(CF!$G$4:$DW$4,I$75,CF!$G$132:$DW$132)+SUMIF(CF!$G$4:$DW$4,I$75,CF!$G$110:$DW$110))*(I$75&gt;0)</f>
        <v>0</v>
      </c>
      <c r="J84" s="233">
        <f ca="1">(SUMIF(CF!$G$4:$DW$4,J$75,CF!$G$132:$DW$132)+SUMIF(CF!$G$4:$DW$4,J$75,CF!$G$110:$DW$110))*(J$75&gt;0)</f>
        <v>0</v>
      </c>
      <c r="K84" s="233">
        <f ca="1">(SUMIF(CF!$G$4:$DW$4,K$75,CF!$G$132:$DW$132)+SUMIF(CF!$G$4:$DW$4,K$75,CF!$G$110:$DW$110))*(K$75&gt;0)</f>
        <v>0</v>
      </c>
      <c r="L84" s="233">
        <f ca="1">(SUMIF(CF!$G$4:$DW$4,L$75,CF!$G$132:$DW$132)+SUMIF(CF!$G$4:$DW$4,L$75,CF!$G$110:$DW$110))*(L$75&gt;0)</f>
        <v>0</v>
      </c>
      <c r="M84" s="233">
        <f ca="1">(SUMIF(CF!$G$4:$DW$4,M$75,CF!$G$132:$DW$132)+SUMIF(CF!$G$4:$DW$4,M$75,CF!$G$110:$DW$110))*(M$75&gt;0)</f>
        <v>0</v>
      </c>
      <c r="N84" s="233">
        <f ca="1">(SUMIF(CF!$G$4:$DW$4,N$75,CF!$G$132:$DW$132)+SUMIF(CF!$G$4:$DW$4,N$75,CF!$G$110:$DW$110))*(N$75&gt;0)</f>
        <v>0</v>
      </c>
      <c r="O84" s="233">
        <f ca="1">(SUMIF(CF!$G$4:$DW$4,O$75,CF!$G$132:$DW$132)+SUMIF(CF!$G$4:$DW$4,O$75,CF!$G$110:$DW$110))*(O$75&gt;0)</f>
        <v>0</v>
      </c>
      <c r="P84" s="233">
        <f ca="1">(SUMIF(CF!$G$4:$DW$4,P$75,CF!$G$132:$DW$132)+SUMIF(CF!$G$4:$DW$4,P$75,CF!$G$110:$DW$110))*(P$75&gt;0)</f>
        <v>0</v>
      </c>
      <c r="Q84" s="233">
        <f ca="1">(SUMIF(CF!$G$4:$DW$4,Q$75,CF!$G$132:$DW$132)+SUMIF(CF!$G$4:$DW$4,Q$75,CF!$G$110:$DW$110))*(Q$75&gt;0)</f>
        <v>0</v>
      </c>
      <c r="R84" s="233">
        <f ca="1">(SUMIF(CF!$G$4:$DW$4,R$75,CF!$G$132:$DW$132)+SUMIF(CF!$G$4:$DW$4,R$75,CF!$G$110:$DW$110))*(R$75&gt;0)</f>
        <v>0</v>
      </c>
      <c r="S84" s="233">
        <f ca="1">(SUMIF(CF!$G$4:$DW$4,S$75,CF!$G$132:$DW$132)+SUMIF(CF!$G$4:$DW$4,S$75,CF!$G$110:$DW$110))*(S$75&gt;0)</f>
        <v>0</v>
      </c>
      <c r="T84" s="233">
        <f ca="1">(SUMIF(CF!$G$4:$DW$4,T$75,CF!$G$132:$DW$132)+SUMIF(CF!$G$4:$DW$4,T$75,CF!$G$110:$DW$110))*(T$75&gt;0)</f>
        <v>0</v>
      </c>
      <c r="U84" s="233">
        <f ca="1">(SUMIF(CF!$G$4:$DW$4,U$75,CF!$G$132:$DW$132)+SUMIF(CF!$G$4:$DW$4,U$75,CF!$G$110:$DW$110))*(U$75&gt;0)</f>
        <v>0</v>
      </c>
      <c r="V84" s="233">
        <f ca="1">(SUMIF(CF!$G$4:$DW$4,V$75,CF!$G$132:$DW$132)+SUMIF(CF!$G$4:$DW$4,V$75,CF!$G$110:$DW$110))*(V$75&gt;0)</f>
        <v>0</v>
      </c>
      <c r="W84" s="233">
        <f ca="1">(SUMIF(CF!$G$4:$DW$4,W$75,CF!$G$132:$DW$132)+SUMIF(CF!$G$4:$DW$4,W$75,CF!$G$110:$DW$110))*(W$75&gt;0)</f>
        <v>0</v>
      </c>
      <c r="X84" s="233">
        <f ca="1">(SUMIF(CF!$G$4:$DW$4,X$75,CF!$G$132:$DW$132)+SUMIF(CF!$G$4:$DW$4,X$75,CF!$G$110:$DW$110))*(X$75&gt;0)</f>
        <v>550.00000000002774</v>
      </c>
      <c r="Y84" s="233">
        <f ca="1">(SUMIF(CF!$G$4:$DW$4,Y$75,CF!$G$132:$DW$132)+SUMIF(CF!$G$4:$DW$4,Y$75,CF!$G$110:$DW$110))*(Y$75&gt;0)</f>
        <v>0</v>
      </c>
      <c r="Z84" s="233">
        <f ca="1">(SUMIF(CF!$G$4:$DW$4,Z$75,CF!$G$132:$DW$132)+SUMIF(CF!$G$4:$DW$4,Z$75,CF!$G$110:$DW$110))*(Z$75&gt;0)</f>
        <v>0</v>
      </c>
      <c r="AA84" s="233">
        <f ca="1">(SUMIF(CF!$G$4:$DW$4,AA$75,CF!$G$132:$DW$132)+SUMIF(CF!$G$4:$DW$4,AA$75,CF!$G$110:$DW$110))*(AA$75&gt;0)</f>
        <v>0</v>
      </c>
      <c r="AB84" s="233">
        <f ca="1">(SUMIF(CF!$G$4:$DW$4,AB$75,CF!$G$132:$DW$132)+SUMIF(CF!$G$4:$DW$4,AB$75,CF!$G$110:$DW$110))*(AB$75&gt;0)</f>
        <v>0</v>
      </c>
      <c r="AC84" s="233">
        <f ca="1">(SUMIF(CF!$G$4:$DW$4,AC$75,CF!$G$132:$DW$132)+SUMIF(CF!$G$4:$DW$4,AC$75,CF!$G$110:$DW$110))*(AC$75&gt;0)</f>
        <v>0</v>
      </c>
    </row>
    <row r="85" spans="2:38" outlineLevel="1"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</row>
    <row r="86" spans="2:38" outlineLevel="1">
      <c r="B86" s="304" t="s">
        <v>224</v>
      </c>
      <c r="D86" s="416" t="e">
        <f ca="1">IFERROR(ROUND(-SUMIF(CF!$G$5:$DW$5,D$75*CF!$B$4,CF!$G$141:$DW$141)/SUMIF(CF!$G$5:$DW$5,D$75*CF!$B$4,CF!$G$80:$DW$80),3),NA())</f>
        <v>#N/A</v>
      </c>
      <c r="E86" s="416">
        <f ca="1">IFERROR(ROUND(-SUMIF(CF!$G$5:$DW$5,E$75*CF!$B$4,CF!$G$141:$DW$141)/SUMIF(CF!$G$5:$DW$5,E$75*CF!$B$4,CF!$G$80:$DW$80),3),NA())</f>
        <v>1.1499999999999999</v>
      </c>
      <c r="F86" s="416">
        <f ca="1">IFERROR(ROUND(-SUMIF(CF!$G$5:$DW$5,F$75*CF!$B$4,CF!$G$141:$DW$141)/SUMIF(CF!$G$5:$DW$5,F$75*CF!$B$4,CF!$G$80:$DW$80),3),NA())</f>
        <v>1.1499999999999999</v>
      </c>
      <c r="G86" s="416">
        <f ca="1">IFERROR(ROUND(-SUMIF(CF!$G$5:$DW$5,G$75*CF!$B$4,CF!$G$141:$DW$141)/SUMIF(CF!$G$5:$DW$5,G$75*CF!$B$4,CF!$G$80:$DW$80),3),NA())</f>
        <v>1.1499999999999999</v>
      </c>
      <c r="H86" s="416">
        <f ca="1">IFERROR(ROUND(-SUMIF(CF!$G$5:$DW$5,H$75*CF!$B$4,CF!$G$141:$DW$141)/SUMIF(CF!$G$5:$DW$5,H$75*CF!$B$4,CF!$G$80:$DW$80),3),NA())</f>
        <v>1.1499999999999999</v>
      </c>
      <c r="I86" s="416">
        <f ca="1">IFERROR(ROUND(-SUMIF(CF!$G$5:$DW$5,I$75*CF!$B$4,CF!$G$141:$DW$141)/SUMIF(CF!$G$5:$DW$5,I$75*CF!$B$4,CF!$G$80:$DW$80),3),NA())</f>
        <v>1.1499999999999999</v>
      </c>
      <c r="J86" s="416">
        <f ca="1">IFERROR(ROUND(-SUMIF(CF!$G$5:$DW$5,J$75*CF!$B$4,CF!$G$141:$DW$141)/SUMIF(CF!$G$5:$DW$5,J$75*CF!$B$4,CF!$G$80:$DW$80),3),NA())</f>
        <v>1.1499999999999999</v>
      </c>
      <c r="K86" s="416">
        <f ca="1">IFERROR(ROUND(-SUMIF(CF!$G$5:$DW$5,K$75*CF!$B$4,CF!$G$141:$DW$141)/SUMIF(CF!$G$5:$DW$5,K$75*CF!$B$4,CF!$G$80:$DW$80),3),NA())</f>
        <v>1.1499999999999999</v>
      </c>
      <c r="L86" s="416">
        <f ca="1">IFERROR(ROUND(-SUMIF(CF!$G$5:$DW$5,L$75*CF!$B$4,CF!$G$141:$DW$141)/SUMIF(CF!$G$5:$DW$5,L$75*CF!$B$4,CF!$G$80:$DW$80),3),NA())</f>
        <v>1.1499999999999999</v>
      </c>
      <c r="M86" s="416">
        <f ca="1">IFERROR(ROUND(-SUMIF(CF!$G$5:$DW$5,M$75*CF!$B$4,CF!$G$141:$DW$141)/SUMIF(CF!$G$5:$DW$5,M$75*CF!$B$4,CF!$G$80:$DW$80),3),NA())</f>
        <v>1.1499999999999999</v>
      </c>
      <c r="N86" s="416">
        <f ca="1">IFERROR(ROUND(-SUMIF(CF!$G$5:$DW$5,N$75*CF!$B$4,CF!$G$141:$DW$141)/SUMIF(CF!$G$5:$DW$5,N$75*CF!$B$4,CF!$G$80:$DW$80),3),NA())</f>
        <v>1.1499999999999999</v>
      </c>
      <c r="O86" s="416">
        <f ca="1">IFERROR(ROUND(-SUMIF(CF!$G$5:$DW$5,O$75*CF!$B$4,CF!$G$141:$DW$141)/SUMIF(CF!$G$5:$DW$5,O$75*CF!$B$4,CF!$G$80:$DW$80),3),NA())</f>
        <v>1.1499999999999999</v>
      </c>
      <c r="P86" s="416">
        <f ca="1">IFERROR(ROUND(-SUMIF(CF!$G$5:$DW$5,P$75*CF!$B$4,CF!$G$141:$DW$141)/SUMIF(CF!$G$5:$DW$5,P$75*CF!$B$4,CF!$G$80:$DW$80),3),NA())</f>
        <v>1.1499999999999999</v>
      </c>
      <c r="Q86" s="416">
        <f ca="1">IFERROR(ROUND(-SUMIF(CF!$G$5:$DW$5,Q$75*CF!$B$4,CF!$G$141:$DW$141)/SUMIF(CF!$G$5:$DW$5,Q$75*CF!$B$4,CF!$G$80:$DW$80),3),NA())</f>
        <v>1.7290000000000001</v>
      </c>
      <c r="R86" s="416">
        <f ca="1">IFERROR(ROUND(-SUMIF(CF!$G$5:$DW$5,R$75*CF!$B$4,CF!$G$141:$DW$141)/SUMIF(CF!$G$5:$DW$5,R$75*CF!$B$4,CF!$G$80:$DW$80),3),NA())</f>
        <v>1.75</v>
      </c>
      <c r="S86" s="416" t="e">
        <f ca="1">IFERROR(ROUND(-SUMIF(CF!$G$5:$DW$5,S$75*CF!$B$4,CF!$G$141:$DW$141)/SUMIF(CF!$G$5:$DW$5,S$75*CF!$B$4,CF!$G$80:$DW$80),3),NA())</f>
        <v>#N/A</v>
      </c>
      <c r="T86" s="416" t="e">
        <f ca="1">IFERROR(ROUND(-SUMIF(CF!$G$5:$DW$5,T$75*CF!$B$4,CF!$G$141:$DW$141)/SUMIF(CF!$G$5:$DW$5,T$75*CF!$B$4,CF!$G$80:$DW$80),3),NA())</f>
        <v>#N/A</v>
      </c>
      <c r="U86" s="416" t="e">
        <f ca="1">IFERROR(ROUND(-SUMIF(CF!$G$5:$DW$5,U$75*CF!$B$4,CF!$G$141:$DW$141)/SUMIF(CF!$G$5:$DW$5,U$75*CF!$B$4,CF!$G$80:$DW$80),3),NA())</f>
        <v>#N/A</v>
      </c>
      <c r="V86" s="416" t="e">
        <f ca="1">IFERROR(ROUND(-SUMIF(CF!$G$5:$DW$5,V$75*CF!$B$4,CF!$G$141:$DW$141)/SUMIF(CF!$G$5:$DW$5,V$75*CF!$B$4,CF!$G$80:$DW$80),3),NA())</f>
        <v>#N/A</v>
      </c>
      <c r="W86" s="416" t="e">
        <f ca="1">IFERROR(ROUND(-SUMIF(CF!$G$5:$DW$5,W$75*CF!$B$4,CF!$G$141:$DW$141)/SUMIF(CF!$G$5:$DW$5,W$75*CF!$B$4,CF!$G$80:$DW$80),3),NA())</f>
        <v>#N/A</v>
      </c>
      <c r="X86" s="416" t="e">
        <f ca="1">IFERROR(ROUND(-SUMIF(CF!$G$5:$DW$5,X$75*CF!$B$4,CF!$G$141:$DW$141)/SUMIF(CF!$G$5:$DW$5,X$75*CF!$B$4,CF!$G$80:$DW$80),3),NA())</f>
        <v>#N/A</v>
      </c>
      <c r="Y86" s="416" t="e">
        <f ca="1">IFERROR(ROUND(-SUMIF(CF!$G$5:$DW$5,Y$75*CF!$B$4,CF!$G$141:$DW$141)/SUMIF(CF!$G$5:$DW$5,Y$75*CF!$B$4,CF!$G$80:$DW$80),3),NA())</f>
        <v>#N/A</v>
      </c>
      <c r="Z86" s="416" t="e">
        <f ca="1">IFERROR(ROUND(-SUMIF(CF!$G$5:$DW$5,Z$75*CF!$B$4,CF!$G$141:$DW$141)/SUMIF(CF!$G$5:$DW$5,Z$75*CF!$B$4,CF!$G$80:$DW$80),3),NA())</f>
        <v>#N/A</v>
      </c>
      <c r="AA86" s="416" t="e">
        <f ca="1">IFERROR(ROUND(-SUMIF(CF!$G$5:$DW$5,AA$75*CF!$B$4,CF!$G$141:$DW$141)/SUMIF(CF!$G$5:$DW$5,AA$75*CF!$B$4,CF!$G$80:$DW$80),3),NA())</f>
        <v>#N/A</v>
      </c>
      <c r="AB86" s="416" t="e">
        <f ca="1">IFERROR(ROUND(-SUMIF(CF!$G$5:$DW$5,AB$75*CF!$B$4,CF!$G$141:$DW$141)/SUMIF(CF!$G$5:$DW$5,AB$75*CF!$B$4,CF!$G$80:$DW$80),3),NA())</f>
        <v>#N/A</v>
      </c>
      <c r="AC86" s="416" t="e">
        <f ca="1">IFERROR(ROUND(-SUMIF(CF!$G$5:$DW$5,AC$75*CF!$B$4,CF!$G$141:$DW$141)/SUMIF(CF!$G$5:$DW$5,AC$75*CF!$B$4,CF!$G$80:$DW$80),3),NA())</f>
        <v>#N/A</v>
      </c>
    </row>
    <row r="87" spans="2:38" outlineLevel="1">
      <c r="B87" s="304" t="s">
        <v>225</v>
      </c>
      <c r="D87" s="416" t="e">
        <f ca="1">IF(Inputs!$C$255,IFERROR(ROUND(-SUMIF(CF!$G$5:$DW$5,D$75*CF!$B$4,CF!$G$142:$DW$142)/SUM(SUMIF(CF!$G$5:$DW$5,D$75*CF!$B$4,CF!$G$80:$DW$80),SUMIF(CF!$G$5:$DW$5,D$75*CF!$B$4,CF!$G$95:$DW$95)),3),NA()),NA())</f>
        <v>#N/A</v>
      </c>
      <c r="E87" s="416" t="e">
        <f ca="1">IF(Inputs!$C$255,IFERROR(ROUND(-SUMIF(CF!$G$5:$DW$5,E$75*CF!$B$4,CF!$G$142:$DW$142)/SUM(SUMIF(CF!$G$5:$DW$5,E$75*CF!$B$4,CF!$G$80:$DW$80),SUMIF(CF!$G$5:$DW$5,E$75*CF!$B$4,CF!$G$95:$DW$95)),3),NA()),NA())</f>
        <v>#N/A</v>
      </c>
      <c r="F87" s="416" t="e">
        <f ca="1">IF(Inputs!$C$255,IFERROR(ROUND(-SUMIF(CF!$G$5:$DW$5,F$75*CF!$B$4,CF!$G$142:$DW$142)/SUM(SUMIF(CF!$G$5:$DW$5,F$75*CF!$B$4,CF!$G$80:$DW$80),SUMIF(CF!$G$5:$DW$5,F$75*CF!$B$4,CF!$G$95:$DW$95)),3),NA()),NA())</f>
        <v>#N/A</v>
      </c>
      <c r="G87" s="416" t="e">
        <f ca="1">IF(Inputs!$C$255,IFERROR(ROUND(-SUMIF(CF!$G$5:$DW$5,G$75*CF!$B$4,CF!$G$142:$DW$142)/SUM(SUMIF(CF!$G$5:$DW$5,G$75*CF!$B$4,CF!$G$80:$DW$80),SUMIF(CF!$G$5:$DW$5,G$75*CF!$B$4,CF!$G$95:$DW$95)),3),NA()),NA())</f>
        <v>#N/A</v>
      </c>
      <c r="H87" s="416" t="e">
        <f ca="1">IF(Inputs!$C$255,IFERROR(ROUND(-SUMIF(CF!$G$5:$DW$5,H$75*CF!$B$4,CF!$G$142:$DW$142)/SUM(SUMIF(CF!$G$5:$DW$5,H$75*CF!$B$4,CF!$G$80:$DW$80),SUMIF(CF!$G$5:$DW$5,H$75*CF!$B$4,CF!$G$95:$DW$95)),3),NA()),NA())</f>
        <v>#N/A</v>
      </c>
      <c r="I87" s="416" t="e">
        <f ca="1">IF(Inputs!$C$255,IFERROR(ROUND(-SUMIF(CF!$G$5:$DW$5,I$75*CF!$B$4,CF!$G$142:$DW$142)/SUM(SUMIF(CF!$G$5:$DW$5,I$75*CF!$B$4,CF!$G$80:$DW$80),SUMIF(CF!$G$5:$DW$5,I$75*CF!$B$4,CF!$G$95:$DW$95)),3),NA()),NA())</f>
        <v>#N/A</v>
      </c>
      <c r="J87" s="416" t="e">
        <f ca="1">IF(Inputs!$C$255,IFERROR(ROUND(-SUMIF(CF!$G$5:$DW$5,J$75*CF!$B$4,CF!$G$142:$DW$142)/SUM(SUMIF(CF!$G$5:$DW$5,J$75*CF!$B$4,CF!$G$80:$DW$80),SUMIF(CF!$G$5:$DW$5,J$75*CF!$B$4,CF!$G$95:$DW$95)),3),NA()),NA())</f>
        <v>#N/A</v>
      </c>
      <c r="K87" s="416" t="e">
        <f ca="1">IF(Inputs!$C$255,IFERROR(ROUND(-SUMIF(CF!$G$5:$DW$5,K$75*CF!$B$4,CF!$G$142:$DW$142)/SUM(SUMIF(CF!$G$5:$DW$5,K$75*CF!$B$4,CF!$G$80:$DW$80),SUMIF(CF!$G$5:$DW$5,K$75*CF!$B$4,CF!$G$95:$DW$95)),3),NA()),NA())</f>
        <v>#N/A</v>
      </c>
      <c r="L87" s="416" t="e">
        <f ca="1">IF(Inputs!$C$255,IFERROR(ROUND(-SUMIF(CF!$G$5:$DW$5,L$75*CF!$B$4,CF!$G$142:$DW$142)/SUM(SUMIF(CF!$G$5:$DW$5,L$75*CF!$B$4,CF!$G$80:$DW$80),SUMIF(CF!$G$5:$DW$5,L$75*CF!$B$4,CF!$G$95:$DW$95)),3),NA()),NA())</f>
        <v>#N/A</v>
      </c>
      <c r="M87" s="416" t="e">
        <f ca="1">IF(Inputs!$C$255,IFERROR(ROUND(-SUMIF(CF!$G$5:$DW$5,M$75*CF!$B$4,CF!$G$142:$DW$142)/SUM(SUMIF(CF!$G$5:$DW$5,M$75*CF!$B$4,CF!$G$80:$DW$80),SUMIF(CF!$G$5:$DW$5,M$75*CF!$B$4,CF!$G$95:$DW$95)),3),NA()),NA())</f>
        <v>#N/A</v>
      </c>
      <c r="N87" s="416" t="e">
        <f ca="1">IF(Inputs!$C$255,IFERROR(ROUND(-SUMIF(CF!$G$5:$DW$5,N$75*CF!$B$4,CF!$G$142:$DW$142)/SUM(SUMIF(CF!$G$5:$DW$5,N$75*CF!$B$4,CF!$G$80:$DW$80),SUMIF(CF!$G$5:$DW$5,N$75*CF!$B$4,CF!$G$95:$DW$95)),3),NA()),NA())</f>
        <v>#N/A</v>
      </c>
      <c r="O87" s="416" t="e">
        <f ca="1">IF(Inputs!$C$255,IFERROR(ROUND(-SUMIF(CF!$G$5:$DW$5,O$75*CF!$B$4,CF!$G$142:$DW$142)/SUM(SUMIF(CF!$G$5:$DW$5,O$75*CF!$B$4,CF!$G$80:$DW$80),SUMIF(CF!$G$5:$DW$5,O$75*CF!$B$4,CF!$G$95:$DW$95)),3),NA()),NA())</f>
        <v>#N/A</v>
      </c>
      <c r="P87" s="416" t="e">
        <f ca="1">IF(Inputs!$C$255,IFERROR(ROUND(-SUMIF(CF!$G$5:$DW$5,P$75*CF!$B$4,CF!$G$142:$DW$142)/SUM(SUMIF(CF!$G$5:$DW$5,P$75*CF!$B$4,CF!$G$80:$DW$80),SUMIF(CF!$G$5:$DW$5,P$75*CF!$B$4,CF!$G$95:$DW$95)),3),NA()),NA())</f>
        <v>#N/A</v>
      </c>
      <c r="Q87" s="416" t="e">
        <f ca="1">IF(Inputs!$C$255,IFERROR(ROUND(-SUMIF(CF!$G$5:$DW$5,Q$75*CF!$B$4,CF!$G$142:$DW$142)/SUM(SUMIF(CF!$G$5:$DW$5,Q$75*CF!$B$4,CF!$G$80:$DW$80),SUMIF(CF!$G$5:$DW$5,Q$75*CF!$B$4,CF!$G$95:$DW$95)),3),NA()),NA())</f>
        <v>#N/A</v>
      </c>
      <c r="R87" s="416" t="e">
        <f ca="1">IF(Inputs!$C$255,IFERROR(ROUND(-SUMIF(CF!$G$5:$DW$5,R$75*CF!$B$4,CF!$G$142:$DW$142)/SUM(SUMIF(CF!$G$5:$DW$5,R$75*CF!$B$4,CF!$G$80:$DW$80),SUMIF(CF!$G$5:$DW$5,R$75*CF!$B$4,CF!$G$95:$DW$95)),3),NA()),NA())</f>
        <v>#N/A</v>
      </c>
      <c r="S87" s="416" t="e">
        <f ca="1">IF(Inputs!$C$255,IFERROR(ROUND(-SUMIF(CF!$G$5:$DW$5,S$75*CF!$B$4,CF!$G$142:$DW$142)/SUM(SUMIF(CF!$G$5:$DW$5,S$75*CF!$B$4,CF!$G$80:$DW$80),SUMIF(CF!$G$5:$DW$5,S$75*CF!$B$4,CF!$G$95:$DW$95)),3),NA()),NA())</f>
        <v>#N/A</v>
      </c>
      <c r="T87" s="416" t="e">
        <f ca="1">IF(Inputs!$C$255,IFERROR(ROUND(-SUMIF(CF!$G$5:$DW$5,T$75*CF!$B$4,CF!$G$142:$DW$142)/SUM(SUMIF(CF!$G$5:$DW$5,T$75*CF!$B$4,CF!$G$80:$DW$80),SUMIF(CF!$G$5:$DW$5,T$75*CF!$B$4,CF!$G$95:$DW$95)),3),NA()),NA())</f>
        <v>#N/A</v>
      </c>
      <c r="U87" s="416" t="e">
        <f ca="1">IF(Inputs!$C$255,IFERROR(ROUND(-SUMIF(CF!$G$5:$DW$5,U$75*CF!$B$4,CF!$G$142:$DW$142)/SUM(SUMIF(CF!$G$5:$DW$5,U$75*CF!$B$4,CF!$G$80:$DW$80),SUMIF(CF!$G$5:$DW$5,U$75*CF!$B$4,CF!$G$95:$DW$95)),3),NA()),NA())</f>
        <v>#N/A</v>
      </c>
      <c r="V87" s="416" t="e">
        <f ca="1">IF(Inputs!$C$255,IFERROR(ROUND(-SUMIF(CF!$G$5:$DW$5,V$75*CF!$B$4,CF!$G$142:$DW$142)/SUM(SUMIF(CF!$G$5:$DW$5,V$75*CF!$B$4,CF!$G$80:$DW$80),SUMIF(CF!$G$5:$DW$5,V$75*CF!$B$4,CF!$G$95:$DW$95)),3),NA()),NA())</f>
        <v>#N/A</v>
      </c>
      <c r="W87" s="416" t="e">
        <f ca="1">IF(Inputs!$C$255,IFERROR(ROUND(-SUMIF(CF!$G$5:$DW$5,W$75*CF!$B$4,CF!$G$142:$DW$142)/SUM(SUMIF(CF!$G$5:$DW$5,W$75*CF!$B$4,CF!$G$80:$DW$80),SUMIF(CF!$G$5:$DW$5,W$75*CF!$B$4,CF!$G$95:$DW$95)),3),NA()),NA())</f>
        <v>#N/A</v>
      </c>
      <c r="X87" s="416" t="e">
        <f ca="1">IF(Inputs!$C$255,IFERROR(ROUND(-SUMIF(CF!$G$5:$DW$5,X$75*CF!$B$4,CF!$G$142:$DW$142)/SUM(SUMIF(CF!$G$5:$DW$5,X$75*CF!$B$4,CF!$G$80:$DW$80),SUMIF(CF!$G$5:$DW$5,X$75*CF!$B$4,CF!$G$95:$DW$95)),3),NA()),NA())</f>
        <v>#N/A</v>
      </c>
      <c r="Y87" s="416" t="e">
        <f ca="1">IF(Inputs!$C$255,IFERROR(ROUND(-SUMIF(CF!$G$5:$DW$5,Y$75*CF!$B$4,CF!$G$142:$DW$142)/SUM(SUMIF(CF!$G$5:$DW$5,Y$75*CF!$B$4,CF!$G$80:$DW$80),SUMIF(CF!$G$5:$DW$5,Y$75*CF!$B$4,CF!$G$95:$DW$95)),3),NA()),NA())</f>
        <v>#N/A</v>
      </c>
      <c r="Z87" s="416" t="e">
        <f ca="1">IF(Inputs!$C$255,IFERROR(ROUND(-SUMIF(CF!$G$5:$DW$5,Z$75*CF!$B$4,CF!$G$142:$DW$142)/SUM(SUMIF(CF!$G$5:$DW$5,Z$75*CF!$B$4,CF!$G$80:$DW$80),SUMIF(CF!$G$5:$DW$5,Z$75*CF!$B$4,CF!$G$95:$DW$95)),3),NA()),NA())</f>
        <v>#N/A</v>
      </c>
      <c r="AA87" s="416" t="e">
        <f ca="1">IF(Inputs!$C$255,IFERROR(ROUND(-SUMIF(CF!$G$5:$DW$5,AA$75*CF!$B$4,CF!$G$142:$DW$142)/SUM(SUMIF(CF!$G$5:$DW$5,AA$75*CF!$B$4,CF!$G$80:$DW$80),SUMIF(CF!$G$5:$DW$5,AA$75*CF!$B$4,CF!$G$95:$DW$95)),3),NA()),NA())</f>
        <v>#N/A</v>
      </c>
      <c r="AB87" s="416" t="e">
        <f ca="1">IF(Inputs!$C$255,IFERROR(ROUND(-SUMIF(CF!$G$5:$DW$5,AB$75*CF!$B$4,CF!$G$142:$DW$142)/SUM(SUMIF(CF!$G$5:$DW$5,AB$75*CF!$B$4,CF!$G$80:$DW$80),SUMIF(CF!$G$5:$DW$5,AB$75*CF!$B$4,CF!$G$95:$DW$95)),3),NA()),NA())</f>
        <v>#N/A</v>
      </c>
      <c r="AC87" s="416" t="e">
        <f ca="1">IF(Inputs!$C$255,IFERROR(ROUND(-SUMIF(CF!$G$5:$DW$5,AC$75*CF!$B$4,CF!$G$142:$DW$142)/SUM(SUMIF(CF!$G$5:$DW$5,AC$75*CF!$B$4,CF!$G$80:$DW$80),SUMIF(CF!$G$5:$DW$5,AC$75*CF!$B$4,CF!$G$95:$DW$95)),3),NA()),NA())</f>
        <v>#N/A</v>
      </c>
    </row>
    <row r="88" spans="2:38" outlineLevel="1">
      <c r="B88" s="344" t="str">
        <f>J40</f>
        <v>Senior Debt</v>
      </c>
      <c r="D88" s="416"/>
      <c r="E88" s="416"/>
      <c r="F88" s="416"/>
      <c r="G88" s="416"/>
      <c r="H88" s="416"/>
      <c r="I88" s="416"/>
      <c r="J88" s="416"/>
      <c r="K88" s="416"/>
      <c r="L88" s="416"/>
      <c r="M88" s="416"/>
      <c r="N88" s="416"/>
      <c r="O88" s="416"/>
      <c r="P88" s="416"/>
      <c r="Q88" s="416"/>
      <c r="R88" s="416"/>
      <c r="S88" s="416"/>
      <c r="T88" s="416"/>
      <c r="U88" s="416"/>
      <c r="V88" s="416"/>
      <c r="W88" s="416"/>
      <c r="X88" s="416"/>
      <c r="Y88" s="416"/>
      <c r="Z88" s="416"/>
      <c r="AA88" s="416"/>
      <c r="AB88" s="416"/>
      <c r="AC88" s="416"/>
    </row>
    <row r="89" spans="2:38" outlineLevel="1">
      <c r="B89" s="304" t="str">
        <f>B97</f>
        <v>Outstanding (scale 2)</v>
      </c>
      <c r="D89" s="233">
        <f ca="1">SUMIF(DS!$G$4:$DW$4,D75*DS!$B$3,DS!$G$56:$DW$56)+SUMIF(DS!$G$4:$DW$4,D75*DS!$B$3,DS!$G$91:$DW$91)</f>
        <v>42852.278762562994</v>
      </c>
      <c r="E89" s="233">
        <f ca="1">SUMIF(DS!$G$4:$DW$4,E75*DS!$B$3,DS!$G$56:$DW$56)+SUMIF(DS!$G$4:$DW$4,E75*DS!$B$3,DS!$G$91:$DW$91)</f>
        <v>40968.237034220343</v>
      </c>
      <c r="F89" s="233">
        <f ca="1">SUMIF(DS!$G$4:$DW$4,F75*DS!$B$3,DS!$G$56:$DW$56)+SUMIF(DS!$G$4:$DW$4,F75*DS!$B$3,DS!$G$91:$DW$91)</f>
        <v>38859.108189732804</v>
      </c>
      <c r="G89" s="233">
        <f ca="1">SUMIF(DS!$G$4:$DW$4,G75*DS!$B$3,DS!$G$56:$DW$56)+SUMIF(DS!$G$4:$DW$4,G75*DS!$B$3,DS!$G$91:$DW$91)</f>
        <v>36511.487967204775</v>
      </c>
      <c r="H89" s="233">
        <f ca="1">SUMIF(DS!$G$4:$DW$4,H75*DS!$B$3,DS!$G$56:$DW$56)+SUMIF(DS!$G$4:$DW$4,H75*DS!$B$3,DS!$G$91:$DW$91)</f>
        <v>33969.447834462619</v>
      </c>
      <c r="I89" s="233">
        <f ca="1">SUMIF(DS!$G$4:$DW$4,I75*DS!$B$3,DS!$G$56:$DW$56)+SUMIF(DS!$G$4:$DW$4,I75*DS!$B$3,DS!$G$91:$DW$91)</f>
        <v>31226.894025768397</v>
      </c>
      <c r="J89" s="233">
        <f ca="1">SUMIF(DS!$G$4:$DW$4,J75*DS!$B$3,DS!$G$56:$DW$56)+SUMIF(DS!$G$4:$DW$4,J75*DS!$B$3,DS!$G$91:$DW$91)</f>
        <v>28278.130046443679</v>
      </c>
      <c r="K89" s="233">
        <f ca="1">SUMIF(DS!$G$4:$DW$4,K75*DS!$B$3,DS!$G$56:$DW$56)+SUMIF(DS!$G$4:$DW$4,K75*DS!$B$3,DS!$G$91:$DW$91)</f>
        <v>25102.140699368116</v>
      </c>
      <c r="L89" s="233">
        <f ca="1">SUMIF(DS!$G$4:$DW$4,L75*DS!$B$3,DS!$G$56:$DW$56)+SUMIF(DS!$G$4:$DW$4,L75*DS!$B$3,DS!$G$91:$DW$91)</f>
        <v>21688.654381018583</v>
      </c>
      <c r="M89" s="233">
        <f ca="1">SUMIF(DS!$G$4:$DW$4,M75*DS!$B$3,DS!$G$56:$DW$56)+SUMIF(DS!$G$4:$DW$4,M75*DS!$B$3,DS!$G$91:$DW$91)</f>
        <v>18022.258457267504</v>
      </c>
      <c r="N89" s="233">
        <f ca="1">SUMIF(DS!$G$4:$DW$4,N75*DS!$B$3,DS!$G$56:$DW$56)+SUMIF(DS!$G$4:$DW$4,N75*DS!$B$3,DS!$G$91:$DW$91)</f>
        <v>14089.320783615165</v>
      </c>
      <c r="O89" s="233">
        <f ca="1">SUMIF(DS!$G$4:$DW$4,O75*DS!$B$3,DS!$G$56:$DW$56)+SUMIF(DS!$G$4:$DW$4,O75*DS!$B$3,DS!$G$91:$DW$91)</f>
        <v>10176.150326634261</v>
      </c>
      <c r="P89" s="233">
        <f ca="1">SUMIF(DS!$G$4:$DW$4,P75*DS!$B$3,DS!$G$56:$DW$56)+SUMIF(DS!$G$4:$DW$4,P75*DS!$B$3,DS!$G$91:$DW$91)</f>
        <v>5976.0557171488208</v>
      </c>
      <c r="Q89" s="233">
        <f ca="1">SUMIF(DS!$G$4:$DW$4,Q75*DS!$B$3,DS!$G$56:$DW$56)+SUMIF(DS!$G$4:$DW$4,Q75*DS!$B$3,DS!$G$91:$DW$91)</f>
        <v>3039.2254154894881</v>
      </c>
      <c r="R89" s="233">
        <f ca="1">SUMIF(DS!$G$4:$DW$4,R75*DS!$B$3,DS!$G$56:$DW$56)+SUMIF(DS!$G$4:$DW$4,R75*DS!$B$3,DS!$G$91:$DW$91)</f>
        <v>0</v>
      </c>
      <c r="S89" s="233">
        <f ca="1">SUMIF(DS!$G$4:$DW$4,S75*DS!$B$3,DS!$G$56:$DW$56)+SUMIF(DS!$G$4:$DW$4,S75*DS!$B$3,DS!$G$91:$DW$91)</f>
        <v>0</v>
      </c>
      <c r="T89" s="233">
        <f ca="1">SUMIF(DS!$G$4:$DW$4,T75*DS!$B$3,DS!$G$56:$DW$56)+SUMIF(DS!$G$4:$DW$4,T75*DS!$B$3,DS!$G$91:$DW$91)</f>
        <v>0</v>
      </c>
      <c r="U89" s="233">
        <f ca="1">SUMIF(DS!$G$4:$DW$4,U75*DS!$B$3,DS!$G$56:$DW$56)+SUMIF(DS!$G$4:$DW$4,U75*DS!$B$3,DS!$G$91:$DW$91)</f>
        <v>0</v>
      </c>
      <c r="V89" s="233">
        <f ca="1">SUMIF(DS!$G$4:$DW$4,V75*DS!$B$3,DS!$G$56:$DW$56)+SUMIF(DS!$G$4:$DW$4,V75*DS!$B$3,DS!$G$91:$DW$91)</f>
        <v>0</v>
      </c>
      <c r="W89" s="233">
        <f ca="1">SUMIF(DS!$G$4:$DW$4,W75*DS!$B$3,DS!$G$56:$DW$56)+SUMIF(DS!$G$4:$DW$4,W75*DS!$B$3,DS!$G$91:$DW$91)</f>
        <v>0</v>
      </c>
      <c r="X89" s="233">
        <f ca="1">SUMIF(DS!$G$4:$DW$4,X75*DS!$B$3,DS!$G$56:$DW$56)+SUMIF(DS!$G$4:$DW$4,X75*DS!$B$3,DS!$G$91:$DW$91)</f>
        <v>0</v>
      </c>
      <c r="Y89" s="233">
        <f ca="1">SUMIF(DS!$G$4:$DW$4,Y75*DS!$B$3,DS!$G$56:$DW$56)+SUMIF(DS!$G$4:$DW$4,Y75*DS!$B$3,DS!$G$91:$DW$91)</f>
        <v>0</v>
      </c>
      <c r="Z89" s="233">
        <f ca="1">SUMIF(DS!$G$4:$DW$4,Z75*DS!$B$3,DS!$G$56:$DW$56)+SUMIF(DS!$G$4:$DW$4,Z75*DS!$B$3,DS!$G$91:$DW$91)</f>
        <v>0</v>
      </c>
      <c r="AA89" s="233">
        <f ca="1">SUMIF(DS!$G$4:$DW$4,AA75*DS!$B$3,DS!$G$56:$DW$56)+SUMIF(DS!$G$4:$DW$4,AA75*DS!$B$3,DS!$G$91:$DW$91)</f>
        <v>0</v>
      </c>
      <c r="AB89" s="233">
        <f ca="1">SUMIF(DS!$G$4:$DW$4,AB75*DS!$B$3,DS!$G$56:$DW$56)+SUMIF(DS!$G$4:$DW$4,AB75*DS!$B$3,DS!$G$91:$DW$91)</f>
        <v>0</v>
      </c>
      <c r="AC89" s="233">
        <f ca="1">SUMIF(DS!$G$4:$DW$4,AC75*DS!$B$3,DS!$G$56:$DW$56)+SUMIF(DS!$G$4:$DW$4,AC75*DS!$B$3,DS!$G$91:$DW$91)</f>
        <v>0</v>
      </c>
    </row>
    <row r="90" spans="2:38" outlineLevel="1">
      <c r="B90" s="304" t="str">
        <f>B98</f>
        <v>Principal</v>
      </c>
      <c r="D90" s="233">
        <f ca="1">SUMIF(DS!$G$3:$DW$3,D75,DS!$G$52:$DW$52)+SUMIF(DS!$G$3:$DW$3,D75,DS!$G$87:$DW$87)</f>
        <v>0</v>
      </c>
      <c r="E90" s="233">
        <f ca="1">SUMIF(DS!$G$3:$DW$3,E75,DS!$G$52:$DW$52)+SUMIF(DS!$G$3:$DW$3,E75,DS!$G$87:$DW$87)</f>
        <v>1884.0417283426466</v>
      </c>
      <c r="F90" s="233">
        <f ca="1">SUMIF(DS!$G$3:$DW$3,F75,DS!$G$52:$DW$52)+SUMIF(DS!$G$3:$DW$3,F75,DS!$G$87:$DW$87)</f>
        <v>2109.1288444875408</v>
      </c>
      <c r="G90" s="233">
        <f ca="1">SUMIF(DS!$G$3:$DW$3,G75,DS!$G$52:$DW$52)+SUMIF(DS!$G$3:$DW$3,G75,DS!$G$87:$DW$87)</f>
        <v>2347.6202225280226</v>
      </c>
      <c r="H90" s="233">
        <f ca="1">SUMIF(DS!$G$3:$DW$3,H75,DS!$G$52:$DW$52)+SUMIF(DS!$G$3:$DW$3,H75,DS!$G$87:$DW$87)</f>
        <v>2542.0401327421619</v>
      </c>
      <c r="I90" s="233">
        <f ca="1">SUMIF(DS!$G$3:$DW$3,I75,DS!$G$52:$DW$52)+SUMIF(DS!$G$3:$DW$3,I75,DS!$G$87:$DW$87)</f>
        <v>2742.5538086942238</v>
      </c>
      <c r="J90" s="233">
        <f ca="1">SUMIF(DS!$G$3:$DW$3,J75,DS!$G$52:$DW$52)+SUMIF(DS!$G$3:$DW$3,J75,DS!$G$87:$DW$87)</f>
        <v>2948.7639793247167</v>
      </c>
      <c r="K90" s="233">
        <f ca="1">SUMIF(DS!$G$3:$DW$3,K75,DS!$G$52:$DW$52)+SUMIF(DS!$G$3:$DW$3,K75,DS!$G$87:$DW$87)</f>
        <v>3175.9893470755596</v>
      </c>
      <c r="L90" s="233">
        <f ca="1">SUMIF(DS!$G$3:$DW$3,L75,DS!$G$52:$DW$52)+SUMIF(DS!$G$3:$DW$3,L75,DS!$G$87:$DW$87)</f>
        <v>3413.4863183495354</v>
      </c>
      <c r="M90" s="233">
        <f ca="1">SUMIF(DS!$G$3:$DW$3,M75,DS!$G$52:$DW$52)+SUMIF(DS!$G$3:$DW$3,M75,DS!$G$87:$DW$87)</f>
        <v>3666.3959237510771</v>
      </c>
      <c r="N90" s="233">
        <f ca="1">SUMIF(DS!$G$3:$DW$3,N75,DS!$G$52:$DW$52)+SUMIF(DS!$G$3:$DW$3,N75,DS!$G$87:$DW$87)</f>
        <v>3932.9376736523382</v>
      </c>
      <c r="O90" s="233">
        <f ca="1">SUMIF(DS!$G$3:$DW$3,O75,DS!$G$52:$DW$52)+SUMIF(DS!$G$3:$DW$3,O75,DS!$G$87:$DW$87)</f>
        <v>3913.1704569809053</v>
      </c>
      <c r="P90" s="233">
        <f ca="1">SUMIF(DS!$G$3:$DW$3,P75,DS!$G$52:$DW$52)+SUMIF(DS!$G$3:$DW$3,P75,DS!$G$87:$DW$87)</f>
        <v>4200.0946094854398</v>
      </c>
      <c r="Q90" s="233">
        <f ca="1">SUMIF(DS!$G$3:$DW$3,Q75,DS!$G$52:$DW$52)+SUMIF(DS!$G$3:$DW$3,Q75,DS!$G$87:$DW$87)</f>
        <v>2936.8303016593322</v>
      </c>
      <c r="R90" s="233">
        <f ca="1">SUMIF(DS!$G$3:$DW$3,R75,DS!$G$52:$DW$52)+SUMIF(DS!$G$3:$DW$3,R75,DS!$G$87:$DW$87)</f>
        <v>3039.2254154894881</v>
      </c>
      <c r="S90" s="233">
        <f ca="1">SUMIF(DS!$G$3:$DW$3,S75,DS!$G$52:$DW$52)+SUMIF(DS!$G$3:$DW$3,S75,DS!$G$87:$DW$87)</f>
        <v>0</v>
      </c>
      <c r="T90" s="233">
        <f ca="1">SUMIF(DS!$G$3:$DW$3,T75,DS!$G$52:$DW$52)+SUMIF(DS!$G$3:$DW$3,T75,DS!$G$87:$DW$87)</f>
        <v>0</v>
      </c>
      <c r="U90" s="233">
        <f ca="1">SUMIF(DS!$G$3:$DW$3,U75,DS!$G$52:$DW$52)+SUMIF(DS!$G$3:$DW$3,U75,DS!$G$87:$DW$87)</f>
        <v>0</v>
      </c>
      <c r="V90" s="233">
        <f ca="1">SUMIF(DS!$G$3:$DW$3,V75,DS!$G$52:$DW$52)+SUMIF(DS!$G$3:$DW$3,V75,DS!$G$87:$DW$87)</f>
        <v>0</v>
      </c>
      <c r="W90" s="233">
        <f ca="1">SUMIF(DS!$G$3:$DW$3,W75,DS!$G$52:$DW$52)+SUMIF(DS!$G$3:$DW$3,W75,DS!$G$87:$DW$87)</f>
        <v>0</v>
      </c>
      <c r="X90" s="233">
        <f ca="1">SUMIF(DS!$G$3:$DW$3,X75,DS!$G$52:$DW$52)+SUMIF(DS!$G$3:$DW$3,X75,DS!$G$87:$DW$87)</f>
        <v>0</v>
      </c>
      <c r="Y90" s="233">
        <f ca="1">SUMIF(DS!$G$3:$DW$3,Y75,DS!$G$52:$DW$52)+SUMIF(DS!$G$3:$DW$3,Y75,DS!$G$87:$DW$87)</f>
        <v>0</v>
      </c>
      <c r="Z90" s="233">
        <f ca="1">SUMIF(DS!$G$3:$DW$3,Z75,DS!$G$52:$DW$52)+SUMIF(DS!$G$3:$DW$3,Z75,DS!$G$87:$DW$87)</f>
        <v>0</v>
      </c>
      <c r="AA90" s="233">
        <f ca="1">SUMIF(DS!$G$3:$DW$3,AA75,DS!$G$52:$DW$52)+SUMIF(DS!$G$3:$DW$3,AA75,DS!$G$87:$DW$87)</f>
        <v>0</v>
      </c>
      <c r="AB90" s="233">
        <f ca="1">SUMIF(DS!$G$3:$DW$3,AB75,DS!$G$52:$DW$52)+SUMIF(DS!$G$3:$DW$3,AB75,DS!$G$87:$DW$87)</f>
        <v>0</v>
      </c>
      <c r="AC90" s="233">
        <f ca="1">SUMIF(DS!$G$3:$DW$3,AC75,DS!$G$52:$DW$52)+SUMIF(DS!$G$3:$DW$3,AC75,DS!$G$87:$DW$87)</f>
        <v>0</v>
      </c>
    </row>
    <row r="91" spans="2:38" outlineLevel="1">
      <c r="B91" s="304" t="str">
        <f>B99</f>
        <v>Interests</v>
      </c>
      <c r="D91" s="233">
        <f ca="1">SUMIF(DS!$G$3:$DW$3,D75,DS!$G$53:$DW$53)+SUMIF(DS!$G$3:$DW$3,D75,DS!$G$88:$DW$88)</f>
        <v>0</v>
      </c>
      <c r="E91" s="233">
        <f ca="1">SUMIF(DS!$G$3:$DW$3,E75,DS!$G$53:$DW$53)+SUMIF(DS!$G$3:$DW$3,E75,DS!$G$88:$DW$88)</f>
        <v>2557.717487373875</v>
      </c>
      <c r="F91" s="233">
        <f ca="1">SUMIF(DS!$G$3:$DW$3,F75,DS!$G$53:$DW$53)+SUMIF(DS!$G$3:$DW$3,F75,DS!$G$88:$DW$88)</f>
        <v>2401.6732143696026</v>
      </c>
      <c r="G91" s="233">
        <f ca="1">SUMIF(DS!$G$3:$DW$3,G75,DS!$G$53:$DW$53)+SUMIF(DS!$G$3:$DW$3,G75,DS!$G$88:$DW$88)</f>
        <v>2249.441332331065</v>
      </c>
      <c r="H91" s="233">
        <f ca="1">SUMIF(DS!$G$3:$DW$3,H75,DS!$G$53:$DW$53)+SUMIF(DS!$G$3:$DW$3,H75,DS!$G$88:$DW$88)</f>
        <v>2104.8677896069885</v>
      </c>
      <c r="I91" s="233">
        <f ca="1">SUMIF(DS!$G$3:$DW$3,I75,DS!$G$53:$DW$53)+SUMIF(DS!$G$3:$DW$3,I75,DS!$G$88:$DW$88)</f>
        <v>1954.64343037251</v>
      </c>
      <c r="J91" s="233">
        <f ca="1">SUMIF(DS!$G$3:$DW$3,J75,DS!$G$53:$DW$53)+SUMIF(DS!$G$3:$DW$3,J75,DS!$G$88:$DW$88)</f>
        <v>1799.3754398386259</v>
      </c>
      <c r="K91" s="233">
        <f ca="1">SUMIF(DS!$G$3:$DW$3,K75,DS!$G$53:$DW$53)+SUMIF(DS!$G$3:$DW$3,K75,DS!$G$88:$DW$88)</f>
        <v>1621.8290654192283</v>
      </c>
      <c r="L91" s="233">
        <f ca="1">SUMIF(DS!$G$3:$DW$3,L75,DS!$G$53:$DW$53)+SUMIF(DS!$G$3:$DW$3,L75,DS!$G$88:$DW$88)</f>
        <v>1434.258279061889</v>
      </c>
      <c r="M91" s="233">
        <f ca="1">SUMIF(DS!$G$3:$DW$3,M75,DS!$G$53:$DW$53)+SUMIF(DS!$G$3:$DW$3,M75,DS!$G$88:$DW$88)</f>
        <v>1230.8904147448752</v>
      </c>
      <c r="N91" s="233">
        <f ca="1">SUMIF(DS!$G$3:$DW$3,N75,DS!$G$53:$DW$53)+SUMIF(DS!$G$3:$DW$3,N75,DS!$G$88:$DW$88)</f>
        <v>1013.8586971722226</v>
      </c>
      <c r="O91" s="233">
        <f ca="1">SUMIF(DS!$G$3:$DW$3,O75,DS!$G$53:$DW$53)+SUMIF(DS!$G$3:$DW$3,O75,DS!$G$88:$DW$88)</f>
        <v>778.7671139791828</v>
      </c>
      <c r="P91" s="233">
        <f ca="1">SUMIF(DS!$G$3:$DW$3,P75,DS!$G$53:$DW$53)+SUMIF(DS!$G$3:$DW$3,P75,DS!$G$88:$DW$88)</f>
        <v>541.48964327536544</v>
      </c>
      <c r="Q91" s="233">
        <f ca="1">SUMIF(DS!$G$3:$DW$3,Q75,DS!$G$53:$DW$53)+SUMIF(DS!$G$3:$DW$3,Q75,DS!$G$88:$DW$88)</f>
        <v>310.30356400196177</v>
      </c>
      <c r="R91" s="233">
        <f ca="1">SUMIF(DS!$G$3:$DW$3,R75,DS!$G$53:$DW$53)+SUMIF(DS!$G$3:$DW$3,R75,DS!$G$88:$DW$88)</f>
        <v>133.96381877093248</v>
      </c>
      <c r="S91" s="233">
        <f ca="1">SUMIF(DS!$G$3:$DW$3,S75,DS!$G$53:$DW$53)+SUMIF(DS!$G$3:$DW$3,S75,DS!$G$88:$DW$88)</f>
        <v>0</v>
      </c>
      <c r="T91" s="233">
        <f ca="1">SUMIF(DS!$G$3:$DW$3,T75,DS!$G$53:$DW$53)+SUMIF(DS!$G$3:$DW$3,T75,DS!$G$88:$DW$88)</f>
        <v>0</v>
      </c>
      <c r="U91" s="233">
        <f ca="1">SUMIF(DS!$G$3:$DW$3,U75,DS!$G$53:$DW$53)+SUMIF(DS!$G$3:$DW$3,U75,DS!$G$88:$DW$88)</f>
        <v>0</v>
      </c>
      <c r="V91" s="233">
        <f ca="1">SUMIF(DS!$G$3:$DW$3,V75,DS!$G$53:$DW$53)+SUMIF(DS!$G$3:$DW$3,V75,DS!$G$88:$DW$88)</f>
        <v>0</v>
      </c>
      <c r="W91" s="233">
        <f ca="1">SUMIF(DS!$G$3:$DW$3,W75,DS!$G$53:$DW$53)+SUMIF(DS!$G$3:$DW$3,W75,DS!$G$88:$DW$88)</f>
        <v>0</v>
      </c>
      <c r="X91" s="233">
        <f ca="1">SUMIF(DS!$G$3:$DW$3,X75,DS!$G$53:$DW$53)+SUMIF(DS!$G$3:$DW$3,X75,DS!$G$88:$DW$88)</f>
        <v>0</v>
      </c>
      <c r="Y91" s="233">
        <f ca="1">SUMIF(DS!$G$3:$DW$3,Y75,DS!$G$53:$DW$53)+SUMIF(DS!$G$3:$DW$3,Y75,DS!$G$88:$DW$88)</f>
        <v>0</v>
      </c>
      <c r="Z91" s="233">
        <f ca="1">SUMIF(DS!$G$3:$DW$3,Z75,DS!$G$53:$DW$53)+SUMIF(DS!$G$3:$DW$3,Z75,DS!$G$88:$DW$88)</f>
        <v>0</v>
      </c>
      <c r="AA91" s="233">
        <f ca="1">SUMIF(DS!$G$3:$DW$3,AA75,DS!$G$53:$DW$53)+SUMIF(DS!$G$3:$DW$3,AA75,DS!$G$88:$DW$88)</f>
        <v>0</v>
      </c>
      <c r="AB91" s="233">
        <f ca="1">SUMIF(DS!$G$3:$DW$3,AB75,DS!$G$53:$DW$53)+SUMIF(DS!$G$3:$DW$3,AB75,DS!$G$88:$DW$88)</f>
        <v>0</v>
      </c>
      <c r="AC91" s="233">
        <f ca="1">SUMIF(DS!$G$3:$DW$3,AC75,DS!$G$53:$DW$53)+SUMIF(DS!$G$3:$DW$3,AC75,DS!$G$88:$DW$88)</f>
        <v>0</v>
      </c>
    </row>
    <row r="92" spans="2:38" outlineLevel="1">
      <c r="B92" s="344" t="str">
        <f>J39</f>
        <v>Akuo Carbon Fund</v>
      </c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</row>
    <row r="93" spans="2:38" outlineLevel="1">
      <c r="B93" s="304" t="str">
        <f>B97</f>
        <v>Outstanding (scale 2)</v>
      </c>
      <c r="D93" s="233">
        <f ca="1">SUMIF(DS!$G$4:$DW$4,D$75*DS!$B$3,DS!$G$113:$DW$113)</f>
        <v>0</v>
      </c>
      <c r="E93" s="233">
        <f ca="1">SUMIF(DS!$G$4:$DW$4,E$75*DS!$B$3,DS!$G$113:$DW$113)</f>
        <v>0</v>
      </c>
      <c r="F93" s="233">
        <f ca="1">SUMIF(DS!$G$4:$DW$4,F$75*DS!$B$3,DS!$G$113:$DW$113)</f>
        <v>0</v>
      </c>
      <c r="G93" s="233">
        <f ca="1">SUMIF(DS!$G$4:$DW$4,G$75*DS!$B$3,DS!$G$113:$DW$113)</f>
        <v>0</v>
      </c>
      <c r="H93" s="233">
        <f ca="1">SUMIF(DS!$G$4:$DW$4,H$75*DS!$B$3,DS!$G$113:$DW$113)</f>
        <v>0</v>
      </c>
      <c r="I93" s="233">
        <f ca="1">SUMIF(DS!$G$4:$DW$4,I$75*DS!$B$3,DS!$G$113:$DW$113)</f>
        <v>0</v>
      </c>
      <c r="J93" s="233">
        <f ca="1">SUMIF(DS!$G$4:$DW$4,J$75*DS!$B$3,DS!$G$113:$DW$113)</f>
        <v>0</v>
      </c>
      <c r="K93" s="233">
        <f ca="1">SUMIF(DS!$G$4:$DW$4,K$75*DS!$B$3,DS!$G$113:$DW$113)</f>
        <v>0</v>
      </c>
      <c r="L93" s="233">
        <f ca="1">SUMIF(DS!$G$4:$DW$4,L$75*DS!$B$3,DS!$G$113:$DW$113)</f>
        <v>0</v>
      </c>
      <c r="M93" s="233">
        <f ca="1">SUMIF(DS!$G$4:$DW$4,M$75*DS!$B$3,DS!$G$113:$DW$113)</f>
        <v>0</v>
      </c>
      <c r="N93" s="233">
        <f ca="1">SUMIF(DS!$G$4:$DW$4,N$75*DS!$B$3,DS!$G$113:$DW$113)</f>
        <v>0</v>
      </c>
      <c r="O93" s="233">
        <f ca="1">SUMIF(DS!$G$4:$DW$4,O$75*DS!$B$3,DS!$G$113:$DW$113)</f>
        <v>0</v>
      </c>
      <c r="P93" s="233">
        <f ca="1">SUMIF(DS!$G$4:$DW$4,P$75*DS!$B$3,DS!$G$113:$DW$113)</f>
        <v>0</v>
      </c>
      <c r="Q93" s="233">
        <f ca="1">SUMIF(DS!$G$4:$DW$4,Q$75*DS!$B$3,DS!$G$113:$DW$113)</f>
        <v>0</v>
      </c>
      <c r="R93" s="233">
        <f ca="1">SUMIF(DS!$G$4:$DW$4,R$75*DS!$B$3,DS!$G$113:$DW$113)</f>
        <v>0</v>
      </c>
      <c r="S93" s="233">
        <f ca="1">SUMIF(DS!$G$4:$DW$4,S$75*DS!$B$3,DS!$G$113:$DW$113)</f>
        <v>0</v>
      </c>
      <c r="T93" s="233">
        <f ca="1">SUMIF(DS!$G$4:$DW$4,T$75*DS!$B$3,DS!$G$113:$DW$113)</f>
        <v>0</v>
      </c>
      <c r="U93" s="233">
        <f ca="1">SUMIF(DS!$G$4:$DW$4,U$75*DS!$B$3,DS!$G$113:$DW$113)</f>
        <v>0</v>
      </c>
      <c r="V93" s="233">
        <f ca="1">SUMIF(DS!$G$4:$DW$4,V$75*DS!$B$3,DS!$G$113:$DW$113)</f>
        <v>0</v>
      </c>
      <c r="W93" s="233">
        <f ca="1">SUMIF(DS!$G$4:$DW$4,W$75*DS!$B$3,DS!$G$113:$DW$113)</f>
        <v>0</v>
      </c>
      <c r="X93" s="233">
        <f ca="1">SUMIF(DS!$G$4:$DW$4,X$75*DS!$B$3,DS!$G$113:$DW$113)</f>
        <v>0</v>
      </c>
      <c r="Y93" s="233">
        <f ca="1">SUMIF(DS!$G$4:$DW$4,Y$75*DS!$B$3,DS!$G$113:$DW$113)</f>
        <v>0</v>
      </c>
      <c r="Z93" s="233">
        <f ca="1">SUMIF(DS!$G$4:$DW$4,Z$75*DS!$B$3,DS!$G$113:$DW$113)</f>
        <v>0</v>
      </c>
      <c r="AA93" s="233">
        <f ca="1">SUMIF(DS!$G$4:$DW$4,AA$75*DS!$B$3,DS!$G$113:$DW$113)</f>
        <v>0</v>
      </c>
      <c r="AB93" s="233">
        <f ca="1">SUMIF(DS!$G$4:$DW$4,AB$75*DS!$B$3,DS!$G$113:$DW$113)</f>
        <v>0</v>
      </c>
      <c r="AC93" s="233">
        <f ca="1">SUMIF(DS!$G$4:$DW$4,AC$75*DS!$B$3,DS!$G$113:$DW$113)</f>
        <v>0</v>
      </c>
    </row>
    <row r="94" spans="2:38" outlineLevel="1">
      <c r="B94" s="304" t="str">
        <f>B98</f>
        <v>Principal</v>
      </c>
      <c r="D94" s="233">
        <f ca="1">SUMIF(DS!$G$3:$DW$3,D$75,DS!$G$109:$DW$109)</f>
        <v>0</v>
      </c>
      <c r="E94" s="233">
        <f ca="1">SUMIF(DS!$G$3:$DW$3,E$75,DS!$G$109:$DW$109)</f>
        <v>0</v>
      </c>
      <c r="F94" s="233">
        <f ca="1">SUMIF(DS!$G$3:$DW$3,F$75,DS!$G$109:$DW$109)</f>
        <v>0</v>
      </c>
      <c r="G94" s="233">
        <f ca="1">SUMIF(DS!$G$3:$DW$3,G$75,DS!$G$109:$DW$109)</f>
        <v>0</v>
      </c>
      <c r="H94" s="233">
        <f ca="1">SUMIF(DS!$G$3:$DW$3,H$75,DS!$G$109:$DW$109)</f>
        <v>0</v>
      </c>
      <c r="I94" s="233">
        <f ca="1">SUMIF(DS!$G$3:$DW$3,I$75,DS!$G$109:$DW$109)</f>
        <v>0</v>
      </c>
      <c r="J94" s="233">
        <f ca="1">SUMIF(DS!$G$3:$DW$3,J$75,DS!$G$109:$DW$109)</f>
        <v>0</v>
      </c>
      <c r="K94" s="233">
        <f ca="1">SUMIF(DS!$G$3:$DW$3,K$75,DS!$G$109:$DW$109)</f>
        <v>0</v>
      </c>
      <c r="L94" s="233">
        <f ca="1">SUMIF(DS!$G$3:$DW$3,L$75,DS!$G$109:$DW$109)</f>
        <v>0</v>
      </c>
      <c r="M94" s="233">
        <f ca="1">SUMIF(DS!$G$3:$DW$3,M$75,DS!$G$109:$DW$109)</f>
        <v>0</v>
      </c>
      <c r="N94" s="233">
        <f ca="1">SUMIF(DS!$G$3:$DW$3,N$75,DS!$G$109:$DW$109)</f>
        <v>0</v>
      </c>
      <c r="O94" s="233">
        <f ca="1">SUMIF(DS!$G$3:$DW$3,O$75,DS!$G$109:$DW$109)</f>
        <v>0</v>
      </c>
      <c r="P94" s="233">
        <f ca="1">SUMIF(DS!$G$3:$DW$3,P$75,DS!$G$109:$DW$109)</f>
        <v>0</v>
      </c>
      <c r="Q94" s="233">
        <f ca="1">SUMIF(DS!$G$3:$DW$3,Q$75,DS!$G$109:$DW$109)</f>
        <v>0</v>
      </c>
      <c r="R94" s="233">
        <f ca="1">SUMIF(DS!$G$3:$DW$3,R$75,DS!$G$109:$DW$109)</f>
        <v>0</v>
      </c>
      <c r="S94" s="233">
        <f ca="1">SUMIF(DS!$G$3:$DW$3,S$75,DS!$G$109:$DW$109)</f>
        <v>0</v>
      </c>
      <c r="T94" s="233">
        <f ca="1">SUMIF(DS!$G$3:$DW$3,T$75,DS!$G$109:$DW$109)</f>
        <v>0</v>
      </c>
      <c r="U94" s="233">
        <f ca="1">SUMIF(DS!$G$3:$DW$3,U$75,DS!$G$109:$DW$109)</f>
        <v>0</v>
      </c>
      <c r="V94" s="233">
        <f ca="1">SUMIF(DS!$G$3:$DW$3,V$75,DS!$G$109:$DW$109)</f>
        <v>0</v>
      </c>
      <c r="W94" s="233">
        <f ca="1">SUMIF(DS!$G$3:$DW$3,W$75,DS!$G$109:$DW$109)</f>
        <v>0</v>
      </c>
      <c r="X94" s="233">
        <f ca="1">SUMIF(DS!$G$3:$DW$3,X$75,DS!$G$109:$DW$109)</f>
        <v>0</v>
      </c>
      <c r="Y94" s="233">
        <f ca="1">SUMIF(DS!$G$3:$DW$3,Y$75,DS!$G$109:$DW$109)</f>
        <v>0</v>
      </c>
      <c r="Z94" s="233">
        <f ca="1">SUMIF(DS!$G$3:$DW$3,Z$75,DS!$G$109:$DW$109)</f>
        <v>0</v>
      </c>
      <c r="AA94" s="233">
        <f ca="1">SUMIF(DS!$G$3:$DW$3,AA$75,DS!$G$109:$DW$109)</f>
        <v>0</v>
      </c>
      <c r="AB94" s="233">
        <f ca="1">SUMIF(DS!$G$3:$DW$3,AB$75,DS!$G$109:$DW$109)</f>
        <v>0</v>
      </c>
      <c r="AC94" s="233">
        <f ca="1">SUMIF(DS!$G$3:$DW$3,AC$75,DS!$G$109:$DW$109)</f>
        <v>0</v>
      </c>
    </row>
    <row r="95" spans="2:38" outlineLevel="1">
      <c r="B95" s="304" t="str">
        <f>B99</f>
        <v>Interests</v>
      </c>
      <c r="D95" s="233">
        <f ca="1">SUMIF(DS!$G$3:$DW$3,D$75,DS!$G$112:$DW$112)</f>
        <v>0</v>
      </c>
      <c r="E95" s="233">
        <f ca="1">SUMIF(DS!$G$3:$DW$3,E$75,DS!$G$112:$DW$112)</f>
        <v>0</v>
      </c>
      <c r="F95" s="233">
        <f ca="1">SUMIF(DS!$G$3:$DW$3,F$75,DS!$G$112:$DW$112)</f>
        <v>0</v>
      </c>
      <c r="G95" s="233">
        <f ca="1">SUMIF(DS!$G$3:$DW$3,G$75,DS!$G$112:$DW$112)</f>
        <v>0</v>
      </c>
      <c r="H95" s="233">
        <f ca="1">SUMIF(DS!$G$3:$DW$3,H$75,DS!$G$112:$DW$112)</f>
        <v>0</v>
      </c>
      <c r="I95" s="233">
        <f ca="1">SUMIF(DS!$G$3:$DW$3,I$75,DS!$G$112:$DW$112)</f>
        <v>0</v>
      </c>
      <c r="J95" s="233">
        <f ca="1">SUMIF(DS!$G$3:$DW$3,J$75,DS!$G$112:$DW$112)</f>
        <v>0</v>
      </c>
      <c r="K95" s="233">
        <f ca="1">SUMIF(DS!$G$3:$DW$3,K$75,DS!$G$112:$DW$112)</f>
        <v>0</v>
      </c>
      <c r="L95" s="233">
        <f ca="1">SUMIF(DS!$G$3:$DW$3,L$75,DS!$G$112:$DW$112)</f>
        <v>0</v>
      </c>
      <c r="M95" s="233">
        <f ca="1">SUMIF(DS!$G$3:$DW$3,M$75,DS!$G$112:$DW$112)</f>
        <v>0</v>
      </c>
      <c r="N95" s="233">
        <f ca="1">SUMIF(DS!$G$3:$DW$3,N$75,DS!$G$112:$DW$112)</f>
        <v>0</v>
      </c>
      <c r="O95" s="233">
        <f ca="1">SUMIF(DS!$G$3:$DW$3,O$75,DS!$G$112:$DW$112)</f>
        <v>0</v>
      </c>
      <c r="P95" s="233">
        <f ca="1">SUMIF(DS!$G$3:$DW$3,P$75,DS!$G$112:$DW$112)</f>
        <v>0</v>
      </c>
      <c r="Q95" s="233">
        <f ca="1">SUMIF(DS!$G$3:$DW$3,Q$75,DS!$G$112:$DW$112)</f>
        <v>0</v>
      </c>
      <c r="R95" s="233">
        <f ca="1">SUMIF(DS!$G$3:$DW$3,R$75,DS!$G$112:$DW$112)</f>
        <v>0</v>
      </c>
      <c r="S95" s="233">
        <f ca="1">SUMIF(DS!$G$3:$DW$3,S$75,DS!$G$112:$DW$112)</f>
        <v>0</v>
      </c>
      <c r="T95" s="233">
        <f ca="1">SUMIF(DS!$G$3:$DW$3,T$75,DS!$G$112:$DW$112)</f>
        <v>0</v>
      </c>
      <c r="U95" s="233">
        <f ca="1">SUMIF(DS!$G$3:$DW$3,U$75,DS!$G$112:$DW$112)</f>
        <v>0</v>
      </c>
      <c r="V95" s="233">
        <f ca="1">SUMIF(DS!$G$3:$DW$3,V$75,DS!$G$112:$DW$112)</f>
        <v>0</v>
      </c>
      <c r="W95" s="233">
        <f ca="1">SUMIF(DS!$G$3:$DW$3,W$75,DS!$G$112:$DW$112)</f>
        <v>0</v>
      </c>
      <c r="X95" s="233">
        <f ca="1">SUMIF(DS!$G$3:$DW$3,X$75,DS!$G$112:$DW$112)</f>
        <v>0</v>
      </c>
      <c r="Y95" s="233">
        <f ca="1">SUMIF(DS!$G$3:$DW$3,Y$75,DS!$G$112:$DW$112)</f>
        <v>0</v>
      </c>
      <c r="Z95" s="233">
        <f ca="1">SUMIF(DS!$G$3:$DW$3,Z$75,DS!$G$112:$DW$112)</f>
        <v>0</v>
      </c>
      <c r="AA95" s="233">
        <f ca="1">SUMIF(DS!$G$3:$DW$3,AA$75,DS!$G$112:$DW$112)</f>
        <v>0</v>
      </c>
      <c r="AB95" s="233">
        <f ca="1">SUMIF(DS!$G$3:$DW$3,AB$75,DS!$G$112:$DW$112)</f>
        <v>0</v>
      </c>
      <c r="AC95" s="233">
        <f ca="1">SUMIF(DS!$G$3:$DW$3,AC$75,DS!$G$112:$DW$112)</f>
        <v>0</v>
      </c>
    </row>
    <row r="96" spans="2:38" outlineLevel="1">
      <c r="B96" s="344" t="s">
        <v>18</v>
      </c>
      <c r="D96" s="233"/>
      <c r="E96" s="416"/>
      <c r="F96" s="416"/>
      <c r="G96" s="416"/>
      <c r="H96" s="416"/>
      <c r="I96" s="416"/>
      <c r="J96" s="416"/>
      <c r="K96" s="416"/>
      <c r="L96" s="416"/>
      <c r="M96" s="416"/>
      <c r="N96" s="416"/>
      <c r="O96" s="416"/>
      <c r="P96" s="416"/>
      <c r="Q96" s="416"/>
      <c r="R96" s="416"/>
      <c r="S96" s="416"/>
      <c r="T96" s="416"/>
      <c r="U96" s="416"/>
      <c r="V96" s="416"/>
      <c r="W96" s="416"/>
      <c r="X96" s="416"/>
      <c r="Y96" s="416"/>
      <c r="Z96" s="416"/>
      <c r="AA96" s="416"/>
      <c r="AB96" s="416"/>
      <c r="AC96" s="416"/>
    </row>
    <row r="97" spans="2:29" outlineLevel="1">
      <c r="B97" s="304" t="s">
        <v>226</v>
      </c>
      <c r="D97" s="233">
        <f ca="1">IF(D75=0,$L$38,SUMIF(DS!$G$4:$DW$4,D$75*DS!$B$3,DS!$G$129:$DW$129))</f>
        <v>14620.773894815633</v>
      </c>
      <c r="E97" s="233">
        <f ca="1">IF(E75=0,$L$38,SUMIF(DS!$G$4:$DW$4,E$75*DS!$B$3,DS!$G$129:$DW$129))</f>
        <v>16399.34540163241</v>
      </c>
      <c r="F97" s="233">
        <f ca="1">IF(F75=0,$L$38,SUMIF(DS!$G$4:$DW$4,F$75*DS!$B$3,DS!$G$129:$DW$129))</f>
        <v>17051.24291931474</v>
      </c>
      <c r="G97" s="233">
        <f ca="1">IF(G75=0,$L$38,SUMIF(DS!$G$4:$DW$4,G$75*DS!$B$3,DS!$G$129:$DW$129))</f>
        <v>17739.407997409326</v>
      </c>
      <c r="H97" s="233">
        <f ca="1">IF(H75=0,$L$38,SUMIF(DS!$G$4:$DW$4,H$75*DS!$B$3,DS!$G$129:$DW$129))</f>
        <v>18476.045532323013</v>
      </c>
      <c r="I97" s="233">
        <f ca="1">IF(I75=0,$L$38,SUMIF(DS!$G$4:$DW$4,I$75*DS!$B$3,DS!$G$129:$DW$129))</f>
        <v>19265.041302114158</v>
      </c>
      <c r="J97" s="233">
        <f ca="1">IF(J75=0,$L$38,SUMIF(DS!$G$4:$DW$4,J$75*DS!$B$3,DS!$G$129:$DW$129))</f>
        <v>20114.919745026844</v>
      </c>
      <c r="K97" s="233">
        <f ca="1">IF(K75=0,$L$38,SUMIF(DS!$G$4:$DW$4,K$75*DS!$B$3,DS!$G$129:$DW$129))</f>
        <v>21022.128929553077</v>
      </c>
      <c r="L97" s="233">
        <f ca="1">IF(L75=0,$L$38,SUMIF(DS!$G$4:$DW$4,L$75*DS!$B$3,DS!$G$129:$DW$129))</f>
        <v>21995.659800279467</v>
      </c>
      <c r="M97" s="233">
        <f ca="1">IF(M75=0,$L$38,SUMIF(DS!$G$4:$DW$4,M$75*DS!$B$3,DS!$G$129:$DW$129))</f>
        <v>23040.978546068316</v>
      </c>
      <c r="N97" s="233">
        <f ca="1">IF(N75=0,$L$38,SUMIF(DS!$G$4:$DW$4,N$75*DS!$B$3,DS!$G$129:$DW$129))</f>
        <v>24169.156081066154</v>
      </c>
      <c r="O97" s="233">
        <f ca="1">IF(O75=0,$L$38,SUMIF(DS!$G$4:$DW$4,O$75*DS!$B$3,DS!$G$129:$DW$129))</f>
        <v>25423.193895206176</v>
      </c>
      <c r="P97" s="233">
        <f ca="1">IF(P75=0,$L$38,SUMIF(DS!$G$4:$DW$4,P$75*DS!$B$3,DS!$G$129:$DW$129))</f>
        <v>26771.882877263182</v>
      </c>
      <c r="Q97" s="233">
        <f ca="1">IF(Q75=0,$L$38,SUMIF(DS!$G$4:$DW$4,Q$75*DS!$B$3,DS!$G$129:$DW$129))</f>
        <v>26464.554451404663</v>
      </c>
      <c r="R97" s="233">
        <f ca="1">IF(R75=0,$L$38,SUMIF(DS!$G$4:$DW$4,R$75*DS!$B$3,DS!$G$129:$DW$129))</f>
        <v>26090.806625221659</v>
      </c>
      <c r="S97" s="233">
        <f ca="1">IF(S75=0,$L$38,SUMIF(DS!$G$4:$DW$4,S$75*DS!$B$3,DS!$G$129:$DW$129))</f>
        <v>22561.051767745477</v>
      </c>
      <c r="T97" s="233">
        <f ca="1">IF(T75=0,$L$38,SUMIF(DS!$G$4:$DW$4,T$75*DS!$B$3,DS!$G$129:$DW$129))</f>
        <v>18813.234596542286</v>
      </c>
      <c r="U97" s="233">
        <f ca="1">IF(U75=0,$L$38,SUMIF(DS!$G$4:$DW$4,U$75*DS!$B$3,DS!$G$129:$DW$129))</f>
        <v>14657.17140833056</v>
      </c>
      <c r="V97" s="233">
        <f ca="1">IF(V75=0,$L$38,SUMIF(DS!$G$4:$DW$4,V$75*DS!$B$3,DS!$G$129:$DW$129))</f>
        <v>10064.10068586003</v>
      </c>
      <c r="W97" s="233">
        <f ca="1">IF(W75=0,$L$38,SUMIF(DS!$G$4:$DW$4,W$75*DS!$B$3,DS!$G$129:$DW$129))</f>
        <v>4993.8022752398856</v>
      </c>
      <c r="X97" s="233">
        <f ca="1">IF(X75=0,$L$38,SUMIF(DS!$G$4:$DW$4,X$75*DS!$B$3,DS!$G$129:$DW$129))</f>
        <v>0</v>
      </c>
      <c r="Y97" s="233">
        <f ca="1">IF(Y75=0,$L$38,SUMIF(DS!$G$4:$DW$4,Y$75*DS!$B$3,DS!$G$129:$DW$129))</f>
        <v>0</v>
      </c>
      <c r="Z97" s="233">
        <f ca="1">IF(Z75=0,$L$38,SUMIF(DS!$G$4:$DW$4,Z$75*DS!$B$3,DS!$G$129:$DW$129))</f>
        <v>0</v>
      </c>
      <c r="AA97" s="233">
        <f ca="1">IF(AA75=0,$L$38,SUMIF(DS!$G$4:$DW$4,AA$75*DS!$B$3,DS!$G$129:$DW$129))</f>
        <v>0</v>
      </c>
      <c r="AB97" s="233">
        <f ca="1">IF(AB75=0,$L$38,SUMIF(DS!$G$4:$DW$4,AB$75*DS!$B$3,DS!$G$129:$DW$129))</f>
        <v>0</v>
      </c>
      <c r="AC97" s="233">
        <f ca="1">IF(AC75=0,$L$38,SUMIF(DS!$G$4:$DW$4,AC$75*DS!$B$3,DS!$G$129:$DW$129))</f>
        <v>0</v>
      </c>
    </row>
    <row r="98" spans="2:29" outlineLevel="1">
      <c r="B98" s="304" t="s">
        <v>227</v>
      </c>
      <c r="D98" s="233">
        <f ca="1">SUMIF(DS!$G$3:$DW$3,D$75,DS!$G$127:$DW$127)</f>
        <v>0</v>
      </c>
      <c r="E98" s="233">
        <f ca="1">SUMIF(DS!$G$3:$DW$3,E$75,DS!$G$127:$DW$127)</f>
        <v>0</v>
      </c>
      <c r="F98" s="233">
        <f ca="1">SUMIF(DS!$G$3:$DW$3,F$75,DS!$G$127:$DW$127)</f>
        <v>0</v>
      </c>
      <c r="G98" s="233">
        <f ca="1">SUMIF(DS!$G$3:$DW$3,G$75,DS!$G$127:$DW$127)</f>
        <v>0</v>
      </c>
      <c r="H98" s="233">
        <f ca="1">SUMIF(DS!$G$3:$DW$3,H$75,DS!$G$127:$DW$127)</f>
        <v>0</v>
      </c>
      <c r="I98" s="233">
        <f ca="1">SUMIF(DS!$G$3:$DW$3,I$75,DS!$G$127:$DW$127)</f>
        <v>0</v>
      </c>
      <c r="J98" s="233">
        <f ca="1">SUMIF(DS!$G$3:$DW$3,J$75,DS!$G$127:$DW$127)</f>
        <v>0</v>
      </c>
      <c r="K98" s="233">
        <f ca="1">SUMIF(DS!$G$3:$DW$3,K$75,DS!$G$127:$DW$127)</f>
        <v>0</v>
      </c>
      <c r="L98" s="233">
        <f ca="1">SUMIF(DS!$G$3:$DW$3,L$75,DS!$G$127:$DW$127)</f>
        <v>0</v>
      </c>
      <c r="M98" s="233">
        <f ca="1">SUMIF(DS!$G$3:$DW$3,M$75,DS!$G$127:$DW$127)</f>
        <v>0</v>
      </c>
      <c r="N98" s="233">
        <f ca="1">SUMIF(DS!$G$3:$DW$3,N$75,DS!$G$127:$DW$127)</f>
        <v>0</v>
      </c>
      <c r="O98" s="233">
        <f ca="1">SUMIF(DS!$G$3:$DW$3,O$75,DS!$G$127:$DW$127)</f>
        <v>0</v>
      </c>
      <c r="P98" s="233">
        <f ca="1">SUMIF(DS!$G$3:$DW$3,P$75,DS!$G$127:$DW$127)</f>
        <v>0</v>
      </c>
      <c r="Q98" s="233">
        <f ca="1">SUMIF(DS!$G$3:$DW$3,Q$75,DS!$G$127:$DW$127)</f>
        <v>307.32842585851768</v>
      </c>
      <c r="R98" s="233">
        <f ca="1">SUMIF(DS!$G$3:$DW$3,R$75,DS!$G$127:$DW$127)</f>
        <v>373.7478261830006</v>
      </c>
      <c r="S98" s="233">
        <f ca="1">SUMIF(DS!$G$3:$DW$3,S$75,DS!$G$127:$DW$127)</f>
        <v>3529.7548574761831</v>
      </c>
      <c r="T98" s="233">
        <f ca="1">SUMIF(DS!$G$3:$DW$3,T$75,DS!$G$127:$DW$127)</f>
        <v>3747.817171203189</v>
      </c>
      <c r="U98" s="233">
        <f ca="1">SUMIF(DS!$G$3:$DW$3,U$75,DS!$G$127:$DW$127)</f>
        <v>4156.063188211725</v>
      </c>
      <c r="V98" s="233">
        <f ca="1">SUMIF(DS!$G$3:$DW$3,V$75,DS!$G$127:$DW$127)</f>
        <v>4593.0707224705293</v>
      </c>
      <c r="W98" s="233">
        <f ca="1">SUMIF(DS!$G$3:$DW$3,W$75,DS!$G$127:$DW$127)</f>
        <v>5070.2984106201457</v>
      </c>
      <c r="X98" s="233">
        <f ca="1">SUMIF(DS!$G$3:$DW$3,X$75,DS!$G$127:$DW$127)</f>
        <v>4993.8022752398856</v>
      </c>
      <c r="Y98" s="233">
        <f ca="1">SUMIF(DS!$G$3:$DW$3,Y$75,DS!$G$127:$DW$127)</f>
        <v>0</v>
      </c>
      <c r="Z98" s="233">
        <f ca="1">SUMIF(DS!$G$3:$DW$3,Z$75,DS!$G$127:$DW$127)</f>
        <v>0</v>
      </c>
      <c r="AA98" s="233">
        <f ca="1">SUMIF(DS!$G$3:$DW$3,AA$75,DS!$G$127:$DW$127)</f>
        <v>0</v>
      </c>
      <c r="AB98" s="233">
        <f ca="1">SUMIF(DS!$G$3:$DW$3,AB$75,DS!$G$127:$DW$127)</f>
        <v>0</v>
      </c>
      <c r="AC98" s="233">
        <f ca="1">SUMIF(DS!$G$3:$DW$3,AC$75,DS!$G$127:$DW$127)</f>
        <v>0</v>
      </c>
    </row>
    <row r="99" spans="2:29" outlineLevel="1">
      <c r="B99" s="304" t="s">
        <v>228</v>
      </c>
      <c r="D99" s="233">
        <f ca="1">(SUMIF(DS!$G$3:$DW$3,D$75,DS!$G$125:$DW$125)-D100)*(D75&gt;0)</f>
        <v>0</v>
      </c>
      <c r="E99" s="233">
        <f ca="1">(SUMIF(DS!$G$3:$DW$3,E$75,DS!$G$125:$DW$125)-E100)*(E75&gt;0)</f>
        <v>666.26388235747788</v>
      </c>
      <c r="F99" s="233">
        <f ca="1">(SUMIF(DS!$G$3:$DW$3,F$75,DS!$G$125:$DW$125)-F100)*(F75&gt;0)</f>
        <v>676.62030882857107</v>
      </c>
      <c r="G99" s="233">
        <f ca="1">(SUMIF(DS!$G$3:$DW$3,G$75,DS!$G$125:$DW$125)-G100)*(G75&gt;0)</f>
        <v>689.56543840426912</v>
      </c>
      <c r="H99" s="233">
        <f ca="1">(SUMIF(DS!$G$3:$DW$3,H$75,DS!$G$125:$DW$125)-H100)*(H75&gt;0)</f>
        <v>697.04175133078297</v>
      </c>
      <c r="I99" s="233">
        <f ca="1">(SUMIF(DS!$G$3:$DW$3,I$75,DS!$G$125:$DW$125)-I100)*(I75&gt;0)</f>
        <v>704.58456074933463</v>
      </c>
      <c r="J99" s="233">
        <f ca="1">(SUMIF(DS!$G$3:$DW$3,J$75,DS!$G$125:$DW$125)-J100)*(J75&gt;0)</f>
        <v>712.2253553222107</v>
      </c>
      <c r="K99" s="233">
        <f ca="1">(SUMIF(DS!$G$3:$DW$3,K$75,DS!$G$125:$DW$125)-K100)*(K75&gt;0)</f>
        <v>719.67671151403749</v>
      </c>
      <c r="L99" s="233">
        <f ca="1">(SUMIF(DS!$G$3:$DW$3,L$75,DS!$G$125:$DW$125)-L100)*(L75&gt;0)</f>
        <v>727.16521239972326</v>
      </c>
      <c r="M99" s="233">
        <f ca="1">(SUMIF(DS!$G$3:$DW$3,M$75,DS!$G$125:$DW$125)-M100)*(M75&gt;0)</f>
        <v>734.59611388562462</v>
      </c>
      <c r="N99" s="233">
        <f ca="1">(SUMIF(DS!$G$3:$DW$3,N$75,DS!$G$125:$DW$125)-N100)*(N75&gt;0)</f>
        <v>742.02233711953841</v>
      </c>
      <c r="O99" s="233">
        <f ca="1">(SUMIF(DS!$G$3:$DW$3,O$75,DS!$G$125:$DW$125)-O100)*(O75&gt;0)</f>
        <v>703.79331857294437</v>
      </c>
      <c r="P99" s="233">
        <f ca="1">(SUMIF(DS!$G$3:$DW$3,P$75,DS!$G$125:$DW$125)-P100)*(P75&gt;0)</f>
        <v>711.24022218885125</v>
      </c>
      <c r="Q99" s="233">
        <f ca="1">(SUMIF(DS!$G$3:$DW$3,Q$75,DS!$G$125:$DW$125)-Q100)*(Q75&gt;0)</f>
        <v>2132.8596496238697</v>
      </c>
      <c r="R99" s="233">
        <f ca="1">(SUMIF(DS!$G$3:$DW$3,R$75,DS!$G$125:$DW$125)-R100)*(R75&gt;0)</f>
        <v>2112.6449238110808</v>
      </c>
      <c r="S99" s="233">
        <f ca="1">(SUMIF(DS!$G$3:$DW$3,S$75,DS!$G$125:$DW$125)-S100)*(S75&gt;0)</f>
        <v>2010.2095811140398</v>
      </c>
      <c r="T99" s="233">
        <f ca="1">(SUMIF(DS!$G$3:$DW$3,T$75,DS!$G$125:$DW$125)-T100)*(T75&gt;0)</f>
        <v>1727.2538243177835</v>
      </c>
      <c r="U99" s="233">
        <f ca="1">(SUMIF(DS!$G$3:$DW$3,U$75,DS!$G$125:$DW$125)-U100)*(U75&gt;0)</f>
        <v>1419.2062702648459</v>
      </c>
      <c r="V99" s="233">
        <f ca="1">(SUMIF(DS!$G$3:$DW$3,V$75,DS!$G$125:$DW$125)-V100)*(V75&gt;0)</f>
        <v>1080.8811369427569</v>
      </c>
      <c r="W99" s="233">
        <f ca="1">(SUMIF(DS!$G$3:$DW$3,W$75,DS!$G$125:$DW$125)-W100)*(W75&gt;0)</f>
        <v>700.92406651015585</v>
      </c>
      <c r="X99" s="233">
        <f ca="1">(SUMIF(DS!$G$3:$DW$3,X$75,DS!$G$125:$DW$125)-X100)*(X75&gt;0)</f>
        <v>285.02746097611868</v>
      </c>
      <c r="Y99" s="233">
        <f ca="1">(SUMIF(DS!$G$3:$DW$3,Y$75,DS!$G$125:$DW$125)-Y100)*(Y75&gt;0)</f>
        <v>0</v>
      </c>
      <c r="Z99" s="233">
        <f ca="1">(SUMIF(DS!$G$3:$DW$3,Z$75,DS!$G$125:$DW$125)-Z100)*(Z75&gt;0)</f>
        <v>0</v>
      </c>
      <c r="AA99" s="233">
        <f ca="1">(SUMIF(DS!$G$3:$DW$3,AA$75,DS!$G$125:$DW$125)-AA100)*(AA75&gt;0)</f>
        <v>0</v>
      </c>
      <c r="AB99" s="233">
        <f ca="1">(SUMIF(DS!$G$3:$DW$3,AB$75,DS!$G$125:$DW$125)-AB100)*(AB75&gt;0)</f>
        <v>0</v>
      </c>
      <c r="AC99" s="233">
        <f ca="1">(SUMIF(DS!$G$3:$DW$3,AC$75,DS!$G$125:$DW$125)-AC100)*(AC75&gt;0)</f>
        <v>0</v>
      </c>
    </row>
    <row r="100" spans="2:29" outlineLevel="1">
      <c r="B100" s="304" t="s">
        <v>229</v>
      </c>
      <c r="D100" s="233">
        <f ca="1">SUMIF(DS!$G$3:$DW$3,D$75,DS!$G$128:$DW$128)</f>
        <v>1169.6619115852516</v>
      </c>
      <c r="E100" s="233">
        <f ca="1">SUMIF(DS!$G$3:$DW$3,E$75,DS!$G$128:$DW$128)</f>
        <v>608.90959523152389</v>
      </c>
      <c r="F100" s="233">
        <f ca="1">SUMIF(DS!$G$3:$DW$3,F$75,DS!$G$128:$DW$128)</f>
        <v>651.89751768232827</v>
      </c>
      <c r="G100" s="233">
        <f ca="1">SUMIF(DS!$G$3:$DW$3,G$75,DS!$G$128:$DW$128)</f>
        <v>688.16507809458562</v>
      </c>
      <c r="H100" s="233">
        <f ca="1">SUMIF(DS!$G$3:$DW$3,H$75,DS!$G$128:$DW$128)</f>
        <v>736.63753491368743</v>
      </c>
      <c r="I100" s="233">
        <f ca="1">SUMIF(DS!$G$3:$DW$3,I$75,DS!$G$128:$DW$128)</f>
        <v>788.99576979114693</v>
      </c>
      <c r="J100" s="233">
        <f ca="1">SUMIF(DS!$G$3:$DW$3,J$75,DS!$G$128:$DW$128)</f>
        <v>849.87844291268777</v>
      </c>
      <c r="K100" s="233">
        <f ca="1">SUMIF(DS!$G$3:$DW$3,K$75,DS!$G$128:$DW$128)</f>
        <v>907.20918452623471</v>
      </c>
      <c r="L100" s="233">
        <f ca="1">SUMIF(DS!$G$3:$DW$3,L$75,DS!$G$128:$DW$128)</f>
        <v>973.53087072639073</v>
      </c>
      <c r="M100" s="233">
        <f ca="1">SUMIF(DS!$G$3:$DW$3,M$75,DS!$G$128:$DW$128)</f>
        <v>1045.3187457888507</v>
      </c>
      <c r="N100" s="233">
        <f ca="1">SUMIF(DS!$G$3:$DW$3,N$75,DS!$G$128:$DW$128)</f>
        <v>1128.1775349978384</v>
      </c>
      <c r="O100" s="233">
        <f ca="1">SUMIF(DS!$G$3:$DW$3,O$75,DS!$G$128:$DW$128)</f>
        <v>1254.0378141400229</v>
      </c>
      <c r="P100" s="233">
        <f ca="1">SUMIF(DS!$G$3:$DW$3,P$75,DS!$G$128:$DW$128)</f>
        <v>1348.6889820570088</v>
      </c>
      <c r="Q100" s="233">
        <f ca="1">SUMIF(DS!$G$3:$DW$3,Q$75,DS!$G$128:$DW$128)</f>
        <v>0</v>
      </c>
      <c r="R100" s="233">
        <f ca="1">SUMIF(DS!$G$3:$DW$3,R$75,DS!$G$128:$DW$128)</f>
        <v>0</v>
      </c>
      <c r="S100" s="233">
        <f ca="1">SUMIF(DS!$G$3:$DW$3,S$75,DS!$G$128:$DW$128)</f>
        <v>0</v>
      </c>
      <c r="T100" s="233">
        <f ca="1">SUMIF(DS!$G$3:$DW$3,T$75,DS!$G$128:$DW$128)</f>
        <v>0</v>
      </c>
      <c r="U100" s="233">
        <f ca="1">SUMIF(DS!$G$3:$DW$3,U$75,DS!$G$128:$DW$128)</f>
        <v>0</v>
      </c>
      <c r="V100" s="233">
        <f ca="1">SUMIF(DS!$G$3:$DW$3,V$75,DS!$G$128:$DW$128)</f>
        <v>0</v>
      </c>
      <c r="W100" s="233">
        <f ca="1">SUMIF(DS!$G$3:$DW$3,W$75,DS!$G$128:$DW$128)</f>
        <v>0</v>
      </c>
      <c r="X100" s="233">
        <f ca="1">SUMIF(DS!$G$3:$DW$3,X$75,DS!$G$128:$DW$128)</f>
        <v>0</v>
      </c>
      <c r="Y100" s="233">
        <f ca="1">SUMIF(DS!$G$3:$DW$3,Y$75,DS!$G$128:$DW$128)</f>
        <v>0</v>
      </c>
      <c r="Z100" s="233">
        <f ca="1">SUMIF(DS!$G$3:$DW$3,Z$75,DS!$G$128:$DW$128)</f>
        <v>0</v>
      </c>
      <c r="AA100" s="233">
        <f ca="1">SUMIF(DS!$G$3:$DW$3,AA$75,DS!$G$128:$DW$128)</f>
        <v>0</v>
      </c>
      <c r="AB100" s="233">
        <f ca="1">SUMIF(DS!$G$3:$DW$3,AB$75,DS!$G$128:$DW$128)</f>
        <v>0</v>
      </c>
      <c r="AC100" s="233">
        <f ca="1">SUMIF(DS!$G$3:$DW$3,AC$75,DS!$G$128:$DW$128)</f>
        <v>0</v>
      </c>
    </row>
    <row r="101" spans="2:29" outlineLevel="1"/>
    <row r="102" spans="2:29">
      <c r="D102" s="417"/>
      <c r="E102" s="417"/>
      <c r="F102" s="417"/>
      <c r="G102" s="417"/>
      <c r="H102" s="417"/>
      <c r="I102" s="417"/>
      <c r="J102" s="417"/>
      <c r="K102" s="417"/>
      <c r="L102" s="417"/>
      <c r="M102" s="417"/>
      <c r="N102" s="417"/>
      <c r="O102" s="417"/>
      <c r="P102" s="417"/>
      <c r="Q102" s="417"/>
      <c r="R102" s="417"/>
      <c r="S102" s="417"/>
      <c r="T102" s="417"/>
      <c r="U102" s="417"/>
      <c r="V102" s="417"/>
      <c r="W102" s="417"/>
      <c r="X102" s="417"/>
      <c r="Y102" s="417"/>
      <c r="Z102" s="417"/>
      <c r="AA102" s="417"/>
      <c r="AB102" s="417"/>
      <c r="AC102" s="417"/>
    </row>
    <row r="108" spans="2:29">
      <c r="H108" s="418"/>
      <c r="I108" s="418"/>
      <c r="J108" s="418"/>
      <c r="K108" s="418"/>
    </row>
    <row r="109" spans="2:29">
      <c r="H109" s="418"/>
      <c r="I109" s="418"/>
      <c r="J109" s="418"/>
      <c r="K109" s="418"/>
    </row>
    <row r="110" spans="2:29">
      <c r="H110" s="418"/>
    </row>
    <row r="113" spans="8:11">
      <c r="H113" s="418"/>
      <c r="I113" s="418"/>
      <c r="J113" s="418"/>
      <c r="K113" s="418"/>
    </row>
    <row r="114" spans="8:11">
      <c r="H114" s="418"/>
      <c r="I114" s="418"/>
      <c r="J114" s="418"/>
      <c r="K114" s="418"/>
    </row>
    <row r="115" spans="8:11">
      <c r="H115" s="418"/>
      <c r="I115" s="418"/>
      <c r="J115" s="418"/>
      <c r="K115" s="418"/>
    </row>
    <row r="154" spans="8:11">
      <c r="H154" s="304">
        <f ca="1">H155*(H27+H30+H56+H70)+500</f>
        <v>500</v>
      </c>
      <c r="I154" s="304">
        <f t="shared" ref="I154:K154" si="2">I155*(I27+I30+I56+I70)+500</f>
        <v>500</v>
      </c>
      <c r="J154" s="304">
        <f t="shared" si="2"/>
        <v>500</v>
      </c>
      <c r="K154" s="304">
        <f t="shared" si="2"/>
        <v>500</v>
      </c>
    </row>
    <row r="157" spans="8:11">
      <c r="I157" s="304">
        <v>0</v>
      </c>
      <c r="J157" s="304">
        <v>0</v>
      </c>
      <c r="K157" s="304">
        <v>0</v>
      </c>
    </row>
  </sheetData>
  <sheetProtection selectLockedCells="1"/>
  <phoneticPr fontId="0" type="noConversion"/>
  <hyperlinks>
    <hyperlink ref="L59" location="test_localtax" display="test_localtax" xr:uid="{00000000-0004-0000-0000-000000000000}"/>
    <hyperlink ref="G52" location="test_funding" display="test_funding" xr:uid="{00000000-0004-0000-0000-000001000000}"/>
    <hyperlink ref="E59" location="test_IDCs" display="test_IDCs" xr:uid="{00000000-0004-0000-0000-000002000000}"/>
    <hyperlink ref="E51" location="test_balancesheet" display="test_balancesheet" xr:uid="{00000000-0004-0000-0000-000003000000}"/>
    <hyperlink ref="K59" location="test_CIT" display="test_CIT" xr:uid="{00000000-0004-0000-0000-000004000000}"/>
    <hyperlink ref="H59" location="test_dsra1" display="test_dsra1" xr:uid="{00000000-0004-0000-0000-000005000000}"/>
    <hyperlink ref="F65" location="test_eqtranslation" display="test_eqtranslation" xr:uid="{00000000-0004-0000-0000-000006000000}"/>
    <hyperlink ref="F57" location="test_dep" display="test_dep" xr:uid="{00000000-0004-0000-0000-000007000000}"/>
    <hyperlink ref="E52" location="test_sourcesuses" display="test_sourcesuses" xr:uid="{00000000-0004-0000-0000-000008000000}"/>
    <hyperlink ref="E69" location="test_dsra2" display="test_dsra2" xr:uid="{00000000-0004-0000-0000-000009000000}"/>
    <hyperlink ref="G53" location="test_negativecash3" display="test_negativecash3" xr:uid="{00000000-0004-0000-0000-00000B000000}"/>
    <hyperlink ref="G68" location="test_gearing1" display="test_gearing1" xr:uid="{00000000-0004-0000-0000-00000C000000}"/>
    <hyperlink ref="E54" location="test_capexspending" display="test_capexspending" xr:uid="{00000000-0004-0000-0000-00000D000000}"/>
    <hyperlink ref="E56" location="test_cfbalance" display="test_cfbalance" xr:uid="{00000000-0004-0000-0000-00000E000000}"/>
    <hyperlink ref="E65" location="test_eqbalance" display="test_eqbalance" xr:uid="{00000000-0004-0000-0000-00000F000000}"/>
    <hyperlink ref="H52" location="test_sources" display="test_sources" xr:uid="{00000000-0004-0000-0000-000010000000}"/>
    <hyperlink ref="E57" location="test_bsdepcheck" display="test_bsdepcheck" xr:uid="{00000000-0004-0000-0000-000011000000}"/>
    <hyperlink ref="E68" location="test_mindscr" display="test_mindscr" xr:uid="{00000000-0004-0000-0000-000012000000}"/>
    <hyperlink ref="H70" location="test_jdprincipal" display="test_jdprincipal" xr:uid="{00000000-0004-0000-0000-000014000000}"/>
    <hyperlink ref="G70" location="test_jdfunding" display="test_jdfunding" xr:uid="{00000000-0004-0000-0000-000015000000}"/>
    <hyperlink ref="F59" location="test_sdfef" display="test_sdfef" xr:uid="{00000000-0004-0000-0000-000016000000}"/>
    <hyperlink ref="I59" location="test_jdsra" display="test_jdsra" xr:uid="{00000000-0004-0000-0000-000017000000}"/>
    <hyperlink ref="J59" location="test_refifef" display="test_refifef" xr:uid="{00000000-0004-0000-0000-000018000000}"/>
    <hyperlink ref="E58" location="test_scenario" display="test_scenario" xr:uid="{00000000-0004-0000-0000-000019000000}"/>
    <hyperlink ref="F70" location="test_sdbalance" display="test_sdbalance" xr:uid="{00000000-0004-0000-0000-00001A000000}"/>
    <hyperlink ref="F53" location="test_negativecash2" display="test_negativecash2" xr:uid="{00000000-0004-0000-0000-00001B000000}"/>
    <hyperlink ref="E63" location="test_shlovercap1" display="test_shlovercap1" xr:uid="{00000000-0004-0000-0000-00001C000000}"/>
    <hyperlink ref="E71" location="test_jdrepayment" display="test_jdrepayment" xr:uid="{00000000-0004-0000-0000-00001D000000}"/>
    <hyperlink ref="E55" location="test_opex" display="test_opex" xr:uid="{00000000-0004-0000-0000-00001E000000}"/>
    <hyperlink ref="H68" location="test_gearing2" display="test_gearing2" xr:uid="{00000000-0004-0000-0000-00001F000000}"/>
    <hyperlink ref="G59" location="test_jdfef" display="test_jdfef" xr:uid="{00000000-0004-0000-0000-000020000000}"/>
    <hyperlink ref="E53" location="test_negativecash1" display="test_negativecash1" xr:uid="{00000000-0004-0000-0000-000022000000}"/>
    <hyperlink ref="F63" location="test_shlovercap2" display="test_shlovercap2" xr:uid="{00000000-0004-0000-0000-000023000000}"/>
    <hyperlink ref="E64" location="test_shlrepayment" display="test_shlrepayment" xr:uid="{00000000-0004-0000-0000-000024000000}"/>
    <hyperlink ref="E70" location="test_vatfacility" display="test_vatfacility" xr:uid="{00000000-0004-0000-0000-000025000000}"/>
    <hyperlink ref="M59" location="test_FCFdebt" display="test_FCFdebt" xr:uid="{00000000-0004-0000-0000-000026000000}"/>
    <hyperlink ref="E60" location="test_opperiod" display="test_opperiod" xr:uid="{00000000-0004-0000-0000-000027000000}"/>
    <hyperlink ref="F68" location="test_minjdscr" display="test_minjdscr" xr:uid="{00000000-0004-0000-0000-000028000000}"/>
  </hyperlinks>
  <pageMargins left="0.47244094488188981" right="0.19685039370078741" top="1.0236220472440944" bottom="1.0236220472440944" header="0.51181102362204722" footer="0.51181102362204722"/>
  <pageSetup paperSize="9" scale="75" orientation="landscape" r:id="rId1"/>
  <headerFooter alignWithMargins="0">
    <oddHeader>&amp;L&amp;F - &amp;A&amp;C&amp;G&amp;RConfidential</oddHeader>
    <oddFooter>&amp;LPrepared by Akuo Energy - &amp;D&amp;R&amp;P / &amp;N</oddFooter>
  </headerFooter>
  <cellWatches>
    <cellWatch r="D41"/>
  </cellWatches>
  <ignoredErrors>
    <ignoredError sqref="D53 D64" formula="1"/>
  </ignoredErrors>
  <drawing r:id="rId2"/>
  <legacyDrawing r:id="rId3"/>
  <legacyDrawingHF r:id="rId4"/>
  <controls>
    <mc:AlternateContent xmlns:mc="http://schemas.openxmlformats.org/markup-compatibility/2006">
      <mc:Choice Requires="x14">
        <control shapeId="42073" r:id="rId5" name="CommandButton9">
          <controlPr defaultSize="0" print="0" autoLine="0" r:id="rId6">
            <anchor moveWithCells="1">
              <from>
                <xdr:col>256</xdr:col>
                <xdr:colOff>295275</xdr:colOff>
                <xdr:row>6</xdr:row>
                <xdr:rowOff>0</xdr:rowOff>
              </from>
              <to>
                <xdr:col>256</xdr:col>
                <xdr:colOff>304800</xdr:colOff>
                <xdr:row>7</xdr:row>
                <xdr:rowOff>114300</xdr:rowOff>
              </to>
            </anchor>
          </controlPr>
        </control>
      </mc:Choice>
      <mc:Fallback>
        <control shapeId="42073" r:id="rId5" name="CommandButton9"/>
      </mc:Fallback>
    </mc:AlternateContent>
    <mc:AlternateContent xmlns:mc="http://schemas.openxmlformats.org/markup-compatibility/2006">
      <mc:Choice Requires="x14">
        <control shapeId="42080" r:id="rId7" name="CommandButton8">
          <controlPr defaultSize="0" print="0" autoLine="0" r:id="rId6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38100</xdr:rowOff>
              </to>
            </anchor>
          </controlPr>
        </control>
      </mc:Choice>
      <mc:Fallback>
        <control shapeId="42080" r:id="rId7" name="CommandButton8"/>
      </mc:Fallback>
    </mc:AlternateContent>
    <mc:AlternateContent xmlns:mc="http://schemas.openxmlformats.org/markup-compatibility/2006">
      <mc:Choice Requires="x14">
        <control shapeId="42081" r:id="rId8" name="CommandButton13">
          <controlPr defaultSize="0" print="0" autoLine="0" r:id="rId6">
            <anchor moveWithCells="1">
              <from>
                <xdr:col>256</xdr:col>
                <xdr:colOff>295275</xdr:colOff>
                <xdr:row>7</xdr:row>
                <xdr:rowOff>0</xdr:rowOff>
              </from>
              <to>
                <xdr:col>256</xdr:col>
                <xdr:colOff>304800</xdr:colOff>
                <xdr:row>8</xdr:row>
                <xdr:rowOff>114300</xdr:rowOff>
              </to>
            </anchor>
          </controlPr>
        </control>
      </mc:Choice>
      <mc:Fallback>
        <control shapeId="42081" r:id="rId8" name="CommandButton13"/>
      </mc:Fallback>
    </mc:AlternateContent>
    <mc:AlternateContent xmlns:mc="http://schemas.openxmlformats.org/markup-compatibility/2006">
      <mc:Choice Requires="x14">
        <control shapeId="42082" r:id="rId9" name="CommandButton14">
          <controlPr defaultSize="0" print="0" autoLine="0" r:id="rId6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38100</xdr:rowOff>
              </to>
            </anchor>
          </controlPr>
        </control>
      </mc:Choice>
      <mc:Fallback>
        <control shapeId="42082" r:id="rId9" name="CommandButton14"/>
      </mc:Fallback>
    </mc:AlternateContent>
    <mc:AlternateContent xmlns:mc="http://schemas.openxmlformats.org/markup-compatibility/2006">
      <mc:Choice Requires="x14">
        <control shapeId="42083" r:id="rId10" name="OptionButton4">
          <controlPr defaultSize="0" print="0" autoLine="0" r:id="rId11">
            <anchor>
              <from>
                <xdr:col>255</xdr:col>
                <xdr:colOff>219075</xdr:colOff>
                <xdr:row>13</xdr:row>
                <xdr:rowOff>85725</xdr:rowOff>
              </from>
              <to>
                <xdr:col>256</xdr:col>
                <xdr:colOff>209550</xdr:colOff>
                <xdr:row>15</xdr:row>
                <xdr:rowOff>104775</xdr:rowOff>
              </to>
            </anchor>
          </controlPr>
        </control>
      </mc:Choice>
      <mc:Fallback>
        <control shapeId="42083" r:id="rId10" name="OptionButton4"/>
      </mc:Fallback>
    </mc:AlternateContent>
    <mc:AlternateContent xmlns:mc="http://schemas.openxmlformats.org/markup-compatibility/2006">
      <mc:Choice Requires="x14">
        <control shapeId="42085" r:id="rId12" name="OptionButton6">
          <controlPr defaultSize="0" print="0" autoLine="0" r:id="rId13">
            <anchor>
              <from>
                <xdr:col>255</xdr:col>
                <xdr:colOff>219075</xdr:colOff>
                <xdr:row>9</xdr:row>
                <xdr:rowOff>76200</xdr:rowOff>
              </from>
              <to>
                <xdr:col>256</xdr:col>
                <xdr:colOff>209550</xdr:colOff>
                <xdr:row>11</xdr:row>
                <xdr:rowOff>85725</xdr:rowOff>
              </to>
            </anchor>
          </controlPr>
        </control>
      </mc:Choice>
      <mc:Fallback>
        <control shapeId="42085" r:id="rId12" name="OptionButton6"/>
      </mc:Fallback>
    </mc:AlternateContent>
    <mc:AlternateContent xmlns:mc="http://schemas.openxmlformats.org/markup-compatibility/2006">
      <mc:Choice Requires="x14">
        <control shapeId="42086" r:id="rId14" name="TextBox5">
          <controlPr defaultSize="0" print="0" autoLine="0" r:id="rId15">
            <anchor moveWithCells="1">
              <from>
                <xdr:col>256</xdr:col>
                <xdr:colOff>295275</xdr:colOff>
                <xdr:row>2</xdr:row>
                <xdr:rowOff>28575</xdr:rowOff>
              </from>
              <to>
                <xdr:col>256</xdr:col>
                <xdr:colOff>304800</xdr:colOff>
                <xdr:row>4</xdr:row>
                <xdr:rowOff>0</xdr:rowOff>
              </to>
            </anchor>
          </controlPr>
        </control>
      </mc:Choice>
      <mc:Fallback>
        <control shapeId="42086" r:id="rId14" name="TextBox5"/>
      </mc:Fallback>
    </mc:AlternateContent>
    <mc:AlternateContent xmlns:mc="http://schemas.openxmlformats.org/markup-compatibility/2006">
      <mc:Choice Requires="x14">
        <control shapeId="42087" r:id="rId16" name="TextBox6">
          <controlPr defaultSize="0" print="0" autoLine="0" r:id="rId15">
            <anchor moveWithCells="1">
              <from>
                <xdr:col>256</xdr:col>
                <xdr:colOff>295275</xdr:colOff>
                <xdr:row>4</xdr:row>
                <xdr:rowOff>104775</xdr:rowOff>
              </from>
              <to>
                <xdr:col>256</xdr:col>
                <xdr:colOff>304800</xdr:colOff>
                <xdr:row>6</xdr:row>
                <xdr:rowOff>76200</xdr:rowOff>
              </to>
            </anchor>
          </controlPr>
        </control>
      </mc:Choice>
      <mc:Fallback>
        <control shapeId="42087" r:id="rId16" name="TextBox6"/>
      </mc:Fallback>
    </mc:AlternateContent>
    <mc:AlternateContent xmlns:mc="http://schemas.openxmlformats.org/markup-compatibility/2006">
      <mc:Choice Requires="x14">
        <control shapeId="42088" r:id="rId17" name="TextBox7">
          <controlPr defaultSize="0" print="0" autoLine="0" r:id="rId15">
            <anchor moveWithCells="1">
              <from>
                <xdr:col>256</xdr:col>
                <xdr:colOff>295275</xdr:colOff>
                <xdr:row>9</xdr:row>
                <xdr:rowOff>66675</xdr:rowOff>
              </from>
              <to>
                <xdr:col>256</xdr:col>
                <xdr:colOff>304800</xdr:colOff>
                <xdr:row>11</xdr:row>
                <xdr:rowOff>38100</xdr:rowOff>
              </to>
            </anchor>
          </controlPr>
        </control>
      </mc:Choice>
      <mc:Fallback>
        <control shapeId="42088" r:id="rId17" name="TextBox7"/>
      </mc:Fallback>
    </mc:AlternateContent>
    <mc:AlternateContent xmlns:mc="http://schemas.openxmlformats.org/markup-compatibility/2006">
      <mc:Choice Requires="x14">
        <control shapeId="42089" r:id="rId18" name="TextBox8">
          <controlPr defaultSize="0" print="0" autoLine="0" r:id="rId15">
            <anchor moveWithCells="1">
              <from>
                <xdr:col>256</xdr:col>
                <xdr:colOff>295275</xdr:colOff>
                <xdr:row>10</xdr:row>
                <xdr:rowOff>0</xdr:rowOff>
              </from>
              <to>
                <xdr:col>256</xdr:col>
                <xdr:colOff>304800</xdr:colOff>
                <xdr:row>11</xdr:row>
                <xdr:rowOff>114300</xdr:rowOff>
              </to>
            </anchor>
          </controlPr>
        </control>
      </mc:Choice>
      <mc:Fallback>
        <control shapeId="42089" r:id="rId18" name="TextBox8"/>
      </mc:Fallback>
    </mc:AlternateContent>
    <mc:AlternateContent xmlns:mc="http://schemas.openxmlformats.org/markup-compatibility/2006">
      <mc:Choice Requires="x14">
        <control shapeId="42114" r:id="rId19" name="CommandButton15">
          <controlPr defaultSize="0" print="0" autoLine="0" r:id="rId20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4" r:id="rId19" name="CommandButton15"/>
      </mc:Fallback>
    </mc:AlternateContent>
    <mc:AlternateContent xmlns:mc="http://schemas.openxmlformats.org/markup-compatibility/2006">
      <mc:Choice Requires="x14">
        <control shapeId="42115" r:id="rId21" name="CommandButton16">
          <controlPr defaultSize="0" print="0" autoLine="0" r:id="rId20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5" r:id="rId21" name="CommandButton16"/>
      </mc:Fallback>
    </mc:AlternateContent>
    <mc:AlternateContent xmlns:mc="http://schemas.openxmlformats.org/markup-compatibility/2006">
      <mc:Choice Requires="x14">
        <control shapeId="42116" r:id="rId22" name="CommandButton17">
          <controlPr defaultSize="0" print="0" autoLine="0" r:id="rId20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6" r:id="rId22" name="CommandButton17"/>
      </mc:Fallback>
    </mc:AlternateContent>
    <mc:AlternateContent xmlns:mc="http://schemas.openxmlformats.org/markup-compatibility/2006">
      <mc:Choice Requires="x14">
        <control shapeId="42117" r:id="rId23" name="CommandButton18">
          <controlPr defaultSize="0" print="0" autoLine="0" r:id="rId20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7" r:id="rId23" name="CommandButton18"/>
      </mc:Fallback>
    </mc:AlternateContent>
    <mc:AlternateContent xmlns:mc="http://schemas.openxmlformats.org/markup-compatibility/2006">
      <mc:Choice Requires="x14">
        <control shapeId="42118" r:id="rId24" name="CommandButton19">
          <controlPr defaultSize="0" print="0" autoLine="0" r:id="rId20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8" r:id="rId24" name="CommandButton19"/>
      </mc:Fallback>
    </mc:AlternateContent>
    <mc:AlternateContent xmlns:mc="http://schemas.openxmlformats.org/markup-compatibility/2006">
      <mc:Choice Requires="x14">
        <control shapeId="42119" r:id="rId25" name="CommandButton20">
          <controlPr defaultSize="0" print="0" autoLine="0" r:id="rId20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9" r:id="rId25" name="CommandButton20"/>
      </mc:Fallback>
    </mc:AlternateContent>
    <mc:AlternateContent xmlns:mc="http://schemas.openxmlformats.org/markup-compatibility/2006">
      <mc:Choice Requires="x14">
        <control shapeId="42120" r:id="rId26" name="CommandButton21">
          <controlPr defaultSize="0" print="0" autoLine="0" r:id="rId20">
            <anchor moveWithCells="1">
              <from>
                <xdr:col>256</xdr:col>
                <xdr:colOff>295275</xdr:colOff>
                <xdr:row>10</xdr:row>
                <xdr:rowOff>66675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20" r:id="rId26" name="CommandButton21"/>
      </mc:Fallback>
    </mc:AlternateContent>
    <mc:AlternateContent xmlns:mc="http://schemas.openxmlformats.org/markup-compatibility/2006">
      <mc:Choice Requires="x14">
        <control shapeId="42121" r:id="rId27" name="bt_prodcase">
          <controlPr defaultSize="0" print="0" autoFill="0" autoPict="0" macro="[0]!ProdCase">
            <anchor moveWithCells="1" sizeWithCells="1">
              <from>
                <xdr:col>1</xdr:col>
                <xdr:colOff>638175</xdr:colOff>
                <xdr:row>47</xdr:row>
                <xdr:rowOff>142875</xdr:rowOff>
              </from>
              <to>
                <xdr:col>1</xdr:col>
                <xdr:colOff>1095375</xdr:colOff>
                <xdr:row>49</xdr:row>
                <xdr:rowOff>0</xdr:rowOff>
              </to>
            </anchor>
          </controlPr>
        </control>
      </mc:Choice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7" id="{117ABDFB-8FAB-441C-9B6F-0EA4CB0DCE07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E50</xm:sqref>
        </x14:conditionalFormatting>
        <x14:conditionalFormatting xmlns:xm="http://schemas.microsoft.com/office/excel/2006/main">
          <x14:cfRule type="iconSet" priority="371" id="{9000EFF1-D5AD-48B6-BB5B-E8F945DC59B2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E72:J73 K50:K51 F48:G49</xm:sqref>
        </x14:conditionalFormatting>
        <x14:conditionalFormatting xmlns:xm="http://schemas.microsoft.com/office/excel/2006/main">
          <x14:cfRule type="iconSet" priority="373" id="{6B908BEB-89A0-463D-A735-CCD30C0723A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D49</xm:sqref>
        </x14:conditionalFormatting>
        <x14:conditionalFormatting xmlns:xm="http://schemas.microsoft.com/office/excel/2006/main">
          <x14:cfRule type="iconSet" priority="375" id="{0D8DE7A6-5B0F-49A7-8664-9251AF3B3EA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D73</xm:sqref>
        </x14:conditionalFormatting>
        <x14:conditionalFormatting xmlns:xm="http://schemas.microsoft.com/office/excel/2006/main">
          <x14:cfRule type="iconSet" priority="376" id="{E2B0F5AC-B1A8-455A-9994-A90B1AB2425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H64:L64</xm:sqref>
        </x14:conditionalFormatting>
        <x14:conditionalFormatting xmlns:xm="http://schemas.microsoft.com/office/excel/2006/main">
          <x14:cfRule type="iconSet" priority="377" id="{F08573A9-53B5-409F-8322-48C90C3E200A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D50</xm:sqref>
        </x14:conditionalFormatting>
        <x14:conditionalFormatting xmlns:xm="http://schemas.microsoft.com/office/excel/2006/main">
          <x14:cfRule type="iconSet" priority="378" id="{714CE8E8-793A-4865-9EFF-59EB6FBFDD0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D63 D58 F58:J58</xm:sqref>
        </x14:conditionalFormatting>
        <x14:conditionalFormatting xmlns:xm="http://schemas.microsoft.com/office/excel/2006/main">
          <x14:cfRule type="iconSet" priority="390" id="{8BB8775F-DF10-463A-9BD2-418DE1BA299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E66 E59:E62</xm:sqref>
        </x14:conditionalFormatting>
        <x14:conditionalFormatting xmlns:xm="http://schemas.microsoft.com/office/excel/2006/main">
          <x14:cfRule type="iconSet" priority="392" id="{D1EF2CB8-8637-4FA6-8409-447A2FE3061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D62</xm:sqref>
        </x14:conditionalFormatting>
        <x14:conditionalFormatting xmlns:xm="http://schemas.microsoft.com/office/excel/2006/main">
          <x14:cfRule type="iconSet" priority="396" id="{BD3134EF-3F2A-4DEC-BF90-6E07E077E38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F64</xm:sqref>
        </x14:conditionalFormatting>
        <x14:conditionalFormatting xmlns:xm="http://schemas.microsoft.com/office/excel/2006/main">
          <x14:cfRule type="iconSet" priority="397" id="{68C38BE4-AFAD-4595-97F8-8581A9E30401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D67:F67 K53 I60 M61:M62 F66 H66:I67 M66:M67 H61:I62 H57:J57 D51:D54 G54:H54 D56:J56 D64:D66 G65:J65 F51:G51 F52:H53 D57:E57 D59:D61 F60:F62 J54 D55:E55 G55:J55</xm:sqref>
        </x14:conditionalFormatting>
        <x14:conditionalFormatting xmlns:xm="http://schemas.microsoft.com/office/excel/2006/main">
          <x14:cfRule type="iconSet" priority="415" id="{42F716B5-CEC6-4766-943A-92C49C5D9048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D71</xm:sqref>
        </x14:conditionalFormatting>
        <x14:conditionalFormatting xmlns:xm="http://schemas.microsoft.com/office/excel/2006/main">
          <x14:cfRule type="iconSet" priority="421" id="{42659430-BFFF-498D-94C2-720A387E9C6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G60</xm:sqref>
        </x14:conditionalFormatting>
        <x14:conditionalFormatting xmlns:xm="http://schemas.microsoft.com/office/excel/2006/main">
          <x14:cfRule type="iconSet" priority="422" id="{06F756EB-96D7-44BA-9778-6037D6DE29C9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D48</xm:sqref>
        </x14:conditionalFormatting>
        <x14:conditionalFormatting xmlns:xm="http://schemas.microsoft.com/office/excel/2006/main">
          <x14:cfRule type="iconSet" priority="424" id="{DAC5BE06-DC4F-4C15-ACCF-8952749A0681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D46:D47 H30</xm:sqref>
        </x14:conditionalFormatting>
        <x14:conditionalFormatting xmlns:xm="http://schemas.microsoft.com/office/excel/2006/main">
          <x14:cfRule type="iconSet" priority="532" id="{0F183EBF-4371-4590-8974-26BAE0F98D49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K61:K62 K66:K67</xm:sqref>
        </x14:conditionalFormatting>
        <x14:conditionalFormatting xmlns:xm="http://schemas.microsoft.com/office/excel/2006/main">
          <x14:cfRule type="iconSet" priority="534" id="{2C84FD61-395F-4255-836B-F5B02DC0080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L66:L67 L60:L62</xm:sqref>
        </x14:conditionalFormatting>
        <x14:conditionalFormatting xmlns:xm="http://schemas.microsoft.com/office/excel/2006/main">
          <x14:cfRule type="iconSet" priority="537" id="{E55268B7-F8F0-4E74-938D-1F4A49F90E05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J61:J62 J66:J67</xm:sqref>
        </x14:conditionalFormatting>
        <x14:conditionalFormatting xmlns:xm="http://schemas.microsoft.com/office/excel/2006/main">
          <x14:cfRule type="iconSet" priority="539" id="{4B367936-AD6F-4663-AC70-BE4D71FD06A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G61:G62 H60 G66:G67</xm:sqref>
        </x14:conditionalFormatting>
        <x14:conditionalFormatting xmlns:xm="http://schemas.microsoft.com/office/excel/2006/main">
          <x14:cfRule type="iconSet" priority="29" id="{5DB6C3F5-89E0-4A52-B41C-3AB616C497F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E52</xm:sqref>
        </x14:conditionalFormatting>
        <x14:conditionalFormatting xmlns:xm="http://schemas.microsoft.com/office/excel/2006/main">
          <x14:cfRule type="iconSet" priority="28" id="{175BD4F4-ED76-4F48-9BFF-1A9A25959A9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E53:E54</xm:sqref>
        </x14:conditionalFormatting>
        <x14:conditionalFormatting xmlns:xm="http://schemas.microsoft.com/office/excel/2006/main">
          <x14:cfRule type="iconSet" priority="27" id="{9B361EDC-A402-4F36-B0C9-1725E163D8E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E58</xm:sqref>
        </x14:conditionalFormatting>
        <x14:conditionalFormatting xmlns:xm="http://schemas.microsoft.com/office/excel/2006/main">
          <x14:cfRule type="iconSet" priority="15" id="{30C18EF6-1C7D-4F35-B5DB-A1270E4FB38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E63:E65</xm:sqref>
        </x14:conditionalFormatting>
        <x14:conditionalFormatting xmlns:xm="http://schemas.microsoft.com/office/excel/2006/main">
          <x14:cfRule type="iconSet" priority="14" id="{B0DE4341-0561-4B26-B832-632EBF21C06B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E68:E71</xm:sqref>
        </x14:conditionalFormatting>
        <x14:conditionalFormatting xmlns:xm="http://schemas.microsoft.com/office/excel/2006/main">
          <x14:cfRule type="iconSet" priority="12" id="{E35FC708-B9EE-4082-B54C-7F83D1541CCC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F59:M59</xm:sqref>
        </x14:conditionalFormatting>
        <x14:conditionalFormatting xmlns:xm="http://schemas.microsoft.com/office/excel/2006/main">
          <x14:cfRule type="iconSet" priority="11" id="{268FC4D0-041B-4FA4-AC8B-BA9D00EC14BA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F63</xm:sqref>
        </x14:conditionalFormatting>
        <x14:conditionalFormatting xmlns:xm="http://schemas.microsoft.com/office/excel/2006/main">
          <x14:cfRule type="iconSet" priority="10" id="{946C9D45-7D61-4CA1-97B9-1DE79E64F61C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F65</xm:sqref>
        </x14:conditionalFormatting>
        <x14:conditionalFormatting xmlns:xm="http://schemas.microsoft.com/office/excel/2006/main">
          <x14:cfRule type="iconSet" priority="8" id="{6170F009-3B04-4425-8AA3-057CF6FB372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F69:F70</xm:sqref>
        </x14:conditionalFormatting>
        <x14:conditionalFormatting xmlns:xm="http://schemas.microsoft.com/office/excel/2006/main">
          <x14:cfRule type="iconSet" priority="7" id="{5AA7A794-6CFD-43C9-9880-7C17AF8A264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G70:H70</xm:sqref>
        </x14:conditionalFormatting>
        <x14:conditionalFormatting xmlns:xm="http://schemas.microsoft.com/office/excel/2006/main">
          <x14:cfRule type="iconSet" priority="3111" id="{837780C8-D558-4815-943C-BE31091B48D7}">
            <x14:iconSet showValue="0" custom="1">
              <x14:cfvo type="percent">
                <xm:f>0</xm:f>
              </x14:cfvo>
              <x14:cfvo type="num">
                <xm:f>-#REF!</xm:f>
              </x14:cfvo>
              <x14:cfvo type="num" gte="0">
                <xm:f>#REF!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G57</xm:sqref>
        </x14:conditionalFormatting>
        <x14:conditionalFormatting xmlns:xm="http://schemas.microsoft.com/office/excel/2006/main">
          <x14:cfRule type="iconSet" priority="3644" id="{DA0B74F1-585C-4677-B637-ED56B99F37D1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J60</xm:sqref>
        </x14:conditionalFormatting>
        <x14:conditionalFormatting xmlns:xm="http://schemas.microsoft.com/office/excel/2006/main">
          <x14:cfRule type="iconSet" priority="3671" id="{F9134A10-6D24-4C2C-B923-91F5D20943A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K60</xm:sqref>
        </x14:conditionalFormatting>
        <x14:conditionalFormatting xmlns:xm="http://schemas.microsoft.com/office/excel/2006/main">
          <x14:cfRule type="iconSet" priority="3942" id="{5C219199-914B-450A-81E3-0F416D2576CC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F57</xm:sqref>
        </x14:conditionalFormatting>
        <x14:conditionalFormatting xmlns:xm="http://schemas.microsoft.com/office/excel/2006/main">
          <x14:cfRule type="iconSet" priority="3943" id="{2C0E6A36-6BCE-4587-A6ED-C740DA1C004E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E51:E60</xm:sqref>
        </x14:conditionalFormatting>
        <x14:conditionalFormatting xmlns:xm="http://schemas.microsoft.com/office/excel/2006/main">
          <x14:cfRule type="iconSet" priority="3" id="{15A4D52E-7D8B-41FA-8C50-7DA390B2C5A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N59</xm:sqref>
        </x14:conditionalFormatting>
        <x14:conditionalFormatting xmlns:xm="http://schemas.microsoft.com/office/excel/2006/main">
          <x14:cfRule type="iconSet" priority="1" id="{65827EF0-7261-4754-8A7A-74D778560870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F54:F55</xm:sqref>
        </x14:conditionalFormatting>
        <x14:conditionalFormatting xmlns:xm="http://schemas.microsoft.com/office/excel/2006/main">
          <x14:cfRule type="iconSet" priority="2" id="{FF70E8FF-6363-4E7D-A802-DCF34D09CFE8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F54:F55</xm:sqref>
        </x14:conditionalFormatting>
        <x14:conditionalFormatting xmlns:xm="http://schemas.microsoft.com/office/excel/2006/main">
          <x14:cfRule type="iconSet" priority="5077" id="{9E6F2D7B-6330-4B08-A59D-CB4A105501EB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I71:K71 F53 D68:D70 J70 G69:L69 K68:L68 I68</xm:sqref>
        </x14:conditionalFormatting>
        <x14:conditionalFormatting xmlns:xm="http://schemas.microsoft.com/office/excel/2006/main">
          <x14:cfRule type="iconSet" priority="5084" id="{E8F993C7-34FB-4C2E-BD6C-FC3ADF65D9C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F68:H68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_inputs">
    <tabColor theme="3"/>
    <outlinePr summaryBelow="0"/>
  </sheetPr>
  <dimension ref="A1:XFD497"/>
  <sheetViews>
    <sheetView showGridLines="0" zoomScaleNormal="100" workbookViewId="0">
      <pane ySplit="1" topLeftCell="A110" activePane="bottomLeft" state="frozen"/>
      <selection pane="bottomLeft" activeCell="L111" sqref="L111"/>
    </sheetView>
  </sheetViews>
  <sheetFormatPr defaultColWidth="11.42578125" defaultRowHeight="11.25"/>
  <cols>
    <col min="1" max="1" width="26.5703125" style="1" customWidth="1"/>
    <col min="2" max="2" width="10.140625" style="1" customWidth="1"/>
    <col min="3" max="3" width="12.85546875" style="1" customWidth="1"/>
    <col min="4" max="4" width="14.42578125" style="1" customWidth="1"/>
    <col min="5" max="5" width="13" style="1" customWidth="1"/>
    <col min="6" max="6" width="17" style="1" customWidth="1"/>
    <col min="7" max="7" width="16" style="1" customWidth="1"/>
    <col min="8" max="8" width="14.5703125" style="1" customWidth="1"/>
    <col min="9" max="9" width="16.42578125" style="1" customWidth="1"/>
    <col min="10" max="10" width="14.5703125" style="1" customWidth="1"/>
    <col min="11" max="11" width="14.85546875" style="1" customWidth="1"/>
    <col min="12" max="12" width="16" style="1" customWidth="1"/>
    <col min="13" max="13" width="15.42578125" style="1" customWidth="1"/>
    <col min="14" max="17" width="20.42578125" style="1" customWidth="1"/>
    <col min="18" max="18" width="18.140625" style="1" customWidth="1"/>
    <col min="19" max="27" width="14.5703125" style="1" customWidth="1"/>
    <col min="28" max="34" width="15" style="1" customWidth="1"/>
    <col min="35" max="35" width="13.42578125" style="1" customWidth="1"/>
    <col min="36" max="42" width="11.42578125" style="1" customWidth="1"/>
    <col min="43" max="16384" width="11.42578125" style="1"/>
  </cols>
  <sheetData>
    <row r="1" spans="1:256">
      <c r="A1" s="728">
        <f ca="1">Outputs!$D$46</f>
        <v>11182.479442004989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IV1" s="3"/>
    </row>
    <row r="2" spans="1:256">
      <c r="A2" s="3" t="s">
        <v>230</v>
      </c>
      <c r="B2" s="2"/>
      <c r="D2" s="14" t="s">
        <v>231</v>
      </c>
      <c r="E2" s="6"/>
      <c r="F2" s="6"/>
      <c r="G2" s="6"/>
      <c r="H2" s="6"/>
      <c r="I2" s="9"/>
      <c r="J2" s="6"/>
      <c r="K2" s="6"/>
      <c r="L2" s="12"/>
      <c r="M2" s="6"/>
      <c r="N2" s="6"/>
      <c r="O2" s="11"/>
      <c r="S2" s="6"/>
      <c r="T2" s="6"/>
      <c r="U2" s="6"/>
      <c r="V2" s="6"/>
      <c r="W2" s="6"/>
      <c r="X2" s="6"/>
      <c r="Y2" s="6"/>
    </row>
    <row r="3" spans="1:256">
      <c r="A3" s="3" t="s">
        <v>232</v>
      </c>
      <c r="B3" s="3"/>
      <c r="D3" s="14" t="s">
        <v>233</v>
      </c>
      <c r="E3" s="6"/>
      <c r="F3" s="6"/>
      <c r="G3" s="6"/>
      <c r="H3" s="6"/>
      <c r="I3" s="9"/>
      <c r="J3" s="6"/>
      <c r="K3" s="6"/>
      <c r="L3" s="12"/>
      <c r="M3" s="6"/>
      <c r="N3" s="6"/>
      <c r="O3" s="11"/>
      <c r="S3" s="6"/>
      <c r="T3" s="6"/>
      <c r="U3" s="6"/>
      <c r="V3" s="6"/>
      <c r="W3" s="6"/>
      <c r="X3" s="6"/>
      <c r="Y3" s="6"/>
    </row>
    <row r="4" spans="1:256">
      <c r="A4" s="3" t="s">
        <v>234</v>
      </c>
      <c r="B4" s="3"/>
      <c r="D4" s="14" t="s">
        <v>231</v>
      </c>
      <c r="E4" s="6"/>
      <c r="F4" s="6"/>
      <c r="G4" s="6"/>
      <c r="H4" s="6"/>
      <c r="I4" s="9"/>
      <c r="J4" s="6"/>
      <c r="K4" s="6"/>
      <c r="L4" s="12"/>
      <c r="M4" s="6"/>
      <c r="N4" s="6"/>
      <c r="O4" s="11"/>
      <c r="S4" s="6"/>
      <c r="T4" s="6"/>
      <c r="U4" s="6"/>
      <c r="V4" s="6"/>
      <c r="W4" s="6"/>
      <c r="X4" s="6"/>
      <c r="Y4" s="6"/>
    </row>
    <row r="5" spans="1:256">
      <c r="A5" s="3" t="s">
        <v>235</v>
      </c>
      <c r="B5" s="3"/>
      <c r="D5" s="14" t="s">
        <v>117</v>
      </c>
      <c r="E5" s="6"/>
      <c r="F5" s="6"/>
      <c r="G5" s="6"/>
      <c r="H5" s="6"/>
      <c r="I5" s="9"/>
      <c r="J5" s="6"/>
      <c r="K5" s="6"/>
      <c r="L5" s="12"/>
      <c r="M5" s="6"/>
      <c r="N5" s="6"/>
      <c r="O5" s="11"/>
      <c r="S5" s="6"/>
      <c r="T5" s="6"/>
      <c r="U5" s="6"/>
      <c r="V5" s="6"/>
      <c r="W5" s="6"/>
      <c r="X5" s="6"/>
      <c r="Y5" s="6"/>
    </row>
    <row r="6" spans="1:256">
      <c r="A6" s="6"/>
      <c r="B6" s="6"/>
      <c r="C6" s="6"/>
      <c r="E6" s="6"/>
      <c r="F6" s="7"/>
      <c r="G6" s="6"/>
      <c r="I6" s="6"/>
      <c r="S6" s="6"/>
      <c r="T6" s="6"/>
      <c r="U6" s="6"/>
      <c r="V6" s="6"/>
      <c r="W6" s="6"/>
      <c r="X6" s="6"/>
      <c r="Y6" s="6"/>
    </row>
    <row r="7" spans="1:256">
      <c r="A7" s="5" t="s">
        <v>236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4"/>
      <c r="AJ7" s="4"/>
      <c r="AK7" s="4"/>
      <c r="AL7" s="4"/>
      <c r="AM7" s="4"/>
      <c r="AN7" s="4"/>
      <c r="AO7" s="4"/>
      <c r="AP7" s="4"/>
    </row>
    <row r="8" spans="1:256">
      <c r="A8" s="6"/>
      <c r="B8" s="6"/>
      <c r="D8" s="8"/>
      <c r="E8" s="6"/>
      <c r="F8" s="6"/>
      <c r="G8" s="6"/>
      <c r="H8" s="6"/>
      <c r="I8" s="9"/>
      <c r="J8" s="6"/>
      <c r="K8" s="6"/>
      <c r="L8" s="12"/>
      <c r="M8" s="6"/>
      <c r="N8" s="6"/>
      <c r="O8" s="11"/>
      <c r="S8" s="6"/>
      <c r="T8" s="6"/>
      <c r="U8" s="6"/>
      <c r="V8" s="6"/>
      <c r="W8" s="6"/>
      <c r="X8" s="6"/>
      <c r="Y8" s="6"/>
    </row>
    <row r="9" spans="1:256">
      <c r="A9" s="6" t="s">
        <v>237</v>
      </c>
      <c r="B9" s="6"/>
      <c r="D9" s="1610">
        <f>Scenarios!E353</f>
        <v>47298</v>
      </c>
      <c r="E9" s="6"/>
      <c r="F9" s="6"/>
      <c r="G9" s="6"/>
      <c r="H9" s="6"/>
      <c r="I9" s="9"/>
      <c r="J9" s="6"/>
      <c r="K9" s="6"/>
      <c r="L9" s="12"/>
      <c r="M9" s="6"/>
      <c r="N9" s="6"/>
      <c r="O9" s="11"/>
      <c r="S9" s="6"/>
      <c r="T9" s="6"/>
      <c r="U9" s="6"/>
      <c r="V9" s="6"/>
      <c r="W9" s="6"/>
      <c r="X9" s="6"/>
      <c r="Y9" s="6"/>
    </row>
    <row r="10" spans="1:256">
      <c r="A10" s="3" t="s">
        <v>238</v>
      </c>
      <c r="B10" s="3"/>
      <c r="D10" s="1611">
        <f>Scenarios!E354</f>
        <v>12</v>
      </c>
      <c r="E10" s="6"/>
      <c r="F10" s="3"/>
      <c r="G10" s="3"/>
      <c r="S10" s="3"/>
      <c r="T10" s="3"/>
      <c r="U10" s="3"/>
      <c r="V10" s="3"/>
      <c r="W10" s="3"/>
      <c r="X10" s="3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256">
      <c r="A11" s="3" t="s">
        <v>239</v>
      </c>
      <c r="B11" s="2"/>
      <c r="D11" s="10">
        <f>EDATE(D9,D10)</f>
        <v>47663</v>
      </c>
      <c r="E11" s="6"/>
      <c r="F11" s="6"/>
      <c r="G11" s="11"/>
      <c r="I11" s="9"/>
      <c r="J11" s="6"/>
      <c r="K11" s="6"/>
      <c r="L11" s="12"/>
      <c r="S11" s="6"/>
      <c r="T11" s="6"/>
      <c r="U11" s="6"/>
      <c r="V11" s="6"/>
      <c r="W11" s="6"/>
      <c r="X11" s="6"/>
      <c r="Y11" s="6"/>
    </row>
    <row r="12" spans="1:256">
      <c r="A12" s="3" t="s">
        <v>240</v>
      </c>
      <c r="B12" s="3"/>
      <c r="D12" s="13">
        <f>YEAR(D11)-1</f>
        <v>2029</v>
      </c>
      <c r="E12" s="6"/>
      <c r="F12" s="6"/>
      <c r="G12" s="11"/>
      <c r="I12" s="9"/>
      <c r="J12" s="6"/>
      <c r="K12" s="6"/>
      <c r="L12" s="12"/>
      <c r="S12" s="6"/>
      <c r="T12" s="6"/>
      <c r="U12" s="6"/>
      <c r="V12" s="6"/>
      <c r="W12" s="6"/>
      <c r="X12" s="6"/>
      <c r="Y12" s="6"/>
    </row>
    <row r="13" spans="1:256">
      <c r="E13" s="6"/>
      <c r="F13" s="6"/>
      <c r="G13" s="6"/>
      <c r="H13" s="6"/>
      <c r="I13" s="9"/>
      <c r="J13" s="6"/>
      <c r="K13" s="6"/>
      <c r="L13" s="12"/>
      <c r="M13" s="6"/>
      <c r="N13" s="6"/>
      <c r="O13" s="11"/>
      <c r="S13" s="6"/>
      <c r="T13" s="6"/>
      <c r="U13" s="6"/>
      <c r="V13" s="6"/>
      <c r="W13" s="6"/>
      <c r="X13" s="6"/>
      <c r="Y13" s="6"/>
    </row>
    <row r="14" spans="1:256">
      <c r="A14" s="3" t="s">
        <v>241</v>
      </c>
      <c r="D14" s="15">
        <v>30</v>
      </c>
      <c r="E14" s="6"/>
      <c r="F14" s="6"/>
      <c r="G14" s="6"/>
      <c r="H14" s="6"/>
      <c r="I14" s="9"/>
      <c r="J14" s="6"/>
      <c r="K14" s="6"/>
      <c r="L14" s="12"/>
      <c r="M14" s="6"/>
      <c r="N14" s="6"/>
      <c r="O14" s="11"/>
      <c r="S14" s="6"/>
      <c r="T14" s="6"/>
      <c r="U14" s="6"/>
      <c r="V14" s="6"/>
      <c r="W14" s="6"/>
      <c r="X14" s="6"/>
      <c r="Y14" s="6"/>
    </row>
    <row r="15" spans="1:256">
      <c r="A15" s="6" t="s">
        <v>242</v>
      </c>
      <c r="B15" s="6"/>
      <c r="D15" s="15">
        <v>30</v>
      </c>
      <c r="E15" s="6"/>
      <c r="F15" s="6"/>
      <c r="G15" s="6"/>
      <c r="H15" s="6"/>
      <c r="I15" s="9"/>
      <c r="J15" s="6"/>
      <c r="K15" s="6"/>
      <c r="L15" s="12"/>
      <c r="M15" s="6"/>
      <c r="N15" s="6"/>
      <c r="O15" s="11"/>
      <c r="S15" s="6"/>
      <c r="T15" s="6"/>
      <c r="U15" s="6"/>
      <c r="V15" s="6"/>
      <c r="W15" s="6"/>
      <c r="X15" s="6"/>
      <c r="Y15" s="6"/>
    </row>
    <row r="16" spans="1:256">
      <c r="A16" s="6" t="s">
        <v>243</v>
      </c>
      <c r="B16" s="6"/>
      <c r="D16" s="15">
        <v>30</v>
      </c>
      <c r="E16" s="6"/>
      <c r="F16" s="6"/>
      <c r="G16" s="6"/>
      <c r="H16" s="6"/>
      <c r="I16" s="9"/>
      <c r="J16" s="6"/>
      <c r="K16" s="6"/>
      <c r="L16" s="12"/>
      <c r="M16" s="6"/>
      <c r="N16" s="6"/>
      <c r="O16" s="11"/>
      <c r="S16" s="6"/>
      <c r="T16" s="6"/>
      <c r="U16" s="6"/>
      <c r="V16" s="6"/>
      <c r="W16" s="6"/>
      <c r="X16" s="6"/>
      <c r="Y16" s="6"/>
    </row>
    <row r="17" spans="1:42">
      <c r="A17" s="6"/>
      <c r="B17" s="6"/>
      <c r="D17" s="1079"/>
      <c r="E17" s="6"/>
      <c r="F17" s="6"/>
      <c r="G17" s="6"/>
      <c r="H17" s="6"/>
      <c r="I17" s="9"/>
      <c r="J17" s="6"/>
      <c r="K17" s="6"/>
      <c r="L17" s="12"/>
      <c r="M17" s="6"/>
      <c r="N17" s="6"/>
      <c r="O17" s="11"/>
      <c r="S17" s="6"/>
      <c r="T17" s="6"/>
      <c r="U17" s="6"/>
      <c r="V17" s="6"/>
      <c r="W17" s="6"/>
      <c r="X17" s="6"/>
      <c r="Y17" s="6"/>
    </row>
    <row r="18" spans="1:42">
      <c r="A18" s="61" t="s">
        <v>244</v>
      </c>
      <c r="C18" s="6"/>
      <c r="D18" s="661" t="s">
        <v>245</v>
      </c>
      <c r="F18" s="51"/>
      <c r="G18" s="51"/>
      <c r="H18" s="53"/>
      <c r="I18" s="53"/>
      <c r="J18" s="38"/>
      <c r="K18" s="38"/>
      <c r="L18" s="53"/>
      <c r="M18" s="53"/>
      <c r="N18" s="53"/>
      <c r="O18" s="53"/>
      <c r="P18" s="6"/>
      <c r="Q18" s="6"/>
      <c r="R18" s="6"/>
      <c r="S18" s="6"/>
      <c r="T18" s="6"/>
      <c r="U18" s="175"/>
      <c r="V18" s="6"/>
      <c r="W18" s="6"/>
      <c r="X18" s="6"/>
      <c r="Y18" s="6"/>
    </row>
    <row r="19" spans="1:42">
      <c r="A19" s="6"/>
      <c r="B19" s="6"/>
      <c r="C19" s="16"/>
      <c r="D19" s="6"/>
      <c r="E19" s="6"/>
      <c r="F19" s="6"/>
      <c r="G19" s="6"/>
      <c r="H19" s="6"/>
      <c r="I19" s="9"/>
      <c r="J19" s="6"/>
      <c r="K19" s="6"/>
      <c r="L19" s="12"/>
      <c r="M19" s="6"/>
      <c r="N19" s="6"/>
      <c r="O19" s="11"/>
      <c r="S19" s="6"/>
      <c r="T19" s="6"/>
      <c r="U19" s="6"/>
      <c r="V19" s="6"/>
      <c r="W19" s="6"/>
      <c r="X19" s="6"/>
      <c r="Y19" s="6"/>
    </row>
    <row r="20" spans="1:42">
      <c r="A20" s="5" t="s">
        <v>246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4"/>
      <c r="AJ20" s="4"/>
      <c r="AK20" s="4"/>
      <c r="AL20" s="4"/>
      <c r="AM20" s="4"/>
      <c r="AN20" s="4"/>
      <c r="AO20" s="4"/>
      <c r="AP20" s="4"/>
    </row>
    <row r="21" spans="1:42">
      <c r="A21" s="6"/>
      <c r="B21" s="6"/>
      <c r="C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42">
      <c r="A22" s="3"/>
      <c r="B22" s="3"/>
      <c r="C22" s="19"/>
      <c r="D22" s="3"/>
      <c r="E22" s="1075">
        <f>Flags!G40</f>
        <v>1</v>
      </c>
      <c r="F22" s="1075">
        <f>Flags!H40</f>
        <v>2</v>
      </c>
      <c r="G22" s="1075">
        <f>Flags!I40</f>
        <v>3</v>
      </c>
      <c r="H22" s="1075">
        <f>Flags!J40</f>
        <v>4</v>
      </c>
      <c r="I22" s="1075">
        <f>Flags!K40</f>
        <v>5</v>
      </c>
      <c r="J22" s="1075">
        <f>Flags!L40</f>
        <v>6</v>
      </c>
      <c r="K22" s="1075">
        <f>Flags!M40</f>
        <v>7</v>
      </c>
      <c r="L22" s="1075">
        <f>Flags!N40</f>
        <v>8</v>
      </c>
      <c r="M22" s="1075">
        <f>Flags!O40</f>
        <v>9</v>
      </c>
      <c r="N22" s="1075">
        <f>Flags!P40</f>
        <v>10</v>
      </c>
      <c r="O22" s="1075">
        <f>Flags!Q40</f>
        <v>11</v>
      </c>
      <c r="P22" s="1075">
        <f>Flags!R40</f>
        <v>12</v>
      </c>
      <c r="Q22" s="1075">
        <f>Flags!S40</f>
        <v>13</v>
      </c>
      <c r="R22" s="1075">
        <f>Flags!T40</f>
        <v>14</v>
      </c>
      <c r="S22" s="1075">
        <f>Flags!U40</f>
        <v>15</v>
      </c>
      <c r="T22" s="1075">
        <f>Flags!V40</f>
        <v>16</v>
      </c>
      <c r="U22" s="1075">
        <f>Flags!W40</f>
        <v>17</v>
      </c>
      <c r="V22" s="1075">
        <f>Flags!X40</f>
        <v>18</v>
      </c>
      <c r="W22" s="1075">
        <f>Flags!Y40</f>
        <v>19</v>
      </c>
      <c r="X22" s="1075">
        <f>Flags!Z40</f>
        <v>20</v>
      </c>
      <c r="Y22" s="1075">
        <f>Flags!AA40</f>
        <v>21</v>
      </c>
      <c r="Z22" s="1075">
        <f>Flags!AB40</f>
        <v>22</v>
      </c>
      <c r="AA22" s="1075">
        <f>Flags!AC40</f>
        <v>23</v>
      </c>
      <c r="AB22" s="1075">
        <f>Flags!AD40</f>
        <v>24</v>
      </c>
      <c r="AC22" s="1075">
        <f>Flags!AE40</f>
        <v>25</v>
      </c>
      <c r="AD22" s="1075">
        <f>Flags!AF40</f>
        <v>26</v>
      </c>
      <c r="AE22" s="1075">
        <f>Flags!AG40</f>
        <v>27</v>
      </c>
      <c r="AF22" s="1075">
        <f>Flags!AH40</f>
        <v>28</v>
      </c>
      <c r="AG22" s="1075">
        <f>Flags!AI40</f>
        <v>29</v>
      </c>
      <c r="AH22" s="1075">
        <f>Flags!AJ40</f>
        <v>30</v>
      </c>
      <c r="AI22" s="4"/>
      <c r="AJ22" s="4"/>
      <c r="AK22" s="4"/>
      <c r="AL22" s="4"/>
      <c r="AM22" s="4"/>
      <c r="AN22" s="4"/>
      <c r="AO22" s="4"/>
      <c r="AP22" s="4"/>
    </row>
    <row r="23" spans="1:42" s="24" customFormat="1">
      <c r="A23" s="21" t="str">
        <f>CapEx!B6</f>
        <v>Production Units</v>
      </c>
      <c r="B23" s="22"/>
      <c r="C23" s="1011">
        <f>CapEx!C6</f>
        <v>10912.7</v>
      </c>
      <c r="D23" s="1258">
        <f t="shared" ref="D23:D43" si="0">SUM(E23:AH23)</f>
        <v>1</v>
      </c>
      <c r="E23" s="1080">
        <f>CapEx!N6</f>
        <v>8.3333333333333329E-2</v>
      </c>
      <c r="F23" s="1081">
        <f>CapEx!O6</f>
        <v>8.3333333333333329E-2</v>
      </c>
      <c r="G23" s="1081">
        <f>CapEx!P6</f>
        <v>8.3333333333333329E-2</v>
      </c>
      <c r="H23" s="1081">
        <f>CapEx!Q6</f>
        <v>8.3333333333333329E-2</v>
      </c>
      <c r="I23" s="1081">
        <f>CapEx!R6</f>
        <v>8.3333333333333329E-2</v>
      </c>
      <c r="J23" s="1081">
        <f>CapEx!S6</f>
        <v>8.3333333333333329E-2</v>
      </c>
      <c r="K23" s="1081">
        <f>CapEx!T6</f>
        <v>8.3333333333333329E-2</v>
      </c>
      <c r="L23" s="1081">
        <f>CapEx!U6</f>
        <v>8.3333333333333329E-2</v>
      </c>
      <c r="M23" s="1081">
        <f>CapEx!V6</f>
        <v>8.3333333333333329E-2</v>
      </c>
      <c r="N23" s="1081">
        <f>CapEx!W6</f>
        <v>8.3333333333333329E-2</v>
      </c>
      <c r="O23" s="1081">
        <f>CapEx!X6</f>
        <v>8.3333333333333329E-2</v>
      </c>
      <c r="P23" s="1081">
        <f>CapEx!Y6</f>
        <v>8.3333333333333329E-2</v>
      </c>
      <c r="Q23" s="1081">
        <f>CapEx!Z6</f>
        <v>0</v>
      </c>
      <c r="R23" s="1081">
        <f>CapEx!AA6</f>
        <v>0</v>
      </c>
      <c r="S23" s="1081">
        <f>CapEx!AB6</f>
        <v>0</v>
      </c>
      <c r="T23" s="1081">
        <f>CapEx!AC6</f>
        <v>0</v>
      </c>
      <c r="U23" s="1081">
        <f>CapEx!AD6</f>
        <v>0</v>
      </c>
      <c r="V23" s="1081">
        <f>CapEx!AE6</f>
        <v>0</v>
      </c>
      <c r="W23" s="1081">
        <f>CapEx!AF6</f>
        <v>0</v>
      </c>
      <c r="X23" s="1081">
        <f>CapEx!AG6</f>
        <v>0</v>
      </c>
      <c r="Y23" s="1081">
        <f>CapEx!AH6</f>
        <v>0</v>
      </c>
      <c r="Z23" s="1081">
        <f>CapEx!AI6</f>
        <v>0</v>
      </c>
      <c r="AA23" s="1081">
        <f>CapEx!AJ6</f>
        <v>0</v>
      </c>
      <c r="AB23" s="1081">
        <f>CapEx!AK6</f>
        <v>0</v>
      </c>
      <c r="AC23" s="1081">
        <f>CapEx!AL6</f>
        <v>0</v>
      </c>
      <c r="AD23" s="1081">
        <f>CapEx!AM6</f>
        <v>0</v>
      </c>
      <c r="AE23" s="1081">
        <f>CapEx!AN6</f>
        <v>0</v>
      </c>
      <c r="AF23" s="1081">
        <f>CapEx!AO6</f>
        <v>0</v>
      </c>
      <c r="AG23" s="1081">
        <f>CapEx!AP6</f>
        <v>0</v>
      </c>
      <c r="AH23" s="1081">
        <f>CapEx!AQ6</f>
        <v>0</v>
      </c>
    </row>
    <row r="24" spans="1:42" s="24" customFormat="1">
      <c r="A24" s="25" t="str">
        <f>CapEx!B9</f>
        <v>EPC Contract</v>
      </c>
      <c r="B24" s="26"/>
      <c r="C24" s="1012">
        <f>CapEx!C9</f>
        <v>26430</v>
      </c>
      <c r="D24" s="1259">
        <f t="shared" si="0"/>
        <v>1</v>
      </c>
      <c r="E24" s="1082">
        <f>CapEx!N9</f>
        <v>8.3333333333333329E-2</v>
      </c>
      <c r="F24" s="1083">
        <f>CapEx!O9</f>
        <v>8.3333333333333329E-2</v>
      </c>
      <c r="G24" s="1083">
        <f>CapEx!P9</f>
        <v>8.3333333333333329E-2</v>
      </c>
      <c r="H24" s="1083">
        <f>CapEx!Q9</f>
        <v>8.3333333333333329E-2</v>
      </c>
      <c r="I24" s="1083">
        <f>CapEx!R9</f>
        <v>8.3333333333333329E-2</v>
      </c>
      <c r="J24" s="1083">
        <f>CapEx!S9</f>
        <v>8.3333333333333329E-2</v>
      </c>
      <c r="K24" s="1083">
        <f>CapEx!T9</f>
        <v>8.3333333333333329E-2</v>
      </c>
      <c r="L24" s="1083">
        <f>CapEx!U9</f>
        <v>8.3333333333333329E-2</v>
      </c>
      <c r="M24" s="1083">
        <f>CapEx!V9</f>
        <v>8.3333333333333329E-2</v>
      </c>
      <c r="N24" s="1083">
        <f>CapEx!W9</f>
        <v>8.3333333333333329E-2</v>
      </c>
      <c r="O24" s="1083">
        <f>CapEx!X9</f>
        <v>8.3333333333333329E-2</v>
      </c>
      <c r="P24" s="1083">
        <f>CapEx!Y9</f>
        <v>8.3333333333333329E-2</v>
      </c>
      <c r="Q24" s="1083">
        <f>CapEx!Z9</f>
        <v>0</v>
      </c>
      <c r="R24" s="1083">
        <f>CapEx!AA9</f>
        <v>0</v>
      </c>
      <c r="S24" s="1083">
        <f>CapEx!AB9</f>
        <v>0</v>
      </c>
      <c r="T24" s="1083">
        <f>CapEx!AC9</f>
        <v>0</v>
      </c>
      <c r="U24" s="1083">
        <f>CapEx!AD9</f>
        <v>0</v>
      </c>
      <c r="V24" s="1083">
        <f>CapEx!AE9</f>
        <v>0</v>
      </c>
      <c r="W24" s="1083">
        <f>CapEx!AF9</f>
        <v>0</v>
      </c>
      <c r="X24" s="1083">
        <f>CapEx!AG9</f>
        <v>0</v>
      </c>
      <c r="Y24" s="1083">
        <f>CapEx!AH9</f>
        <v>0</v>
      </c>
      <c r="Z24" s="1083">
        <f>CapEx!AI9</f>
        <v>0</v>
      </c>
      <c r="AA24" s="1083">
        <f>CapEx!AJ9</f>
        <v>0</v>
      </c>
      <c r="AB24" s="1083">
        <f>CapEx!AK9</f>
        <v>0</v>
      </c>
      <c r="AC24" s="1083">
        <f>CapEx!AL9</f>
        <v>0</v>
      </c>
      <c r="AD24" s="1083">
        <f>CapEx!AM9</f>
        <v>0</v>
      </c>
      <c r="AE24" s="1083">
        <f>CapEx!AN9</f>
        <v>0</v>
      </c>
      <c r="AF24" s="1083">
        <f>CapEx!AO9</f>
        <v>0</v>
      </c>
      <c r="AG24" s="1083">
        <f>CapEx!AP9</f>
        <v>0</v>
      </c>
      <c r="AH24" s="1083">
        <f>CapEx!AQ9</f>
        <v>0</v>
      </c>
    </row>
    <row r="25" spans="1:42" s="24" customFormat="1">
      <c r="A25" s="25" t="str">
        <f>CapEx!B13</f>
        <v>EPC other costs</v>
      </c>
      <c r="B25" s="26"/>
      <c r="C25" s="1012">
        <f>CapEx!C13</f>
        <v>2014</v>
      </c>
      <c r="D25" s="1259">
        <f t="shared" si="0"/>
        <v>1</v>
      </c>
      <c r="E25" s="1082">
        <f>CapEx!N13</f>
        <v>8.3333333333333329E-2</v>
      </c>
      <c r="F25" s="1083">
        <f>CapEx!O13</f>
        <v>8.3333333333333329E-2</v>
      </c>
      <c r="G25" s="1083">
        <f>CapEx!P13</f>
        <v>8.3333333333333329E-2</v>
      </c>
      <c r="H25" s="1083">
        <f>CapEx!Q13</f>
        <v>8.3333333333333329E-2</v>
      </c>
      <c r="I25" s="1083">
        <f>CapEx!R13</f>
        <v>8.3333333333333329E-2</v>
      </c>
      <c r="J25" s="1083">
        <f>CapEx!S13</f>
        <v>8.3333333333333329E-2</v>
      </c>
      <c r="K25" s="1083">
        <f>CapEx!T13</f>
        <v>8.3333333333333329E-2</v>
      </c>
      <c r="L25" s="1083">
        <f>CapEx!U13</f>
        <v>8.3333333333333329E-2</v>
      </c>
      <c r="M25" s="1083">
        <f>CapEx!V13</f>
        <v>8.3333333333333329E-2</v>
      </c>
      <c r="N25" s="1083">
        <f>CapEx!W13</f>
        <v>8.3333333333333329E-2</v>
      </c>
      <c r="O25" s="1083">
        <f>CapEx!X13</f>
        <v>8.3333333333333329E-2</v>
      </c>
      <c r="P25" s="1083">
        <f>CapEx!Y13</f>
        <v>8.3333333333333329E-2</v>
      </c>
      <c r="Q25" s="1083">
        <f>CapEx!Z13</f>
        <v>0</v>
      </c>
      <c r="R25" s="1083">
        <f>CapEx!AA13</f>
        <v>0</v>
      </c>
      <c r="S25" s="1083">
        <f>CapEx!AB13</f>
        <v>0</v>
      </c>
      <c r="T25" s="1083">
        <f>CapEx!AC13</f>
        <v>0</v>
      </c>
      <c r="U25" s="1083">
        <f>CapEx!AD13</f>
        <v>0</v>
      </c>
      <c r="V25" s="1083">
        <f>CapEx!AE13</f>
        <v>0</v>
      </c>
      <c r="W25" s="1083">
        <f>CapEx!AF13</f>
        <v>0</v>
      </c>
      <c r="X25" s="1083">
        <f>CapEx!AG13</f>
        <v>0</v>
      </c>
      <c r="Y25" s="1083">
        <f>CapEx!AH13</f>
        <v>0</v>
      </c>
      <c r="Z25" s="1083">
        <f>CapEx!AI13</f>
        <v>0</v>
      </c>
      <c r="AA25" s="1083">
        <f>CapEx!AJ13</f>
        <v>0</v>
      </c>
      <c r="AB25" s="1083">
        <f>CapEx!AK13</f>
        <v>0</v>
      </c>
      <c r="AC25" s="1083">
        <f>CapEx!AL13</f>
        <v>0</v>
      </c>
      <c r="AD25" s="1083">
        <f>CapEx!AM13</f>
        <v>0</v>
      </c>
      <c r="AE25" s="1083">
        <f>CapEx!AN13</f>
        <v>0</v>
      </c>
      <c r="AF25" s="1083">
        <f>CapEx!AO13</f>
        <v>0</v>
      </c>
      <c r="AG25" s="1083">
        <f>CapEx!AP13</f>
        <v>0</v>
      </c>
      <c r="AH25" s="1083">
        <f>CapEx!AQ13</f>
        <v>0</v>
      </c>
    </row>
    <row r="26" spans="1:42" s="24" customFormat="1">
      <c r="A26" s="25" t="str">
        <f>CapEx!B18</f>
        <v>Grid connection</v>
      </c>
      <c r="B26" s="26"/>
      <c r="C26" s="1012">
        <f>CapEx!C18</f>
        <v>4050</v>
      </c>
      <c r="D26" s="1259">
        <f t="shared" si="0"/>
        <v>1</v>
      </c>
      <c r="E26" s="1082">
        <f>CapEx!N18</f>
        <v>8.3333333333333329E-2</v>
      </c>
      <c r="F26" s="1083">
        <f>CapEx!O18</f>
        <v>8.3333333333333329E-2</v>
      </c>
      <c r="G26" s="1083">
        <f>CapEx!P18</f>
        <v>8.3333333333333329E-2</v>
      </c>
      <c r="H26" s="1083">
        <f>CapEx!Q18</f>
        <v>8.3333333333333329E-2</v>
      </c>
      <c r="I26" s="1083">
        <f>CapEx!R18</f>
        <v>8.3333333333333329E-2</v>
      </c>
      <c r="J26" s="1083">
        <f>CapEx!S18</f>
        <v>8.3333333333333329E-2</v>
      </c>
      <c r="K26" s="1083">
        <f>CapEx!T18</f>
        <v>8.3333333333333329E-2</v>
      </c>
      <c r="L26" s="1083">
        <f>CapEx!U18</f>
        <v>8.3333333333333329E-2</v>
      </c>
      <c r="M26" s="1083">
        <f>CapEx!V18</f>
        <v>8.3333333333333329E-2</v>
      </c>
      <c r="N26" s="1083">
        <f>CapEx!W18</f>
        <v>8.3333333333333329E-2</v>
      </c>
      <c r="O26" s="1083">
        <f>CapEx!X18</f>
        <v>8.3333333333333329E-2</v>
      </c>
      <c r="P26" s="1083">
        <f>CapEx!Y18</f>
        <v>8.3333333333333329E-2</v>
      </c>
      <c r="Q26" s="1083">
        <f>CapEx!Z18</f>
        <v>0</v>
      </c>
      <c r="R26" s="1083">
        <f>CapEx!AA18</f>
        <v>0</v>
      </c>
      <c r="S26" s="1083">
        <f>CapEx!AB18</f>
        <v>0</v>
      </c>
      <c r="T26" s="1083">
        <f>CapEx!AC18</f>
        <v>0</v>
      </c>
      <c r="U26" s="1083">
        <f>CapEx!AD18</f>
        <v>0</v>
      </c>
      <c r="V26" s="1083">
        <f>CapEx!AE18</f>
        <v>0</v>
      </c>
      <c r="W26" s="1083">
        <f>CapEx!AF18</f>
        <v>0</v>
      </c>
      <c r="X26" s="1083">
        <f>CapEx!AG18</f>
        <v>0</v>
      </c>
      <c r="Y26" s="1083">
        <f>CapEx!AH18</f>
        <v>0</v>
      </c>
      <c r="Z26" s="1083">
        <f>CapEx!AI18</f>
        <v>0</v>
      </c>
      <c r="AA26" s="1083">
        <f>CapEx!AJ18</f>
        <v>0</v>
      </c>
      <c r="AB26" s="1083">
        <f>CapEx!AK18</f>
        <v>0</v>
      </c>
      <c r="AC26" s="1083">
        <f>CapEx!AL18</f>
        <v>0</v>
      </c>
      <c r="AD26" s="1083">
        <f>CapEx!AM18</f>
        <v>0</v>
      </c>
      <c r="AE26" s="1083">
        <f>CapEx!AN18</f>
        <v>0</v>
      </c>
      <c r="AF26" s="1083">
        <f>CapEx!AO18</f>
        <v>0</v>
      </c>
      <c r="AG26" s="1083">
        <f>CapEx!AP18</f>
        <v>0</v>
      </c>
      <c r="AH26" s="1083">
        <f>CapEx!AQ18</f>
        <v>0</v>
      </c>
    </row>
    <row r="27" spans="1:42" s="24" customFormat="1">
      <c r="A27" s="25" t="str">
        <f>CapEx!B31</f>
        <v>Investments to prepare operation phase</v>
      </c>
      <c r="B27" s="26"/>
      <c r="C27" s="1012">
        <f>CapEx!C31+CapEx!C24</f>
        <v>150</v>
      </c>
      <c r="D27" s="1259">
        <f t="shared" si="0"/>
        <v>1</v>
      </c>
      <c r="E27" s="1082">
        <f>CapEx!N31</f>
        <v>8.3333333333333329E-2</v>
      </c>
      <c r="F27" s="1083">
        <f>CapEx!O31</f>
        <v>8.3333333333333329E-2</v>
      </c>
      <c r="G27" s="1083">
        <f>CapEx!P31</f>
        <v>8.3333333333333329E-2</v>
      </c>
      <c r="H27" s="1083">
        <f>CapEx!Q31</f>
        <v>8.3333333333333329E-2</v>
      </c>
      <c r="I27" s="1083">
        <f>CapEx!R31</f>
        <v>8.3333333333333329E-2</v>
      </c>
      <c r="J27" s="1083">
        <f>CapEx!S31</f>
        <v>8.3333333333333329E-2</v>
      </c>
      <c r="K27" s="1083">
        <f>CapEx!T31</f>
        <v>8.3333333333333329E-2</v>
      </c>
      <c r="L27" s="1083">
        <f>CapEx!U31</f>
        <v>8.3333333333333329E-2</v>
      </c>
      <c r="M27" s="1083">
        <f>CapEx!V31</f>
        <v>8.3333333333333329E-2</v>
      </c>
      <c r="N27" s="1083">
        <f>CapEx!W31</f>
        <v>8.3333333333333329E-2</v>
      </c>
      <c r="O27" s="1083">
        <f>CapEx!X31</f>
        <v>8.3333333333333329E-2</v>
      </c>
      <c r="P27" s="1083">
        <f>CapEx!Y31</f>
        <v>8.3333333333333329E-2</v>
      </c>
      <c r="Q27" s="1083">
        <f>CapEx!Z31</f>
        <v>0</v>
      </c>
      <c r="R27" s="1083">
        <f>CapEx!AA31</f>
        <v>0</v>
      </c>
      <c r="S27" s="1083">
        <f>CapEx!AB31</f>
        <v>0</v>
      </c>
      <c r="T27" s="1083">
        <f>CapEx!AC31</f>
        <v>0</v>
      </c>
      <c r="U27" s="1083">
        <f>CapEx!AD31</f>
        <v>0</v>
      </c>
      <c r="V27" s="1083">
        <f>CapEx!AE31</f>
        <v>0</v>
      </c>
      <c r="W27" s="1083">
        <f>CapEx!AF31</f>
        <v>0</v>
      </c>
      <c r="X27" s="1083">
        <f>CapEx!AG31</f>
        <v>0</v>
      </c>
      <c r="Y27" s="1083">
        <f>CapEx!AH31</f>
        <v>0</v>
      </c>
      <c r="Z27" s="1083">
        <f>CapEx!AI31</f>
        <v>0</v>
      </c>
      <c r="AA27" s="1083">
        <f>CapEx!AJ31</f>
        <v>0</v>
      </c>
      <c r="AB27" s="1083">
        <f>CapEx!AK31</f>
        <v>0</v>
      </c>
      <c r="AC27" s="1083">
        <f>CapEx!AL31</f>
        <v>0</v>
      </c>
      <c r="AD27" s="1083">
        <f>CapEx!AM31</f>
        <v>0</v>
      </c>
      <c r="AE27" s="1083">
        <f>CapEx!AN31</f>
        <v>0</v>
      </c>
      <c r="AF27" s="1083">
        <f>CapEx!AO31</f>
        <v>0</v>
      </c>
      <c r="AG27" s="1083">
        <f>CapEx!AP31</f>
        <v>0</v>
      </c>
      <c r="AH27" s="1083">
        <f>CapEx!AQ31</f>
        <v>0</v>
      </c>
    </row>
    <row r="28" spans="1:42" s="24" customFormat="1">
      <c r="A28" s="25" t="str">
        <f>CapEx!B47</f>
        <v>Insurances</v>
      </c>
      <c r="B28" s="28"/>
      <c r="C28" s="1012">
        <f>CapEx!C47</f>
        <v>320</v>
      </c>
      <c r="D28" s="1259">
        <f t="shared" si="0"/>
        <v>1</v>
      </c>
      <c r="E28" s="1082">
        <f>CapEx!N47</f>
        <v>1</v>
      </c>
      <c r="F28" s="1083">
        <f>CapEx!O47</f>
        <v>0</v>
      </c>
      <c r="G28" s="1083">
        <f>CapEx!P47</f>
        <v>0</v>
      </c>
      <c r="H28" s="1083">
        <f>CapEx!Q47</f>
        <v>0</v>
      </c>
      <c r="I28" s="1083">
        <f>CapEx!R47</f>
        <v>0</v>
      </c>
      <c r="J28" s="1083">
        <f>CapEx!S47</f>
        <v>0</v>
      </c>
      <c r="K28" s="1083">
        <f>CapEx!T47</f>
        <v>0</v>
      </c>
      <c r="L28" s="1083">
        <f>CapEx!U47</f>
        <v>0</v>
      </c>
      <c r="M28" s="1083">
        <f>CapEx!V47</f>
        <v>0</v>
      </c>
      <c r="N28" s="1083">
        <f>CapEx!W47</f>
        <v>0</v>
      </c>
      <c r="O28" s="1083">
        <f>CapEx!X47</f>
        <v>0</v>
      </c>
      <c r="P28" s="1083">
        <f>CapEx!Y47</f>
        <v>0</v>
      </c>
      <c r="Q28" s="1083">
        <f>CapEx!Z47</f>
        <v>0</v>
      </c>
      <c r="R28" s="1083">
        <f>CapEx!AA47</f>
        <v>0</v>
      </c>
      <c r="S28" s="1083">
        <f>CapEx!AB47</f>
        <v>0</v>
      </c>
      <c r="T28" s="1083">
        <f>CapEx!AC47</f>
        <v>0</v>
      </c>
      <c r="U28" s="1083">
        <f>CapEx!AD47</f>
        <v>0</v>
      </c>
      <c r="V28" s="1083">
        <f>CapEx!AE47</f>
        <v>0</v>
      </c>
      <c r="W28" s="1083">
        <f>CapEx!AF47</f>
        <v>0</v>
      </c>
      <c r="X28" s="1083">
        <f>CapEx!AG47</f>
        <v>0</v>
      </c>
      <c r="Y28" s="1083">
        <f>CapEx!AH47</f>
        <v>0</v>
      </c>
      <c r="Z28" s="1083">
        <f>CapEx!AI47</f>
        <v>0</v>
      </c>
      <c r="AA28" s="1083">
        <f>CapEx!AJ47</f>
        <v>0</v>
      </c>
      <c r="AB28" s="1083">
        <f>CapEx!AK47</f>
        <v>0</v>
      </c>
      <c r="AC28" s="1083">
        <f>CapEx!AL47</f>
        <v>0</v>
      </c>
      <c r="AD28" s="1083">
        <f>CapEx!AM47</f>
        <v>0</v>
      </c>
      <c r="AE28" s="1083">
        <f>CapEx!AN47</f>
        <v>0</v>
      </c>
      <c r="AF28" s="1083">
        <f>CapEx!AO47</f>
        <v>0</v>
      </c>
      <c r="AG28" s="1083">
        <f>CapEx!AP47</f>
        <v>0</v>
      </c>
      <c r="AH28" s="1083">
        <f>CapEx!AQ47</f>
        <v>0</v>
      </c>
    </row>
    <row r="29" spans="1:42" s="24" customFormat="1">
      <c r="A29" s="25" t="str">
        <f>CapEx!B54</f>
        <v>Lease and Property Tax</v>
      </c>
      <c r="B29" s="28"/>
      <c r="C29" s="1012">
        <f>CapEx!C54</f>
        <v>0</v>
      </c>
      <c r="D29" s="1259">
        <f t="shared" si="0"/>
        <v>0</v>
      </c>
      <c r="E29" s="1082">
        <f>CapEx!N54</f>
        <v>0</v>
      </c>
      <c r="F29" s="1083">
        <f>CapEx!O54</f>
        <v>0</v>
      </c>
      <c r="G29" s="1083">
        <f>CapEx!P54</f>
        <v>0</v>
      </c>
      <c r="H29" s="1083">
        <f>CapEx!Q54</f>
        <v>0</v>
      </c>
      <c r="I29" s="1083">
        <f>CapEx!R54</f>
        <v>0</v>
      </c>
      <c r="J29" s="1083">
        <f>CapEx!S54</f>
        <v>0</v>
      </c>
      <c r="K29" s="1083">
        <f>CapEx!T54</f>
        <v>0</v>
      </c>
      <c r="L29" s="1083">
        <f>CapEx!U54</f>
        <v>0</v>
      </c>
      <c r="M29" s="1083">
        <f>CapEx!V54</f>
        <v>0</v>
      </c>
      <c r="N29" s="1083">
        <f>CapEx!W54</f>
        <v>0</v>
      </c>
      <c r="O29" s="1083">
        <f>CapEx!X54</f>
        <v>0</v>
      </c>
      <c r="P29" s="1083">
        <f>CapEx!Y54</f>
        <v>0</v>
      </c>
      <c r="Q29" s="1083">
        <f>CapEx!Z54</f>
        <v>0</v>
      </c>
      <c r="R29" s="1083">
        <f>CapEx!AA54</f>
        <v>0</v>
      </c>
      <c r="S29" s="1083">
        <f>CapEx!AB54</f>
        <v>0</v>
      </c>
      <c r="T29" s="1083">
        <f>CapEx!AC54</f>
        <v>0</v>
      </c>
      <c r="U29" s="1083">
        <f>CapEx!AD54</f>
        <v>0</v>
      </c>
      <c r="V29" s="1083">
        <f>CapEx!AE54</f>
        <v>0</v>
      </c>
      <c r="W29" s="1083">
        <f>CapEx!AF54</f>
        <v>0</v>
      </c>
      <c r="X29" s="1083">
        <f>CapEx!AG54</f>
        <v>0</v>
      </c>
      <c r="Y29" s="1083">
        <f>CapEx!AH54</f>
        <v>0</v>
      </c>
      <c r="Z29" s="1083">
        <f>CapEx!AI54</f>
        <v>0</v>
      </c>
      <c r="AA29" s="1083">
        <f>CapEx!AJ54</f>
        <v>0</v>
      </c>
      <c r="AB29" s="1083">
        <f>CapEx!AK54</f>
        <v>0</v>
      </c>
      <c r="AC29" s="1083">
        <f>CapEx!AL54</f>
        <v>0</v>
      </c>
      <c r="AD29" s="1083">
        <f>CapEx!AM54</f>
        <v>0</v>
      </c>
      <c r="AE29" s="1083">
        <f>CapEx!AN54</f>
        <v>0</v>
      </c>
      <c r="AF29" s="1083">
        <f>CapEx!AO54</f>
        <v>0</v>
      </c>
      <c r="AG29" s="1083">
        <f>CapEx!AP54</f>
        <v>0</v>
      </c>
      <c r="AH29" s="1083">
        <f>CapEx!AQ54</f>
        <v>0</v>
      </c>
    </row>
    <row r="30" spans="1:42" s="24" customFormat="1">
      <c r="A30" s="25" t="str">
        <f>CapEx!B57</f>
        <v>Project finance costs due at closing</v>
      </c>
      <c r="B30" s="28"/>
      <c r="C30" s="1012">
        <f>CapEx!C57</f>
        <v>355</v>
      </c>
      <c r="D30" s="1259">
        <f t="shared" si="0"/>
        <v>1</v>
      </c>
      <c r="E30" s="1082">
        <f>CapEx!N57</f>
        <v>1</v>
      </c>
      <c r="F30" s="1083">
        <f>CapEx!O57</f>
        <v>0</v>
      </c>
      <c r="G30" s="1083">
        <f>CapEx!P57</f>
        <v>0</v>
      </c>
      <c r="H30" s="1083">
        <f>CapEx!Q57</f>
        <v>0</v>
      </c>
      <c r="I30" s="1083">
        <f>CapEx!R57</f>
        <v>0</v>
      </c>
      <c r="J30" s="1083">
        <f>CapEx!S57</f>
        <v>0</v>
      </c>
      <c r="K30" s="1083">
        <f>CapEx!T57</f>
        <v>0</v>
      </c>
      <c r="L30" s="1083">
        <f>CapEx!U57</f>
        <v>0</v>
      </c>
      <c r="M30" s="1083">
        <f>CapEx!V57</f>
        <v>0</v>
      </c>
      <c r="N30" s="1083">
        <f>CapEx!W57</f>
        <v>0</v>
      </c>
      <c r="O30" s="1083">
        <f>CapEx!X57</f>
        <v>0</v>
      </c>
      <c r="P30" s="1083">
        <f>CapEx!Y57</f>
        <v>0</v>
      </c>
      <c r="Q30" s="1083">
        <f>CapEx!Z57</f>
        <v>0</v>
      </c>
      <c r="R30" s="1083">
        <f>CapEx!AA57</f>
        <v>0</v>
      </c>
      <c r="S30" s="1083">
        <f>CapEx!AB57</f>
        <v>0</v>
      </c>
      <c r="T30" s="1083">
        <f>CapEx!AC57</f>
        <v>0</v>
      </c>
      <c r="U30" s="1083">
        <f>CapEx!AD57</f>
        <v>0</v>
      </c>
      <c r="V30" s="1083">
        <f>CapEx!AE57</f>
        <v>0</v>
      </c>
      <c r="W30" s="1083">
        <f>CapEx!AF57</f>
        <v>0</v>
      </c>
      <c r="X30" s="1083">
        <f>CapEx!AG57</f>
        <v>0</v>
      </c>
      <c r="Y30" s="1083">
        <f>CapEx!AH57</f>
        <v>0</v>
      </c>
      <c r="Z30" s="1083">
        <f>CapEx!AI57</f>
        <v>0</v>
      </c>
      <c r="AA30" s="1083">
        <f>CapEx!AJ57</f>
        <v>0</v>
      </c>
      <c r="AB30" s="1083">
        <f>CapEx!AK57</f>
        <v>0</v>
      </c>
      <c r="AC30" s="1083">
        <f>CapEx!AL57</f>
        <v>0</v>
      </c>
      <c r="AD30" s="1083">
        <f>CapEx!AM57</f>
        <v>0</v>
      </c>
      <c r="AE30" s="1083">
        <f>CapEx!AN57</f>
        <v>0</v>
      </c>
      <c r="AF30" s="1083">
        <f>CapEx!AO57</f>
        <v>0</v>
      </c>
      <c r="AG30" s="1083">
        <f>CapEx!AP57</f>
        <v>0</v>
      </c>
      <c r="AH30" s="1083">
        <f>CapEx!AQ57</f>
        <v>0</v>
      </c>
    </row>
    <row r="31" spans="1:42" s="24" customFormat="1">
      <c r="A31" s="25" t="str">
        <f>CapEx!B82</f>
        <v>Construction Management</v>
      </c>
      <c r="B31" s="28"/>
      <c r="C31" s="1012">
        <f>CapEx!C82</f>
        <v>0</v>
      </c>
      <c r="D31" s="1259">
        <f t="shared" si="0"/>
        <v>0</v>
      </c>
      <c r="E31" s="1082">
        <f>CapEx!N82</f>
        <v>0</v>
      </c>
      <c r="F31" s="1083">
        <f>CapEx!O82</f>
        <v>0</v>
      </c>
      <c r="G31" s="1083">
        <f>CapEx!P82</f>
        <v>0</v>
      </c>
      <c r="H31" s="1083">
        <f>CapEx!Q82</f>
        <v>0</v>
      </c>
      <c r="I31" s="1083">
        <f>CapEx!R82</f>
        <v>0</v>
      </c>
      <c r="J31" s="1083">
        <f>CapEx!S82</f>
        <v>0</v>
      </c>
      <c r="K31" s="1083">
        <f>CapEx!T82</f>
        <v>0</v>
      </c>
      <c r="L31" s="1083">
        <f>CapEx!U82</f>
        <v>0</v>
      </c>
      <c r="M31" s="1083">
        <f>CapEx!V82</f>
        <v>0</v>
      </c>
      <c r="N31" s="1083">
        <f>CapEx!W82</f>
        <v>0</v>
      </c>
      <c r="O31" s="1083">
        <f>CapEx!X82</f>
        <v>0</v>
      </c>
      <c r="P31" s="1083">
        <f>CapEx!Y82</f>
        <v>0</v>
      </c>
      <c r="Q31" s="1083">
        <f>CapEx!Z82</f>
        <v>0</v>
      </c>
      <c r="R31" s="1083">
        <f>CapEx!AA82</f>
        <v>0</v>
      </c>
      <c r="S31" s="1083">
        <f>CapEx!AB82</f>
        <v>0</v>
      </c>
      <c r="T31" s="1083">
        <f>CapEx!AC82</f>
        <v>0</v>
      </c>
      <c r="U31" s="1083">
        <f>CapEx!AD82</f>
        <v>0</v>
      </c>
      <c r="V31" s="1083">
        <f>CapEx!AE82</f>
        <v>0</v>
      </c>
      <c r="W31" s="1083">
        <f>CapEx!AF82</f>
        <v>0</v>
      </c>
      <c r="X31" s="1083">
        <f>CapEx!AG82</f>
        <v>0</v>
      </c>
      <c r="Y31" s="1083">
        <f>CapEx!AH82</f>
        <v>0</v>
      </c>
      <c r="Z31" s="1083">
        <f>CapEx!AI82</f>
        <v>0</v>
      </c>
      <c r="AA31" s="1083">
        <f>CapEx!AJ82</f>
        <v>0</v>
      </c>
      <c r="AB31" s="1083">
        <f>CapEx!AK82</f>
        <v>0</v>
      </c>
      <c r="AC31" s="1083">
        <f>CapEx!AL82</f>
        <v>0</v>
      </c>
      <c r="AD31" s="1083">
        <f>CapEx!AM82</f>
        <v>0</v>
      </c>
      <c r="AE31" s="1083">
        <f>CapEx!AN82</f>
        <v>0</v>
      </c>
      <c r="AF31" s="1083">
        <f>CapEx!AO82</f>
        <v>0</v>
      </c>
      <c r="AG31" s="1083">
        <f>CapEx!AP82</f>
        <v>0</v>
      </c>
      <c r="AH31" s="1083">
        <f>CapEx!AQ82</f>
        <v>0</v>
      </c>
    </row>
    <row r="32" spans="1:42" s="24" customFormat="1">
      <c r="A32" s="25" t="str">
        <f>CapEx!B86</f>
        <v>Commissioning</v>
      </c>
      <c r="B32" s="28"/>
      <c r="C32" s="1012">
        <f>CapEx!C86</f>
        <v>17</v>
      </c>
      <c r="D32" s="1259">
        <f t="shared" si="0"/>
        <v>1</v>
      </c>
      <c r="E32" s="1082">
        <f>CapEx!N86</f>
        <v>0</v>
      </c>
      <c r="F32" s="1083">
        <f>CapEx!O86</f>
        <v>0</v>
      </c>
      <c r="G32" s="1083">
        <f>CapEx!P86</f>
        <v>0</v>
      </c>
      <c r="H32" s="1083">
        <f>CapEx!Q86</f>
        <v>0</v>
      </c>
      <c r="I32" s="1083">
        <f>CapEx!R86</f>
        <v>0</v>
      </c>
      <c r="J32" s="1083">
        <f>CapEx!S86</f>
        <v>0</v>
      </c>
      <c r="K32" s="1083">
        <f>CapEx!T86</f>
        <v>0</v>
      </c>
      <c r="L32" s="1083">
        <f>CapEx!U86</f>
        <v>0</v>
      </c>
      <c r="M32" s="1083">
        <f>CapEx!V86</f>
        <v>0</v>
      </c>
      <c r="N32" s="1083">
        <f>CapEx!W86</f>
        <v>1</v>
      </c>
      <c r="O32" s="1083">
        <f>CapEx!X86</f>
        <v>0</v>
      </c>
      <c r="P32" s="1083">
        <f>CapEx!Y86</f>
        <v>0</v>
      </c>
      <c r="Q32" s="1083">
        <f>CapEx!Z86</f>
        <v>0</v>
      </c>
      <c r="R32" s="1083">
        <f>CapEx!AA86</f>
        <v>0</v>
      </c>
      <c r="S32" s="1083">
        <f>CapEx!AB86</f>
        <v>0</v>
      </c>
      <c r="T32" s="1083">
        <f>CapEx!AC86</f>
        <v>0</v>
      </c>
      <c r="U32" s="1083">
        <f>CapEx!AD86</f>
        <v>0</v>
      </c>
      <c r="V32" s="1083">
        <f>CapEx!AE86</f>
        <v>0</v>
      </c>
      <c r="W32" s="1083">
        <f>CapEx!AF86</f>
        <v>0</v>
      </c>
      <c r="X32" s="1083">
        <f>CapEx!AG86</f>
        <v>0</v>
      </c>
      <c r="Y32" s="1083">
        <f>CapEx!AH86</f>
        <v>0</v>
      </c>
      <c r="Z32" s="1083">
        <f>CapEx!AI86</f>
        <v>0</v>
      </c>
      <c r="AA32" s="1083">
        <f>CapEx!AJ86</f>
        <v>0</v>
      </c>
      <c r="AB32" s="1083">
        <f>CapEx!AK86</f>
        <v>0</v>
      </c>
      <c r="AC32" s="1083">
        <f>CapEx!AL86</f>
        <v>0</v>
      </c>
      <c r="AD32" s="1083">
        <f>CapEx!AM86</f>
        <v>0</v>
      </c>
      <c r="AE32" s="1083">
        <f>CapEx!AN86</f>
        <v>0</v>
      </c>
      <c r="AF32" s="1083">
        <f>CapEx!AO86</f>
        <v>0</v>
      </c>
      <c r="AG32" s="1083">
        <f>CapEx!AP86</f>
        <v>0</v>
      </c>
      <c r="AH32" s="1083">
        <f>CapEx!AQ86</f>
        <v>0</v>
      </c>
    </row>
    <row r="33" spans="1:42" s="24" customFormat="1">
      <c r="A33" s="25" t="str">
        <f>CapEx!B90</f>
        <v>Audit&amp;Accounting&amp;Legal Fees</v>
      </c>
      <c r="B33" s="28"/>
      <c r="C33" s="1012">
        <f>CapEx!C90</f>
        <v>70</v>
      </c>
      <c r="D33" s="1259">
        <f t="shared" si="0"/>
        <v>1</v>
      </c>
      <c r="E33" s="1082">
        <f>CapEx!N90</f>
        <v>8.3333333333333329E-2</v>
      </c>
      <c r="F33" s="1083">
        <f>CapEx!O90</f>
        <v>8.3333333333333329E-2</v>
      </c>
      <c r="G33" s="1083">
        <f>CapEx!P90</f>
        <v>8.3333333333333329E-2</v>
      </c>
      <c r="H33" s="1083">
        <f>CapEx!Q90</f>
        <v>8.3333333333333329E-2</v>
      </c>
      <c r="I33" s="1083">
        <f>CapEx!R90</f>
        <v>8.3333333333333329E-2</v>
      </c>
      <c r="J33" s="1083">
        <f>CapEx!S90</f>
        <v>8.3333333333333329E-2</v>
      </c>
      <c r="K33" s="1083">
        <f>CapEx!T90</f>
        <v>8.3333333333333329E-2</v>
      </c>
      <c r="L33" s="1083">
        <f>CapEx!U90</f>
        <v>8.3333333333333329E-2</v>
      </c>
      <c r="M33" s="1083">
        <f>CapEx!V90</f>
        <v>8.3333333333333329E-2</v>
      </c>
      <c r="N33" s="1083">
        <f>CapEx!W90</f>
        <v>8.3333333333333329E-2</v>
      </c>
      <c r="O33" s="1083">
        <f>CapEx!X90</f>
        <v>8.3333333333333329E-2</v>
      </c>
      <c r="P33" s="1083">
        <f>CapEx!Y90</f>
        <v>8.3333333333333329E-2</v>
      </c>
      <c r="Q33" s="1083">
        <f>CapEx!Z90</f>
        <v>0</v>
      </c>
      <c r="R33" s="1083">
        <f>CapEx!AA90</f>
        <v>0</v>
      </c>
      <c r="S33" s="1083">
        <f>CapEx!AB90</f>
        <v>0</v>
      </c>
      <c r="T33" s="1083">
        <f>CapEx!AC90</f>
        <v>0</v>
      </c>
      <c r="U33" s="1083">
        <f>CapEx!AD90</f>
        <v>0</v>
      </c>
      <c r="V33" s="1083">
        <f>CapEx!AE90</f>
        <v>0</v>
      </c>
      <c r="W33" s="1083">
        <f>CapEx!AF90</f>
        <v>0</v>
      </c>
      <c r="X33" s="1083">
        <f>CapEx!AG90</f>
        <v>0</v>
      </c>
      <c r="Y33" s="1083">
        <f>CapEx!AH90</f>
        <v>0</v>
      </c>
      <c r="Z33" s="1083">
        <f>CapEx!AI90</f>
        <v>0</v>
      </c>
      <c r="AA33" s="1083">
        <f>CapEx!AJ90</f>
        <v>0</v>
      </c>
      <c r="AB33" s="1083">
        <f>CapEx!AK90</f>
        <v>0</v>
      </c>
      <c r="AC33" s="1083">
        <f>CapEx!AL90</f>
        <v>0</v>
      </c>
      <c r="AD33" s="1083">
        <f>CapEx!AM90</f>
        <v>0</v>
      </c>
      <c r="AE33" s="1083">
        <f>CapEx!AN90</f>
        <v>0</v>
      </c>
      <c r="AF33" s="1083">
        <f>CapEx!AO90</f>
        <v>0</v>
      </c>
      <c r="AG33" s="1083">
        <f>CapEx!AP90</f>
        <v>0</v>
      </c>
      <c r="AH33" s="1083">
        <f>CapEx!AQ90</f>
        <v>0</v>
      </c>
    </row>
    <row r="34" spans="1:42" s="24" customFormat="1">
      <c r="A34" s="25" t="str">
        <f>CapEx!B97</f>
        <v>Construction Management</v>
      </c>
      <c r="B34" s="28"/>
      <c r="C34" s="1012">
        <f>CapEx!C97</f>
        <v>1151.134</v>
      </c>
      <c r="D34" s="1259">
        <f t="shared" si="0"/>
        <v>1</v>
      </c>
      <c r="E34" s="1082">
        <f>CapEx!N97</f>
        <v>1</v>
      </c>
      <c r="F34" s="1083">
        <f>CapEx!O97</f>
        <v>0</v>
      </c>
      <c r="G34" s="1083">
        <f>CapEx!P97</f>
        <v>0</v>
      </c>
      <c r="H34" s="1083">
        <f>CapEx!Q97</f>
        <v>0</v>
      </c>
      <c r="I34" s="1083">
        <f>CapEx!R97</f>
        <v>0</v>
      </c>
      <c r="J34" s="1083">
        <f>CapEx!S97</f>
        <v>0</v>
      </c>
      <c r="K34" s="1083">
        <f>CapEx!T97</f>
        <v>0</v>
      </c>
      <c r="L34" s="1083">
        <f>CapEx!U97</f>
        <v>0</v>
      </c>
      <c r="M34" s="1083">
        <f>CapEx!V97</f>
        <v>0</v>
      </c>
      <c r="N34" s="1083">
        <f>CapEx!W97</f>
        <v>0</v>
      </c>
      <c r="O34" s="1083">
        <f>CapEx!X97</f>
        <v>0</v>
      </c>
      <c r="P34" s="1083">
        <f>CapEx!Y97</f>
        <v>0</v>
      </c>
      <c r="Q34" s="1083">
        <f>CapEx!Z97</f>
        <v>0</v>
      </c>
      <c r="R34" s="1083">
        <f>CapEx!AA97</f>
        <v>0</v>
      </c>
      <c r="S34" s="1083">
        <f>CapEx!AB97</f>
        <v>0</v>
      </c>
      <c r="T34" s="1083">
        <f>CapEx!AC97</f>
        <v>0</v>
      </c>
      <c r="U34" s="1083">
        <f>CapEx!AD97</f>
        <v>0</v>
      </c>
      <c r="V34" s="1083">
        <f>CapEx!AE97</f>
        <v>0</v>
      </c>
      <c r="W34" s="1083">
        <f>CapEx!AF97</f>
        <v>0</v>
      </c>
      <c r="X34" s="1083">
        <f>CapEx!AG97</f>
        <v>0</v>
      </c>
      <c r="Y34" s="1083">
        <f>CapEx!AH97</f>
        <v>0</v>
      </c>
      <c r="Z34" s="1083">
        <f>CapEx!AI97</f>
        <v>0</v>
      </c>
      <c r="AA34" s="1083">
        <f>CapEx!AJ97</f>
        <v>0</v>
      </c>
      <c r="AB34" s="1083">
        <f>CapEx!AK97</f>
        <v>0</v>
      </c>
      <c r="AC34" s="1083">
        <f>CapEx!AL97</f>
        <v>0</v>
      </c>
      <c r="AD34" s="1083">
        <f>CapEx!AM97</f>
        <v>0</v>
      </c>
      <c r="AE34" s="1083">
        <f>CapEx!AN97</f>
        <v>0</v>
      </c>
      <c r="AF34" s="1083">
        <f>CapEx!AO97</f>
        <v>0</v>
      </c>
      <c r="AG34" s="1083">
        <f>CapEx!AP97</f>
        <v>0</v>
      </c>
      <c r="AH34" s="1083">
        <f>CapEx!AQ97</f>
        <v>0</v>
      </c>
    </row>
    <row r="35" spans="1:42" s="24" customFormat="1">
      <c r="A35" s="25" t="str">
        <f>CapEx!B105</f>
        <v>Contingencies</v>
      </c>
      <c r="B35" s="28"/>
      <c r="C35" s="1012">
        <f>CapEx!C105</f>
        <v>1986.4400000000007</v>
      </c>
      <c r="D35" s="1259">
        <f t="shared" si="0"/>
        <v>1</v>
      </c>
      <c r="E35" s="1082">
        <f>CapEx!N105</f>
        <v>1</v>
      </c>
      <c r="F35" s="1083">
        <f>CapEx!O105</f>
        <v>0</v>
      </c>
      <c r="G35" s="1083">
        <f>CapEx!P105</f>
        <v>0</v>
      </c>
      <c r="H35" s="1083">
        <f>CapEx!Q105</f>
        <v>0</v>
      </c>
      <c r="I35" s="1083">
        <f>CapEx!R105</f>
        <v>0</v>
      </c>
      <c r="J35" s="1083">
        <f>CapEx!S105</f>
        <v>0</v>
      </c>
      <c r="K35" s="1083">
        <f>CapEx!T105</f>
        <v>0</v>
      </c>
      <c r="L35" s="1083">
        <f>CapEx!U105</f>
        <v>0</v>
      </c>
      <c r="M35" s="1083">
        <f>CapEx!V105</f>
        <v>0</v>
      </c>
      <c r="N35" s="1083">
        <f>CapEx!W105</f>
        <v>0</v>
      </c>
      <c r="O35" s="1083">
        <f>CapEx!X105</f>
        <v>0</v>
      </c>
      <c r="P35" s="1083">
        <f>CapEx!Y105</f>
        <v>0</v>
      </c>
      <c r="Q35" s="1083">
        <f>CapEx!Z105</f>
        <v>0</v>
      </c>
      <c r="R35" s="1083">
        <f>CapEx!AA105</f>
        <v>0</v>
      </c>
      <c r="S35" s="1083">
        <f>CapEx!AB105</f>
        <v>0</v>
      </c>
      <c r="T35" s="1083">
        <f>CapEx!AC105</f>
        <v>0</v>
      </c>
      <c r="U35" s="1083">
        <f>CapEx!AD105</f>
        <v>0</v>
      </c>
      <c r="V35" s="1083">
        <f>CapEx!AE105</f>
        <v>0</v>
      </c>
      <c r="W35" s="1083">
        <f>CapEx!AF105</f>
        <v>0</v>
      </c>
      <c r="X35" s="1083">
        <f>CapEx!AG105</f>
        <v>0</v>
      </c>
      <c r="Y35" s="1083">
        <f>CapEx!AH105</f>
        <v>0</v>
      </c>
      <c r="Z35" s="1083">
        <f>CapEx!AI105</f>
        <v>0</v>
      </c>
      <c r="AA35" s="1083">
        <f>CapEx!AJ105</f>
        <v>0</v>
      </c>
      <c r="AB35" s="1083">
        <f>CapEx!AK105</f>
        <v>0</v>
      </c>
      <c r="AC35" s="1083">
        <f>CapEx!AL105</f>
        <v>0</v>
      </c>
      <c r="AD35" s="1083">
        <f>CapEx!AM105</f>
        <v>0</v>
      </c>
      <c r="AE35" s="1083">
        <f>CapEx!AN105</f>
        <v>0</v>
      </c>
      <c r="AF35" s="1083">
        <f>CapEx!AO105</f>
        <v>0</v>
      </c>
      <c r="AG35" s="1083">
        <f>CapEx!AP105</f>
        <v>0</v>
      </c>
      <c r="AH35" s="1083">
        <f>CapEx!AQ105</f>
        <v>0</v>
      </c>
    </row>
    <row r="36" spans="1:42" s="24" customFormat="1">
      <c r="A36" s="25" t="str">
        <f>CapEx!B106</f>
        <v>Taxes</v>
      </c>
      <c r="B36" s="28"/>
      <c r="C36" s="1012">
        <f>CapEx!C106</f>
        <v>0</v>
      </c>
      <c r="D36" s="1259">
        <f t="shared" si="0"/>
        <v>0</v>
      </c>
      <c r="E36" s="1082">
        <f>CapEx!N106</f>
        <v>0</v>
      </c>
      <c r="F36" s="1083">
        <f>CapEx!O106</f>
        <v>0</v>
      </c>
      <c r="G36" s="1083">
        <f>CapEx!P106</f>
        <v>0</v>
      </c>
      <c r="H36" s="1083">
        <f>CapEx!Q106</f>
        <v>0</v>
      </c>
      <c r="I36" s="1083">
        <f>CapEx!R106</f>
        <v>0</v>
      </c>
      <c r="J36" s="1083">
        <f>CapEx!S106</f>
        <v>0</v>
      </c>
      <c r="K36" s="1083">
        <f>CapEx!T106</f>
        <v>0</v>
      </c>
      <c r="L36" s="1083">
        <f>CapEx!U106</f>
        <v>0</v>
      </c>
      <c r="M36" s="1083">
        <f>CapEx!V106</f>
        <v>0</v>
      </c>
      <c r="N36" s="1083">
        <f>CapEx!W106</f>
        <v>0</v>
      </c>
      <c r="O36" s="1083">
        <f>CapEx!X106</f>
        <v>0</v>
      </c>
      <c r="P36" s="1083">
        <f>CapEx!Y106</f>
        <v>0</v>
      </c>
      <c r="Q36" s="1083">
        <f>CapEx!Z106</f>
        <v>0</v>
      </c>
      <c r="R36" s="1083">
        <f>CapEx!AA106</f>
        <v>0</v>
      </c>
      <c r="S36" s="1083">
        <f>CapEx!AB106</f>
        <v>0</v>
      </c>
      <c r="T36" s="1083">
        <f>CapEx!AC106</f>
        <v>0</v>
      </c>
      <c r="U36" s="1083">
        <f>CapEx!AD106</f>
        <v>0</v>
      </c>
      <c r="V36" s="1083">
        <f>CapEx!AE106</f>
        <v>0</v>
      </c>
      <c r="W36" s="1083">
        <f>CapEx!AF106</f>
        <v>0</v>
      </c>
      <c r="X36" s="1083">
        <f>CapEx!AG106</f>
        <v>0</v>
      </c>
      <c r="Y36" s="1083">
        <f>CapEx!AH106</f>
        <v>0</v>
      </c>
      <c r="Z36" s="1083">
        <f>CapEx!AI106</f>
        <v>0</v>
      </c>
      <c r="AA36" s="1083">
        <f>CapEx!AJ106</f>
        <v>0</v>
      </c>
      <c r="AB36" s="1083">
        <f>CapEx!AK106</f>
        <v>0</v>
      </c>
      <c r="AC36" s="1083">
        <f>CapEx!AL106</f>
        <v>0</v>
      </c>
      <c r="AD36" s="1083">
        <f>CapEx!AM106</f>
        <v>0</v>
      </c>
      <c r="AE36" s="1083">
        <f>CapEx!AN106</f>
        <v>0</v>
      </c>
      <c r="AF36" s="1083">
        <f>CapEx!AO106</f>
        <v>0</v>
      </c>
      <c r="AG36" s="1083">
        <f>CapEx!AP106</f>
        <v>0</v>
      </c>
      <c r="AH36" s="1083">
        <f>CapEx!AQ106</f>
        <v>0</v>
      </c>
    </row>
    <row r="37" spans="1:42" s="24" customFormat="1">
      <c r="A37" s="25" t="str">
        <f>CapEx!B111</f>
        <v xml:space="preserve"> Project Acquisition / Project Development </v>
      </c>
      <c r="B37" s="28"/>
      <c r="C37" s="1012">
        <f>CapEx!C111</f>
        <v>18.326999999999998</v>
      </c>
      <c r="D37" s="1259">
        <f t="shared" si="0"/>
        <v>1</v>
      </c>
      <c r="E37" s="1082">
        <f>CapEx!N111</f>
        <v>0</v>
      </c>
      <c r="F37" s="1083">
        <f>CapEx!O111</f>
        <v>0</v>
      </c>
      <c r="G37" s="1083">
        <f>CapEx!P111</f>
        <v>0</v>
      </c>
      <c r="H37" s="1083">
        <f>CapEx!Q111</f>
        <v>0</v>
      </c>
      <c r="I37" s="1083">
        <f>CapEx!R111</f>
        <v>0</v>
      </c>
      <c r="J37" s="1083">
        <f>CapEx!S111</f>
        <v>0</v>
      </c>
      <c r="K37" s="1083">
        <f>CapEx!T111</f>
        <v>0</v>
      </c>
      <c r="L37" s="1083">
        <f>CapEx!U111</f>
        <v>0</v>
      </c>
      <c r="M37" s="1083">
        <f>CapEx!V111</f>
        <v>0</v>
      </c>
      <c r="N37" s="1083">
        <f>CapEx!W111</f>
        <v>0</v>
      </c>
      <c r="O37" s="1083">
        <f>CapEx!X111</f>
        <v>0</v>
      </c>
      <c r="P37" s="1083">
        <f>CapEx!Y111</f>
        <v>1</v>
      </c>
      <c r="Q37" s="1083">
        <f>CapEx!Z111</f>
        <v>0</v>
      </c>
      <c r="R37" s="1083">
        <f>CapEx!AA111</f>
        <v>0</v>
      </c>
      <c r="S37" s="1083">
        <f>CapEx!AB111</f>
        <v>0</v>
      </c>
      <c r="T37" s="1083">
        <f>CapEx!AC111</f>
        <v>0</v>
      </c>
      <c r="U37" s="1083">
        <f>CapEx!AD111</f>
        <v>0</v>
      </c>
      <c r="V37" s="1083">
        <f>CapEx!AE111</f>
        <v>0</v>
      </c>
      <c r="W37" s="1083">
        <f>CapEx!AF111</f>
        <v>0</v>
      </c>
      <c r="X37" s="1083">
        <f>CapEx!AG111</f>
        <v>0</v>
      </c>
      <c r="Y37" s="1083">
        <f>CapEx!AH111</f>
        <v>0</v>
      </c>
      <c r="Z37" s="1083">
        <f>CapEx!AI111</f>
        <v>0</v>
      </c>
      <c r="AA37" s="1083">
        <f>CapEx!AJ111</f>
        <v>0</v>
      </c>
      <c r="AB37" s="1083">
        <f>CapEx!AK111</f>
        <v>0</v>
      </c>
      <c r="AC37" s="1083">
        <f>CapEx!AL111</f>
        <v>0</v>
      </c>
      <c r="AD37" s="1083">
        <f>CapEx!AM111</f>
        <v>0</v>
      </c>
      <c r="AE37" s="1083">
        <f>CapEx!AN111</f>
        <v>0</v>
      </c>
      <c r="AF37" s="1083">
        <f>CapEx!AO111</f>
        <v>0</v>
      </c>
      <c r="AG37" s="1083">
        <f>CapEx!AP111</f>
        <v>0</v>
      </c>
      <c r="AH37" s="1083">
        <f>CapEx!AQ111</f>
        <v>0</v>
      </c>
    </row>
    <row r="38" spans="1:42" s="24" customFormat="1">
      <c r="A38" s="25" t="str">
        <f>CapEx!B112</f>
        <v xml:space="preserve"> Project Rights </v>
      </c>
      <c r="B38" s="28"/>
      <c r="C38" s="1012">
        <f>CapEx!C112</f>
        <v>8524.4845000000005</v>
      </c>
      <c r="D38" s="1259">
        <f t="shared" si="0"/>
        <v>1</v>
      </c>
      <c r="E38" s="1082">
        <f>CapEx!N112</f>
        <v>1</v>
      </c>
      <c r="F38" s="1083">
        <f>CapEx!O112</f>
        <v>0</v>
      </c>
      <c r="G38" s="1083">
        <f>CapEx!P112</f>
        <v>0</v>
      </c>
      <c r="H38" s="1083">
        <f>CapEx!Q112</f>
        <v>0</v>
      </c>
      <c r="I38" s="1083">
        <f>CapEx!R112</f>
        <v>0</v>
      </c>
      <c r="J38" s="1083">
        <f>CapEx!S112</f>
        <v>0</v>
      </c>
      <c r="K38" s="1083">
        <f>CapEx!T112</f>
        <v>0</v>
      </c>
      <c r="L38" s="1083">
        <f>CapEx!U112</f>
        <v>0</v>
      </c>
      <c r="M38" s="1083">
        <f>CapEx!V112</f>
        <v>0</v>
      </c>
      <c r="N38" s="1083">
        <f>CapEx!W112</f>
        <v>0</v>
      </c>
      <c r="O38" s="1083">
        <f>CapEx!X112</f>
        <v>0</v>
      </c>
      <c r="P38" s="1083">
        <f>CapEx!Y112</f>
        <v>0</v>
      </c>
      <c r="Q38" s="1083">
        <f>CapEx!Z112</f>
        <v>0</v>
      </c>
      <c r="R38" s="1083">
        <f>CapEx!AA112</f>
        <v>0</v>
      </c>
      <c r="S38" s="1083">
        <f>CapEx!AB112</f>
        <v>0</v>
      </c>
      <c r="T38" s="1083">
        <f>CapEx!AC112</f>
        <v>0</v>
      </c>
      <c r="U38" s="1083">
        <f>CapEx!AD112</f>
        <v>0</v>
      </c>
      <c r="V38" s="1083">
        <f>CapEx!AE112</f>
        <v>0</v>
      </c>
      <c r="W38" s="1083">
        <f>CapEx!AF112</f>
        <v>0</v>
      </c>
      <c r="X38" s="1083">
        <f>CapEx!AG112</f>
        <v>0</v>
      </c>
      <c r="Y38" s="1083">
        <f>CapEx!AH112</f>
        <v>0</v>
      </c>
      <c r="Z38" s="1083">
        <f>CapEx!AI112</f>
        <v>0</v>
      </c>
      <c r="AA38" s="1083">
        <f>CapEx!AJ112</f>
        <v>0</v>
      </c>
      <c r="AB38" s="1083">
        <f>CapEx!AK112</f>
        <v>0</v>
      </c>
      <c r="AC38" s="1083">
        <f>CapEx!AL112</f>
        <v>0</v>
      </c>
      <c r="AD38" s="1083">
        <f>CapEx!AM112</f>
        <v>0</v>
      </c>
      <c r="AE38" s="1083">
        <f>CapEx!AN112</f>
        <v>0</v>
      </c>
      <c r="AF38" s="1083">
        <f>CapEx!AO112</f>
        <v>0</v>
      </c>
      <c r="AG38" s="1083">
        <f>CapEx!AP112</f>
        <v>0</v>
      </c>
      <c r="AH38" s="1083">
        <f>CapEx!AQ112</f>
        <v>0</v>
      </c>
    </row>
    <row r="39" spans="1:42" s="24" customFormat="1">
      <c r="A39" s="25" t="s">
        <v>247</v>
      </c>
      <c r="B39" s="28"/>
      <c r="C39" s="1012">
        <f>Macro!H13+Macro!H11</f>
        <v>1086.031998482634</v>
      </c>
      <c r="D39" s="1259">
        <f t="shared" ca="1" si="0"/>
        <v>0.99998651611807132</v>
      </c>
      <c r="E39" s="1082">
        <f>IDC!G25</f>
        <v>0</v>
      </c>
      <c r="F39" s="1083">
        <f ca="1">IDC!H25</f>
        <v>4.2279851764935789E-4</v>
      </c>
      <c r="G39" s="1083">
        <f ca="1">IDC!I25</f>
        <v>2.38676311776761E-2</v>
      </c>
      <c r="H39" s="1083">
        <f ca="1">IDC!J25</f>
        <v>4.1360686257716155E-2</v>
      </c>
      <c r="I39" s="1083">
        <f ca="1">IDC!K25</f>
        <v>5.6950813104847946E-2</v>
      </c>
      <c r="J39" s="1083">
        <f ca="1">IDC!L25</f>
        <v>7.6322198416044346E-2</v>
      </c>
      <c r="K39" s="1083">
        <f ca="1">IDC!M25</f>
        <v>9.0798061903050856E-2</v>
      </c>
      <c r="L39" s="1083">
        <f ca="1">IDC!N25</f>
        <v>0.11117228401407682</v>
      </c>
      <c r="M39" s="1083">
        <f ca="1">IDC!O25</f>
        <v>0.12856555418407778</v>
      </c>
      <c r="N39" s="1083">
        <f ca="1">IDC!P25</f>
        <v>0.1318712942736491</v>
      </c>
      <c r="O39" s="1083">
        <f ca="1">IDC!Q25</f>
        <v>0.16348367093444888</v>
      </c>
      <c r="P39" s="1083">
        <f ca="1">IDC!R25</f>
        <v>0.17517152333483396</v>
      </c>
      <c r="Q39" s="1083">
        <f ca="1">IDC!S25</f>
        <v>0</v>
      </c>
      <c r="R39" s="1083">
        <f ca="1">IDC!T25</f>
        <v>0</v>
      </c>
      <c r="S39" s="1083">
        <f ca="1">IDC!U25</f>
        <v>0</v>
      </c>
      <c r="T39" s="1083">
        <f ca="1">IDC!V25</f>
        <v>0</v>
      </c>
      <c r="U39" s="1083">
        <f ca="1">IDC!W25</f>
        <v>0</v>
      </c>
      <c r="V39" s="1083">
        <f ca="1">IDC!X25</f>
        <v>0</v>
      </c>
      <c r="W39" s="1083">
        <f ca="1">IDC!Y25</f>
        <v>0</v>
      </c>
      <c r="X39" s="1083">
        <f ca="1">IDC!Z25</f>
        <v>0</v>
      </c>
      <c r="Y39" s="1083">
        <f ca="1">IDC!AA25</f>
        <v>0</v>
      </c>
      <c r="Z39" s="1083">
        <f ca="1">IDC!AB25</f>
        <v>0</v>
      </c>
      <c r="AA39" s="1083">
        <f ca="1">IDC!AC25</f>
        <v>0</v>
      </c>
      <c r="AB39" s="1083">
        <f ca="1">IDC!AD25</f>
        <v>0</v>
      </c>
      <c r="AC39" s="1083">
        <f ca="1">IDC!AE25</f>
        <v>0</v>
      </c>
      <c r="AD39" s="1083">
        <f ca="1">IDC!AF25</f>
        <v>0</v>
      </c>
      <c r="AE39" s="1083">
        <f ca="1">IDC!AG25</f>
        <v>0</v>
      </c>
      <c r="AF39" s="1083">
        <f ca="1">IDC!AH25</f>
        <v>0</v>
      </c>
      <c r="AG39" s="1083">
        <f ca="1">IDC!AI25</f>
        <v>0</v>
      </c>
      <c r="AH39" s="1083">
        <f ca="1">IDC!AJ25</f>
        <v>0</v>
      </c>
    </row>
    <row r="40" spans="1:42" s="24" customFormat="1">
      <c r="A40" s="25" t="s">
        <v>248</v>
      </c>
      <c r="B40" s="28"/>
      <c r="C40" s="1012">
        <f>Macro!H14+Macro!H12</f>
        <v>188.56290055498553</v>
      </c>
      <c r="D40" s="1259">
        <f t="shared" ca="1" si="0"/>
        <v>1.0000138277047488</v>
      </c>
      <c r="E40" s="1082">
        <f>IDC!G26</f>
        <v>0</v>
      </c>
      <c r="F40" s="1083">
        <f ca="1">IDC!H26</f>
        <v>1.2828314820268184E-2</v>
      </c>
      <c r="G40" s="1083">
        <f ca="1">IDC!I26</f>
        <v>0.18123270621458878</v>
      </c>
      <c r="H40" s="1083">
        <f ca="1">IDC!J26</f>
        <v>0.16335217654171572</v>
      </c>
      <c r="I40" s="1083">
        <f ca="1">IDC!K26</f>
        <v>0.14070650089546866</v>
      </c>
      <c r="J40" s="1083">
        <f ca="1">IDC!L26</f>
        <v>0.12738054747774996</v>
      </c>
      <c r="K40" s="1083">
        <f ca="1">IDC!M26</f>
        <v>0.10575053076790002</v>
      </c>
      <c r="L40" s="1083">
        <f ca="1">IDC!N26</f>
        <v>9.127444742855928E-2</v>
      </c>
      <c r="M40" s="1083">
        <f ca="1">IDC!O26</f>
        <v>7.3180335062949242E-2</v>
      </c>
      <c r="N40" s="1083">
        <f ca="1">IDC!P26</f>
        <v>4.9688263638714057E-2</v>
      </c>
      <c r="O40" s="1083">
        <f ca="1">IDC!Q26</f>
        <v>3.6766187483499864E-2</v>
      </c>
      <c r="P40" s="1083">
        <f ca="1">IDC!R26</f>
        <v>1.7853817373335128E-2</v>
      </c>
      <c r="Q40" s="1083">
        <f ca="1">IDC!S26</f>
        <v>0</v>
      </c>
      <c r="R40" s="1083">
        <f ca="1">IDC!T26</f>
        <v>0</v>
      </c>
      <c r="S40" s="1083">
        <f ca="1">IDC!U26</f>
        <v>0</v>
      </c>
      <c r="T40" s="1083">
        <f ca="1">IDC!V26</f>
        <v>0</v>
      </c>
      <c r="U40" s="1083">
        <f ca="1">IDC!W26</f>
        <v>0</v>
      </c>
      <c r="V40" s="1083">
        <f ca="1">IDC!X26</f>
        <v>0</v>
      </c>
      <c r="W40" s="1083">
        <f ca="1">IDC!Y26</f>
        <v>0</v>
      </c>
      <c r="X40" s="1083">
        <f ca="1">IDC!Z26</f>
        <v>0</v>
      </c>
      <c r="Y40" s="1083">
        <f ca="1">IDC!AA26</f>
        <v>0</v>
      </c>
      <c r="Z40" s="1083">
        <f ca="1">IDC!AB26</f>
        <v>0</v>
      </c>
      <c r="AA40" s="1083">
        <f ca="1">IDC!AC26</f>
        <v>0</v>
      </c>
      <c r="AB40" s="1083">
        <f ca="1">IDC!AD26</f>
        <v>0</v>
      </c>
      <c r="AC40" s="1083">
        <f ca="1">IDC!AE26</f>
        <v>0</v>
      </c>
      <c r="AD40" s="1083">
        <f ca="1">IDC!AF26</f>
        <v>0</v>
      </c>
      <c r="AE40" s="1083">
        <f ca="1">IDC!AG26</f>
        <v>0</v>
      </c>
      <c r="AF40" s="1083">
        <f ca="1">IDC!AH26</f>
        <v>0</v>
      </c>
      <c r="AG40" s="1083">
        <f ca="1">IDC!AI26</f>
        <v>0</v>
      </c>
      <c r="AH40" s="1083">
        <f ca="1">IDC!AJ26</f>
        <v>0</v>
      </c>
    </row>
    <row r="41" spans="1:42" s="24" customFormat="1">
      <c r="A41" s="25" t="str">
        <f>CapEx!B122</f>
        <v>Bank Fees</v>
      </c>
      <c r="B41" s="28"/>
      <c r="C41" s="1012">
        <f>SUM(CapEx!C123:C126)</f>
        <v>477.30268707562993</v>
      </c>
      <c r="D41" s="1259">
        <f t="shared" si="0"/>
        <v>1</v>
      </c>
      <c r="E41" s="1084">
        <f t="shared" ref="E41:AH42" si="1">1*(E$22=1)</f>
        <v>1</v>
      </c>
      <c r="F41" s="1085">
        <f t="shared" si="1"/>
        <v>0</v>
      </c>
      <c r="G41" s="1085">
        <f t="shared" si="1"/>
        <v>0</v>
      </c>
      <c r="H41" s="1085">
        <f t="shared" si="1"/>
        <v>0</v>
      </c>
      <c r="I41" s="1085">
        <f t="shared" si="1"/>
        <v>0</v>
      </c>
      <c r="J41" s="1085">
        <f t="shared" si="1"/>
        <v>0</v>
      </c>
      <c r="K41" s="1085">
        <f t="shared" si="1"/>
        <v>0</v>
      </c>
      <c r="L41" s="1085">
        <f t="shared" si="1"/>
        <v>0</v>
      </c>
      <c r="M41" s="1085">
        <f t="shared" si="1"/>
        <v>0</v>
      </c>
      <c r="N41" s="1085">
        <f t="shared" si="1"/>
        <v>0</v>
      </c>
      <c r="O41" s="1085">
        <f t="shared" si="1"/>
        <v>0</v>
      </c>
      <c r="P41" s="1085">
        <f t="shared" si="1"/>
        <v>0</v>
      </c>
      <c r="Q41" s="1085">
        <f t="shared" si="1"/>
        <v>0</v>
      </c>
      <c r="R41" s="1085">
        <f t="shared" si="1"/>
        <v>0</v>
      </c>
      <c r="S41" s="1085">
        <f t="shared" si="1"/>
        <v>0</v>
      </c>
      <c r="T41" s="1085">
        <f t="shared" si="1"/>
        <v>0</v>
      </c>
      <c r="U41" s="1085">
        <f t="shared" si="1"/>
        <v>0</v>
      </c>
      <c r="V41" s="1085">
        <f t="shared" si="1"/>
        <v>0</v>
      </c>
      <c r="W41" s="1085">
        <f t="shared" si="1"/>
        <v>0</v>
      </c>
      <c r="X41" s="1085">
        <f t="shared" si="1"/>
        <v>0</v>
      </c>
      <c r="Y41" s="1085">
        <f t="shared" si="1"/>
        <v>0</v>
      </c>
      <c r="Z41" s="1085">
        <f t="shared" si="1"/>
        <v>0</v>
      </c>
      <c r="AA41" s="1085">
        <f t="shared" si="1"/>
        <v>0</v>
      </c>
      <c r="AB41" s="1085">
        <f t="shared" si="1"/>
        <v>0</v>
      </c>
      <c r="AC41" s="1085">
        <f t="shared" si="1"/>
        <v>0</v>
      </c>
      <c r="AD41" s="1085">
        <f t="shared" si="1"/>
        <v>0</v>
      </c>
      <c r="AE41" s="1085">
        <f t="shared" si="1"/>
        <v>0</v>
      </c>
      <c r="AF41" s="1085">
        <f t="shared" si="1"/>
        <v>0</v>
      </c>
      <c r="AG41" s="1085">
        <f t="shared" si="1"/>
        <v>0</v>
      </c>
      <c r="AH41" s="1085">
        <f t="shared" si="1"/>
        <v>0</v>
      </c>
    </row>
    <row r="42" spans="1:42" s="24" customFormat="1">
      <c r="A42" s="25" t="s">
        <v>249</v>
      </c>
      <c r="B42" s="28"/>
      <c r="C42" s="1012">
        <f>SUM(CapEx!C134:C135)</f>
        <v>0</v>
      </c>
      <c r="D42" s="1259">
        <f t="shared" si="0"/>
        <v>1</v>
      </c>
      <c r="E42" s="1084">
        <f t="shared" si="1"/>
        <v>1</v>
      </c>
      <c r="F42" s="1085">
        <f t="shared" si="1"/>
        <v>0</v>
      </c>
      <c r="G42" s="1085">
        <f t="shared" si="1"/>
        <v>0</v>
      </c>
      <c r="H42" s="1085">
        <f t="shared" si="1"/>
        <v>0</v>
      </c>
      <c r="I42" s="1085">
        <f t="shared" si="1"/>
        <v>0</v>
      </c>
      <c r="J42" s="1085">
        <f t="shared" si="1"/>
        <v>0</v>
      </c>
      <c r="K42" s="1085">
        <f t="shared" si="1"/>
        <v>0</v>
      </c>
      <c r="L42" s="1085">
        <f t="shared" si="1"/>
        <v>0</v>
      </c>
      <c r="M42" s="1085">
        <f t="shared" si="1"/>
        <v>0</v>
      </c>
      <c r="N42" s="1085">
        <f t="shared" si="1"/>
        <v>0</v>
      </c>
      <c r="O42" s="1085">
        <f t="shared" si="1"/>
        <v>0</v>
      </c>
      <c r="P42" s="1085">
        <f t="shared" si="1"/>
        <v>0</v>
      </c>
      <c r="Q42" s="1085">
        <f t="shared" si="1"/>
        <v>0</v>
      </c>
      <c r="R42" s="1085">
        <f t="shared" si="1"/>
        <v>0</v>
      </c>
      <c r="S42" s="1085">
        <f t="shared" si="1"/>
        <v>0</v>
      </c>
      <c r="T42" s="1085">
        <f t="shared" si="1"/>
        <v>0</v>
      </c>
      <c r="U42" s="1085">
        <f t="shared" si="1"/>
        <v>0</v>
      </c>
      <c r="V42" s="1085">
        <f t="shared" si="1"/>
        <v>0</v>
      </c>
      <c r="W42" s="1085">
        <f t="shared" si="1"/>
        <v>0</v>
      </c>
      <c r="X42" s="1085">
        <f t="shared" si="1"/>
        <v>0</v>
      </c>
      <c r="Y42" s="1085">
        <f t="shared" si="1"/>
        <v>0</v>
      </c>
      <c r="Z42" s="1085">
        <f t="shared" si="1"/>
        <v>0</v>
      </c>
      <c r="AA42" s="1085">
        <f t="shared" si="1"/>
        <v>0</v>
      </c>
      <c r="AB42" s="1085">
        <f t="shared" si="1"/>
        <v>0</v>
      </c>
      <c r="AC42" s="1085">
        <f t="shared" si="1"/>
        <v>0</v>
      </c>
      <c r="AD42" s="1085">
        <f t="shared" si="1"/>
        <v>0</v>
      </c>
      <c r="AE42" s="1085">
        <f t="shared" si="1"/>
        <v>0</v>
      </c>
      <c r="AF42" s="1085">
        <f t="shared" si="1"/>
        <v>0</v>
      </c>
      <c r="AG42" s="1085">
        <f t="shared" si="1"/>
        <v>0</v>
      </c>
      <c r="AH42" s="1085">
        <f t="shared" si="1"/>
        <v>0</v>
      </c>
    </row>
    <row r="43" spans="1:42" s="24" customFormat="1">
      <c r="A43" s="25" t="str">
        <f>CapEx!B136</f>
        <v xml:space="preserve">Reserve Accounts </v>
      </c>
      <c r="B43" s="28"/>
      <c r="C43" s="1012">
        <f>CapEx!C136</f>
        <v>0</v>
      </c>
      <c r="D43" s="1259">
        <f t="shared" si="0"/>
        <v>1</v>
      </c>
      <c r="E43" s="1084">
        <f t="shared" ref="E43:AH43" si="2">1*(E$22=$D$10)</f>
        <v>0</v>
      </c>
      <c r="F43" s="1085">
        <f>1*(F$22=$D$10)</f>
        <v>0</v>
      </c>
      <c r="G43" s="1085">
        <f t="shared" si="2"/>
        <v>0</v>
      </c>
      <c r="H43" s="1085">
        <f t="shared" si="2"/>
        <v>0</v>
      </c>
      <c r="I43" s="1085">
        <f t="shared" si="2"/>
        <v>0</v>
      </c>
      <c r="J43" s="1085">
        <f t="shared" si="2"/>
        <v>0</v>
      </c>
      <c r="K43" s="1085">
        <f t="shared" si="2"/>
        <v>0</v>
      </c>
      <c r="L43" s="1085">
        <f t="shared" si="2"/>
        <v>0</v>
      </c>
      <c r="M43" s="1085">
        <f t="shared" si="2"/>
        <v>0</v>
      </c>
      <c r="N43" s="1085">
        <f t="shared" si="2"/>
        <v>0</v>
      </c>
      <c r="O43" s="1085">
        <f t="shared" si="2"/>
        <v>0</v>
      </c>
      <c r="P43" s="1085">
        <f t="shared" si="2"/>
        <v>1</v>
      </c>
      <c r="Q43" s="1085">
        <f t="shared" si="2"/>
        <v>0</v>
      </c>
      <c r="R43" s="1085">
        <f t="shared" si="2"/>
        <v>0</v>
      </c>
      <c r="S43" s="1085">
        <f t="shared" si="2"/>
        <v>0</v>
      </c>
      <c r="T43" s="1085">
        <f t="shared" si="2"/>
        <v>0</v>
      </c>
      <c r="U43" s="1085">
        <f t="shared" si="2"/>
        <v>0</v>
      </c>
      <c r="V43" s="1085">
        <f t="shared" si="2"/>
        <v>0</v>
      </c>
      <c r="W43" s="1085">
        <f t="shared" si="2"/>
        <v>0</v>
      </c>
      <c r="X43" s="1085">
        <f t="shared" si="2"/>
        <v>0</v>
      </c>
      <c r="Y43" s="1085">
        <f t="shared" si="2"/>
        <v>0</v>
      </c>
      <c r="Z43" s="1085">
        <f t="shared" si="2"/>
        <v>0</v>
      </c>
      <c r="AA43" s="1085">
        <f t="shared" si="2"/>
        <v>0</v>
      </c>
      <c r="AB43" s="1085">
        <f t="shared" si="2"/>
        <v>0</v>
      </c>
      <c r="AC43" s="1085">
        <f t="shared" si="2"/>
        <v>0</v>
      </c>
      <c r="AD43" s="1085">
        <f t="shared" si="2"/>
        <v>0</v>
      </c>
      <c r="AE43" s="1085">
        <f t="shared" si="2"/>
        <v>0</v>
      </c>
      <c r="AF43" s="1085">
        <f t="shared" si="2"/>
        <v>0</v>
      </c>
      <c r="AG43" s="1085">
        <f t="shared" si="2"/>
        <v>0</v>
      </c>
      <c r="AH43" s="1085">
        <f t="shared" si="2"/>
        <v>0</v>
      </c>
    </row>
    <row r="44" spans="1:42" s="24" customFormat="1">
      <c r="A44" s="29" t="s">
        <v>250</v>
      </c>
      <c r="B44" s="30"/>
      <c r="C44" s="1013">
        <f ca="1">IF(D436,IDC!D63,CapEx!C143)</f>
        <v>222.06957126537966</v>
      </c>
      <c r="D44" s="1260">
        <f>SUM(E44:AH44)</f>
        <v>1</v>
      </c>
      <c r="E44" s="1267">
        <v>0.25</v>
      </c>
      <c r="F44" s="1267">
        <v>0.15</v>
      </c>
      <c r="G44" s="1267">
        <v>0.15</v>
      </c>
      <c r="H44" s="1267">
        <v>0.15</v>
      </c>
      <c r="I44" s="1267">
        <v>0.15</v>
      </c>
      <c r="J44" s="1267">
        <v>0.15</v>
      </c>
      <c r="K44" s="1268">
        <v>0</v>
      </c>
      <c r="L44" s="1268">
        <v>0</v>
      </c>
      <c r="M44" s="1268">
        <v>0</v>
      </c>
      <c r="N44" s="1268"/>
      <c r="O44" s="1268">
        <v>0</v>
      </c>
      <c r="P44" s="1268">
        <v>0</v>
      </c>
      <c r="Q44" s="1268">
        <v>0</v>
      </c>
      <c r="R44" s="1268">
        <v>0</v>
      </c>
      <c r="S44" s="1268">
        <v>0</v>
      </c>
      <c r="T44" s="1268">
        <v>0</v>
      </c>
      <c r="U44" s="1268">
        <v>0</v>
      </c>
      <c r="V44" s="1268">
        <v>0</v>
      </c>
      <c r="W44" s="1268">
        <v>0</v>
      </c>
      <c r="X44" s="1268">
        <v>0</v>
      </c>
      <c r="Y44" s="1268">
        <v>0</v>
      </c>
      <c r="Z44" s="1268">
        <v>0</v>
      </c>
      <c r="AA44" s="1268">
        <v>0</v>
      </c>
      <c r="AB44" s="1268">
        <v>0</v>
      </c>
      <c r="AC44" s="1268">
        <v>0</v>
      </c>
      <c r="AD44" s="1268">
        <v>0</v>
      </c>
      <c r="AE44" s="1268">
        <v>0</v>
      </c>
      <c r="AF44" s="1268">
        <v>0</v>
      </c>
      <c r="AG44" s="1268">
        <v>0</v>
      </c>
      <c r="AH44" s="1268">
        <v>0</v>
      </c>
    </row>
    <row r="45" spans="1:42" s="38" customFormat="1">
      <c r="A45" s="32" t="s">
        <v>251</v>
      </c>
      <c r="B45" s="3"/>
      <c r="C45" s="31">
        <f ca="1">SUM(C23:C44)</f>
        <v>57973.052657378626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5"/>
      <c r="Q45" s="35"/>
      <c r="R45" s="35"/>
      <c r="S45" s="35"/>
      <c r="T45" s="35"/>
      <c r="U45" s="35"/>
      <c r="V45" s="35"/>
      <c r="W45" s="35"/>
      <c r="X45" s="35"/>
      <c r="Y45" s="36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spans="1:42" s="38" customFormat="1">
      <c r="A46" s="6"/>
      <c r="B46" s="6"/>
      <c r="C46" s="39"/>
      <c r="D46" s="40"/>
      <c r="E46" s="41"/>
      <c r="F46" s="42"/>
      <c r="G46" s="41"/>
      <c r="H46" s="41"/>
      <c r="I46" s="41"/>
      <c r="J46" s="41"/>
      <c r="K46" s="41"/>
      <c r="L46" s="41"/>
      <c r="M46" s="41"/>
      <c r="N46" s="41"/>
      <c r="O46" s="43"/>
      <c r="P46" s="44"/>
      <c r="Q46" s="44"/>
      <c r="R46" s="44"/>
      <c r="S46" s="45"/>
      <c r="T46" s="45"/>
      <c r="U46" s="45"/>
      <c r="V46" s="45"/>
      <c r="W46" s="45"/>
      <c r="X46" s="45"/>
      <c r="Y46" s="46"/>
      <c r="Z46" s="47"/>
      <c r="AA46" s="47"/>
    </row>
    <row r="47" spans="1:42" s="38" customFormat="1">
      <c r="A47" s="5" t="s">
        <v>252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37"/>
      <c r="AJ47" s="37"/>
      <c r="AK47" s="37"/>
      <c r="AL47" s="37"/>
      <c r="AM47" s="37"/>
      <c r="AN47" s="37"/>
      <c r="AO47" s="37"/>
      <c r="AP47" s="37"/>
    </row>
    <row r="48" spans="1:42" s="38" customFormat="1">
      <c r="A48" s="49"/>
      <c r="B48" s="6"/>
      <c r="C48" s="50"/>
      <c r="D48" s="51"/>
      <c r="E48" s="51"/>
      <c r="F48" s="52"/>
      <c r="G48" s="52"/>
      <c r="H48" s="52"/>
      <c r="I48" s="52"/>
      <c r="J48" s="52"/>
      <c r="U48" s="53"/>
      <c r="V48" s="53"/>
      <c r="W48" s="53"/>
      <c r="X48" s="53"/>
      <c r="Y48" s="53"/>
    </row>
    <row r="49" spans="1:42" s="38" customFormat="1">
      <c r="A49" s="54" t="s">
        <v>253</v>
      </c>
      <c r="B49" s="55"/>
      <c r="C49" s="55"/>
      <c r="D49" s="55"/>
      <c r="E49" s="56"/>
      <c r="F49" s="57"/>
      <c r="G49" s="55"/>
      <c r="H49" s="55"/>
      <c r="I49" s="55"/>
      <c r="J49" s="55"/>
      <c r="K49" s="55"/>
      <c r="L49" s="58"/>
      <c r="M49" s="58"/>
      <c r="N49" s="58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60"/>
      <c r="AA49" s="60"/>
      <c r="AB49" s="60"/>
      <c r="AC49" s="60"/>
      <c r="AD49" s="60"/>
      <c r="AE49" s="60"/>
      <c r="AF49" s="60"/>
      <c r="AG49" s="60"/>
      <c r="AH49" s="60"/>
    </row>
    <row r="50" spans="1:42" s="38" customFormat="1">
      <c r="A50" s="240"/>
      <c r="B50" s="1"/>
      <c r="C50" s="1"/>
      <c r="D50" s="1"/>
      <c r="E50" s="51"/>
      <c r="F50" s="781"/>
      <c r="G50" s="1"/>
      <c r="H50" s="1"/>
      <c r="I50" s="1"/>
      <c r="J50" s="1"/>
      <c r="K50" s="1"/>
      <c r="L50" s="61"/>
      <c r="M50" s="61"/>
      <c r="N50" s="6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  <c r="AA50" s="4"/>
      <c r="AB50" s="4"/>
      <c r="AC50" s="4"/>
      <c r="AD50" s="4"/>
      <c r="AE50" s="4"/>
      <c r="AF50" s="4"/>
      <c r="AG50" s="4"/>
      <c r="AH50" s="4"/>
    </row>
    <row r="51" spans="1:42" s="38" customFormat="1">
      <c r="A51" s="3" t="s">
        <v>254</v>
      </c>
      <c r="B51" s="3"/>
      <c r="D51" s="1436">
        <f>Scenarios!E8</f>
        <v>75.260000000000005</v>
      </c>
      <c r="E51" s="51"/>
      <c r="F51" s="52"/>
      <c r="G51" s="782"/>
      <c r="H51" s="52"/>
      <c r="I51" s="63"/>
      <c r="J51" s="64"/>
      <c r="U51" s="65"/>
      <c r="V51" s="36"/>
      <c r="W51" s="36"/>
      <c r="X51" s="36"/>
      <c r="Y51" s="36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spans="1:42" s="68" customFormat="1">
      <c r="A52" s="3" t="s">
        <v>255</v>
      </c>
      <c r="B52" s="1"/>
      <c r="D52" s="1229" t="s">
        <v>256</v>
      </c>
      <c r="E52" s="11">
        <f>IF(OR(D52=D180,D52=A177),0,1)</f>
        <v>0</v>
      </c>
      <c r="F52" s="52"/>
      <c r="G52" s="782"/>
      <c r="H52" s="52"/>
      <c r="I52" s="782"/>
      <c r="J52" s="64"/>
      <c r="K52" s="38"/>
      <c r="L52" s="38"/>
      <c r="M52" s="38"/>
      <c r="N52" s="38"/>
      <c r="O52" s="38"/>
      <c r="P52" s="38"/>
      <c r="Q52" s="38"/>
      <c r="R52" s="38"/>
      <c r="S52" s="38"/>
      <c r="U52" s="69"/>
      <c r="V52" s="70"/>
      <c r="W52" s="70"/>
      <c r="X52" s="70"/>
      <c r="Y52" s="70"/>
    </row>
    <row r="53" spans="1:42" s="68" customFormat="1">
      <c r="A53" s="6" t="s">
        <v>257</v>
      </c>
      <c r="B53" s="66"/>
      <c r="D53" s="1074" t="s">
        <v>258</v>
      </c>
      <c r="E53" s="51"/>
      <c r="F53" s="52"/>
      <c r="G53" s="782"/>
      <c r="H53" s="52"/>
      <c r="I53" s="782"/>
      <c r="J53" s="64"/>
      <c r="K53" s="38"/>
      <c r="L53" s="38"/>
      <c r="M53" s="38"/>
      <c r="N53" s="38"/>
      <c r="O53" s="38"/>
      <c r="P53" s="38"/>
      <c r="Q53" s="38"/>
      <c r="R53" s="38"/>
      <c r="S53" s="38"/>
      <c r="U53" s="67"/>
      <c r="V53" s="70"/>
      <c r="W53" s="70"/>
      <c r="X53" s="70"/>
      <c r="Y53" s="70"/>
    </row>
    <row r="54" spans="1:42" s="68" customFormat="1">
      <c r="A54" s="3" t="s">
        <v>259</v>
      </c>
      <c r="B54" s="3"/>
      <c r="D54" s="1448">
        <f>INDEX($D$64:$M$68,MATCH(D52,$A$64:$A$68,0),MATCH(D53,D63:M63,0))</f>
        <v>1494</v>
      </c>
      <c r="E54" s="878"/>
      <c r="F54" s="52"/>
      <c r="G54" s="52"/>
      <c r="H54" s="52"/>
      <c r="I54" s="64"/>
      <c r="J54" s="64"/>
      <c r="K54" s="38"/>
      <c r="L54" s="38"/>
      <c r="M54" s="38"/>
      <c r="N54" s="38"/>
      <c r="O54" s="38"/>
      <c r="P54" s="38"/>
      <c r="Q54" s="38"/>
      <c r="R54" s="38"/>
      <c r="S54" s="38"/>
      <c r="U54" s="69"/>
      <c r="V54" s="70"/>
      <c r="W54" s="70"/>
      <c r="X54" s="70"/>
      <c r="Y54" s="70"/>
    </row>
    <row r="55" spans="1:42" s="68" customFormat="1">
      <c r="A55" s="3"/>
      <c r="B55" s="3"/>
      <c r="C55" s="72"/>
      <c r="D55" s="71"/>
      <c r="E55" s="53"/>
      <c r="F55" s="52"/>
      <c r="G55" s="52"/>
      <c r="H55" s="52"/>
      <c r="I55" s="64"/>
      <c r="J55" s="64"/>
      <c r="K55" s="38"/>
      <c r="L55" s="38"/>
      <c r="M55" s="38"/>
      <c r="N55" s="38"/>
      <c r="O55" s="38"/>
      <c r="P55" s="38"/>
      <c r="Q55" s="38"/>
      <c r="R55" s="38"/>
      <c r="S55" s="38"/>
      <c r="U55" s="69"/>
      <c r="V55" s="70"/>
      <c r="W55" s="70"/>
      <c r="X55" s="70"/>
      <c r="Y55" s="70"/>
    </row>
    <row r="56" spans="1:42" s="38" customFormat="1">
      <c r="A56" s="61" t="s">
        <v>260</v>
      </c>
      <c r="C56" s="61"/>
      <c r="D56" s="97">
        <v>4.0000000000000001E-3</v>
      </c>
      <c r="H56" s="53"/>
      <c r="I56" s="53"/>
      <c r="J56" s="53"/>
      <c r="U56" s="47"/>
      <c r="V56" s="53"/>
      <c r="W56" s="53"/>
      <c r="X56" s="53"/>
      <c r="Y56" s="53"/>
    </row>
    <row r="57" spans="1:42" s="38" customFormat="1">
      <c r="A57" s="61" t="s">
        <v>261</v>
      </c>
      <c r="C57" s="61"/>
      <c r="D57" s="97">
        <v>3.0000000000000001E-3</v>
      </c>
      <c r="H57" s="53"/>
      <c r="I57" s="53"/>
      <c r="J57" s="53"/>
      <c r="U57" s="47"/>
      <c r="V57" s="53"/>
      <c r="W57" s="53"/>
      <c r="X57" s="53"/>
      <c r="Y57" s="53"/>
    </row>
    <row r="58" spans="1:42" s="38" customFormat="1">
      <c r="A58" s="61" t="s">
        <v>262</v>
      </c>
      <c r="C58" s="61"/>
      <c r="D58" s="97">
        <v>0.99</v>
      </c>
      <c r="H58" s="53"/>
      <c r="I58" s="53"/>
      <c r="J58" s="53"/>
      <c r="U58" s="47"/>
      <c r="V58" s="53"/>
      <c r="W58" s="53"/>
      <c r="X58" s="53"/>
      <c r="Y58" s="53"/>
    </row>
    <row r="59" spans="1:42" s="38" customFormat="1">
      <c r="A59" s="61" t="s">
        <v>263</v>
      </c>
      <c r="C59" s="61"/>
      <c r="D59" s="97">
        <v>0.99</v>
      </c>
      <c r="H59" s="53"/>
      <c r="I59" s="53"/>
      <c r="J59" s="53"/>
      <c r="U59" s="47"/>
      <c r="V59" s="53"/>
      <c r="W59" s="53"/>
      <c r="X59" s="53"/>
      <c r="Y59" s="53"/>
    </row>
    <row r="60" spans="1:42" s="38" customFormat="1">
      <c r="A60" s="61"/>
      <c r="B60" s="68"/>
      <c r="C60" s="61"/>
      <c r="H60" s="7"/>
      <c r="I60" s="74"/>
      <c r="J60" s="75"/>
      <c r="U60" s="47"/>
      <c r="V60" s="53"/>
      <c r="W60" s="53"/>
      <c r="X60" s="53"/>
      <c r="Y60" s="53"/>
    </row>
    <row r="61" spans="1:42" s="38" customFormat="1">
      <c r="A61" s="54" t="s">
        <v>264</v>
      </c>
      <c r="B61" s="55"/>
      <c r="C61" s="55"/>
      <c r="D61" s="55"/>
      <c r="E61" s="56"/>
      <c r="F61" s="57"/>
      <c r="G61" s="55"/>
      <c r="H61" s="55"/>
      <c r="I61" s="55"/>
      <c r="J61" s="55"/>
      <c r="K61" s="55"/>
      <c r="L61" s="58"/>
      <c r="M61" s="58"/>
      <c r="N61" s="58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60"/>
      <c r="AA61" s="60"/>
      <c r="AB61" s="60"/>
      <c r="AC61" s="60"/>
      <c r="AD61" s="60"/>
      <c r="AE61" s="60"/>
      <c r="AF61" s="60"/>
      <c r="AG61" s="60"/>
      <c r="AH61" s="60"/>
    </row>
    <row r="62" spans="1:42" s="38" customFormat="1">
      <c r="A62" s="240"/>
      <c r="B62" s="1"/>
      <c r="C62" s="1"/>
      <c r="D62" s="1"/>
      <c r="E62" s="71"/>
      <c r="F62" s="770"/>
      <c r="G62" s="1"/>
      <c r="H62" s="1"/>
      <c r="I62" s="79"/>
      <c r="J62" s="1"/>
      <c r="K62" s="1"/>
      <c r="L62" s="61"/>
      <c r="M62" s="61"/>
      <c r="N62" s="6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/>
      <c r="AA62" s="4"/>
      <c r="AB62" s="4"/>
      <c r="AC62" s="4"/>
      <c r="AD62" s="4"/>
      <c r="AE62" s="4"/>
      <c r="AF62" s="4"/>
      <c r="AG62" s="4"/>
      <c r="AH62" s="4"/>
    </row>
    <row r="63" spans="1:42" s="38" customFormat="1">
      <c r="A63" s="76"/>
      <c r="D63" s="77" t="s">
        <v>258</v>
      </c>
      <c r="E63" s="877" t="s">
        <v>265</v>
      </c>
      <c r="F63" s="877" t="s">
        <v>266</v>
      </c>
      <c r="G63" s="877" t="s">
        <v>267</v>
      </c>
      <c r="H63" s="877" t="s">
        <v>268</v>
      </c>
      <c r="I63" s="79"/>
      <c r="K63" s="879"/>
      <c r="L63" s="879"/>
      <c r="M63" s="879"/>
      <c r="N63" s="879"/>
      <c r="X63" s="47"/>
      <c r="Y63" s="53"/>
      <c r="Z63" s="53"/>
      <c r="AA63" s="53"/>
      <c r="AB63" s="53"/>
    </row>
    <row r="64" spans="1:42" s="38" customFormat="1">
      <c r="A64" s="78" t="s">
        <v>256</v>
      </c>
      <c r="D64" s="1437">
        <f>Scenarios!E10</f>
        <v>1494</v>
      </c>
      <c r="E64" s="1192"/>
      <c r="F64" s="1043"/>
      <c r="G64" s="1043"/>
      <c r="H64" s="1043"/>
      <c r="I64" s="79"/>
      <c r="K64" s="1271"/>
      <c r="L64" s="1273"/>
      <c r="M64" s="947"/>
      <c r="N64" s="946"/>
      <c r="O64" s="947"/>
      <c r="X64" s="47"/>
      <c r="Y64" s="53"/>
      <c r="Z64" s="53"/>
      <c r="AA64" s="53"/>
      <c r="AB64" s="53"/>
    </row>
    <row r="65" spans="1:42" s="38" customFormat="1">
      <c r="A65" s="78" t="s">
        <v>269</v>
      </c>
      <c r="D65" s="1042"/>
      <c r="E65" s="1193"/>
      <c r="F65" s="1044"/>
      <c r="G65" s="1044"/>
      <c r="H65" s="1044"/>
      <c r="I65" s="79"/>
      <c r="K65" s="1271"/>
      <c r="L65" s="1274"/>
      <c r="M65" s="879"/>
      <c r="N65" s="879"/>
      <c r="X65" s="47"/>
      <c r="Y65" s="53"/>
      <c r="Z65" s="53"/>
      <c r="AA65" s="53"/>
      <c r="AB65" s="53"/>
    </row>
    <row r="66" spans="1:42" s="38" customFormat="1">
      <c r="A66" s="78" t="s">
        <v>270</v>
      </c>
      <c r="D66" s="1042"/>
      <c r="E66" s="1192"/>
      <c r="F66" s="1043"/>
      <c r="G66" s="1043"/>
      <c r="H66" s="1043"/>
      <c r="I66" s="79"/>
      <c r="K66" s="1272"/>
      <c r="L66" s="1274"/>
      <c r="M66" s="879"/>
      <c r="N66" s="879"/>
      <c r="X66" s="47"/>
      <c r="Y66" s="53"/>
      <c r="Z66" s="53"/>
      <c r="AA66" s="53"/>
      <c r="AB66" s="53"/>
    </row>
    <row r="67" spans="1:42" s="38" customFormat="1">
      <c r="A67" s="78" t="s">
        <v>271</v>
      </c>
      <c r="D67" s="1042"/>
      <c r="E67" s="1192"/>
      <c r="F67" s="1044"/>
      <c r="G67" s="1044"/>
      <c r="H67" s="1044"/>
      <c r="I67" s="79"/>
      <c r="K67" s="1272"/>
      <c r="L67" s="1275"/>
      <c r="M67" s="33"/>
      <c r="N67" s="33"/>
      <c r="X67" s="47"/>
      <c r="Y67" s="53"/>
      <c r="Z67" s="53"/>
      <c r="AA67" s="53"/>
      <c r="AB67" s="53"/>
    </row>
    <row r="68" spans="1:42" s="38" customFormat="1">
      <c r="A68" s="78" t="s">
        <v>272</v>
      </c>
      <c r="C68" s="1397">
        <f>D68/D64</f>
        <v>0.94377510040160639</v>
      </c>
      <c r="D68" s="1438">
        <f>Scenarios!E11</f>
        <v>1410</v>
      </c>
      <c r="E68" s="1192"/>
      <c r="F68" s="1043"/>
      <c r="G68" s="1043"/>
      <c r="H68" s="1043"/>
      <c r="I68" s="79"/>
      <c r="K68" s="1271"/>
      <c r="L68" s="1273"/>
      <c r="M68" s="947"/>
      <c r="N68" s="946"/>
      <c r="O68" s="947"/>
      <c r="X68" s="47"/>
      <c r="Y68" s="53"/>
      <c r="Z68" s="53"/>
      <c r="AA68" s="53"/>
      <c r="AB68" s="53"/>
    </row>
    <row r="69" spans="1:42" s="38" customFormat="1">
      <c r="A69" s="78" t="s">
        <v>273</v>
      </c>
      <c r="D69" s="1042"/>
      <c r="E69" s="1043"/>
      <c r="F69" s="1043"/>
      <c r="G69" s="1043"/>
      <c r="H69" s="1043"/>
      <c r="I69" s="79"/>
      <c r="K69" s="879"/>
      <c r="L69" s="33"/>
      <c r="N69" s="658"/>
      <c r="X69" s="47"/>
      <c r="Y69" s="53"/>
      <c r="Z69" s="53"/>
      <c r="AA69" s="53"/>
      <c r="AB69" s="53"/>
    </row>
    <row r="70" spans="1:42" s="38" customFormat="1">
      <c r="A70" s="78" t="s">
        <v>274</v>
      </c>
      <c r="D70" s="1042"/>
      <c r="E70" s="1044"/>
      <c r="F70" s="1044"/>
      <c r="G70" s="1044"/>
      <c r="H70" s="1044"/>
      <c r="I70" s="79"/>
      <c r="L70" s="79"/>
      <c r="N70" s="658"/>
      <c r="X70" s="47"/>
      <c r="Y70" s="53"/>
      <c r="Z70" s="53"/>
      <c r="AA70" s="53"/>
      <c r="AB70" s="53"/>
    </row>
    <row r="71" spans="1:42" s="38" customFormat="1">
      <c r="A71" s="78" t="s">
        <v>275</v>
      </c>
      <c r="D71" s="1042"/>
      <c r="E71" s="1043"/>
      <c r="F71" s="1043"/>
      <c r="G71" s="1043"/>
      <c r="H71" s="1043"/>
      <c r="I71" s="79"/>
      <c r="L71" s="79"/>
      <c r="X71" s="47"/>
      <c r="Y71" s="53"/>
      <c r="Z71" s="53"/>
      <c r="AA71" s="53"/>
      <c r="AB71" s="53"/>
    </row>
    <row r="72" spans="1:42" s="81" customFormat="1">
      <c r="A72" s="80" t="s">
        <v>276</v>
      </c>
      <c r="E72" s="82"/>
      <c r="F72" s="82"/>
      <c r="G72" s="82"/>
      <c r="I72" s="79"/>
      <c r="V72" s="83"/>
      <c r="W72" s="84"/>
      <c r="X72" s="84"/>
      <c r="Y72" s="84"/>
      <c r="Z72" s="84"/>
    </row>
    <row r="73" spans="1:42" s="38" customFormat="1">
      <c r="A73" s="51"/>
      <c r="T73" s="53"/>
      <c r="U73" s="53"/>
      <c r="V73" s="53"/>
      <c r="W73" s="53"/>
      <c r="X73" s="53"/>
      <c r="Y73" s="53"/>
    </row>
    <row r="74" spans="1:42" s="38" customFormat="1">
      <c r="A74" s="5" t="s">
        <v>277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37"/>
      <c r="AJ74" s="37"/>
      <c r="AK74" s="37"/>
      <c r="AL74" s="37"/>
      <c r="AM74" s="37"/>
      <c r="AN74" s="37"/>
      <c r="AO74" s="37"/>
      <c r="AP74" s="37"/>
    </row>
    <row r="75" spans="1:42" s="38" customFormat="1">
      <c r="A75" s="51"/>
      <c r="B75" s="51"/>
      <c r="C75" s="51"/>
      <c r="T75" s="53"/>
      <c r="U75" s="53"/>
      <c r="V75" s="53"/>
      <c r="W75" s="53"/>
      <c r="X75" s="53"/>
      <c r="Y75" s="53"/>
    </row>
    <row r="76" spans="1:42" s="38" customFormat="1">
      <c r="A76" s="85" t="s">
        <v>278</v>
      </c>
      <c r="B76" s="86"/>
      <c r="C76" s="86"/>
      <c r="D76" s="87"/>
      <c r="E76" s="87"/>
      <c r="F76" s="87"/>
      <c r="G76" s="88"/>
      <c r="H76" s="88"/>
      <c r="I76" s="89"/>
      <c r="J76" s="90"/>
      <c r="K76" s="87"/>
      <c r="L76" s="87"/>
      <c r="M76" s="87"/>
      <c r="N76" s="87"/>
      <c r="O76" s="87"/>
      <c r="P76" s="87"/>
      <c r="Q76" s="87"/>
      <c r="R76" s="87"/>
      <c r="S76" s="87"/>
      <c r="T76" s="90"/>
      <c r="U76" s="90"/>
      <c r="V76" s="90"/>
      <c r="W76" s="90"/>
      <c r="X76" s="90"/>
      <c r="Y76" s="90"/>
      <c r="Z76" s="91"/>
      <c r="AA76" s="91"/>
      <c r="AB76" s="91"/>
      <c r="AC76" s="91"/>
      <c r="AD76" s="91"/>
      <c r="AE76" s="91"/>
      <c r="AF76" s="91"/>
      <c r="AG76" s="91"/>
      <c r="AH76" s="91"/>
      <c r="AI76" s="37"/>
      <c r="AJ76" s="37"/>
      <c r="AK76" s="37"/>
      <c r="AL76" s="37"/>
      <c r="AM76" s="37"/>
      <c r="AN76" s="37"/>
      <c r="AO76" s="37"/>
      <c r="AP76" s="37"/>
    </row>
    <row r="77" spans="1:42" s="38" customFormat="1">
      <c r="A77" s="92"/>
      <c r="B77" s="51"/>
      <c r="C77" s="51"/>
      <c r="J77" s="36"/>
      <c r="T77" s="36"/>
      <c r="U77" s="36"/>
      <c r="V77" s="36"/>
      <c r="W77" s="36"/>
      <c r="X77" s="36"/>
      <c r="Y77" s="36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</row>
    <row r="78" spans="1:42">
      <c r="A78" s="61" t="s">
        <v>279</v>
      </c>
      <c r="C78" s="1153"/>
      <c r="D78" s="1439">
        <f>Scenarios!E322</f>
        <v>57</v>
      </c>
      <c r="E78" s="1204" t="s">
        <v>280</v>
      </c>
      <c r="F78" s="1207">
        <v>2250</v>
      </c>
      <c r="G78" s="38"/>
      <c r="J78" s="94"/>
      <c r="K78" s="94"/>
    </row>
    <row r="79" spans="1:42">
      <c r="A79" s="61" t="s">
        <v>281</v>
      </c>
      <c r="C79" s="1153"/>
      <c r="D79" s="1120">
        <f>D78</f>
        <v>57</v>
      </c>
      <c r="E79" s="1204" t="s">
        <v>280</v>
      </c>
      <c r="F79" s="1207">
        <v>2300</v>
      </c>
      <c r="G79" s="38"/>
      <c r="J79" s="94"/>
      <c r="K79" s="94"/>
    </row>
    <row r="80" spans="1:42">
      <c r="A80" s="61" t="s">
        <v>282</v>
      </c>
      <c r="C80" s="1153"/>
      <c r="D80" s="1447">
        <f>Scenarios!E323</f>
        <v>1</v>
      </c>
      <c r="E80" s="1456">
        <f>1-D80</f>
        <v>0</v>
      </c>
      <c r="F80" s="38"/>
      <c r="G80" s="38"/>
      <c r="J80" s="94"/>
      <c r="K80" s="94"/>
    </row>
    <row r="81" spans="1:34">
      <c r="A81" s="61" t="s">
        <v>283</v>
      </c>
      <c r="B81" s="96"/>
      <c r="D81" s="1444">
        <f>Scenarios!E320</f>
        <v>12</v>
      </c>
      <c r="E81" s="293"/>
    </row>
    <row r="82" spans="1:34">
      <c r="I82" s="93"/>
    </row>
    <row r="83" spans="1:34">
      <c r="A83" s="95" t="s">
        <v>284</v>
      </c>
      <c r="B83" s="38"/>
      <c r="C83" s="948"/>
      <c r="D83" s="1103">
        <f>D84*D85</f>
        <v>0.02</v>
      </c>
      <c r="I83" s="93"/>
    </row>
    <row r="84" spans="1:34">
      <c r="A84" s="95" t="s">
        <v>285</v>
      </c>
      <c r="B84" s="38"/>
      <c r="C84" s="194"/>
      <c r="D84" s="1447">
        <f>Scenarios!E321</f>
        <v>1</v>
      </c>
      <c r="I84" s="93"/>
    </row>
    <row r="85" spans="1:34">
      <c r="A85" s="95" t="s">
        <v>286</v>
      </c>
      <c r="D85" s="1176">
        <f>D93</f>
        <v>0.02</v>
      </c>
      <c r="I85" s="93"/>
    </row>
    <row r="86" spans="1:34">
      <c r="D86" s="100"/>
    </row>
    <row r="87" spans="1:34">
      <c r="A87" s="54" t="s">
        <v>287</v>
      </c>
      <c r="B87" s="55"/>
      <c r="C87" s="55"/>
      <c r="D87" s="55"/>
      <c r="E87" s="56"/>
      <c r="F87" s="57"/>
      <c r="G87" s="55"/>
      <c r="H87" s="55"/>
      <c r="I87" s="55"/>
      <c r="J87" s="55"/>
      <c r="K87" s="55"/>
      <c r="L87" s="58"/>
      <c r="M87" s="58"/>
      <c r="N87" s="58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60"/>
      <c r="AA87" s="60"/>
      <c r="AB87" s="60"/>
      <c r="AC87" s="60"/>
      <c r="AD87" s="60"/>
      <c r="AE87" s="60"/>
      <c r="AF87" s="60"/>
      <c r="AG87" s="60"/>
      <c r="AH87" s="60"/>
    </row>
    <row r="88" spans="1:34">
      <c r="A88" s="92"/>
    </row>
    <row r="89" spans="1:34">
      <c r="A89" s="1" t="s">
        <v>288</v>
      </c>
      <c r="D89" s="101" t="s">
        <v>289</v>
      </c>
    </row>
    <row r="90" spans="1:34">
      <c r="A90" s="1" t="s">
        <v>290</v>
      </c>
      <c r="B90" s="1" t="s">
        <v>291</v>
      </c>
      <c r="D90" s="102">
        <v>2030</v>
      </c>
      <c r="G90" s="38"/>
    </row>
    <row r="91" spans="1:34">
      <c r="B91" s="1" t="s">
        <v>292</v>
      </c>
      <c r="D91" s="103">
        <v>0.02</v>
      </c>
      <c r="G91" s="38"/>
    </row>
    <row r="92" spans="1:34">
      <c r="A92" s="1" t="s">
        <v>293</v>
      </c>
      <c r="B92" s="1" t="s">
        <v>294</v>
      </c>
      <c r="D92" s="1208">
        <f>E100</f>
        <v>62.825840000000007</v>
      </c>
      <c r="E92" s="1174"/>
    </row>
    <row r="93" spans="1:34">
      <c r="B93" s="1" t="s">
        <v>292</v>
      </c>
      <c r="D93" s="104">
        <v>0.02</v>
      </c>
      <c r="I93" s="1" t="s">
        <v>295</v>
      </c>
    </row>
    <row r="94" spans="1:34">
      <c r="D94" s="100"/>
    </row>
    <row r="95" spans="1:34">
      <c r="A95" s="54" t="s">
        <v>296</v>
      </c>
      <c r="B95" s="55"/>
      <c r="C95" s="55"/>
      <c r="D95" s="55"/>
      <c r="E95" s="56"/>
      <c r="F95" s="57"/>
      <c r="G95" s="55"/>
      <c r="H95" s="55"/>
      <c r="I95" s="55"/>
      <c r="J95" s="55"/>
      <c r="K95" s="55"/>
      <c r="L95" s="58"/>
      <c r="M95" s="58"/>
      <c r="N95" s="58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60"/>
      <c r="AA95" s="60"/>
      <c r="AB95" s="60"/>
      <c r="AC95" s="60"/>
      <c r="AD95" s="60"/>
      <c r="AE95" s="60"/>
      <c r="AF95" s="60"/>
      <c r="AG95" s="60"/>
      <c r="AH95" s="60"/>
    </row>
    <row r="96" spans="1:34">
      <c r="A96" s="95" t="s">
        <v>297</v>
      </c>
      <c r="C96" s="95"/>
      <c r="D96" s="105">
        <f>D12+1</f>
        <v>2030</v>
      </c>
      <c r="E96" s="106">
        <f t="shared" ref="E96:AH96" si="3">D96+1</f>
        <v>2031</v>
      </c>
      <c r="F96" s="106">
        <f t="shared" si="3"/>
        <v>2032</v>
      </c>
      <c r="G96" s="106">
        <f t="shared" si="3"/>
        <v>2033</v>
      </c>
      <c r="H96" s="106">
        <f t="shared" si="3"/>
        <v>2034</v>
      </c>
      <c r="I96" s="106">
        <f t="shared" si="3"/>
        <v>2035</v>
      </c>
      <c r="J96" s="106">
        <f t="shared" si="3"/>
        <v>2036</v>
      </c>
      <c r="K96" s="106">
        <f t="shared" si="3"/>
        <v>2037</v>
      </c>
      <c r="L96" s="106">
        <f t="shared" si="3"/>
        <v>2038</v>
      </c>
      <c r="M96" s="106">
        <f t="shared" si="3"/>
        <v>2039</v>
      </c>
      <c r="N96" s="106">
        <f t="shared" si="3"/>
        <v>2040</v>
      </c>
      <c r="O96" s="106">
        <f t="shared" si="3"/>
        <v>2041</v>
      </c>
      <c r="P96" s="106">
        <f t="shared" si="3"/>
        <v>2042</v>
      </c>
      <c r="Q96" s="106">
        <f t="shared" si="3"/>
        <v>2043</v>
      </c>
      <c r="R96" s="106">
        <f t="shared" si="3"/>
        <v>2044</v>
      </c>
      <c r="S96" s="106">
        <f t="shared" si="3"/>
        <v>2045</v>
      </c>
      <c r="T96" s="106">
        <f t="shared" si="3"/>
        <v>2046</v>
      </c>
      <c r="U96" s="106">
        <f t="shared" si="3"/>
        <v>2047</v>
      </c>
      <c r="V96" s="106">
        <f t="shared" si="3"/>
        <v>2048</v>
      </c>
      <c r="W96" s="106">
        <f t="shared" si="3"/>
        <v>2049</v>
      </c>
      <c r="X96" s="106">
        <f t="shared" si="3"/>
        <v>2050</v>
      </c>
      <c r="Y96" s="106">
        <f t="shared" si="3"/>
        <v>2051</v>
      </c>
      <c r="Z96" s="106">
        <f t="shared" si="3"/>
        <v>2052</v>
      </c>
      <c r="AA96" s="106">
        <f t="shared" si="3"/>
        <v>2053</v>
      </c>
      <c r="AB96" s="106">
        <f t="shared" si="3"/>
        <v>2054</v>
      </c>
      <c r="AC96" s="106">
        <f t="shared" si="3"/>
        <v>2055</v>
      </c>
      <c r="AD96" s="106">
        <f t="shared" si="3"/>
        <v>2056</v>
      </c>
      <c r="AE96" s="106">
        <f t="shared" si="3"/>
        <v>2057</v>
      </c>
      <c r="AF96" s="106">
        <f t="shared" si="3"/>
        <v>2058</v>
      </c>
      <c r="AG96" s="106">
        <f t="shared" si="3"/>
        <v>2059</v>
      </c>
      <c r="AH96" s="106">
        <f t="shared" si="3"/>
        <v>2060</v>
      </c>
    </row>
    <row r="97" spans="1:42">
      <c r="A97" s="1" t="s">
        <v>72</v>
      </c>
      <c r="D97" s="1209">
        <v>0</v>
      </c>
      <c r="E97" s="116">
        <f t="shared" ref="E97:AH97" si="4">D97+1</f>
        <v>1</v>
      </c>
      <c r="F97" s="116">
        <f t="shared" si="4"/>
        <v>2</v>
      </c>
      <c r="G97" s="116">
        <f t="shared" si="4"/>
        <v>3</v>
      </c>
      <c r="H97" s="116">
        <f t="shared" si="4"/>
        <v>4</v>
      </c>
      <c r="I97" s="116">
        <f t="shared" si="4"/>
        <v>5</v>
      </c>
      <c r="J97" s="116">
        <f t="shared" si="4"/>
        <v>6</v>
      </c>
      <c r="K97" s="116">
        <f t="shared" si="4"/>
        <v>7</v>
      </c>
      <c r="L97" s="116">
        <f t="shared" si="4"/>
        <v>8</v>
      </c>
      <c r="M97" s="116">
        <f t="shared" si="4"/>
        <v>9</v>
      </c>
      <c r="N97" s="116">
        <f t="shared" si="4"/>
        <v>10</v>
      </c>
      <c r="O97" s="116">
        <f t="shared" si="4"/>
        <v>11</v>
      </c>
      <c r="P97" s="116">
        <f t="shared" si="4"/>
        <v>12</v>
      </c>
      <c r="Q97" s="116">
        <f t="shared" si="4"/>
        <v>13</v>
      </c>
      <c r="R97" s="116">
        <f t="shared" si="4"/>
        <v>14</v>
      </c>
      <c r="S97" s="116">
        <f t="shared" si="4"/>
        <v>15</v>
      </c>
      <c r="T97" s="116">
        <f t="shared" si="4"/>
        <v>16</v>
      </c>
      <c r="U97" s="116">
        <f t="shared" si="4"/>
        <v>17</v>
      </c>
      <c r="V97" s="116">
        <f t="shared" si="4"/>
        <v>18</v>
      </c>
      <c r="W97" s="116">
        <f t="shared" si="4"/>
        <v>19</v>
      </c>
      <c r="X97" s="116">
        <f t="shared" si="4"/>
        <v>20</v>
      </c>
      <c r="Y97" s="116">
        <f t="shared" si="4"/>
        <v>21</v>
      </c>
      <c r="Z97" s="116">
        <f t="shared" si="4"/>
        <v>22</v>
      </c>
      <c r="AA97" s="116">
        <f t="shared" si="4"/>
        <v>23</v>
      </c>
      <c r="AB97" s="116">
        <f t="shared" si="4"/>
        <v>24</v>
      </c>
      <c r="AC97" s="116">
        <f t="shared" si="4"/>
        <v>25</v>
      </c>
      <c r="AD97" s="116">
        <f t="shared" si="4"/>
        <v>26</v>
      </c>
      <c r="AE97" s="116">
        <f t="shared" si="4"/>
        <v>27</v>
      </c>
      <c r="AF97" s="116">
        <f t="shared" si="4"/>
        <v>28</v>
      </c>
      <c r="AG97" s="116">
        <f t="shared" si="4"/>
        <v>29</v>
      </c>
      <c r="AH97" s="116">
        <f t="shared" si="4"/>
        <v>30</v>
      </c>
    </row>
    <row r="98" spans="1:42">
      <c r="A98" s="92" t="s">
        <v>279</v>
      </c>
      <c r="B98" s="74" t="s">
        <v>298</v>
      </c>
      <c r="D98" s="1194">
        <f>IF(D97&lt;=$D$81,D99,D100)</f>
        <v>57</v>
      </c>
      <c r="E98" s="1194">
        <f>IF(E97&lt;=$D$81,E99,E100)</f>
        <v>57</v>
      </c>
      <c r="F98" s="1194">
        <f t="shared" ref="F98:AH98" si="5">IF(F97&lt;=$D$81,F99,F100)</f>
        <v>58.14</v>
      </c>
      <c r="G98" s="1194">
        <f t="shared" si="5"/>
        <v>59.302799999999998</v>
      </c>
      <c r="H98" s="1194">
        <f t="shared" si="5"/>
        <v>60.488855999999998</v>
      </c>
      <c r="I98" s="1194">
        <f t="shared" si="5"/>
        <v>61.698633119999997</v>
      </c>
      <c r="J98" s="1194">
        <f t="shared" si="5"/>
        <v>62.932605782400003</v>
      </c>
      <c r="K98" s="1194">
        <f t="shared" si="5"/>
        <v>64.191257898048008</v>
      </c>
      <c r="L98" s="1194">
        <f t="shared" si="5"/>
        <v>65.475083056008955</v>
      </c>
      <c r="M98" s="1194">
        <f t="shared" si="5"/>
        <v>66.784584717129135</v>
      </c>
      <c r="N98" s="1194">
        <f t="shared" si="5"/>
        <v>68.120276411471721</v>
      </c>
      <c r="O98" s="1194">
        <f t="shared" si="5"/>
        <v>69.482681939701152</v>
      </c>
      <c r="P98" s="1194">
        <f t="shared" si="5"/>
        <v>70.872335578495168</v>
      </c>
      <c r="Q98" s="1194">
        <f t="shared" si="5"/>
        <v>75.833253999999982</v>
      </c>
      <c r="R98" s="1194">
        <f t="shared" si="5"/>
        <v>76.035172499999987</v>
      </c>
      <c r="S98" s="1194">
        <f t="shared" si="5"/>
        <v>74.107669999999999</v>
      </c>
      <c r="T98" s="1194">
        <f t="shared" si="5"/>
        <v>75.790070999999998</v>
      </c>
      <c r="U98" s="1194">
        <f t="shared" si="5"/>
        <v>77.479632999999993</v>
      </c>
      <c r="V98" s="1194">
        <f t="shared" si="5"/>
        <v>79.159321500000004</v>
      </c>
      <c r="W98" s="1194">
        <f t="shared" si="5"/>
        <v>80.862880000000004</v>
      </c>
      <c r="X98" s="1194">
        <f t="shared" si="5"/>
        <v>82.573599499999986</v>
      </c>
      <c r="Y98" s="1194">
        <f t="shared" si="5"/>
        <v>84.781140499999992</v>
      </c>
      <c r="Z98" s="1194">
        <f t="shared" si="5"/>
        <v>86.507049999999992</v>
      </c>
      <c r="AA98" s="1194">
        <f t="shared" si="5"/>
        <v>88.221350000000001</v>
      </c>
      <c r="AB98" s="1194">
        <f t="shared" si="5"/>
        <v>90.472399499999995</v>
      </c>
      <c r="AC98" s="1194">
        <f t="shared" si="5"/>
        <v>92.201130000000006</v>
      </c>
      <c r="AD98" s="1194">
        <f t="shared" si="5"/>
        <v>93.631159999999994</v>
      </c>
      <c r="AE98" s="1194">
        <f t="shared" si="5"/>
        <v>95.01388399999999</v>
      </c>
      <c r="AF98" s="1194">
        <f t="shared" si="5"/>
        <v>95.887634500000004</v>
      </c>
      <c r="AG98" s="1194">
        <f t="shared" si="5"/>
        <v>97.218712499999995</v>
      </c>
      <c r="AH98" s="1194">
        <f t="shared" si="5"/>
        <v>98.543605999999997</v>
      </c>
    </row>
    <row r="99" spans="1:42">
      <c r="A99" s="95" t="s">
        <v>279</v>
      </c>
      <c r="B99" s="98" t="s">
        <v>298</v>
      </c>
      <c r="D99" s="108">
        <f>D78</f>
        <v>57</v>
      </c>
      <c r="E99" s="108">
        <f>$D$78*(1+$D$83)^(E97-1)</f>
        <v>57</v>
      </c>
      <c r="F99" s="108">
        <f t="shared" ref="F99:AH99" si="6">$D$78*(1+$D$83)^(F97-1)</f>
        <v>58.14</v>
      </c>
      <c r="G99" s="108">
        <f t="shared" si="6"/>
        <v>59.302799999999998</v>
      </c>
      <c r="H99" s="108">
        <f t="shared" si="6"/>
        <v>60.488855999999998</v>
      </c>
      <c r="I99" s="108">
        <f t="shared" si="6"/>
        <v>61.698633119999997</v>
      </c>
      <c r="J99" s="108">
        <f t="shared" si="6"/>
        <v>62.932605782400003</v>
      </c>
      <c r="K99" s="108">
        <f t="shared" si="6"/>
        <v>64.191257898048008</v>
      </c>
      <c r="L99" s="108">
        <f t="shared" si="6"/>
        <v>65.475083056008955</v>
      </c>
      <c r="M99" s="108">
        <f t="shared" si="6"/>
        <v>66.784584717129135</v>
      </c>
      <c r="N99" s="108">
        <f t="shared" si="6"/>
        <v>68.120276411471721</v>
      </c>
      <c r="O99" s="108">
        <f t="shared" si="6"/>
        <v>69.482681939701152</v>
      </c>
      <c r="P99" s="108">
        <f t="shared" si="6"/>
        <v>70.872335578495168</v>
      </c>
      <c r="Q99" s="108">
        <f t="shared" si="6"/>
        <v>72.289782290065077</v>
      </c>
      <c r="R99" s="108">
        <f t="shared" si="6"/>
        <v>73.735577935866374</v>
      </c>
      <c r="S99" s="108">
        <f t="shared" si="6"/>
        <v>75.210289494583719</v>
      </c>
      <c r="T99" s="108">
        <f t="shared" si="6"/>
        <v>76.714495284475362</v>
      </c>
      <c r="U99" s="108">
        <f t="shared" si="6"/>
        <v>78.248785190164881</v>
      </c>
      <c r="V99" s="108">
        <f t="shared" si="6"/>
        <v>79.813760893968194</v>
      </c>
      <c r="W99" s="108">
        <f t="shared" si="6"/>
        <v>81.410036111847546</v>
      </c>
      <c r="X99" s="108">
        <f t="shared" si="6"/>
        <v>83.038236834084486</v>
      </c>
      <c r="Y99" s="108">
        <f t="shared" si="6"/>
        <v>84.699001570766185</v>
      </c>
      <c r="Z99" s="108">
        <f t="shared" si="6"/>
        <v>86.392981602181507</v>
      </c>
      <c r="AA99" s="108">
        <f t="shared" si="6"/>
        <v>88.120841234225139</v>
      </c>
      <c r="AB99" s="108">
        <f t="shared" si="6"/>
        <v>89.883258058909632</v>
      </c>
      <c r="AC99" s="108">
        <f t="shared" si="6"/>
        <v>91.680923220087834</v>
      </c>
      <c r="AD99" s="108">
        <f t="shared" si="6"/>
        <v>93.514541684489586</v>
      </c>
      <c r="AE99" s="108">
        <f t="shared" si="6"/>
        <v>95.38483251817938</v>
      </c>
      <c r="AF99" s="108">
        <f t="shared" si="6"/>
        <v>97.292529168542956</v>
      </c>
      <c r="AG99" s="108">
        <f t="shared" si="6"/>
        <v>99.23837975191384</v>
      </c>
      <c r="AH99" s="108">
        <f t="shared" si="6"/>
        <v>101.2231473469521</v>
      </c>
    </row>
    <row r="100" spans="1:42">
      <c r="A100" s="51" t="s">
        <v>299</v>
      </c>
      <c r="B100" s="98" t="s">
        <v>298</v>
      </c>
      <c r="D100" s="108">
        <f>D106</f>
        <v>59.221470000000004</v>
      </c>
      <c r="E100" s="108">
        <f>E107*E116</f>
        <v>62.825840000000007</v>
      </c>
      <c r="F100" s="108">
        <f t="shared" ref="F100:AH100" si="7">F107*F116</f>
        <v>63.304541999999991</v>
      </c>
      <c r="G100" s="108">
        <f t="shared" si="7"/>
        <v>62.939330999999996</v>
      </c>
      <c r="H100" s="108">
        <f t="shared" si="7"/>
        <v>64.376738999999986</v>
      </c>
      <c r="I100" s="108">
        <f t="shared" si="7"/>
        <v>68.819597000000002</v>
      </c>
      <c r="J100" s="108">
        <f t="shared" si="7"/>
        <v>68.736485999999999</v>
      </c>
      <c r="K100" s="108">
        <f t="shared" si="7"/>
        <v>68.286645000000007</v>
      </c>
      <c r="L100" s="108">
        <f t="shared" si="7"/>
        <v>70.766304000000005</v>
      </c>
      <c r="M100" s="108">
        <f t="shared" si="7"/>
        <v>72.517277000000007</v>
      </c>
      <c r="N100" s="108">
        <f t="shared" si="7"/>
        <v>72.098901000000012</v>
      </c>
      <c r="O100" s="108">
        <f t="shared" si="7"/>
        <v>73.504952500000002</v>
      </c>
      <c r="P100" s="108">
        <f t="shared" si="7"/>
        <v>75.12095149999999</v>
      </c>
      <c r="Q100" s="108">
        <f t="shared" si="7"/>
        <v>75.833253999999982</v>
      </c>
      <c r="R100" s="108">
        <f t="shared" si="7"/>
        <v>76.035172499999987</v>
      </c>
      <c r="S100" s="108">
        <f t="shared" si="7"/>
        <v>74.107669999999999</v>
      </c>
      <c r="T100" s="108">
        <f t="shared" si="7"/>
        <v>75.790070999999998</v>
      </c>
      <c r="U100" s="108">
        <f t="shared" si="7"/>
        <v>77.479632999999993</v>
      </c>
      <c r="V100" s="108">
        <f t="shared" si="7"/>
        <v>79.159321500000004</v>
      </c>
      <c r="W100" s="108">
        <f t="shared" si="7"/>
        <v>80.862880000000004</v>
      </c>
      <c r="X100" s="108">
        <f t="shared" si="7"/>
        <v>82.573599499999986</v>
      </c>
      <c r="Y100" s="108">
        <f t="shared" si="7"/>
        <v>84.781140499999992</v>
      </c>
      <c r="Z100" s="108">
        <f t="shared" si="7"/>
        <v>86.507049999999992</v>
      </c>
      <c r="AA100" s="108">
        <f t="shared" si="7"/>
        <v>88.221350000000001</v>
      </c>
      <c r="AB100" s="108">
        <f t="shared" si="7"/>
        <v>90.472399499999995</v>
      </c>
      <c r="AC100" s="108">
        <f t="shared" si="7"/>
        <v>92.201130000000006</v>
      </c>
      <c r="AD100" s="108">
        <f t="shared" si="7"/>
        <v>93.631159999999994</v>
      </c>
      <c r="AE100" s="108">
        <f t="shared" si="7"/>
        <v>95.01388399999999</v>
      </c>
      <c r="AF100" s="108">
        <f t="shared" si="7"/>
        <v>95.887634500000004</v>
      </c>
      <c r="AG100" s="108">
        <f t="shared" si="7"/>
        <v>97.218712499999995</v>
      </c>
      <c r="AH100" s="108">
        <f t="shared" si="7"/>
        <v>98.543605999999997</v>
      </c>
    </row>
    <row r="101" spans="1:42">
      <c r="A101" s="51"/>
      <c r="B101" s="98"/>
      <c r="D101" s="107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 spans="1:42">
      <c r="A102" s="1" t="s">
        <v>300</v>
      </c>
      <c r="B102" s="1702" t="str">
        <f>Scenarios!E324</f>
        <v>Central case Trackers</v>
      </c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</row>
    <row r="103" spans="1:42">
      <c r="A103" s="1" t="s">
        <v>301</v>
      </c>
      <c r="B103" s="1702" t="str">
        <f>Scenarios!E325</f>
        <v>Central Low case Trackers</v>
      </c>
      <c r="D103" s="1930">
        <f>D108*1.05</f>
        <v>52.100999999999999</v>
      </c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</row>
    <row r="104" spans="1:42">
      <c r="D104" s="100"/>
    </row>
    <row r="105" spans="1:42">
      <c r="A105" s="1237" t="s">
        <v>302</v>
      </c>
      <c r="C105" s="100" t="s">
        <v>72</v>
      </c>
      <c r="D105" s="1238">
        <f>D96</f>
        <v>2030</v>
      </c>
      <c r="E105" s="1238">
        <f>E96</f>
        <v>2031</v>
      </c>
      <c r="F105" s="1239">
        <f>E105+1</f>
        <v>2032</v>
      </c>
      <c r="G105" s="1239">
        <f t="shared" ref="G105:AH105" si="8">F105+1</f>
        <v>2033</v>
      </c>
      <c r="H105" s="1239">
        <f t="shared" si="8"/>
        <v>2034</v>
      </c>
      <c r="I105" s="1239">
        <f t="shared" si="8"/>
        <v>2035</v>
      </c>
      <c r="J105" s="1239">
        <f t="shared" si="8"/>
        <v>2036</v>
      </c>
      <c r="K105" s="1239">
        <f t="shared" si="8"/>
        <v>2037</v>
      </c>
      <c r="L105" s="1239">
        <f t="shared" si="8"/>
        <v>2038</v>
      </c>
      <c r="M105" s="1239">
        <f t="shared" si="8"/>
        <v>2039</v>
      </c>
      <c r="N105" s="1239">
        <f t="shared" si="8"/>
        <v>2040</v>
      </c>
      <c r="O105" s="1239">
        <f t="shared" si="8"/>
        <v>2041</v>
      </c>
      <c r="P105" s="1239">
        <f t="shared" si="8"/>
        <v>2042</v>
      </c>
      <c r="Q105" s="1239">
        <f t="shared" si="8"/>
        <v>2043</v>
      </c>
      <c r="R105" s="1239">
        <f t="shared" si="8"/>
        <v>2044</v>
      </c>
      <c r="S105" s="1239">
        <f t="shared" si="8"/>
        <v>2045</v>
      </c>
      <c r="T105" s="1239">
        <f t="shared" si="8"/>
        <v>2046</v>
      </c>
      <c r="U105" s="1239">
        <f t="shared" si="8"/>
        <v>2047</v>
      </c>
      <c r="V105" s="1239">
        <f t="shared" si="8"/>
        <v>2048</v>
      </c>
      <c r="W105" s="1239">
        <f t="shared" si="8"/>
        <v>2049</v>
      </c>
      <c r="X105" s="1239">
        <f t="shared" si="8"/>
        <v>2050</v>
      </c>
      <c r="Y105" s="1239">
        <f t="shared" si="8"/>
        <v>2051</v>
      </c>
      <c r="Z105" s="1239">
        <f t="shared" si="8"/>
        <v>2052</v>
      </c>
      <c r="AA105" s="1239">
        <f t="shared" si="8"/>
        <v>2053</v>
      </c>
      <c r="AB105" s="1239">
        <f t="shared" si="8"/>
        <v>2054</v>
      </c>
      <c r="AC105" s="1239">
        <f t="shared" si="8"/>
        <v>2055</v>
      </c>
      <c r="AD105" s="1239">
        <f t="shared" si="8"/>
        <v>2056</v>
      </c>
      <c r="AE105" s="1239">
        <f t="shared" si="8"/>
        <v>2057</v>
      </c>
      <c r="AF105" s="1239">
        <f t="shared" si="8"/>
        <v>2058</v>
      </c>
      <c r="AG105" s="1239">
        <f t="shared" si="8"/>
        <v>2059</v>
      </c>
      <c r="AH105" s="1239">
        <f t="shared" si="8"/>
        <v>2060</v>
      </c>
    </row>
    <row r="106" spans="1:42" s="92" customFormat="1">
      <c r="A106" s="1"/>
      <c r="C106" s="1924" t="str">
        <f>IF(Production_Scenario=sizing_scenario,B103,B102)</f>
        <v>Central case Trackers</v>
      </c>
      <c r="D106" s="1240">
        <f>INDEX($D$107:$AL$112,MATCH($C$106,$C$107:$C$112,0),MATCH(D105,$D$105:$AL$105,0))*D116</f>
        <v>59.221470000000004</v>
      </c>
      <c r="E106" s="1240">
        <f t="shared" ref="E106:AH106" si="9">INDEX($D$107:$AL$112,MATCH($C$106,$C$107:$C$112,0),MATCH(E105,$D$105:$AL$105,0))*E116</f>
        <v>62.825840000000007</v>
      </c>
      <c r="F106" s="1240">
        <f t="shared" si="9"/>
        <v>63.304541999999991</v>
      </c>
      <c r="G106" s="1240">
        <f t="shared" si="9"/>
        <v>62.939330999999996</v>
      </c>
      <c r="H106" s="1240">
        <f t="shared" si="9"/>
        <v>64.376738999999986</v>
      </c>
      <c r="I106" s="1240">
        <f t="shared" si="9"/>
        <v>68.819597000000002</v>
      </c>
      <c r="J106" s="1240">
        <f t="shared" si="9"/>
        <v>68.736485999999999</v>
      </c>
      <c r="K106" s="1240">
        <f t="shared" si="9"/>
        <v>68.286645000000007</v>
      </c>
      <c r="L106" s="1240">
        <f t="shared" si="9"/>
        <v>70.766304000000005</v>
      </c>
      <c r="M106" s="1240">
        <f t="shared" si="9"/>
        <v>72.517277000000007</v>
      </c>
      <c r="N106" s="1240">
        <f t="shared" si="9"/>
        <v>72.098901000000012</v>
      </c>
      <c r="O106" s="1240">
        <f t="shared" si="9"/>
        <v>73.504952500000002</v>
      </c>
      <c r="P106" s="1240">
        <f t="shared" si="9"/>
        <v>75.12095149999999</v>
      </c>
      <c r="Q106" s="1240">
        <f t="shared" si="9"/>
        <v>75.833253999999982</v>
      </c>
      <c r="R106" s="1240">
        <f t="shared" si="9"/>
        <v>76.035172499999987</v>
      </c>
      <c r="S106" s="1240">
        <f t="shared" si="9"/>
        <v>74.107669999999999</v>
      </c>
      <c r="T106" s="1240">
        <f t="shared" si="9"/>
        <v>75.790070999999998</v>
      </c>
      <c r="U106" s="1240">
        <f t="shared" si="9"/>
        <v>77.479632999999993</v>
      </c>
      <c r="V106" s="1240">
        <f t="shared" si="9"/>
        <v>79.159321500000004</v>
      </c>
      <c r="W106" s="1240">
        <f t="shared" si="9"/>
        <v>80.862880000000004</v>
      </c>
      <c r="X106" s="1240">
        <f t="shared" si="9"/>
        <v>82.573599499999986</v>
      </c>
      <c r="Y106" s="1240">
        <f t="shared" si="9"/>
        <v>84.781140499999992</v>
      </c>
      <c r="Z106" s="1240">
        <f t="shared" si="9"/>
        <v>86.507049999999992</v>
      </c>
      <c r="AA106" s="1240">
        <f t="shared" si="9"/>
        <v>88.221350000000001</v>
      </c>
      <c r="AB106" s="1240">
        <f t="shared" si="9"/>
        <v>90.472399499999995</v>
      </c>
      <c r="AC106" s="1240">
        <f t="shared" si="9"/>
        <v>92.201130000000006</v>
      </c>
      <c r="AD106" s="1240">
        <f t="shared" si="9"/>
        <v>93.631159999999994</v>
      </c>
      <c r="AE106" s="1240">
        <f t="shared" si="9"/>
        <v>95.01388399999999</v>
      </c>
      <c r="AF106" s="1240">
        <f t="shared" si="9"/>
        <v>95.887634500000004</v>
      </c>
      <c r="AG106" s="1240">
        <f t="shared" si="9"/>
        <v>97.218712499999995</v>
      </c>
      <c r="AH106" s="1240">
        <f t="shared" si="9"/>
        <v>98.543605999999997</v>
      </c>
      <c r="AI106" s="1"/>
      <c r="AJ106" s="1"/>
      <c r="AK106" s="1"/>
      <c r="AL106" s="1"/>
      <c r="AM106" s="1"/>
      <c r="AN106" s="1"/>
    </row>
    <row r="107" spans="1:42">
      <c r="B107" s="1931">
        <v>8.5000000000000006E-2</v>
      </c>
      <c r="C107" s="1241" t="s">
        <v>303</v>
      </c>
      <c r="D107" s="1242">
        <f>D108*(1+$B$107)</f>
        <v>53.837699999999998</v>
      </c>
      <c r="E107" s="1242">
        <f t="shared" ref="E107:AJ107" si="10">E108*(1+$B$107)</f>
        <v>56.094500000000004</v>
      </c>
      <c r="F107" s="1242">
        <f t="shared" si="10"/>
        <v>55.530299999999997</v>
      </c>
      <c r="G107" s="1242">
        <f t="shared" si="10"/>
        <v>53.7943</v>
      </c>
      <c r="H107" s="1242">
        <f t="shared" si="10"/>
        <v>54.098099999999995</v>
      </c>
      <c r="I107" s="1242">
        <f t="shared" si="10"/>
        <v>56.875700000000002</v>
      </c>
      <c r="J107" s="1242">
        <f t="shared" si="10"/>
        <v>55.432650000000002</v>
      </c>
      <c r="K107" s="1242">
        <f t="shared" si="10"/>
        <v>54.195750000000004</v>
      </c>
      <c r="L107" s="1242">
        <f>L108*(1+$B$107)</f>
        <v>54.857599999999998</v>
      </c>
      <c r="M107" s="1242">
        <f t="shared" si="10"/>
        <v>55.356700000000004</v>
      </c>
      <c r="N107" s="1242">
        <f t="shared" si="10"/>
        <v>53.805150000000005</v>
      </c>
      <c r="O107" s="1242">
        <f t="shared" si="10"/>
        <v>53.65325</v>
      </c>
      <c r="P107" s="1242">
        <f t="shared" si="10"/>
        <v>54.043849999999999</v>
      </c>
      <c r="Q107" s="1242">
        <f t="shared" si="10"/>
        <v>53.403699999999994</v>
      </c>
      <c r="R107" s="1242">
        <f t="shared" si="10"/>
        <v>52.438049999999997</v>
      </c>
      <c r="S107" s="1242">
        <f t="shared" si="10"/>
        <v>50.072749999999999</v>
      </c>
      <c r="T107" s="1242">
        <f t="shared" si="10"/>
        <v>50.192099999999996</v>
      </c>
      <c r="U107" s="1242">
        <f t="shared" si="10"/>
        <v>50.311449999999994</v>
      </c>
      <c r="V107" s="1242">
        <f t="shared" si="10"/>
        <v>50.41995</v>
      </c>
      <c r="W107" s="1242">
        <f t="shared" si="10"/>
        <v>50.539299999999997</v>
      </c>
      <c r="X107" s="1242">
        <f t="shared" si="10"/>
        <v>50.658649999999994</v>
      </c>
      <c r="Y107" s="1242">
        <f t="shared" si="10"/>
        <v>50.767150000000001</v>
      </c>
      <c r="Z107" s="1242">
        <f t="shared" si="10"/>
        <v>50.886499999999998</v>
      </c>
      <c r="AA107" s="1242">
        <f t="shared" si="10"/>
        <v>50.994999999999997</v>
      </c>
      <c r="AB107" s="1242">
        <f t="shared" si="10"/>
        <v>51.114349999999995</v>
      </c>
      <c r="AC107" s="1242">
        <f t="shared" si="10"/>
        <v>51.222850000000001</v>
      </c>
      <c r="AD107" s="1242">
        <f t="shared" si="10"/>
        <v>50.886499999999998</v>
      </c>
      <c r="AE107" s="1242">
        <f t="shared" si="10"/>
        <v>50.539299999999997</v>
      </c>
      <c r="AF107" s="1242">
        <f t="shared" si="10"/>
        <v>50.202950000000001</v>
      </c>
      <c r="AG107" s="1242">
        <f t="shared" si="10"/>
        <v>49.85575</v>
      </c>
      <c r="AH107" s="1242">
        <f t="shared" si="10"/>
        <v>49.519399999999997</v>
      </c>
      <c r="AI107" s="1242">
        <f t="shared" si="10"/>
        <v>0</v>
      </c>
      <c r="AJ107" s="1242">
        <f t="shared" si="10"/>
        <v>0</v>
      </c>
    </row>
    <row r="108" spans="1:42">
      <c r="C108" s="100" t="s">
        <v>304</v>
      </c>
      <c r="D108" s="1926">
        <v>49.62</v>
      </c>
      <c r="E108" s="1926">
        <v>51.7</v>
      </c>
      <c r="F108" s="1926">
        <v>51.18</v>
      </c>
      <c r="G108" s="1926">
        <v>49.58</v>
      </c>
      <c r="H108" s="1926">
        <v>49.86</v>
      </c>
      <c r="I108" s="1926">
        <v>52.42</v>
      </c>
      <c r="J108" s="1926">
        <v>51.09</v>
      </c>
      <c r="K108" s="1926">
        <v>49.95</v>
      </c>
      <c r="L108" s="1926">
        <v>50.56</v>
      </c>
      <c r="M108" s="1926">
        <v>51.02</v>
      </c>
      <c r="N108" s="1926">
        <v>49.59</v>
      </c>
      <c r="O108" s="1926">
        <v>49.45</v>
      </c>
      <c r="P108" s="1926">
        <v>49.81</v>
      </c>
      <c r="Q108" s="1926">
        <v>49.22</v>
      </c>
      <c r="R108" s="1926">
        <v>48.33</v>
      </c>
      <c r="S108" s="1926">
        <v>46.15</v>
      </c>
      <c r="T108" s="1926">
        <v>46.26</v>
      </c>
      <c r="U108" s="1926">
        <v>46.37</v>
      </c>
      <c r="V108" s="1926">
        <v>46.47</v>
      </c>
      <c r="W108" s="1926">
        <v>46.58</v>
      </c>
      <c r="X108" s="1926">
        <v>46.69</v>
      </c>
      <c r="Y108" s="1926">
        <v>46.79</v>
      </c>
      <c r="Z108" s="1926">
        <v>46.9</v>
      </c>
      <c r="AA108" s="1926">
        <v>47</v>
      </c>
      <c r="AB108" s="1926">
        <v>47.11</v>
      </c>
      <c r="AC108" s="1926">
        <v>47.21</v>
      </c>
      <c r="AD108" s="1926">
        <v>46.9</v>
      </c>
      <c r="AE108" s="1926">
        <v>46.58</v>
      </c>
      <c r="AF108" s="1926">
        <v>46.27</v>
      </c>
      <c r="AG108" s="1926">
        <v>45.95</v>
      </c>
      <c r="AH108" s="1926">
        <v>45.64</v>
      </c>
    </row>
    <row r="109" spans="1:42">
      <c r="C109" s="1241" t="s">
        <v>305</v>
      </c>
      <c r="D109" s="1242">
        <f>D110*(1+$B$107)</f>
        <v>33.4831</v>
      </c>
      <c r="E109" s="1242">
        <f t="shared" ref="E109:AJ109" si="11">E110*(1+$B$107)</f>
        <v>37.703749999999999</v>
      </c>
      <c r="F109" s="1242">
        <f t="shared" si="11"/>
        <v>37.996700000000004</v>
      </c>
      <c r="G109" s="1242">
        <f t="shared" si="11"/>
        <v>37.096149999999994</v>
      </c>
      <c r="H109" s="1242">
        <f t="shared" si="11"/>
        <v>37.443349999999995</v>
      </c>
      <c r="I109" s="1242">
        <f t="shared" si="11"/>
        <v>38.181149999999995</v>
      </c>
      <c r="J109" s="1242">
        <f t="shared" si="11"/>
        <v>37.193800000000003</v>
      </c>
      <c r="K109" s="1242">
        <f t="shared" si="11"/>
        <v>37.248049999999999</v>
      </c>
      <c r="L109" s="1242">
        <f t="shared" si="11"/>
        <v>37.063599999999994</v>
      </c>
      <c r="M109" s="1242">
        <f t="shared" si="11"/>
        <v>36.325799999999994</v>
      </c>
      <c r="N109" s="1242">
        <f t="shared" si="11"/>
        <v>34.47045</v>
      </c>
      <c r="O109" s="1242">
        <f t="shared" si="11"/>
        <v>34.7851</v>
      </c>
      <c r="P109" s="1242">
        <f t="shared" si="11"/>
        <v>34.177500000000002</v>
      </c>
      <c r="Q109" s="1242">
        <f t="shared" si="11"/>
        <v>32.99485</v>
      </c>
      <c r="R109" s="1242">
        <f t="shared" si="11"/>
        <v>31.757949999999997</v>
      </c>
      <c r="S109" s="1242">
        <f t="shared" si="11"/>
        <v>28.752499999999998</v>
      </c>
      <c r="T109" s="1242">
        <f t="shared" si="11"/>
        <v>29.067149999999998</v>
      </c>
      <c r="U109" s="1242">
        <f t="shared" si="11"/>
        <v>29.370950000000001</v>
      </c>
      <c r="V109" s="1242">
        <f t="shared" si="11"/>
        <v>29.685599999999997</v>
      </c>
      <c r="W109" s="1242">
        <f t="shared" si="11"/>
        <v>29.9894</v>
      </c>
      <c r="X109" s="1242">
        <f t="shared" si="11"/>
        <v>30.30405</v>
      </c>
      <c r="Y109" s="1242">
        <f t="shared" si="11"/>
        <v>29.653049999999997</v>
      </c>
      <c r="Z109" s="1242">
        <f t="shared" si="11"/>
        <v>29.002050000000001</v>
      </c>
      <c r="AA109" s="1242">
        <f t="shared" si="11"/>
        <v>28.351049999999997</v>
      </c>
      <c r="AB109" s="1242">
        <f t="shared" si="11"/>
        <v>27.700050000000001</v>
      </c>
      <c r="AC109" s="1242">
        <f t="shared" si="11"/>
        <v>27.049049999999998</v>
      </c>
      <c r="AD109" s="1242">
        <f t="shared" si="11"/>
        <v>26.788650000000001</v>
      </c>
      <c r="AE109" s="1242">
        <f t="shared" si="11"/>
        <v>26.539100000000001</v>
      </c>
      <c r="AF109" s="1242">
        <f t="shared" si="11"/>
        <v>26.278699999999997</v>
      </c>
      <c r="AG109" s="1242">
        <f t="shared" si="11"/>
        <v>26.029149999999998</v>
      </c>
      <c r="AH109" s="1242">
        <f t="shared" si="11"/>
        <v>25.768750000000001</v>
      </c>
      <c r="AI109" s="1242">
        <f t="shared" si="11"/>
        <v>31.139499999999998</v>
      </c>
      <c r="AJ109" s="1242">
        <f t="shared" si="11"/>
        <v>30.032799999999998</v>
      </c>
    </row>
    <row r="110" spans="1:42">
      <c r="C110" s="100" t="s">
        <v>306</v>
      </c>
      <c r="D110" s="1440">
        <v>30.86</v>
      </c>
      <c r="E110" s="1440">
        <v>34.75</v>
      </c>
      <c r="F110" s="1440">
        <v>35.020000000000003</v>
      </c>
      <c r="G110" s="1440">
        <v>34.19</v>
      </c>
      <c r="H110" s="1440">
        <v>34.51</v>
      </c>
      <c r="I110" s="1440">
        <v>35.19</v>
      </c>
      <c r="J110" s="1440">
        <v>34.28</v>
      </c>
      <c r="K110" s="1440">
        <v>34.33</v>
      </c>
      <c r="L110" s="1440">
        <v>34.159999999999997</v>
      </c>
      <c r="M110" s="1440">
        <v>33.479999999999997</v>
      </c>
      <c r="N110" s="1440">
        <v>31.77</v>
      </c>
      <c r="O110" s="1440">
        <v>32.06</v>
      </c>
      <c r="P110" s="1440">
        <v>31.5</v>
      </c>
      <c r="Q110" s="1440">
        <v>30.41</v>
      </c>
      <c r="R110" s="1440">
        <v>29.27</v>
      </c>
      <c r="S110" s="1440">
        <v>26.5</v>
      </c>
      <c r="T110" s="1440">
        <v>26.79</v>
      </c>
      <c r="U110" s="1440">
        <v>27.07</v>
      </c>
      <c r="V110" s="1440">
        <v>27.36</v>
      </c>
      <c r="W110" s="1440">
        <v>27.64</v>
      </c>
      <c r="X110" s="1440">
        <v>27.93</v>
      </c>
      <c r="Y110" s="1440">
        <v>27.33</v>
      </c>
      <c r="Z110" s="1440">
        <v>26.73</v>
      </c>
      <c r="AA110" s="1440">
        <v>26.13</v>
      </c>
      <c r="AB110" s="1440">
        <v>25.53</v>
      </c>
      <c r="AC110" s="1440">
        <v>24.93</v>
      </c>
      <c r="AD110" s="1440">
        <v>24.69</v>
      </c>
      <c r="AE110" s="1440">
        <v>24.46</v>
      </c>
      <c r="AF110" s="1440">
        <v>24.22</v>
      </c>
      <c r="AG110" s="1440">
        <v>23.99</v>
      </c>
      <c r="AH110" s="1440">
        <v>23.75</v>
      </c>
      <c r="AI110" s="55">
        <v>28.7</v>
      </c>
      <c r="AJ110" s="55">
        <v>27.68</v>
      </c>
    </row>
    <row r="111" spans="1:42">
      <c r="C111" s="1241" t="s">
        <v>307</v>
      </c>
      <c r="D111" s="1925">
        <f>AVERAGE(D107,D109)</f>
        <v>43.660399999999996</v>
      </c>
      <c r="E111" s="1925">
        <f t="shared" ref="E111:AH111" si="12">AVERAGE(E107,E109)</f>
        <v>46.899124999999998</v>
      </c>
      <c r="F111" s="1925">
        <f t="shared" si="12"/>
        <v>46.763500000000001</v>
      </c>
      <c r="G111" s="1925">
        <f t="shared" si="12"/>
        <v>45.445224999999994</v>
      </c>
      <c r="H111" s="1925">
        <f t="shared" si="12"/>
        <v>45.770724999999999</v>
      </c>
      <c r="I111" s="1925">
        <f t="shared" si="12"/>
        <v>47.528424999999999</v>
      </c>
      <c r="J111" s="1925">
        <f t="shared" si="12"/>
        <v>46.313225000000003</v>
      </c>
      <c r="K111" s="1925">
        <f t="shared" si="12"/>
        <v>45.721900000000005</v>
      </c>
      <c r="L111" s="1925">
        <f t="shared" si="12"/>
        <v>45.960599999999999</v>
      </c>
      <c r="M111" s="1925">
        <f t="shared" si="12"/>
        <v>45.841250000000002</v>
      </c>
      <c r="N111" s="1925">
        <f t="shared" si="12"/>
        <v>44.137799999999999</v>
      </c>
      <c r="O111" s="1925">
        <f t="shared" si="12"/>
        <v>44.219175</v>
      </c>
      <c r="P111" s="1925">
        <f t="shared" si="12"/>
        <v>44.110675000000001</v>
      </c>
      <c r="Q111" s="1925">
        <f t="shared" si="12"/>
        <v>43.199275</v>
      </c>
      <c r="R111" s="1925">
        <f t="shared" si="12"/>
        <v>42.097999999999999</v>
      </c>
      <c r="S111" s="1925">
        <f t="shared" si="12"/>
        <v>39.412624999999998</v>
      </c>
      <c r="T111" s="1925">
        <f t="shared" si="12"/>
        <v>39.629624999999997</v>
      </c>
      <c r="U111" s="1925">
        <f t="shared" si="12"/>
        <v>39.841200000000001</v>
      </c>
      <c r="V111" s="1925">
        <f t="shared" si="12"/>
        <v>40.052774999999997</v>
      </c>
      <c r="W111" s="1925">
        <f t="shared" si="12"/>
        <v>40.26435</v>
      </c>
      <c r="X111" s="1925">
        <f t="shared" si="12"/>
        <v>40.481349999999999</v>
      </c>
      <c r="Y111" s="1925">
        <f t="shared" si="12"/>
        <v>40.210099999999997</v>
      </c>
      <c r="Z111" s="1925">
        <f t="shared" si="12"/>
        <v>39.944274999999998</v>
      </c>
      <c r="AA111" s="1925">
        <f t="shared" si="12"/>
        <v>39.673024999999996</v>
      </c>
      <c r="AB111" s="1925">
        <f t="shared" si="12"/>
        <v>39.407199999999996</v>
      </c>
      <c r="AC111" s="1925">
        <f t="shared" si="12"/>
        <v>39.135950000000001</v>
      </c>
      <c r="AD111" s="1925">
        <f t="shared" si="12"/>
        <v>38.837575000000001</v>
      </c>
      <c r="AE111" s="1925">
        <f t="shared" si="12"/>
        <v>38.539200000000001</v>
      </c>
      <c r="AF111" s="1925">
        <f t="shared" si="12"/>
        <v>38.240825000000001</v>
      </c>
      <c r="AG111" s="1925">
        <f t="shared" si="12"/>
        <v>37.942450000000001</v>
      </c>
      <c r="AH111" s="1925">
        <f t="shared" si="12"/>
        <v>37.644075000000001</v>
      </c>
      <c r="AI111" s="1">
        <v>44.64</v>
      </c>
      <c r="AJ111" s="1">
        <v>45.29</v>
      </c>
    </row>
    <row r="112" spans="1:42">
      <c r="C112" s="1244" t="s">
        <v>308</v>
      </c>
      <c r="D112" s="1440">
        <f>AVERAGE(D108,D110)</f>
        <v>40.239999999999995</v>
      </c>
      <c r="E112" s="1440">
        <f t="shared" ref="E112:AH112" si="13">AVERAGE(E108,E110)</f>
        <v>43.225000000000001</v>
      </c>
      <c r="F112" s="1440">
        <f t="shared" si="13"/>
        <v>43.1</v>
      </c>
      <c r="G112" s="1440">
        <f t="shared" si="13"/>
        <v>41.884999999999998</v>
      </c>
      <c r="H112" s="1440">
        <f t="shared" si="13"/>
        <v>42.185000000000002</v>
      </c>
      <c r="I112" s="1440">
        <f t="shared" si="13"/>
        <v>43.805</v>
      </c>
      <c r="J112" s="1440">
        <f t="shared" si="13"/>
        <v>42.685000000000002</v>
      </c>
      <c r="K112" s="1440">
        <f t="shared" si="13"/>
        <v>42.14</v>
      </c>
      <c r="L112" s="1440">
        <f t="shared" si="13"/>
        <v>42.36</v>
      </c>
      <c r="M112" s="1440">
        <f t="shared" si="13"/>
        <v>42.25</v>
      </c>
      <c r="N112" s="1440">
        <f t="shared" si="13"/>
        <v>40.68</v>
      </c>
      <c r="O112" s="1440">
        <f t="shared" si="13"/>
        <v>40.755000000000003</v>
      </c>
      <c r="P112" s="1440">
        <f t="shared" si="13"/>
        <v>40.655000000000001</v>
      </c>
      <c r="Q112" s="1440">
        <f t="shared" si="13"/>
        <v>39.814999999999998</v>
      </c>
      <c r="R112" s="1440">
        <f t="shared" si="13"/>
        <v>38.799999999999997</v>
      </c>
      <c r="S112" s="1440">
        <f t="shared" si="13"/>
        <v>36.325000000000003</v>
      </c>
      <c r="T112" s="1440">
        <f t="shared" si="13"/>
        <v>36.524999999999999</v>
      </c>
      <c r="U112" s="1440">
        <f t="shared" si="13"/>
        <v>36.72</v>
      </c>
      <c r="V112" s="1440">
        <f t="shared" si="13"/>
        <v>36.914999999999999</v>
      </c>
      <c r="W112" s="1440">
        <f t="shared" si="13"/>
        <v>37.11</v>
      </c>
      <c r="X112" s="1440">
        <f t="shared" si="13"/>
        <v>37.31</v>
      </c>
      <c r="Y112" s="1440">
        <f t="shared" si="13"/>
        <v>37.06</v>
      </c>
      <c r="Z112" s="1440">
        <f t="shared" si="13"/>
        <v>36.814999999999998</v>
      </c>
      <c r="AA112" s="1440">
        <f t="shared" si="13"/>
        <v>36.564999999999998</v>
      </c>
      <c r="AB112" s="1440">
        <f t="shared" si="13"/>
        <v>36.32</v>
      </c>
      <c r="AC112" s="1440">
        <f t="shared" si="13"/>
        <v>36.07</v>
      </c>
      <c r="AD112" s="1440">
        <f t="shared" si="13"/>
        <v>35.795000000000002</v>
      </c>
      <c r="AE112" s="1440">
        <f t="shared" si="13"/>
        <v>35.519999999999996</v>
      </c>
      <c r="AF112" s="1440">
        <f t="shared" si="13"/>
        <v>35.245000000000005</v>
      </c>
      <c r="AG112" s="1440">
        <f t="shared" si="13"/>
        <v>34.97</v>
      </c>
      <c r="AH112" s="1440">
        <f t="shared" si="13"/>
        <v>34.695</v>
      </c>
      <c r="AI112" s="1">
        <v>28.7</v>
      </c>
      <c r="AJ112" s="1">
        <v>27.68</v>
      </c>
      <c r="AO112" s="1441"/>
      <c r="AP112" s="1441"/>
    </row>
    <row r="113" spans="1:44" s="100" customFormat="1">
      <c r="A113" s="1"/>
      <c r="B113" s="1"/>
      <c r="C113" s="1"/>
      <c r="AI113" s="1"/>
      <c r="AJ113" s="1"/>
      <c r="AK113" s="1"/>
      <c r="AL113" s="1"/>
      <c r="AM113" s="1"/>
      <c r="AN113" s="1"/>
    </row>
    <row r="114" spans="1:44">
      <c r="A114" s="1" t="s">
        <v>309</v>
      </c>
      <c r="B114" s="1" t="s">
        <v>310</v>
      </c>
      <c r="C114" s="1" t="s">
        <v>311</v>
      </c>
      <c r="D114" s="1719">
        <v>2.5000000000000001E-2</v>
      </c>
      <c r="E114" s="1719">
        <v>2.5000000000000001E-2</v>
      </c>
      <c r="F114" s="1719">
        <v>2.5000000000000001E-2</v>
      </c>
      <c r="G114" s="1719">
        <v>2.5000000000000001E-2</v>
      </c>
      <c r="H114" s="1719">
        <v>2.5000000000000001E-2</v>
      </c>
      <c r="I114" s="1719">
        <v>2.5000000000000001E-2</v>
      </c>
      <c r="J114" s="1719">
        <v>2.5000000000000001E-2</v>
      </c>
      <c r="K114" s="1719">
        <v>2.5000000000000001E-2</v>
      </c>
      <c r="L114" s="1719">
        <v>2.5000000000000001E-2</v>
      </c>
      <c r="M114" s="1719">
        <v>2.5000000000000001E-2</v>
      </c>
      <c r="N114" s="1719">
        <v>2.5000000000000001E-2</v>
      </c>
      <c r="O114" s="1719">
        <v>2.5000000000000001E-2</v>
      </c>
      <c r="P114" s="1719">
        <v>2.5000000000000001E-2</v>
      </c>
      <c r="Q114" s="1719">
        <v>2.5000000000000001E-2</v>
      </c>
      <c r="R114" s="1719">
        <v>2.5000000000000001E-2</v>
      </c>
      <c r="S114" s="1719">
        <v>2.5000000000000001E-2</v>
      </c>
      <c r="T114" s="1719">
        <v>2.5000000000000001E-2</v>
      </c>
      <c r="U114" s="1719">
        <v>2.5000000000000001E-2</v>
      </c>
      <c r="V114" s="1719">
        <v>2.5000000000000001E-2</v>
      </c>
      <c r="W114" s="1719">
        <v>2.5000000000000001E-2</v>
      </c>
      <c r="X114" s="1719">
        <v>2.5000000000000001E-2</v>
      </c>
      <c r="Y114" s="1719">
        <v>2.5000000000000001E-2</v>
      </c>
      <c r="Z114" s="1719">
        <v>2.5000000000000001E-2</v>
      </c>
      <c r="AA114" s="1719">
        <v>2.5000000000000001E-2</v>
      </c>
      <c r="AB114" s="1719">
        <v>2.5000000000000001E-2</v>
      </c>
      <c r="AC114" s="1719">
        <v>2.5000000000000001E-2</v>
      </c>
      <c r="AD114" s="1719">
        <v>2.5000000000000001E-2</v>
      </c>
      <c r="AE114" s="1719">
        <v>2.5000000000000001E-2</v>
      </c>
      <c r="AF114" s="1719">
        <v>2.5000000000000001E-2</v>
      </c>
      <c r="AG114" s="1719">
        <v>2.5000000000000001E-2</v>
      </c>
      <c r="AH114" s="1719">
        <v>2.5000000000000001E-2</v>
      </c>
      <c r="AO114" s="1441"/>
      <c r="AP114" s="1441"/>
    </row>
    <row r="115" spans="1:44">
      <c r="A115" s="1" t="s">
        <v>312</v>
      </c>
      <c r="B115" s="1" t="s">
        <v>310</v>
      </c>
      <c r="C115" s="1" t="s">
        <v>311</v>
      </c>
      <c r="D115" s="1719">
        <v>2.5000000000000001E-2</v>
      </c>
      <c r="E115" s="1719">
        <v>2.5000000000000001E-2</v>
      </c>
      <c r="F115" s="1719">
        <v>2.5000000000000001E-2</v>
      </c>
      <c r="G115" s="1719">
        <v>2.5000000000000001E-2</v>
      </c>
      <c r="H115" s="1719">
        <v>2.5000000000000001E-2</v>
      </c>
      <c r="I115" s="1719">
        <v>2.5000000000000001E-2</v>
      </c>
      <c r="J115" s="1719">
        <v>2.5000000000000001E-2</v>
      </c>
      <c r="K115" s="1719">
        <v>2.5000000000000001E-2</v>
      </c>
      <c r="L115" s="1719">
        <v>2.5000000000000001E-2</v>
      </c>
      <c r="M115" s="1719">
        <v>2.5000000000000001E-2</v>
      </c>
      <c r="N115" s="1719">
        <v>2.5000000000000001E-2</v>
      </c>
      <c r="O115" s="1719">
        <v>2.5000000000000001E-2</v>
      </c>
      <c r="P115" s="1719">
        <v>2.5000000000000001E-2</v>
      </c>
      <c r="Q115" s="1719">
        <v>2.5000000000000001E-2</v>
      </c>
      <c r="R115" s="1719">
        <v>2.5000000000000001E-2</v>
      </c>
      <c r="S115" s="1719">
        <v>2.5000000000000001E-2</v>
      </c>
      <c r="T115" s="1719">
        <v>2.5000000000000001E-2</v>
      </c>
      <c r="U115" s="1719">
        <v>2.5000000000000001E-2</v>
      </c>
      <c r="V115" s="1719">
        <v>2.5000000000000001E-2</v>
      </c>
      <c r="W115" s="1719">
        <v>2.5000000000000001E-2</v>
      </c>
      <c r="X115" s="1719">
        <v>2.5000000000000001E-2</v>
      </c>
      <c r="Y115" s="1719">
        <v>2.5000000000000001E-2</v>
      </c>
      <c r="Z115" s="1719">
        <v>2.5000000000000001E-2</v>
      </c>
      <c r="AA115" s="1719">
        <v>2.5000000000000001E-2</v>
      </c>
      <c r="AB115" s="1719">
        <v>2.5000000000000001E-2</v>
      </c>
      <c r="AC115" s="1719">
        <v>2.5000000000000001E-2</v>
      </c>
      <c r="AD115" s="1719">
        <v>2.5000000000000001E-2</v>
      </c>
      <c r="AE115" s="1719">
        <v>2.5000000000000001E-2</v>
      </c>
      <c r="AF115" s="1719">
        <v>2.5000000000000001E-2</v>
      </c>
      <c r="AG115" s="1719">
        <v>2.5000000000000001E-2</v>
      </c>
      <c r="AH115" s="1719">
        <v>2.5000000000000001E-2</v>
      </c>
      <c r="AO115" s="1441"/>
      <c r="AP115" s="1441"/>
    </row>
    <row r="116" spans="1:44" s="68" customFormat="1">
      <c r="A116" s="66" t="s">
        <v>313</v>
      </c>
      <c r="B116" s="66"/>
      <c r="D116" s="1715">
        <v>1.1000000000000001</v>
      </c>
      <c r="E116" s="1715">
        <v>1.1200000000000001</v>
      </c>
      <c r="F116" s="1715">
        <v>1.1399999999999999</v>
      </c>
      <c r="G116" s="1715">
        <v>1.17</v>
      </c>
      <c r="H116" s="1715">
        <v>1.19</v>
      </c>
      <c r="I116" s="1715">
        <v>1.21</v>
      </c>
      <c r="J116" s="1715">
        <v>1.24</v>
      </c>
      <c r="K116" s="1715">
        <v>1.26</v>
      </c>
      <c r="L116" s="1715">
        <v>1.29</v>
      </c>
      <c r="M116" s="1715">
        <v>1.31</v>
      </c>
      <c r="N116" s="1715">
        <v>1.34</v>
      </c>
      <c r="O116" s="1715">
        <v>1.37</v>
      </c>
      <c r="P116" s="1715">
        <v>1.39</v>
      </c>
      <c r="Q116" s="1715">
        <v>1.42</v>
      </c>
      <c r="R116" s="1715">
        <v>1.45</v>
      </c>
      <c r="S116" s="1715">
        <v>1.48</v>
      </c>
      <c r="T116" s="1715">
        <v>1.51</v>
      </c>
      <c r="U116" s="1715">
        <v>1.54</v>
      </c>
      <c r="V116" s="1715">
        <v>1.57</v>
      </c>
      <c r="W116" s="1715">
        <v>1.6</v>
      </c>
      <c r="X116" s="1715">
        <v>1.63</v>
      </c>
      <c r="Y116" s="1715">
        <v>1.67</v>
      </c>
      <c r="Z116" s="1715">
        <v>1.7</v>
      </c>
      <c r="AA116" s="1715">
        <v>1.73</v>
      </c>
      <c r="AB116" s="1715">
        <v>1.77</v>
      </c>
      <c r="AC116" s="1715">
        <v>1.8</v>
      </c>
      <c r="AD116" s="1715">
        <v>1.84</v>
      </c>
      <c r="AE116" s="1243">
        <v>1.88</v>
      </c>
      <c r="AF116" s="1243">
        <v>1.91</v>
      </c>
      <c r="AG116" s="1243">
        <v>1.95</v>
      </c>
      <c r="AH116" s="1243">
        <v>1.99</v>
      </c>
      <c r="AI116" s="1"/>
      <c r="AJ116" s="1"/>
      <c r="AK116" s="1"/>
      <c r="AL116" s="1"/>
      <c r="AM116" s="1"/>
      <c r="AN116" s="1"/>
    </row>
    <row r="117" spans="1:44" s="68" customFormat="1">
      <c r="A117" s="66"/>
      <c r="B117" s="66"/>
      <c r="D117" s="66"/>
      <c r="E117" s="1649"/>
      <c r="F117" s="1649"/>
      <c r="G117" s="1649"/>
      <c r="H117" s="1649"/>
      <c r="I117" s="1649"/>
      <c r="J117" s="1649"/>
      <c r="K117" s="1649"/>
      <c r="L117" s="1649"/>
      <c r="M117" s="1649"/>
      <c r="N117" s="1649"/>
      <c r="O117" s="1649"/>
      <c r="P117" s="1649"/>
      <c r="Q117" s="1649"/>
      <c r="R117" s="1649"/>
      <c r="S117" s="1649"/>
      <c r="T117" s="1649"/>
      <c r="U117" s="1649"/>
      <c r="V117" s="1649"/>
      <c r="W117" s="1649"/>
      <c r="X117" s="1649"/>
      <c r="Y117" s="1649"/>
      <c r="Z117" s="1649"/>
      <c r="AA117" s="1649"/>
      <c r="AB117" s="1649"/>
      <c r="AC117" s="1649"/>
      <c r="AD117" s="1649"/>
      <c r="AE117" s="1649"/>
      <c r="AF117" s="1649"/>
      <c r="AG117" s="1649"/>
      <c r="AH117" s="1649"/>
      <c r="AI117" s="1"/>
      <c r="AJ117" s="1"/>
      <c r="AK117" s="1"/>
      <c r="AL117" s="1"/>
      <c r="AM117" s="1"/>
      <c r="AN117" s="1"/>
    </row>
    <row r="118" spans="1:44">
      <c r="A118" s="1" t="s">
        <v>300</v>
      </c>
      <c r="B118" s="1702" t="str">
        <f>Scenarios!E333</f>
        <v>EMS revenues - Afry Central case - 4h Degraded</v>
      </c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</row>
    <row r="119" spans="1:44">
      <c r="A119" s="1" t="s">
        <v>301</v>
      </c>
      <c r="B119" s="1702" t="str">
        <f>Scenarios!E334</f>
        <v>EMS revenues - Afry MidLow case - 4h Degraded</v>
      </c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</row>
    <row r="120" spans="1:44">
      <c r="A120" s="95"/>
      <c r="B120" s="98"/>
      <c r="D120" s="107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 spans="1:44">
      <c r="A121" s="1703" t="s">
        <v>314</v>
      </c>
      <c r="B121" s="9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 spans="1:44">
      <c r="A122" s="1704" t="str">
        <f>IF(Production_Scenario=sizing_scenario,B119,B118)</f>
        <v>EMS revenues - Afry Central case - 4h Degraded</v>
      </c>
      <c r="B122" s="98" t="s">
        <v>315</v>
      </c>
      <c r="C122" s="38" t="s">
        <v>316</v>
      </c>
      <c r="D122" s="1194">
        <f t="shared" ref="D122:AH122" si="14">(INDEX($D$123:$AH$127,MATCH($A$122,$A$123:$A$127,0),MATCH(D96,$D$96:$AH$96,0))*D130)</f>
        <v>313.93874325895109</v>
      </c>
      <c r="E122" s="1194">
        <f t="shared" si="14"/>
        <v>292.06218307740647</v>
      </c>
      <c r="F122" s="1194">
        <f t="shared" si="14"/>
        <v>269.18492189698554</v>
      </c>
      <c r="G122" s="1194">
        <f t="shared" si="14"/>
        <v>245.27569252839868</v>
      </c>
      <c r="H122" s="1194">
        <f t="shared" si="14"/>
        <v>246.53664091762957</v>
      </c>
      <c r="I122" s="1194">
        <f t="shared" si="14"/>
        <v>247.74996455906233</v>
      </c>
      <c r="J122" s="1194">
        <f t="shared" si="14"/>
        <v>248.91333350480988</v>
      </c>
      <c r="K122" s="1194">
        <f t="shared" si="14"/>
        <v>250.02410543071881</v>
      </c>
      <c r="L122" s="1194">
        <f t="shared" si="14"/>
        <v>251.07972053903194</v>
      </c>
      <c r="M122" s="1194">
        <f t="shared" si="14"/>
        <v>247.4686679742029</v>
      </c>
      <c r="N122" s="1194">
        <f t="shared" si="14"/>
        <v>243.61280907928719</v>
      </c>
      <c r="O122" s="1194">
        <f t="shared" si="14"/>
        <v>239.50368827334705</v>
      </c>
      <c r="P122" s="1194">
        <f t="shared" si="14"/>
        <v>235.13275818268431</v>
      </c>
      <c r="Q122" s="1194">
        <f t="shared" si="14"/>
        <v>230.49118965216772</v>
      </c>
      <c r="R122" s="1194">
        <f t="shared" si="14"/>
        <v>234.30970364642917</v>
      </c>
      <c r="S122" s="1194">
        <f t="shared" si="14"/>
        <v>238.18881821028094</v>
      </c>
      <c r="T122" s="1194">
        <f t="shared" si="14"/>
        <v>242.12932191951498</v>
      </c>
      <c r="U122" s="1194">
        <f t="shared" si="14"/>
        <v>246.13213579669323</v>
      </c>
      <c r="V122" s="1194">
        <f t="shared" si="14"/>
        <v>250.19831065267954</v>
      </c>
      <c r="W122" s="1194">
        <f t="shared" si="14"/>
        <v>252.31421751774667</v>
      </c>
      <c r="X122" s="1194">
        <f t="shared" si="14"/>
        <v>254.4147774321122</v>
      </c>
      <c r="Y122" s="1194">
        <f t="shared" si="14"/>
        <v>256.49838993814177</v>
      </c>
      <c r="Z122" s="1194">
        <f t="shared" si="14"/>
        <v>258.56351849409106</v>
      </c>
      <c r="AA122" s="1194">
        <f t="shared" si="14"/>
        <v>260.6086816862491</v>
      </c>
      <c r="AB122" s="1194">
        <f t="shared" si="14"/>
        <v>262.63229967692229</v>
      </c>
      <c r="AC122" s="1194">
        <f t="shared" si="14"/>
        <v>264.63255119784321</v>
      </c>
      <c r="AD122" s="1194">
        <f t="shared" si="14"/>
        <v>0</v>
      </c>
      <c r="AE122" s="1194">
        <f t="shared" si="14"/>
        <v>0</v>
      </c>
      <c r="AF122" s="1194">
        <f t="shared" si="14"/>
        <v>0</v>
      </c>
      <c r="AG122" s="1194">
        <f t="shared" si="14"/>
        <v>0</v>
      </c>
      <c r="AH122" s="1194">
        <f t="shared" si="14"/>
        <v>0</v>
      </c>
      <c r="AI122" s="1194"/>
      <c r="AJ122" s="1194"/>
      <c r="AK122" s="1194"/>
      <c r="AL122" s="1194"/>
      <c r="AM122" s="1194"/>
      <c r="AN122" s="1194"/>
      <c r="AO122" s="1194"/>
      <c r="AP122" s="1194"/>
      <c r="AQ122" s="1194"/>
      <c r="AR122" s="1194"/>
    </row>
    <row r="123" spans="1:44" ht="10.35" customHeight="1">
      <c r="A123" s="95" t="s">
        <v>317</v>
      </c>
      <c r="B123" s="98" t="s">
        <v>315</v>
      </c>
      <c r="C123" s="1372" t="s">
        <v>311</v>
      </c>
      <c r="D123" s="1705">
        <v>278.33176106580288</v>
      </c>
      <c r="E123" s="1705">
        <v>253.85917038529396</v>
      </c>
      <c r="F123" s="1705">
        <v>229.38657970478502</v>
      </c>
      <c r="G123" s="1705">
        <v>204.91398902427605</v>
      </c>
      <c r="H123" s="1705">
        <v>201.92892578116414</v>
      </c>
      <c r="I123" s="1705">
        <v>198.94386253805217</v>
      </c>
      <c r="J123" s="1705">
        <v>195.95879929494029</v>
      </c>
      <c r="K123" s="1705">
        <v>192.97373605182835</v>
      </c>
      <c r="L123" s="1705">
        <v>189.98867280871639</v>
      </c>
      <c r="M123" s="1705">
        <v>183.58454932944423</v>
      </c>
      <c r="N123" s="1705">
        <v>177.18042585017199</v>
      </c>
      <c r="O123" s="1705">
        <v>170.77630237089977</v>
      </c>
      <c r="P123" s="1705">
        <v>164.37217889162756</v>
      </c>
      <c r="Q123" s="1705">
        <v>157.96805541235537</v>
      </c>
      <c r="R123" s="1705">
        <v>157.43636195722931</v>
      </c>
      <c r="S123" s="1705">
        <v>156.90466850210331</v>
      </c>
      <c r="T123" s="1705">
        <v>156.37297504697725</v>
      </c>
      <c r="U123" s="1705">
        <v>155.84128159185124</v>
      </c>
      <c r="V123" s="1705">
        <v>155.30958813672521</v>
      </c>
      <c r="W123" s="1705">
        <v>153.55201700950514</v>
      </c>
      <c r="X123" s="1705">
        <v>151.79444588228512</v>
      </c>
      <c r="Y123" s="1705">
        <v>150.03687475506504</v>
      </c>
      <c r="Z123" s="1705">
        <v>148.27930362784502</v>
      </c>
      <c r="AA123" s="1705">
        <v>146.52173250062498</v>
      </c>
      <c r="AB123" s="1705">
        <v>144.76416137340496</v>
      </c>
      <c r="AC123" s="1705">
        <v>143.00659024618491</v>
      </c>
      <c r="AD123" s="1705"/>
      <c r="AE123" s="1705"/>
      <c r="AF123" s="1705"/>
      <c r="AG123" s="1705"/>
      <c r="AH123" s="1705"/>
      <c r="AI123" s="1705"/>
      <c r="AJ123" s="1705"/>
      <c r="AK123" s="1705"/>
      <c r="AL123" s="1705"/>
      <c r="AM123" s="1705"/>
      <c r="AN123" s="1705"/>
    </row>
    <row r="124" spans="1:44" ht="10.35" customHeight="1">
      <c r="A124" s="1706" t="s">
        <v>318</v>
      </c>
      <c r="B124" s="1707" t="s">
        <v>315</v>
      </c>
      <c r="C124" s="1147" t="s">
        <v>311</v>
      </c>
      <c r="D124" s="1708">
        <f>AVERAGE(D123,D125)</f>
        <v>237.99678928690145</v>
      </c>
      <c r="E124" s="1708">
        <f t="shared" ref="E124:AC124" si="15">AVERAGE(E123,E125)</f>
        <v>210.02901856064699</v>
      </c>
      <c r="F124" s="1708">
        <f t="shared" si="15"/>
        <v>190.05861427339249</v>
      </c>
      <c r="G124" s="1708">
        <f t="shared" si="15"/>
        <v>175.34359342213801</v>
      </c>
      <c r="H124" s="1708">
        <f t="shared" si="15"/>
        <v>171.76443195058206</v>
      </c>
      <c r="I124" s="1708">
        <f t="shared" si="15"/>
        <v>168.73157982502607</v>
      </c>
      <c r="J124" s="1708">
        <f t="shared" si="15"/>
        <v>168.59313931747016</v>
      </c>
      <c r="K124" s="1708">
        <f t="shared" si="15"/>
        <v>165.42324637791418</v>
      </c>
      <c r="L124" s="1708">
        <f t="shared" si="15"/>
        <v>159.3809772043582</v>
      </c>
      <c r="M124" s="1708">
        <f t="shared" si="15"/>
        <v>157.71075692072213</v>
      </c>
      <c r="N124" s="1708">
        <f t="shared" si="15"/>
        <v>162.419870737086</v>
      </c>
      <c r="O124" s="1708">
        <f t="shared" si="15"/>
        <v>153.36167817544987</v>
      </c>
      <c r="P124" s="1708">
        <f t="shared" si="15"/>
        <v>148.65804024081376</v>
      </c>
      <c r="Q124" s="1708">
        <f t="shared" si="15"/>
        <v>139.76169993917767</v>
      </c>
      <c r="R124" s="1708">
        <f t="shared" si="15"/>
        <v>138.76140959621466</v>
      </c>
      <c r="S124" s="1708">
        <f t="shared" si="15"/>
        <v>137.76111925325165</v>
      </c>
      <c r="T124" s="1708">
        <f t="shared" si="15"/>
        <v>136.76082891028864</v>
      </c>
      <c r="U124" s="1708">
        <f t="shared" si="15"/>
        <v>135.76053856732563</v>
      </c>
      <c r="V124" s="1708">
        <f t="shared" si="15"/>
        <v>134.76024822436261</v>
      </c>
      <c r="W124" s="1708">
        <f t="shared" si="15"/>
        <v>132.89876639155256</v>
      </c>
      <c r="X124" s="1708">
        <f t="shared" si="15"/>
        <v>131.03728455874256</v>
      </c>
      <c r="Y124" s="1708">
        <f t="shared" si="15"/>
        <v>129.1758027259325</v>
      </c>
      <c r="Z124" s="1708">
        <f t="shared" si="15"/>
        <v>127.3143208931225</v>
      </c>
      <c r="AA124" s="1708">
        <f t="shared" si="15"/>
        <v>125.45283906031248</v>
      </c>
      <c r="AB124" s="1708">
        <f t="shared" si="15"/>
        <v>123.65955461290247</v>
      </c>
      <c r="AC124" s="1708">
        <f t="shared" si="15"/>
        <v>121.86627016549245</v>
      </c>
      <c r="AD124" s="1705"/>
      <c r="AE124" s="1705"/>
      <c r="AF124" s="1705"/>
      <c r="AG124" s="1705"/>
      <c r="AH124" s="1705"/>
      <c r="AI124" s="1705"/>
      <c r="AJ124" s="1705"/>
      <c r="AK124" s="1705"/>
      <c r="AL124" s="1705"/>
      <c r="AM124" s="1705"/>
      <c r="AN124" s="1705"/>
    </row>
    <row r="125" spans="1:44" ht="10.35" customHeight="1">
      <c r="A125" s="1706" t="s">
        <v>319</v>
      </c>
      <c r="B125" s="1707" t="s">
        <v>315</v>
      </c>
      <c r="C125" s="1147" t="s">
        <v>311</v>
      </c>
      <c r="D125" s="1708">
        <v>197.66181750799998</v>
      </c>
      <c r="E125" s="1708">
        <v>166.19886673599999</v>
      </c>
      <c r="F125" s="1708">
        <v>150.73064884199999</v>
      </c>
      <c r="G125" s="1708">
        <v>145.77319781999998</v>
      </c>
      <c r="H125" s="1708">
        <v>141.59993811999999</v>
      </c>
      <c r="I125" s="1708">
        <v>138.519297112</v>
      </c>
      <c r="J125" s="1708">
        <v>141.22747934</v>
      </c>
      <c r="K125" s="1708">
        <v>137.87275670400001</v>
      </c>
      <c r="L125" s="1708">
        <v>128.77328159999999</v>
      </c>
      <c r="M125" s="1708">
        <v>131.83696451200001</v>
      </c>
      <c r="N125" s="1708">
        <v>147.65931562399999</v>
      </c>
      <c r="O125" s="1708">
        <v>135.94705397999999</v>
      </c>
      <c r="P125" s="1708">
        <v>132.94390159</v>
      </c>
      <c r="Q125" s="1708">
        <v>121.55534446600001</v>
      </c>
      <c r="R125" s="1708">
        <v>120.0864572352</v>
      </c>
      <c r="S125" s="1708">
        <v>118.61757000439999</v>
      </c>
      <c r="T125" s="1708">
        <v>117.1486827736</v>
      </c>
      <c r="U125" s="1708">
        <v>115.67979554279999</v>
      </c>
      <c r="V125" s="1708">
        <v>114.21090831199999</v>
      </c>
      <c r="W125" s="1708">
        <v>112.24551577359999</v>
      </c>
      <c r="X125" s="1708">
        <v>110.28012323519999</v>
      </c>
      <c r="Y125" s="1708">
        <v>108.31473069679998</v>
      </c>
      <c r="Z125" s="1708">
        <v>106.34933815839999</v>
      </c>
      <c r="AA125" s="1708">
        <v>104.38394561999999</v>
      </c>
      <c r="AB125" s="1708">
        <v>102.55494785239999</v>
      </c>
      <c r="AC125" s="1708">
        <v>100.72595008479999</v>
      </c>
      <c r="AD125" s="1705"/>
      <c r="AE125" s="1705"/>
      <c r="AF125" s="1705"/>
      <c r="AG125" s="1705"/>
      <c r="AH125" s="1705"/>
      <c r="AI125" s="1705"/>
      <c r="AJ125" s="1705"/>
      <c r="AK125" s="1705"/>
      <c r="AL125" s="1705"/>
      <c r="AM125" s="1705"/>
      <c r="AN125" s="1705"/>
    </row>
    <row r="126" spans="1:44" ht="10.35" customHeight="1">
      <c r="A126" s="1706" t="s">
        <v>320</v>
      </c>
      <c r="B126" s="1707" t="s">
        <v>315</v>
      </c>
      <c r="C126" s="1147" t="s">
        <v>311</v>
      </c>
      <c r="D126" s="1708">
        <v>213.8914163718002</v>
      </c>
      <c r="E126" s="1708">
        <v>196.34525777351263</v>
      </c>
      <c r="F126" s="1708">
        <v>184.6405204879236</v>
      </c>
      <c r="G126" s="1708">
        <v>174.6419765485893</v>
      </c>
      <c r="H126" s="1708">
        <v>178.82233957236897</v>
      </c>
      <c r="I126" s="1708">
        <v>177.60632928049367</v>
      </c>
      <c r="J126" s="1708">
        <v>172.31595792096178</v>
      </c>
      <c r="K126" s="1708">
        <v>171.27276970283387</v>
      </c>
      <c r="L126" s="1708">
        <v>180.37192401571855</v>
      </c>
      <c r="M126" s="1708">
        <v>174.29196116049314</v>
      </c>
      <c r="N126" s="1708">
        <v>168.21199830526774</v>
      </c>
      <c r="O126" s="1708">
        <v>162.13203545004231</v>
      </c>
      <c r="P126" s="1708">
        <v>156.05207259481691</v>
      </c>
      <c r="Q126" s="1708">
        <v>149.9721097395915</v>
      </c>
      <c r="R126" s="1708">
        <v>149.46732926994633</v>
      </c>
      <c r="S126" s="1708">
        <v>148.96254880030116</v>
      </c>
      <c r="T126" s="1708">
        <v>148.45776833065599</v>
      </c>
      <c r="U126" s="1708">
        <v>147.95298786101083</v>
      </c>
      <c r="V126" s="1708">
        <v>147.44820739136566</v>
      </c>
      <c r="W126" s="1708">
        <v>145.77960009428577</v>
      </c>
      <c r="X126" s="1708">
        <v>144.11099279720582</v>
      </c>
      <c r="Y126" s="1708">
        <v>142.44238550012591</v>
      </c>
      <c r="Z126" s="1708">
        <v>140.77377820304599</v>
      </c>
      <c r="AA126" s="1708">
        <v>139.10517090596608</v>
      </c>
      <c r="AB126" s="1708">
        <v>137.43656360888616</v>
      </c>
      <c r="AC126" s="1708">
        <v>135.76795631180624</v>
      </c>
      <c r="AD126" s="1705"/>
      <c r="AE126" s="1705"/>
      <c r="AF126" s="1705"/>
      <c r="AG126" s="1705"/>
      <c r="AH126" s="1705"/>
      <c r="AI126" s="1705"/>
      <c r="AJ126" s="1705"/>
      <c r="AK126" s="1705"/>
      <c r="AL126" s="1705"/>
      <c r="AM126" s="1705"/>
      <c r="AN126" s="1705"/>
    </row>
    <row r="127" spans="1:44">
      <c r="A127" s="95" t="s">
        <v>321</v>
      </c>
      <c r="C127" s="1147" t="s">
        <v>311</v>
      </c>
      <c r="D127" s="1705">
        <f t="shared" ref="D127:AH127" si="16">D122</f>
        <v>313.93874325895109</v>
      </c>
      <c r="E127" s="1705">
        <f t="shared" si="16"/>
        <v>292.06218307740647</v>
      </c>
      <c r="F127" s="1705">
        <f t="shared" si="16"/>
        <v>269.18492189698554</v>
      </c>
      <c r="G127" s="1705">
        <f t="shared" si="16"/>
        <v>245.27569252839868</v>
      </c>
      <c r="H127" s="1705">
        <f t="shared" si="16"/>
        <v>246.53664091762957</v>
      </c>
      <c r="I127" s="1705">
        <f t="shared" si="16"/>
        <v>247.74996455906233</v>
      </c>
      <c r="J127" s="1705">
        <f t="shared" si="16"/>
        <v>248.91333350480988</v>
      </c>
      <c r="K127" s="1705">
        <f t="shared" si="16"/>
        <v>250.02410543071881</v>
      </c>
      <c r="L127" s="1705">
        <f t="shared" si="16"/>
        <v>251.07972053903194</v>
      </c>
      <c r="M127" s="1705">
        <f t="shared" si="16"/>
        <v>247.4686679742029</v>
      </c>
      <c r="N127" s="1705">
        <f t="shared" si="16"/>
        <v>243.61280907928719</v>
      </c>
      <c r="O127" s="1705">
        <f t="shared" si="16"/>
        <v>239.50368827334705</v>
      </c>
      <c r="P127" s="1705">
        <f t="shared" si="16"/>
        <v>235.13275818268431</v>
      </c>
      <c r="Q127" s="1705">
        <f t="shared" si="16"/>
        <v>230.49118965216772</v>
      </c>
      <c r="R127" s="1705">
        <f t="shared" si="16"/>
        <v>234.30970364642917</v>
      </c>
      <c r="S127" s="1705">
        <f t="shared" si="16"/>
        <v>238.18881821028094</v>
      </c>
      <c r="T127" s="1705">
        <f t="shared" si="16"/>
        <v>242.12932191951498</v>
      </c>
      <c r="U127" s="1705">
        <f t="shared" si="16"/>
        <v>246.13213579669323</v>
      </c>
      <c r="V127" s="1705">
        <f t="shared" si="16"/>
        <v>250.19831065267954</v>
      </c>
      <c r="W127" s="1705">
        <f t="shared" si="16"/>
        <v>252.31421751774667</v>
      </c>
      <c r="X127" s="1705">
        <f t="shared" si="16"/>
        <v>254.4147774321122</v>
      </c>
      <c r="Y127" s="1705">
        <f t="shared" si="16"/>
        <v>256.49838993814177</v>
      </c>
      <c r="Z127" s="1705">
        <f t="shared" si="16"/>
        <v>258.56351849409106</v>
      </c>
      <c r="AA127" s="1705">
        <f t="shared" si="16"/>
        <v>260.6086816862491</v>
      </c>
      <c r="AB127" s="1705">
        <f t="shared" si="16"/>
        <v>262.63229967692229</v>
      </c>
      <c r="AC127" s="1705">
        <f t="shared" si="16"/>
        <v>264.63255119784321</v>
      </c>
      <c r="AD127" s="1705">
        <f t="shared" si="16"/>
        <v>0</v>
      </c>
      <c r="AE127" s="1705">
        <f t="shared" si="16"/>
        <v>0</v>
      </c>
      <c r="AF127" s="1705">
        <f t="shared" si="16"/>
        <v>0</v>
      </c>
      <c r="AG127" s="1705">
        <f t="shared" si="16"/>
        <v>0</v>
      </c>
      <c r="AH127" s="1705">
        <f t="shared" si="16"/>
        <v>0</v>
      </c>
      <c r="AI127" s="1705"/>
      <c r="AJ127" s="1705"/>
      <c r="AK127" s="1705"/>
      <c r="AL127" s="1705"/>
      <c r="AM127" s="1705"/>
      <c r="AN127" s="1705"/>
    </row>
    <row r="128" spans="1:44">
      <c r="A128" s="95"/>
      <c r="U128" s="1">
        <v>44.919000000000004</v>
      </c>
    </row>
    <row r="129" spans="1:44">
      <c r="A129" s="51" t="s">
        <v>322</v>
      </c>
      <c r="B129" s="1635">
        <v>0.02</v>
      </c>
      <c r="C129" s="1147"/>
      <c r="D129" s="1147"/>
      <c r="E129" s="1147"/>
      <c r="F129" s="1147"/>
      <c r="G129" s="1147"/>
      <c r="H129" s="1147"/>
      <c r="I129" s="1147"/>
      <c r="J129" s="1147"/>
      <c r="K129" s="1147"/>
      <c r="L129" s="1147"/>
      <c r="M129" s="1147"/>
      <c r="N129" s="1147"/>
      <c r="O129" s="1147"/>
      <c r="P129" s="1147"/>
      <c r="Q129" s="1147"/>
      <c r="R129" s="1147"/>
      <c r="S129" s="1147"/>
      <c r="T129" s="1147"/>
      <c r="U129" s="1147"/>
      <c r="V129" s="1147"/>
      <c r="W129" s="1147"/>
      <c r="X129" s="1147"/>
      <c r="Y129" s="1147"/>
      <c r="Z129" s="1147"/>
      <c r="AA129" s="1147"/>
      <c r="AB129" s="1147"/>
      <c r="AC129" s="1147"/>
      <c r="AD129" s="1147"/>
      <c r="AE129" s="1147"/>
      <c r="AF129" s="1147"/>
      <c r="AG129" s="1147"/>
      <c r="AH129" s="1147"/>
      <c r="AI129" s="1147"/>
      <c r="AJ129" s="1147"/>
      <c r="AK129" s="1147"/>
      <c r="AL129" s="1147"/>
      <c r="AM129" s="1147"/>
      <c r="AN129" s="1147"/>
      <c r="AO129" s="1147"/>
      <c r="AP129" s="1147"/>
      <c r="AQ129" s="1147"/>
      <c r="AR129" s="1147"/>
    </row>
    <row r="130" spans="1:44">
      <c r="A130" s="51" t="s">
        <v>323</v>
      </c>
      <c r="B130" s="1714">
        <v>2025</v>
      </c>
      <c r="C130" s="1147"/>
      <c r="D130" s="1715">
        <v>1.1279300000000001</v>
      </c>
      <c r="E130" s="1715">
        <v>1.1504890000000001</v>
      </c>
      <c r="F130" s="1715">
        <v>1.1734990000000001</v>
      </c>
      <c r="G130" s="1715">
        <v>1.1969689999999999</v>
      </c>
      <c r="H130" s="1715">
        <v>1.2209080000000001</v>
      </c>
      <c r="I130" s="1715">
        <v>1.2453259999999999</v>
      </c>
      <c r="J130" s="1715">
        <v>1.2702329999999999</v>
      </c>
      <c r="K130" s="1715">
        <v>1.2956380000000001</v>
      </c>
      <c r="L130" s="1715">
        <v>1.3215509999999999</v>
      </c>
      <c r="M130" s="1715">
        <v>1.347982</v>
      </c>
      <c r="N130" s="1715">
        <v>1.3749420000000001</v>
      </c>
      <c r="O130" s="1715">
        <v>1.402441</v>
      </c>
      <c r="P130" s="1715">
        <v>1.43049</v>
      </c>
      <c r="Q130" s="1715">
        <v>1.4591000000000001</v>
      </c>
      <c r="R130" s="1715">
        <v>1.4882820000000001</v>
      </c>
      <c r="S130" s="1715">
        <v>1.5180480000000001</v>
      </c>
      <c r="T130" s="1715">
        <v>1.5484089999999999</v>
      </c>
      <c r="U130" s="1715">
        <v>1.579377</v>
      </c>
      <c r="V130" s="1715">
        <v>1.610965</v>
      </c>
      <c r="W130" s="1715">
        <v>1.643184</v>
      </c>
      <c r="X130" s="1715">
        <v>1.676048</v>
      </c>
      <c r="Y130" s="1715">
        <v>1.7095689999999999</v>
      </c>
      <c r="Z130" s="1715">
        <v>1.74376</v>
      </c>
      <c r="AA130" s="1715">
        <v>1.778635</v>
      </c>
      <c r="AB130" s="1715">
        <v>1.814208</v>
      </c>
      <c r="AC130" s="1715">
        <v>1.850492</v>
      </c>
      <c r="AD130" s="1715">
        <v>1.887502</v>
      </c>
      <c r="AE130" s="1243">
        <v>1.925252</v>
      </c>
      <c r="AF130" s="1243">
        <v>1.963757</v>
      </c>
      <c r="AG130" s="1243">
        <v>2.0030320000000001</v>
      </c>
      <c r="AH130" s="1243">
        <v>2.0430929999999998</v>
      </c>
      <c r="AI130" s="1147">
        <f t="shared" ref="AI130:AR130" si="17">(1+AI129)*(1+AH130)-1</f>
        <v>2.0430929999999998</v>
      </c>
      <c r="AJ130" s="1147">
        <f t="shared" si="17"/>
        <v>2.0430929999999998</v>
      </c>
      <c r="AK130" s="1147">
        <f t="shared" si="17"/>
        <v>2.0430929999999998</v>
      </c>
      <c r="AL130" s="1147">
        <f t="shared" si="17"/>
        <v>2.0430929999999998</v>
      </c>
      <c r="AM130" s="1147">
        <f t="shared" si="17"/>
        <v>2.0430929999999998</v>
      </c>
      <c r="AN130" s="1147">
        <f t="shared" si="17"/>
        <v>2.0430929999999998</v>
      </c>
      <c r="AO130" s="1147">
        <f t="shared" si="17"/>
        <v>2.0430929999999998</v>
      </c>
      <c r="AP130" s="1147">
        <f t="shared" si="17"/>
        <v>2.0430929999999998</v>
      </c>
      <c r="AQ130" s="1147">
        <f t="shared" si="17"/>
        <v>2.0430929999999998</v>
      </c>
      <c r="AR130" s="1147">
        <f t="shared" si="17"/>
        <v>2.0430929999999998</v>
      </c>
    </row>
    <row r="131" spans="1:44" s="68" customFormat="1">
      <c r="A131" s="66"/>
      <c r="B131" s="66"/>
      <c r="D131" s="66"/>
      <c r="E131" s="1649"/>
      <c r="F131" s="1649"/>
      <c r="G131" s="1649"/>
      <c r="H131" s="1649"/>
      <c r="I131" s="1649"/>
      <c r="J131" s="1649"/>
      <c r="K131" s="1649"/>
      <c r="L131" s="1649"/>
      <c r="M131" s="1649"/>
      <c r="N131" s="1649"/>
      <c r="O131" s="1649"/>
      <c r="P131" s="1649"/>
      <c r="Q131" s="1649"/>
      <c r="R131" s="1649"/>
      <c r="S131" s="1649"/>
      <c r="T131" s="1649"/>
      <c r="U131" s="1649"/>
      <c r="V131" s="1649"/>
      <c r="W131" s="1649"/>
      <c r="X131" s="1649"/>
      <c r="Y131" s="1649"/>
      <c r="Z131" s="1649"/>
      <c r="AA131" s="1649"/>
      <c r="AB131" s="1649"/>
      <c r="AC131" s="1649"/>
      <c r="AD131" s="1649"/>
      <c r="AE131" s="1649"/>
      <c r="AF131" s="1649"/>
      <c r="AG131" s="1649"/>
      <c r="AH131" s="1649"/>
      <c r="AI131" s="1"/>
      <c r="AJ131" s="1"/>
      <c r="AK131" s="1"/>
      <c r="AL131" s="1"/>
      <c r="AM131" s="1"/>
      <c r="AN131" s="1"/>
    </row>
    <row r="132" spans="1:44" s="38" customFormat="1">
      <c r="A132" s="54" t="s">
        <v>324</v>
      </c>
      <c r="B132" s="55"/>
      <c r="C132" s="55"/>
      <c r="D132" s="55"/>
      <c r="E132" s="56"/>
      <c r="F132" s="57"/>
      <c r="G132" s="55"/>
      <c r="H132" s="55"/>
      <c r="I132" s="55"/>
      <c r="J132" s="55"/>
      <c r="K132" s="55"/>
      <c r="L132" s="58"/>
      <c r="M132" s="58"/>
      <c r="N132" s="58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60"/>
      <c r="AA132" s="60"/>
      <c r="AB132" s="60"/>
      <c r="AC132" s="60"/>
      <c r="AD132" s="60"/>
      <c r="AE132" s="60"/>
      <c r="AF132" s="60"/>
      <c r="AG132" s="60"/>
      <c r="AH132" s="60"/>
      <c r="AI132" s="37"/>
      <c r="AJ132" s="37"/>
      <c r="AK132" s="37"/>
      <c r="AL132" s="37"/>
      <c r="AM132" s="37"/>
      <c r="AN132" s="37"/>
      <c r="AO132" s="37"/>
      <c r="AP132" s="37"/>
    </row>
    <row r="133" spans="1:44" s="38" customFormat="1">
      <c r="A133" s="32"/>
      <c r="B133" s="3"/>
      <c r="D133" s="3"/>
      <c r="E133" s="109"/>
      <c r="F133" s="62"/>
      <c r="G133" s="62"/>
      <c r="H133" s="62"/>
      <c r="I133" s="64"/>
      <c r="U133" s="110"/>
      <c r="Y133" s="111"/>
      <c r="Z133" s="111"/>
      <c r="AA133" s="112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</row>
    <row r="134" spans="1:44" s="38" customFormat="1">
      <c r="A134" s="1" t="s">
        <v>325</v>
      </c>
      <c r="B134" s="3"/>
      <c r="D134" s="848">
        <v>0</v>
      </c>
      <c r="E134" s="109"/>
      <c r="F134" s="62"/>
      <c r="G134" s="949"/>
      <c r="H134" s="949"/>
      <c r="I134" s="64"/>
      <c r="U134" s="110"/>
      <c r="Y134" s="111"/>
      <c r="Z134" s="111"/>
      <c r="AA134" s="112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</row>
    <row r="135" spans="1:44" s="38" customFormat="1">
      <c r="A135" s="3" t="s">
        <v>326</v>
      </c>
      <c r="B135" s="3"/>
      <c r="D135" s="1071">
        <v>1</v>
      </c>
      <c r="E135" s="109"/>
      <c r="F135" s="62"/>
      <c r="G135" s="62"/>
      <c r="H135" s="62"/>
      <c r="I135" s="64"/>
      <c r="J135" s="64"/>
      <c r="U135" s="110"/>
      <c r="Y135" s="111"/>
      <c r="Z135" s="111"/>
      <c r="AA135" s="112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</row>
    <row r="136" spans="1:44"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44">
      <c r="A137" s="5" t="s">
        <v>327</v>
      </c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"/>
      <c r="AJ137" s="4"/>
      <c r="AK137" s="4"/>
      <c r="AL137" s="4"/>
      <c r="AM137" s="4"/>
      <c r="AN137" s="4"/>
      <c r="AO137" s="4"/>
      <c r="AP137" s="4"/>
    </row>
    <row r="138" spans="1:44">
      <c r="A138" s="6"/>
      <c r="B138" s="6"/>
      <c r="C138" s="6"/>
      <c r="D138" s="113"/>
      <c r="E138" s="6"/>
      <c r="F138" s="6"/>
      <c r="G138" s="6"/>
      <c r="H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44">
      <c r="A139" s="3" t="s">
        <v>327</v>
      </c>
      <c r="B139" s="3"/>
      <c r="D139" s="1072" t="b">
        <v>1</v>
      </c>
      <c r="E139" s="105">
        <f>E96</f>
        <v>2031</v>
      </c>
      <c r="F139" s="106">
        <f t="shared" ref="F139:F140" si="18">E139+1</f>
        <v>2032</v>
      </c>
      <c r="G139" s="106">
        <f t="shared" ref="G139:G140" si="19">F139+1</f>
        <v>2033</v>
      </c>
      <c r="H139" s="106">
        <f t="shared" ref="H139:H140" si="20">G139+1</f>
        <v>2034</v>
      </c>
      <c r="I139" s="106">
        <f t="shared" ref="I139:I140" si="21">H139+1</f>
        <v>2035</v>
      </c>
      <c r="J139" s="106">
        <f t="shared" ref="J139:J140" si="22">I139+1</f>
        <v>2036</v>
      </c>
      <c r="K139" s="106">
        <f t="shared" ref="K139:K140" si="23">J139+1</f>
        <v>2037</v>
      </c>
      <c r="L139" s="106">
        <f t="shared" ref="L139:L140" si="24">K139+1</f>
        <v>2038</v>
      </c>
      <c r="M139" s="106">
        <f t="shared" ref="M139:M140" si="25">L139+1</f>
        <v>2039</v>
      </c>
      <c r="N139" s="106">
        <f t="shared" ref="N139:N140" si="26">M139+1</f>
        <v>2040</v>
      </c>
      <c r="O139" s="106">
        <f t="shared" ref="O139:O140" si="27">N139+1</f>
        <v>2041</v>
      </c>
      <c r="P139" s="106">
        <f t="shared" ref="P139:P140" si="28">O139+1</f>
        <v>2042</v>
      </c>
      <c r="Q139" s="106">
        <f t="shared" ref="Q139:Q140" si="29">P139+1</f>
        <v>2043</v>
      </c>
      <c r="R139" s="106">
        <f t="shared" ref="R139:R140" si="30">Q139+1</f>
        <v>2044</v>
      </c>
      <c r="S139" s="106">
        <f t="shared" ref="S139:S140" si="31">R139+1</f>
        <v>2045</v>
      </c>
      <c r="T139" s="106">
        <f t="shared" ref="T139:T140" si="32">S139+1</f>
        <v>2046</v>
      </c>
      <c r="U139" s="106">
        <f t="shared" ref="U139:U140" si="33">T139+1</f>
        <v>2047</v>
      </c>
      <c r="V139" s="106">
        <f t="shared" ref="V139:V140" si="34">U139+1</f>
        <v>2048</v>
      </c>
      <c r="W139" s="106">
        <f t="shared" ref="W139:W140" si="35">V139+1</f>
        <v>2049</v>
      </c>
      <c r="X139" s="106">
        <f t="shared" ref="X139:X140" si="36">W139+1</f>
        <v>2050</v>
      </c>
      <c r="Y139" s="106">
        <f t="shared" ref="Y139:Y140" si="37">X139+1</f>
        <v>2051</v>
      </c>
      <c r="Z139" s="106">
        <f t="shared" ref="Z139:Z140" si="38">Y139+1</f>
        <v>2052</v>
      </c>
      <c r="AA139" s="106">
        <f t="shared" ref="AA139:AA140" si="39">Z139+1</f>
        <v>2053</v>
      </c>
      <c r="AB139" s="106">
        <f t="shared" ref="AB139:AB140" si="40">AA139+1</f>
        <v>2054</v>
      </c>
      <c r="AC139" s="106">
        <f t="shared" ref="AC139:AC140" si="41">AB139+1</f>
        <v>2055</v>
      </c>
      <c r="AD139" s="106">
        <f t="shared" ref="AD139:AD140" si="42">AC139+1</f>
        <v>2056</v>
      </c>
      <c r="AE139" s="106">
        <f t="shared" ref="AE139:AE140" si="43">AD139+1</f>
        <v>2057</v>
      </c>
      <c r="AF139" s="106">
        <f t="shared" ref="AF139:AF140" si="44">AE139+1</f>
        <v>2058</v>
      </c>
      <c r="AG139" s="106">
        <f t="shared" ref="AG139:AG140" si="45">AF139+1</f>
        <v>2059</v>
      </c>
      <c r="AH139" s="106">
        <f t="shared" ref="AH139:AH140" si="46">AG139+1</f>
        <v>2060</v>
      </c>
      <c r="AI139" s="4"/>
      <c r="AJ139" s="4"/>
      <c r="AK139" s="4"/>
      <c r="AL139" s="4"/>
      <c r="AM139" s="4"/>
      <c r="AN139" s="4"/>
      <c r="AO139" s="4"/>
      <c r="AP139" s="4"/>
    </row>
    <row r="140" spans="1:44">
      <c r="A140" s="114" t="s">
        <v>328</v>
      </c>
      <c r="D140" s="1073">
        <v>1</v>
      </c>
      <c r="E140" s="116">
        <f>E97</f>
        <v>1</v>
      </c>
      <c r="F140" s="116">
        <f t="shared" si="18"/>
        <v>2</v>
      </c>
      <c r="G140" s="116">
        <f t="shared" si="19"/>
        <v>3</v>
      </c>
      <c r="H140" s="116">
        <f t="shared" si="20"/>
        <v>4</v>
      </c>
      <c r="I140" s="116">
        <f t="shared" si="21"/>
        <v>5</v>
      </c>
      <c r="J140" s="116">
        <f t="shared" si="22"/>
        <v>6</v>
      </c>
      <c r="K140" s="116">
        <f t="shared" si="23"/>
        <v>7</v>
      </c>
      <c r="L140" s="116">
        <f t="shared" si="24"/>
        <v>8</v>
      </c>
      <c r="M140" s="116">
        <f t="shared" si="25"/>
        <v>9</v>
      </c>
      <c r="N140" s="116">
        <f t="shared" si="26"/>
        <v>10</v>
      </c>
      <c r="O140" s="116">
        <f t="shared" si="27"/>
        <v>11</v>
      </c>
      <c r="P140" s="116">
        <f t="shared" si="28"/>
        <v>12</v>
      </c>
      <c r="Q140" s="116">
        <f t="shared" si="29"/>
        <v>13</v>
      </c>
      <c r="R140" s="116">
        <f t="shared" si="30"/>
        <v>14</v>
      </c>
      <c r="S140" s="116">
        <f t="shared" si="31"/>
        <v>15</v>
      </c>
      <c r="T140" s="116">
        <f t="shared" si="32"/>
        <v>16</v>
      </c>
      <c r="U140" s="116">
        <f t="shared" si="33"/>
        <v>17</v>
      </c>
      <c r="V140" s="116">
        <f t="shared" si="34"/>
        <v>18</v>
      </c>
      <c r="W140" s="116">
        <f t="shared" si="35"/>
        <v>19</v>
      </c>
      <c r="X140" s="116">
        <f t="shared" si="36"/>
        <v>20</v>
      </c>
      <c r="Y140" s="116">
        <f t="shared" si="37"/>
        <v>21</v>
      </c>
      <c r="Z140" s="116">
        <f t="shared" si="38"/>
        <v>22</v>
      </c>
      <c r="AA140" s="116">
        <f t="shared" si="39"/>
        <v>23</v>
      </c>
      <c r="AB140" s="116">
        <f t="shared" si="40"/>
        <v>24</v>
      </c>
      <c r="AC140" s="116">
        <f t="shared" si="41"/>
        <v>25</v>
      </c>
      <c r="AD140" s="116">
        <f t="shared" si="42"/>
        <v>26</v>
      </c>
      <c r="AE140" s="116">
        <f t="shared" si="43"/>
        <v>27</v>
      </c>
      <c r="AF140" s="116">
        <f t="shared" si="44"/>
        <v>28</v>
      </c>
      <c r="AG140" s="116">
        <f t="shared" si="45"/>
        <v>29</v>
      </c>
      <c r="AH140" s="116">
        <f t="shared" si="46"/>
        <v>30</v>
      </c>
      <c r="AI140" s="4"/>
      <c r="AJ140" s="4"/>
      <c r="AK140" s="4"/>
      <c r="AL140" s="4"/>
      <c r="AM140" s="4"/>
      <c r="AN140" s="4"/>
      <c r="AO140" s="4"/>
      <c r="AP140" s="4"/>
    </row>
    <row r="141" spans="1:44">
      <c r="A141" s="114" t="s">
        <v>329</v>
      </c>
      <c r="E141" s="1194">
        <v>1.5</v>
      </c>
      <c r="F141" s="1194">
        <v>1.5</v>
      </c>
      <c r="G141" s="1194">
        <v>1.5</v>
      </c>
      <c r="H141" s="1194">
        <v>1.5</v>
      </c>
      <c r="I141" s="1194">
        <v>1.5</v>
      </c>
      <c r="J141" s="1194">
        <v>1.5</v>
      </c>
      <c r="K141" s="1194">
        <v>1.5</v>
      </c>
      <c r="L141" s="1194">
        <v>1.5</v>
      </c>
      <c r="M141" s="1194">
        <v>1.5</v>
      </c>
      <c r="N141" s="1194">
        <v>1.5</v>
      </c>
      <c r="O141" s="1194">
        <v>1.5</v>
      </c>
      <c r="P141" s="1194">
        <v>1.5</v>
      </c>
      <c r="Q141" s="1194">
        <v>1.5</v>
      </c>
      <c r="R141" s="1194">
        <v>1.5</v>
      </c>
      <c r="S141" s="1194">
        <v>1.5</v>
      </c>
      <c r="T141" s="1194">
        <v>1.5</v>
      </c>
      <c r="U141" s="1194">
        <v>1.5</v>
      </c>
      <c r="V141" s="1194">
        <v>1.5</v>
      </c>
      <c r="W141" s="1194">
        <v>1.5</v>
      </c>
      <c r="X141" s="1194">
        <v>1.5</v>
      </c>
      <c r="Y141" s="1194">
        <v>1.5</v>
      </c>
      <c r="Z141" s="1194">
        <v>1.5</v>
      </c>
      <c r="AA141" s="1194">
        <v>1.5</v>
      </c>
      <c r="AB141" s="1194">
        <v>1.5</v>
      </c>
      <c r="AC141" s="1194">
        <v>1.5</v>
      </c>
      <c r="AD141" s="1194">
        <v>1.5</v>
      </c>
      <c r="AE141" s="1194">
        <v>1.5</v>
      </c>
      <c r="AF141" s="1194">
        <v>1.5</v>
      </c>
      <c r="AG141" s="1194">
        <v>1.5</v>
      </c>
      <c r="AH141" s="1194">
        <v>1.5</v>
      </c>
    </row>
    <row r="142" spans="1:44">
      <c r="A142" s="114" t="s">
        <v>330</v>
      </c>
      <c r="D142" s="97">
        <v>0</v>
      </c>
      <c r="E142" s="6"/>
      <c r="F142" s="115"/>
      <c r="G142" s="6"/>
      <c r="H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44">
      <c r="A143" s="6"/>
      <c r="B143" s="6"/>
      <c r="C143" s="6"/>
      <c r="D143" s="113"/>
      <c r="E143" s="6"/>
      <c r="F143" s="115"/>
      <c r="G143" s="6"/>
      <c r="H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44">
      <c r="A144" s="5" t="s">
        <v>331</v>
      </c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"/>
      <c r="AJ144" s="4"/>
      <c r="AK144" s="4"/>
      <c r="AL144" s="4"/>
      <c r="AM144" s="4"/>
      <c r="AN144" s="4"/>
      <c r="AO144" s="4"/>
      <c r="AP144" s="4"/>
    </row>
    <row r="145" spans="1:42">
      <c r="A145" s="32" t="s">
        <v>332</v>
      </c>
      <c r="B145" s="3"/>
      <c r="C145" s="116" t="s">
        <v>333</v>
      </c>
      <c r="D145" s="117"/>
      <c r="E145" s="267">
        <v>1</v>
      </c>
      <c r="F145" s="118">
        <f t="shared" ref="F145:AH145" si="47">E145+1</f>
        <v>2</v>
      </c>
      <c r="G145" s="118">
        <f t="shared" si="47"/>
        <v>3</v>
      </c>
      <c r="H145" s="118">
        <f t="shared" si="47"/>
        <v>4</v>
      </c>
      <c r="I145" s="118">
        <f t="shared" si="47"/>
        <v>5</v>
      </c>
      <c r="J145" s="118">
        <f t="shared" si="47"/>
        <v>6</v>
      </c>
      <c r="K145" s="118">
        <f t="shared" si="47"/>
        <v>7</v>
      </c>
      <c r="L145" s="118">
        <f t="shared" si="47"/>
        <v>8</v>
      </c>
      <c r="M145" s="118">
        <f t="shared" si="47"/>
        <v>9</v>
      </c>
      <c r="N145" s="118">
        <f t="shared" si="47"/>
        <v>10</v>
      </c>
      <c r="O145" s="118">
        <f t="shared" si="47"/>
        <v>11</v>
      </c>
      <c r="P145" s="118">
        <f t="shared" si="47"/>
        <v>12</v>
      </c>
      <c r="Q145" s="118">
        <f t="shared" si="47"/>
        <v>13</v>
      </c>
      <c r="R145" s="118">
        <f t="shared" si="47"/>
        <v>14</v>
      </c>
      <c r="S145" s="118">
        <f t="shared" si="47"/>
        <v>15</v>
      </c>
      <c r="T145" s="118">
        <f t="shared" si="47"/>
        <v>16</v>
      </c>
      <c r="U145" s="118">
        <f t="shared" si="47"/>
        <v>17</v>
      </c>
      <c r="V145" s="118">
        <f t="shared" si="47"/>
        <v>18</v>
      </c>
      <c r="W145" s="118">
        <f t="shared" si="47"/>
        <v>19</v>
      </c>
      <c r="X145" s="118">
        <f t="shared" si="47"/>
        <v>20</v>
      </c>
      <c r="Y145" s="118">
        <f t="shared" si="47"/>
        <v>21</v>
      </c>
      <c r="Z145" s="118">
        <f t="shared" si="47"/>
        <v>22</v>
      </c>
      <c r="AA145" s="118">
        <f t="shared" si="47"/>
        <v>23</v>
      </c>
      <c r="AB145" s="118">
        <f t="shared" si="47"/>
        <v>24</v>
      </c>
      <c r="AC145" s="118">
        <f t="shared" si="47"/>
        <v>25</v>
      </c>
      <c r="AD145" s="118">
        <f t="shared" si="47"/>
        <v>26</v>
      </c>
      <c r="AE145" s="118">
        <f t="shared" si="47"/>
        <v>27</v>
      </c>
      <c r="AF145" s="118">
        <f t="shared" si="47"/>
        <v>28</v>
      </c>
      <c r="AG145" s="118">
        <f t="shared" si="47"/>
        <v>29</v>
      </c>
      <c r="AH145" s="118">
        <f t="shared" si="47"/>
        <v>30</v>
      </c>
      <c r="AJ145" s="4"/>
      <c r="AK145" s="4"/>
      <c r="AL145" s="4"/>
      <c r="AM145" s="4"/>
      <c r="AN145" s="4"/>
      <c r="AO145" s="4"/>
      <c r="AP145" s="4"/>
    </row>
    <row r="146" spans="1:42">
      <c r="A146" s="119" t="str">
        <f>OpEx!B3</f>
        <v>Technical Management</v>
      </c>
      <c r="B146" s="120"/>
      <c r="C146" s="718">
        <f>OpEx!E3</f>
        <v>0</v>
      </c>
      <c r="D146" s="121"/>
      <c r="E146" s="709">
        <f>OpEx!F3</f>
        <v>198</v>
      </c>
      <c r="F146" s="710">
        <f>OpEx!G3</f>
        <v>201.96</v>
      </c>
      <c r="G146" s="710">
        <f>OpEx!H3</f>
        <v>205.9992</v>
      </c>
      <c r="H146" s="710">
        <f>OpEx!I3</f>
        <v>210.11918399999999</v>
      </c>
      <c r="I146" s="710">
        <f>OpEx!J3</f>
        <v>214.32156767999999</v>
      </c>
      <c r="J146" s="710">
        <f>OpEx!K3</f>
        <v>218.60799903360001</v>
      </c>
      <c r="K146" s="710">
        <f>OpEx!L3</f>
        <v>222.980159014272</v>
      </c>
      <c r="L146" s="710">
        <f>OpEx!M3</f>
        <v>227.4397621945574</v>
      </c>
      <c r="M146" s="710">
        <f>OpEx!N3</f>
        <v>231.98855743844857</v>
      </c>
      <c r="N146" s="710">
        <f>OpEx!O3</f>
        <v>236.62832858721754</v>
      </c>
      <c r="O146" s="710">
        <f>OpEx!P3</f>
        <v>241.36089515896191</v>
      </c>
      <c r="P146" s="710">
        <f>OpEx!Q3</f>
        <v>246.1881130621411</v>
      </c>
      <c r="Q146" s="710">
        <f>OpEx!R3</f>
        <v>251.11187532338397</v>
      </c>
      <c r="R146" s="710">
        <f>OpEx!S3</f>
        <v>256.13411282985163</v>
      </c>
      <c r="S146" s="710">
        <f>OpEx!T3</f>
        <v>261.25679508644868</v>
      </c>
      <c r="T146" s="710">
        <f>OpEx!U3</f>
        <v>266.48193098817757</v>
      </c>
      <c r="U146" s="710">
        <f>OpEx!V3</f>
        <v>271.81156960794118</v>
      </c>
      <c r="V146" s="710">
        <f>OpEx!W3</f>
        <v>277.24780100010003</v>
      </c>
      <c r="W146" s="710">
        <f>OpEx!X3</f>
        <v>282.79275702010199</v>
      </c>
      <c r="X146" s="710">
        <f>OpEx!Y3</f>
        <v>288.44861216050401</v>
      </c>
      <c r="Y146" s="710">
        <f>OpEx!Z3</f>
        <v>294.21758440371411</v>
      </c>
      <c r="Z146" s="710">
        <f>OpEx!AA3</f>
        <v>300.10193609178839</v>
      </c>
      <c r="AA146" s="710">
        <f>OpEx!AB3</f>
        <v>306.10397481362418</v>
      </c>
      <c r="AB146" s="710">
        <f>OpEx!AC3</f>
        <v>312.2260543098966</v>
      </c>
      <c r="AC146" s="710">
        <f>OpEx!AD3</f>
        <v>318.47057539609455</v>
      </c>
      <c r="AD146" s="710">
        <f>OpEx!AE3</f>
        <v>324.83998690401643</v>
      </c>
      <c r="AE146" s="710">
        <f>OpEx!AF3</f>
        <v>331.3367866420968</v>
      </c>
      <c r="AF146" s="710">
        <f>OpEx!AG3</f>
        <v>337.96352237493869</v>
      </c>
      <c r="AG146" s="710">
        <f>OpEx!AH3</f>
        <v>344.72279282243755</v>
      </c>
      <c r="AH146" s="711">
        <f>OpEx!AI3</f>
        <v>351.61724867888626</v>
      </c>
      <c r="AJ146" s="4"/>
      <c r="AK146" s="4"/>
      <c r="AL146" s="4"/>
      <c r="AM146" s="4"/>
      <c r="AN146" s="4"/>
      <c r="AO146" s="4"/>
      <c r="AP146" s="4"/>
    </row>
    <row r="147" spans="1:42">
      <c r="A147" s="122" t="str">
        <f>OpEx!B8</f>
        <v>Infrastructure Maintenance</v>
      </c>
      <c r="B147" s="123"/>
      <c r="C147" s="718">
        <f>OpEx!E8</f>
        <v>0</v>
      </c>
      <c r="D147" s="124"/>
      <c r="E147" s="712">
        <f>OpEx!F8</f>
        <v>244</v>
      </c>
      <c r="F147" s="713">
        <f>OpEx!G8</f>
        <v>185.64000000000001</v>
      </c>
      <c r="G147" s="713">
        <f>OpEx!H8</f>
        <v>189.3528</v>
      </c>
      <c r="H147" s="713">
        <f>OpEx!I8</f>
        <v>193.13985599999998</v>
      </c>
      <c r="I147" s="713">
        <f>OpEx!J8</f>
        <v>197.00265311999999</v>
      </c>
      <c r="J147" s="713">
        <f>OpEx!K8</f>
        <v>200.9427061824</v>
      </c>
      <c r="K147" s="713">
        <f>OpEx!L8</f>
        <v>204.961560306048</v>
      </c>
      <c r="L147" s="713">
        <f>OpEx!M8</f>
        <v>209.06079151216892</v>
      </c>
      <c r="M147" s="713">
        <f>OpEx!N8</f>
        <v>213.24200734241234</v>
      </c>
      <c r="N147" s="713">
        <f>OpEx!O8</f>
        <v>217.50684748926056</v>
      </c>
      <c r="O147" s="713">
        <f>OpEx!P8</f>
        <v>221.85698443904579</v>
      </c>
      <c r="P147" s="713">
        <f>OpEx!Q8</f>
        <v>226.29412412782668</v>
      </c>
      <c r="Q147" s="713">
        <f>OpEx!R8</f>
        <v>230.82000661038325</v>
      </c>
      <c r="R147" s="713">
        <f>OpEx!S8</f>
        <v>235.43640674259089</v>
      </c>
      <c r="S147" s="713">
        <f>OpEx!T8</f>
        <v>240.14513487744273</v>
      </c>
      <c r="T147" s="713">
        <f>OpEx!U8</f>
        <v>244.94803757499153</v>
      </c>
      <c r="U147" s="713">
        <f>OpEx!V8</f>
        <v>249.84699832649139</v>
      </c>
      <c r="V147" s="713">
        <f>OpEx!W8</f>
        <v>254.84393829302124</v>
      </c>
      <c r="W147" s="713">
        <f>OpEx!X8</f>
        <v>259.94081705888163</v>
      </c>
      <c r="X147" s="713">
        <f>OpEx!Y8</f>
        <v>265.13963340005927</v>
      </c>
      <c r="Y147" s="713">
        <f>OpEx!Z8</f>
        <v>270.44242606806046</v>
      </c>
      <c r="Z147" s="713">
        <f>OpEx!AA8</f>
        <v>275.85127458942168</v>
      </c>
      <c r="AA147" s="713">
        <f>OpEx!AB8</f>
        <v>281.36830008121012</v>
      </c>
      <c r="AB147" s="713">
        <f>OpEx!AC8</f>
        <v>286.99566608283425</v>
      </c>
      <c r="AC147" s="713">
        <f>OpEx!AD8</f>
        <v>292.73557940449098</v>
      </c>
      <c r="AD147" s="713">
        <f>OpEx!AE8</f>
        <v>298.59029099258078</v>
      </c>
      <c r="AE147" s="713">
        <f>OpEx!AF8</f>
        <v>304.5620968124324</v>
      </c>
      <c r="AF147" s="713">
        <f>OpEx!AG8</f>
        <v>310.65333874868099</v>
      </c>
      <c r="AG147" s="713">
        <f>OpEx!AH8</f>
        <v>316.86640552365469</v>
      </c>
      <c r="AH147" s="714">
        <f>OpEx!AI8</f>
        <v>323.20373363412773</v>
      </c>
      <c r="AJ147" s="4"/>
      <c r="AK147" s="4"/>
      <c r="AL147" s="4"/>
      <c r="AM147" s="4"/>
      <c r="AN147" s="4"/>
      <c r="AO147" s="4"/>
      <c r="AP147" s="4"/>
    </row>
    <row r="148" spans="1:42">
      <c r="A148" s="122" t="str">
        <f>OpEx!B26</f>
        <v>Maintain Site</v>
      </c>
      <c r="B148" s="66"/>
      <c r="C148" s="718">
        <f>OpEx!E26</f>
        <v>0</v>
      </c>
      <c r="D148" s="124"/>
      <c r="E148" s="712">
        <f>OpEx!F26</f>
        <v>45.199999999999996</v>
      </c>
      <c r="F148" s="713">
        <f>OpEx!G26</f>
        <v>46.103999999999999</v>
      </c>
      <c r="G148" s="713">
        <f>OpEx!H26</f>
        <v>47.026079999999993</v>
      </c>
      <c r="H148" s="713">
        <f>OpEx!I26</f>
        <v>47.96660159999999</v>
      </c>
      <c r="I148" s="713">
        <f>OpEx!J26</f>
        <v>48.925933631999996</v>
      </c>
      <c r="J148" s="713">
        <f>OpEx!K26</f>
        <v>49.904452304639996</v>
      </c>
      <c r="K148" s="713">
        <f>OpEx!L26</f>
        <v>50.902541350732797</v>
      </c>
      <c r="L148" s="713">
        <f>OpEx!M26</f>
        <v>51.920592177747444</v>
      </c>
      <c r="M148" s="713">
        <f>OpEx!N26</f>
        <v>52.959004021302398</v>
      </c>
      <c r="N148" s="713">
        <f>OpEx!O26</f>
        <v>54.018184101728444</v>
      </c>
      <c r="O148" s="713">
        <f>OpEx!P26</f>
        <v>55.098547783763017</v>
      </c>
      <c r="P148" s="713">
        <f>OpEx!Q26</f>
        <v>56.200518739438266</v>
      </c>
      <c r="Q148" s="713">
        <f>OpEx!R26</f>
        <v>57.32452911422704</v>
      </c>
      <c r="R148" s="713">
        <f>OpEx!S26</f>
        <v>58.471019696511576</v>
      </c>
      <c r="S148" s="713">
        <f>OpEx!T26</f>
        <v>59.640440090441814</v>
      </c>
      <c r="T148" s="713">
        <f>OpEx!U26</f>
        <v>60.833248892250637</v>
      </c>
      <c r="U148" s="713">
        <f>OpEx!V26</f>
        <v>62.049913870095658</v>
      </c>
      <c r="V148" s="713">
        <f>OpEx!W26</f>
        <v>63.290912147497579</v>
      </c>
      <c r="W148" s="713">
        <f>OpEx!X26</f>
        <v>64.556730390447527</v>
      </c>
      <c r="X148" s="713">
        <f>OpEx!Y26</f>
        <v>65.847864998256469</v>
      </c>
      <c r="Y148" s="713">
        <f>OpEx!Z26</f>
        <v>67.164822298221608</v>
      </c>
      <c r="Z148" s="713">
        <f>OpEx!AA26</f>
        <v>68.508118744186035</v>
      </c>
      <c r="AA148" s="713">
        <f>OpEx!AB26</f>
        <v>69.878281119069754</v>
      </c>
      <c r="AB148" s="713">
        <f>OpEx!AC26</f>
        <v>71.275846741451133</v>
      </c>
      <c r="AC148" s="713">
        <f>OpEx!AD26</f>
        <v>72.701363676280167</v>
      </c>
      <c r="AD148" s="713">
        <f>OpEx!AE26</f>
        <v>74.155390949805764</v>
      </c>
      <c r="AE148" s="713">
        <f>OpEx!AF26</f>
        <v>75.638498768801895</v>
      </c>
      <c r="AF148" s="713">
        <f>OpEx!AG26</f>
        <v>77.151268744177912</v>
      </c>
      <c r="AG148" s="713">
        <f>OpEx!AH26</f>
        <v>78.694294119061496</v>
      </c>
      <c r="AH148" s="714">
        <f>OpEx!AI26</f>
        <v>80.268180001442701</v>
      </c>
      <c r="AJ148" s="4"/>
      <c r="AK148" s="4"/>
      <c r="AL148" s="4"/>
      <c r="AM148" s="4"/>
      <c r="AN148" s="4"/>
      <c r="AO148" s="4"/>
      <c r="AP148" s="4"/>
    </row>
    <row r="149" spans="1:42" s="24" customFormat="1">
      <c r="A149" s="122" t="str">
        <f>OpEx!B31</f>
        <v>Clean Material</v>
      </c>
      <c r="B149" s="66"/>
      <c r="C149" s="718">
        <f>OpEx!E34</f>
        <v>0</v>
      </c>
      <c r="D149" s="126"/>
      <c r="E149" s="712">
        <f>OpEx!F31</f>
        <v>40</v>
      </c>
      <c r="F149" s="713">
        <f>OpEx!G31</f>
        <v>40.799999999999997</v>
      </c>
      <c r="G149" s="713">
        <f>OpEx!H31</f>
        <v>41.616</v>
      </c>
      <c r="H149" s="713">
        <f>OpEx!I31</f>
        <v>42.448319999999995</v>
      </c>
      <c r="I149" s="713">
        <f>OpEx!J31</f>
        <v>43.297286399999997</v>
      </c>
      <c r="J149" s="713">
        <f>OpEx!K31</f>
        <v>44.163232128000004</v>
      </c>
      <c r="K149" s="713">
        <f>OpEx!L31</f>
        <v>45.046496770560005</v>
      </c>
      <c r="L149" s="713">
        <f>OpEx!M31</f>
        <v>45.947426705971196</v>
      </c>
      <c r="M149" s="713">
        <f>OpEx!N31</f>
        <v>46.866375240090619</v>
      </c>
      <c r="N149" s="713">
        <f>OpEx!O31</f>
        <v>47.803702744892433</v>
      </c>
      <c r="O149" s="713">
        <f>OpEx!P31</f>
        <v>48.759776799790288</v>
      </c>
      <c r="P149" s="713">
        <f>OpEx!Q31</f>
        <v>49.734972335786082</v>
      </c>
      <c r="Q149" s="713">
        <f>OpEx!R31</f>
        <v>50.729671782501811</v>
      </c>
      <c r="R149" s="713">
        <f>OpEx!S31</f>
        <v>51.744265218151845</v>
      </c>
      <c r="S149" s="713">
        <f>OpEx!T31</f>
        <v>52.779150522514882</v>
      </c>
      <c r="T149" s="713">
        <f>OpEx!U31</f>
        <v>53.834733532965167</v>
      </c>
      <c r="U149" s="713">
        <f>OpEx!V31</f>
        <v>54.911428203624482</v>
      </c>
      <c r="V149" s="713">
        <f>OpEx!W31</f>
        <v>56.009656767696974</v>
      </c>
      <c r="W149" s="713">
        <f>OpEx!X31</f>
        <v>57.129849903050911</v>
      </c>
      <c r="X149" s="713">
        <f>OpEx!Y31</f>
        <v>58.272446901111927</v>
      </c>
      <c r="Y149" s="713">
        <f>OpEx!Z31</f>
        <v>59.437895839134171</v>
      </c>
      <c r="Z149" s="713">
        <f>OpEx!AA31</f>
        <v>60.626653755916848</v>
      </c>
      <c r="AA149" s="713">
        <f>OpEx!AB31</f>
        <v>61.839186831035192</v>
      </c>
      <c r="AB149" s="713">
        <f>OpEx!AC31</f>
        <v>63.07597056765588</v>
      </c>
      <c r="AC149" s="713">
        <f>OpEx!AD31</f>
        <v>64.337489979009007</v>
      </c>
      <c r="AD149" s="713">
        <f>OpEx!AE31</f>
        <v>65.624239778589185</v>
      </c>
      <c r="AE149" s="713">
        <f>OpEx!AF31</f>
        <v>66.936724574160976</v>
      </c>
      <c r="AF149" s="713">
        <f>OpEx!AG31</f>
        <v>68.275459065644185</v>
      </c>
      <c r="AG149" s="713">
        <f>OpEx!AH31</f>
        <v>69.640968246957073</v>
      </c>
      <c r="AH149" s="714">
        <f>OpEx!AI31</f>
        <v>71.033787611896201</v>
      </c>
    </row>
    <row r="150" spans="1:42">
      <c r="A150" s="122" t="str">
        <f>OpEx!B35</f>
        <v>Security</v>
      </c>
      <c r="B150" s="66"/>
      <c r="C150" s="718">
        <f>OpEx!E35</f>
        <v>0</v>
      </c>
      <c r="D150" s="124"/>
      <c r="E150" s="712">
        <f>OpEx!F35</f>
        <v>30.1</v>
      </c>
      <c r="F150" s="713">
        <f>OpEx!G35</f>
        <v>30.702000000000002</v>
      </c>
      <c r="G150" s="713">
        <f>OpEx!H35</f>
        <v>31.316040000000001</v>
      </c>
      <c r="H150" s="713">
        <f>OpEx!I35</f>
        <v>31.942360799999999</v>
      </c>
      <c r="I150" s="713">
        <f>OpEx!J35</f>
        <v>32.581208015999998</v>
      </c>
      <c r="J150" s="713">
        <f>OpEx!K35</f>
        <v>33.232832176320002</v>
      </c>
      <c r="K150" s="713">
        <f>OpEx!L35</f>
        <v>33.897488819846401</v>
      </c>
      <c r="L150" s="713">
        <f>OpEx!M35</f>
        <v>34.575438596243323</v>
      </c>
      <c r="M150" s="713">
        <f>OpEx!N35</f>
        <v>35.266947368168196</v>
      </c>
      <c r="N150" s="713">
        <f>OpEx!O35</f>
        <v>35.972286315531555</v>
      </c>
      <c r="O150" s="713">
        <f>OpEx!P35</f>
        <v>36.691732041842194</v>
      </c>
      <c r="P150" s="713">
        <f>OpEx!Q35</f>
        <v>37.425566682679026</v>
      </c>
      <c r="Q150" s="713">
        <f>OpEx!R35</f>
        <v>38.174078016332615</v>
      </c>
      <c r="R150" s="713">
        <f>OpEx!S35</f>
        <v>38.937559576659261</v>
      </c>
      <c r="S150" s="713">
        <f>OpEx!T35</f>
        <v>39.71631076819245</v>
      </c>
      <c r="T150" s="713">
        <f>OpEx!U35</f>
        <v>40.510636983556289</v>
      </c>
      <c r="U150" s="713">
        <f>OpEx!V35</f>
        <v>41.320849723227425</v>
      </c>
      <c r="V150" s="713">
        <f>OpEx!W35</f>
        <v>42.147266717691977</v>
      </c>
      <c r="W150" s="713">
        <f>OpEx!X35</f>
        <v>42.990212052045813</v>
      </c>
      <c r="X150" s="713">
        <f>OpEx!Y35</f>
        <v>43.850016293086725</v>
      </c>
      <c r="Y150" s="713">
        <f>OpEx!Z35</f>
        <v>44.727016618948461</v>
      </c>
      <c r="Z150" s="713">
        <f>OpEx!AA35</f>
        <v>45.621556951327427</v>
      </c>
      <c r="AA150" s="713">
        <f>OpEx!AB35</f>
        <v>46.533988090353979</v>
      </c>
      <c r="AB150" s="713">
        <f>OpEx!AC35</f>
        <v>47.46466785216105</v>
      </c>
      <c r="AC150" s="713">
        <f>OpEx!AD35</f>
        <v>48.413961209204274</v>
      </c>
      <c r="AD150" s="713">
        <f>OpEx!AE35</f>
        <v>49.382240433388361</v>
      </c>
      <c r="AE150" s="713">
        <f>OpEx!AF35</f>
        <v>50.369885242056135</v>
      </c>
      <c r="AF150" s="713">
        <f>OpEx!AG35</f>
        <v>51.377282946897246</v>
      </c>
      <c r="AG150" s="713">
        <f>OpEx!AH35</f>
        <v>52.404828605835206</v>
      </c>
      <c r="AH150" s="714">
        <f>OpEx!AI35</f>
        <v>53.452925177951897</v>
      </c>
      <c r="AJ150" s="4"/>
      <c r="AK150" s="4"/>
      <c r="AL150" s="4"/>
      <c r="AM150" s="4"/>
      <c r="AN150" s="4"/>
      <c r="AO150" s="4"/>
      <c r="AP150" s="4"/>
    </row>
    <row r="151" spans="1:42">
      <c r="A151" s="122" t="str">
        <f>OpEx!B39</f>
        <v>Insurance</v>
      </c>
      <c r="B151" s="66"/>
      <c r="C151" s="718">
        <f>OpEx!E39</f>
        <v>0</v>
      </c>
      <c r="D151" s="124"/>
      <c r="E151" s="712">
        <f>OpEx!F39</f>
        <v>255</v>
      </c>
      <c r="F151" s="713">
        <f>OpEx!G39</f>
        <v>260.10000000000002</v>
      </c>
      <c r="G151" s="713">
        <f>OpEx!H39</f>
        <v>265.30200000000002</v>
      </c>
      <c r="H151" s="713">
        <f>OpEx!I39</f>
        <v>270.60803999999996</v>
      </c>
      <c r="I151" s="713">
        <f>OpEx!J39</f>
        <v>276.0202008</v>
      </c>
      <c r="J151" s="713">
        <f>OpEx!K39</f>
        <v>281.54060481599998</v>
      </c>
      <c r="K151" s="713">
        <f>OpEx!L39</f>
        <v>287.17141691232001</v>
      </c>
      <c r="L151" s="713">
        <f>OpEx!M39</f>
        <v>292.91484525056637</v>
      </c>
      <c r="M151" s="713">
        <f>OpEx!N39</f>
        <v>298.77314215557772</v>
      </c>
      <c r="N151" s="713">
        <f>OpEx!O39</f>
        <v>304.74860499868925</v>
      </c>
      <c r="O151" s="713">
        <f>OpEx!P39</f>
        <v>310.84357709866305</v>
      </c>
      <c r="P151" s="713">
        <f>OpEx!Q39</f>
        <v>317.06044864063625</v>
      </c>
      <c r="Q151" s="713">
        <f>OpEx!R39</f>
        <v>323.40165761344906</v>
      </c>
      <c r="R151" s="713">
        <f>OpEx!S39</f>
        <v>329.86969076571802</v>
      </c>
      <c r="S151" s="713">
        <f>OpEx!T39</f>
        <v>336.4670845810324</v>
      </c>
      <c r="T151" s="713">
        <f>OpEx!U39</f>
        <v>343.19642627265296</v>
      </c>
      <c r="U151" s="713">
        <f>OpEx!V39</f>
        <v>350.06035479810606</v>
      </c>
      <c r="V151" s="713">
        <f>OpEx!W39</f>
        <v>357.06156189406823</v>
      </c>
      <c r="W151" s="713">
        <f>OpEx!X39</f>
        <v>364.20279313194953</v>
      </c>
      <c r="X151" s="713">
        <f>OpEx!Y39</f>
        <v>371.48684899458851</v>
      </c>
      <c r="Y151" s="713">
        <f>OpEx!Z39</f>
        <v>378.91658597448031</v>
      </c>
      <c r="Z151" s="713">
        <f>OpEx!AA39</f>
        <v>386.49491769396991</v>
      </c>
      <c r="AA151" s="713">
        <f>OpEx!AB39</f>
        <v>394.22481604784934</v>
      </c>
      <c r="AB151" s="713">
        <f>OpEx!AC39</f>
        <v>402.10931236880623</v>
      </c>
      <c r="AC151" s="713">
        <f>OpEx!AD39</f>
        <v>410.15149861618238</v>
      </c>
      <c r="AD151" s="713">
        <f>OpEx!AE39</f>
        <v>418.35452858850601</v>
      </c>
      <c r="AE151" s="713">
        <f>OpEx!AF39</f>
        <v>426.72161916027619</v>
      </c>
      <c r="AF151" s="713">
        <f>OpEx!AG39</f>
        <v>435.25605154348165</v>
      </c>
      <c r="AG151" s="713">
        <f>OpEx!AH39</f>
        <v>443.96117257435139</v>
      </c>
      <c r="AH151" s="714">
        <f>OpEx!AI39</f>
        <v>452.84039602583834</v>
      </c>
      <c r="AJ151" s="4"/>
      <c r="AK151" s="4"/>
      <c r="AL151" s="4"/>
      <c r="AM151" s="4"/>
      <c r="AN151" s="4"/>
      <c r="AO151" s="4"/>
      <c r="AP151" s="4"/>
    </row>
    <row r="152" spans="1:42">
      <c r="A152" s="122" t="str">
        <f>OpEx!B45</f>
        <v>Lease &amp; property Tax</v>
      </c>
      <c r="B152" s="66"/>
      <c r="C152" s="718">
        <f>OpEx!E45</f>
        <v>0</v>
      </c>
      <c r="D152" s="124"/>
      <c r="E152" s="712">
        <f>OpEx!F45</f>
        <v>208.08</v>
      </c>
      <c r="F152" s="713">
        <f>OpEx!G45</f>
        <v>212.24160000000001</v>
      </c>
      <c r="G152" s="713">
        <f>OpEx!H45</f>
        <v>216.48643199999998</v>
      </c>
      <c r="H152" s="713">
        <f>OpEx!I45</f>
        <v>220.81616063999999</v>
      </c>
      <c r="I152" s="713">
        <f>OpEx!J45</f>
        <v>225.23248385280002</v>
      </c>
      <c r="J152" s="713">
        <f>OpEx!K45</f>
        <v>229.73713352985601</v>
      </c>
      <c r="K152" s="713">
        <f>OpEx!L45</f>
        <v>234.33187620045308</v>
      </c>
      <c r="L152" s="713">
        <f>OpEx!M45</f>
        <v>239.01851372446217</v>
      </c>
      <c r="M152" s="713">
        <f>OpEx!N45</f>
        <v>243.7988839989514</v>
      </c>
      <c r="N152" s="713">
        <f>OpEx!O45</f>
        <v>248.67486167893045</v>
      </c>
      <c r="O152" s="713">
        <f>OpEx!P45</f>
        <v>253.64835891250902</v>
      </c>
      <c r="P152" s="713">
        <f>OpEx!Q45</f>
        <v>258.72132609075925</v>
      </c>
      <c r="Q152" s="713">
        <f>OpEx!R45</f>
        <v>263.89575261257443</v>
      </c>
      <c r="R152" s="713">
        <f>OpEx!S45</f>
        <v>269.17366766482593</v>
      </c>
      <c r="S152" s="713">
        <f>OpEx!T45</f>
        <v>274.55714101812237</v>
      </c>
      <c r="T152" s="713">
        <f>OpEx!U45</f>
        <v>280.04828383848485</v>
      </c>
      <c r="U152" s="713">
        <f>OpEx!V45</f>
        <v>285.64924951525455</v>
      </c>
      <c r="V152" s="713">
        <f>OpEx!W45</f>
        <v>291.36223450555963</v>
      </c>
      <c r="W152" s="713">
        <f>OpEx!X45</f>
        <v>297.1894791956708</v>
      </c>
      <c r="X152" s="713">
        <f>OpEx!Y45</f>
        <v>303.13326877958428</v>
      </c>
      <c r="Y152" s="713">
        <f>OpEx!Z45</f>
        <v>309.19593415517591</v>
      </c>
      <c r="Z152" s="713">
        <f>OpEx!AA45</f>
        <v>315.37985283827948</v>
      </c>
      <c r="AA152" s="713">
        <f>OpEx!AB45</f>
        <v>321.68744989504501</v>
      </c>
      <c r="AB152" s="713">
        <f>OpEx!AC45</f>
        <v>328.12119889294593</v>
      </c>
      <c r="AC152" s="713">
        <f>OpEx!AD45</f>
        <v>334.68362287080481</v>
      </c>
      <c r="AD152" s="713">
        <f>OpEx!AE45</f>
        <v>341.37729532822095</v>
      </c>
      <c r="AE152" s="713">
        <f>OpEx!AF45</f>
        <v>348.20484123478531</v>
      </c>
      <c r="AF152" s="713">
        <f>OpEx!AG45</f>
        <v>355.16893805948109</v>
      </c>
      <c r="AG152" s="713">
        <f>OpEx!AH45</f>
        <v>362.27231682067065</v>
      </c>
      <c r="AH152" s="714">
        <f>OpEx!AI45</f>
        <v>369.51776315708412</v>
      </c>
      <c r="AJ152" s="4"/>
      <c r="AK152" s="4"/>
      <c r="AL152" s="4"/>
      <c r="AM152" s="4"/>
      <c r="AN152" s="4"/>
      <c r="AO152" s="4"/>
      <c r="AP152" s="4"/>
    </row>
    <row r="153" spans="1:42">
      <c r="A153" s="122" t="str">
        <f>OpEx!B48</f>
        <v>Power Expenses</v>
      </c>
      <c r="B153" s="66"/>
      <c r="C153" s="718">
        <f>OpEx!E48</f>
        <v>0</v>
      </c>
      <c r="D153" s="124"/>
      <c r="E153" s="712">
        <f>OpEx!F48</f>
        <v>176.86080000000001</v>
      </c>
      <c r="F153" s="713">
        <f>OpEx!G48</f>
        <v>176.86080000000001</v>
      </c>
      <c r="G153" s="713">
        <f>OpEx!H48</f>
        <v>176.86080000000001</v>
      </c>
      <c r="H153" s="713">
        <f>OpEx!I48</f>
        <v>176.86080000000001</v>
      </c>
      <c r="I153" s="713">
        <f>OpEx!J48</f>
        <v>176.86080000000001</v>
      </c>
      <c r="J153" s="713">
        <f>OpEx!K48</f>
        <v>176.86080000000001</v>
      </c>
      <c r="K153" s="713">
        <f>OpEx!L48</f>
        <v>176.86080000000001</v>
      </c>
      <c r="L153" s="713">
        <f>OpEx!M48</f>
        <v>176.86080000000001</v>
      </c>
      <c r="M153" s="713">
        <f>OpEx!N48</f>
        <v>176.86080000000001</v>
      </c>
      <c r="N153" s="713">
        <f>OpEx!O48</f>
        <v>176.86080000000001</v>
      </c>
      <c r="O153" s="713">
        <f>OpEx!P48</f>
        <v>549.76319999999998</v>
      </c>
      <c r="P153" s="713">
        <f>OpEx!Q48</f>
        <v>549.76319999999998</v>
      </c>
      <c r="Q153" s="713">
        <f>OpEx!R48</f>
        <v>549.76319999999998</v>
      </c>
      <c r="R153" s="713">
        <f>OpEx!S48</f>
        <v>549.76319999999998</v>
      </c>
      <c r="S153" s="713">
        <f>OpEx!T48</f>
        <v>549.76319999999998</v>
      </c>
      <c r="T153" s="713">
        <f>OpEx!U48</f>
        <v>549.76319999999998</v>
      </c>
      <c r="U153" s="713">
        <f>OpEx!V48</f>
        <v>549.76319999999998</v>
      </c>
      <c r="V153" s="713">
        <f>OpEx!W48</f>
        <v>549.76319999999998</v>
      </c>
      <c r="W153" s="713">
        <f>OpEx!X48</f>
        <v>549.76319999999998</v>
      </c>
      <c r="X153" s="713">
        <f>OpEx!Y48</f>
        <v>549.76319999999998</v>
      </c>
      <c r="Y153" s="713">
        <f>OpEx!Z48</f>
        <v>549.76319999999998</v>
      </c>
      <c r="Z153" s="713">
        <f>OpEx!AA48</f>
        <v>549.76319999999998</v>
      </c>
      <c r="AA153" s="713">
        <f>OpEx!AB48</f>
        <v>549.76319999999998</v>
      </c>
      <c r="AB153" s="713">
        <f>OpEx!AC48</f>
        <v>549.76319999999998</v>
      </c>
      <c r="AC153" s="713">
        <f>OpEx!AD48</f>
        <v>549.76319999999998</v>
      </c>
      <c r="AD153" s="713">
        <f>OpEx!AE48</f>
        <v>549.76319999999998</v>
      </c>
      <c r="AE153" s="713">
        <f>OpEx!AF48</f>
        <v>549.76319999999998</v>
      </c>
      <c r="AF153" s="713">
        <f>OpEx!AG48</f>
        <v>549.76319999999998</v>
      </c>
      <c r="AG153" s="713">
        <f>OpEx!AH48</f>
        <v>549.76319999999998</v>
      </c>
      <c r="AH153" s="714">
        <f>OpEx!AI48</f>
        <v>549.76319999999998</v>
      </c>
      <c r="AJ153" s="4"/>
      <c r="AK153" s="4"/>
      <c r="AL153" s="4"/>
      <c r="AM153" s="4"/>
      <c r="AN153" s="4"/>
      <c r="AO153" s="4"/>
      <c r="AP153" s="4"/>
    </row>
    <row r="154" spans="1:42">
      <c r="A154" s="122" t="str">
        <f>OpEx!B53</f>
        <v xml:space="preserve"> Fees</v>
      </c>
      <c r="B154" s="3"/>
      <c r="C154" s="718">
        <f>OpEx!E53</f>
        <v>0</v>
      </c>
      <c r="D154" s="124"/>
      <c r="E154" s="712">
        <f>OpEx!F53</f>
        <v>14</v>
      </c>
      <c r="F154" s="713">
        <f>OpEx!G53</f>
        <v>14</v>
      </c>
      <c r="G154" s="713">
        <f>OpEx!H53</f>
        <v>14</v>
      </c>
      <c r="H154" s="713">
        <f>OpEx!I53</f>
        <v>14</v>
      </c>
      <c r="I154" s="713">
        <f>OpEx!J53</f>
        <v>14</v>
      </c>
      <c r="J154" s="713">
        <f>OpEx!K53</f>
        <v>14</v>
      </c>
      <c r="K154" s="713">
        <f>OpEx!L53</f>
        <v>14</v>
      </c>
      <c r="L154" s="713">
        <f>OpEx!M53</f>
        <v>14</v>
      </c>
      <c r="M154" s="713">
        <f>OpEx!N53</f>
        <v>14</v>
      </c>
      <c r="N154" s="713">
        <f>OpEx!O53</f>
        <v>14</v>
      </c>
      <c r="O154" s="713">
        <f>OpEx!P53</f>
        <v>14</v>
      </c>
      <c r="P154" s="713">
        <f>OpEx!Q53</f>
        <v>14</v>
      </c>
      <c r="Q154" s="713">
        <f>OpEx!R53</f>
        <v>14</v>
      </c>
      <c r="R154" s="713">
        <f>OpEx!S53</f>
        <v>14</v>
      </c>
      <c r="S154" s="713">
        <f>OpEx!T53</f>
        <v>14</v>
      </c>
      <c r="T154" s="713">
        <f>OpEx!U53</f>
        <v>14</v>
      </c>
      <c r="U154" s="713">
        <f>OpEx!V53</f>
        <v>14</v>
      </c>
      <c r="V154" s="713">
        <f>OpEx!W53</f>
        <v>14</v>
      </c>
      <c r="W154" s="713">
        <f>OpEx!X53</f>
        <v>14</v>
      </c>
      <c r="X154" s="713">
        <f>OpEx!Y53</f>
        <v>14</v>
      </c>
      <c r="Y154" s="713">
        <f>OpEx!Z53</f>
        <v>14</v>
      </c>
      <c r="Z154" s="713">
        <f>OpEx!AA53</f>
        <v>14</v>
      </c>
      <c r="AA154" s="713">
        <f>OpEx!AB53</f>
        <v>14</v>
      </c>
      <c r="AB154" s="713">
        <f>OpEx!AC53</f>
        <v>14</v>
      </c>
      <c r="AC154" s="713">
        <f>OpEx!AD53</f>
        <v>14</v>
      </c>
      <c r="AD154" s="713">
        <f>OpEx!AE53</f>
        <v>14</v>
      </c>
      <c r="AE154" s="713">
        <f>OpEx!AF53</f>
        <v>14</v>
      </c>
      <c r="AF154" s="713">
        <f>OpEx!AG53</f>
        <v>14</v>
      </c>
      <c r="AG154" s="713">
        <f>OpEx!AH53</f>
        <v>14</v>
      </c>
      <c r="AH154" s="714">
        <f>OpEx!AI53</f>
        <v>14</v>
      </c>
      <c r="AJ154" s="4"/>
      <c r="AK154" s="4"/>
      <c r="AL154" s="4"/>
      <c r="AM154" s="4"/>
      <c r="AN154" s="4"/>
      <c r="AO154" s="4"/>
      <c r="AP154" s="4"/>
    </row>
    <row r="155" spans="1:42">
      <c r="A155" s="122" t="str">
        <f>OpEx!B58</f>
        <v>Audit&amp;Accounting&amp;Legal Fees</v>
      </c>
      <c r="B155" s="3"/>
      <c r="C155" s="718">
        <f>OpEx!E58</f>
        <v>0</v>
      </c>
      <c r="D155" s="126"/>
      <c r="E155" s="712">
        <f>OpEx!F58</f>
        <v>24</v>
      </c>
      <c r="F155" s="713">
        <f>OpEx!G58</f>
        <v>24.48</v>
      </c>
      <c r="G155" s="713">
        <f>OpEx!H58</f>
        <v>16.6464</v>
      </c>
      <c r="H155" s="713">
        <f>OpEx!I58</f>
        <v>16.979327999999999</v>
      </c>
      <c r="I155" s="713">
        <f>OpEx!J58</f>
        <v>17.31891456</v>
      </c>
      <c r="J155" s="713">
        <f>OpEx!K58</f>
        <v>17.6652928512</v>
      </c>
      <c r="K155" s="713">
        <f>OpEx!L58</f>
        <v>18.018598708224001</v>
      </c>
      <c r="L155" s="713">
        <f>OpEx!M58</f>
        <v>18.378970682388477</v>
      </c>
      <c r="M155" s="713">
        <f>OpEx!N58</f>
        <v>18.746550096036248</v>
      </c>
      <c r="N155" s="713">
        <f>OpEx!O58</f>
        <v>19.121481097956973</v>
      </c>
      <c r="O155" s="713">
        <f>OpEx!P58</f>
        <v>19.503910719916114</v>
      </c>
      <c r="P155" s="713">
        <f>OpEx!Q58</f>
        <v>19.893988934314432</v>
      </c>
      <c r="Q155" s="713">
        <f>OpEx!R58</f>
        <v>20.291868713000724</v>
      </c>
      <c r="R155" s="713">
        <f>OpEx!S58</f>
        <v>20.697706087260737</v>
      </c>
      <c r="S155" s="713">
        <f>OpEx!T58</f>
        <v>21.111660209005954</v>
      </c>
      <c r="T155" s="713">
        <f>OpEx!U58</f>
        <v>21.533893413186068</v>
      </c>
      <c r="U155" s="713">
        <f>OpEx!V58</f>
        <v>21.964571281449793</v>
      </c>
      <c r="V155" s="713">
        <f>OpEx!W58</f>
        <v>22.40386270707879</v>
      </c>
      <c r="W155" s="713">
        <f>OpEx!X58</f>
        <v>22.851939961220364</v>
      </c>
      <c r="X155" s="713">
        <f>OpEx!Y58</f>
        <v>23.30897876044477</v>
      </c>
      <c r="Y155" s="713">
        <f>OpEx!Z58</f>
        <v>23.775158335653668</v>
      </c>
      <c r="Z155" s="713">
        <f>OpEx!AA58</f>
        <v>24.250661502366739</v>
      </c>
      <c r="AA155" s="713">
        <f>OpEx!AB58</f>
        <v>24.735674732414076</v>
      </c>
      <c r="AB155" s="713">
        <f>OpEx!AC58</f>
        <v>25.230388227062353</v>
      </c>
      <c r="AC155" s="713">
        <f>OpEx!AD58</f>
        <v>25.734995991603601</v>
      </c>
      <c r="AD155" s="713">
        <f>OpEx!AE58</f>
        <v>26.249695911435673</v>
      </c>
      <c r="AE155" s="713">
        <f>OpEx!AF58</f>
        <v>26.774689829664389</v>
      </c>
      <c r="AF155" s="713">
        <f>OpEx!AG58</f>
        <v>27.310183626257672</v>
      </c>
      <c r="AG155" s="713">
        <f>OpEx!AH58</f>
        <v>27.856387298782831</v>
      </c>
      <c r="AH155" s="714">
        <f>OpEx!AI58</f>
        <v>28.413515044758483</v>
      </c>
      <c r="AJ155" s="4"/>
      <c r="AK155" s="4"/>
      <c r="AL155" s="4"/>
      <c r="AM155" s="4"/>
      <c r="AN155" s="4"/>
      <c r="AO155" s="4"/>
      <c r="AP155" s="4"/>
    </row>
    <row r="156" spans="1:42">
      <c r="A156" s="122" t="str">
        <f>OpEx!B65</f>
        <v>Bank Fees</v>
      </c>
      <c r="B156" s="3"/>
      <c r="C156" s="718">
        <f>OpEx!E65</f>
        <v>0</v>
      </c>
      <c r="D156" s="124"/>
      <c r="E156" s="712">
        <f>OpEx!F65</f>
        <v>20</v>
      </c>
      <c r="F156" s="713">
        <f>OpEx!G65</f>
        <v>20.399999999999999</v>
      </c>
      <c r="G156" s="713">
        <f>OpEx!H65</f>
        <v>20.808</v>
      </c>
      <c r="H156" s="713">
        <f>OpEx!I65</f>
        <v>21.224159999999998</v>
      </c>
      <c r="I156" s="713">
        <f>OpEx!J65</f>
        <v>21.648643199999999</v>
      </c>
      <c r="J156" s="713">
        <f>OpEx!K65</f>
        <v>22.081616064000002</v>
      </c>
      <c r="K156" s="713">
        <f>OpEx!L65</f>
        <v>22.523248385280002</v>
      </c>
      <c r="L156" s="713">
        <f>OpEx!M65</f>
        <v>22.973713352985598</v>
      </c>
      <c r="M156" s="713">
        <f>OpEx!N65</f>
        <v>23.43318762004531</v>
      </c>
      <c r="N156" s="713">
        <f>OpEx!O65</f>
        <v>23.901851372446217</v>
      </c>
      <c r="O156" s="713">
        <f>OpEx!P65</f>
        <v>24.379888399895144</v>
      </c>
      <c r="P156" s="713">
        <f>OpEx!Q65</f>
        <v>24.867486167893041</v>
      </c>
      <c r="Q156" s="713">
        <f>OpEx!R65</f>
        <v>25.364835891250905</v>
      </c>
      <c r="R156" s="713">
        <f>OpEx!S65</f>
        <v>25.872132609075923</v>
      </c>
      <c r="S156" s="713">
        <f>OpEx!T65</f>
        <v>0</v>
      </c>
      <c r="T156" s="713">
        <f>OpEx!U65</f>
        <v>0</v>
      </c>
      <c r="U156" s="713">
        <f>OpEx!V65</f>
        <v>0</v>
      </c>
      <c r="V156" s="713">
        <f>OpEx!W65</f>
        <v>0</v>
      </c>
      <c r="W156" s="713">
        <f>OpEx!X65</f>
        <v>0</v>
      </c>
      <c r="X156" s="713">
        <f>OpEx!Y65</f>
        <v>0</v>
      </c>
      <c r="Y156" s="713">
        <f>OpEx!Z65</f>
        <v>0</v>
      </c>
      <c r="Z156" s="713">
        <f>OpEx!AA65</f>
        <v>0</v>
      </c>
      <c r="AA156" s="713">
        <f>OpEx!AB65</f>
        <v>0</v>
      </c>
      <c r="AB156" s="713">
        <f>OpEx!AC65</f>
        <v>0</v>
      </c>
      <c r="AC156" s="713">
        <f>OpEx!AD65</f>
        <v>0</v>
      </c>
      <c r="AD156" s="713">
        <f>OpEx!AE65</f>
        <v>0</v>
      </c>
      <c r="AE156" s="713">
        <f>OpEx!AF65</f>
        <v>0</v>
      </c>
      <c r="AF156" s="713">
        <f>OpEx!AG65</f>
        <v>0</v>
      </c>
      <c r="AG156" s="713">
        <f>OpEx!AH65</f>
        <v>0</v>
      </c>
      <c r="AH156" s="714">
        <f>OpEx!AI65</f>
        <v>0</v>
      </c>
      <c r="AJ156" s="4"/>
      <c r="AK156" s="4"/>
      <c r="AL156" s="4"/>
      <c r="AM156" s="4"/>
      <c r="AN156" s="4"/>
      <c r="AO156" s="4"/>
      <c r="AP156" s="4"/>
    </row>
    <row r="157" spans="1:42">
      <c r="A157" s="127" t="str">
        <f>OpEx!B70</f>
        <v>Environmental&amp;Social management</v>
      </c>
      <c r="B157" s="66"/>
      <c r="C157" s="718">
        <f>OpEx!E70</f>
        <v>0</v>
      </c>
      <c r="D157" s="124"/>
      <c r="E157" s="712">
        <f>OpEx!F70</f>
        <v>32</v>
      </c>
      <c r="F157" s="713">
        <f>OpEx!G70</f>
        <v>32.64</v>
      </c>
      <c r="G157" s="713">
        <f>OpEx!H70</f>
        <v>12.4848</v>
      </c>
      <c r="H157" s="713">
        <f>OpEx!I70</f>
        <v>12.734496</v>
      </c>
      <c r="I157" s="713">
        <f>OpEx!J70</f>
        <v>12.989185920000001</v>
      </c>
      <c r="J157" s="713">
        <f>OpEx!K70</f>
        <v>13.2489696384</v>
      </c>
      <c r="K157" s="713">
        <f>OpEx!L70</f>
        <v>13.513949031168</v>
      </c>
      <c r="L157" s="713">
        <f>OpEx!M70</f>
        <v>13.784228011791358</v>
      </c>
      <c r="M157" s="713">
        <f>OpEx!N70</f>
        <v>14.059912572027187</v>
      </c>
      <c r="N157" s="713">
        <f>OpEx!O70</f>
        <v>14.34111082346773</v>
      </c>
      <c r="O157" s="713">
        <f>OpEx!P70</f>
        <v>14.627933039937085</v>
      </c>
      <c r="P157" s="713">
        <f>OpEx!Q70</f>
        <v>14.920491700735823</v>
      </c>
      <c r="Q157" s="713">
        <f>OpEx!R70</f>
        <v>15.218901534750543</v>
      </c>
      <c r="R157" s="713">
        <f>OpEx!S70</f>
        <v>15.523279565445552</v>
      </c>
      <c r="S157" s="713">
        <f>OpEx!T70</f>
        <v>15.833745156754466</v>
      </c>
      <c r="T157" s="713">
        <f>OpEx!U70</f>
        <v>16.150420059889552</v>
      </c>
      <c r="U157" s="713">
        <f>OpEx!V70</f>
        <v>16.473428461087344</v>
      </c>
      <c r="V157" s="713">
        <f>OpEx!W70</f>
        <v>16.802897030309094</v>
      </c>
      <c r="W157" s="713">
        <f>OpEx!X70</f>
        <v>17.138954970915272</v>
      </c>
      <c r="X157" s="713">
        <f>OpEx!Y70</f>
        <v>17.481734070333577</v>
      </c>
      <c r="Y157" s="713">
        <f>OpEx!Z70</f>
        <v>17.83136875174025</v>
      </c>
      <c r="Z157" s="713">
        <f>OpEx!AA70</f>
        <v>18.187996126775055</v>
      </c>
      <c r="AA157" s="713">
        <f>OpEx!AB70</f>
        <v>18.551756049310555</v>
      </c>
      <c r="AB157" s="713">
        <f>OpEx!AC70</f>
        <v>18.922791170296765</v>
      </c>
      <c r="AC157" s="713">
        <f>OpEx!AD70</f>
        <v>19.301246993702701</v>
      </c>
      <c r="AD157" s="713">
        <f>OpEx!AE70</f>
        <v>19.687271933576753</v>
      </c>
      <c r="AE157" s="713">
        <f>OpEx!AF70</f>
        <v>20.08101737224829</v>
      </c>
      <c r="AF157" s="713">
        <f>OpEx!AG70</f>
        <v>20.482637719693255</v>
      </c>
      <c r="AG157" s="713">
        <f>OpEx!AH70</f>
        <v>20.892290474087122</v>
      </c>
      <c r="AH157" s="714">
        <f>OpEx!AI70</f>
        <v>21.310136283568863</v>
      </c>
      <c r="AJ157" s="4"/>
      <c r="AK157" s="4"/>
      <c r="AL157" s="4"/>
      <c r="AM157" s="4"/>
      <c r="AN157" s="4"/>
      <c r="AO157" s="4"/>
      <c r="AP157" s="4"/>
    </row>
    <row r="158" spans="1:42">
      <c r="A158" s="127" t="str">
        <f>OpEx!B76</f>
        <v xml:space="preserve">Contingencies </v>
      </c>
      <c r="B158" s="66"/>
      <c r="C158" s="718">
        <f>OpEx!E76</f>
        <v>0</v>
      </c>
      <c r="D158" s="124"/>
      <c r="E158" s="712">
        <f>OpEx!F76</f>
        <v>51.489632</v>
      </c>
      <c r="F158" s="713">
        <f>OpEx!G76</f>
        <v>49.837136000000008</v>
      </c>
      <c r="G158" s="713">
        <f>OpEx!H76</f>
        <v>49.515942079999995</v>
      </c>
      <c r="H158" s="713">
        <f>OpEx!I76</f>
        <v>50.353572281599995</v>
      </c>
      <c r="I158" s="713">
        <f>OpEx!J76</f>
        <v>51.207955087232001</v>
      </c>
      <c r="J158" s="713">
        <f>OpEx!K76</f>
        <v>52.079425548976644</v>
      </c>
      <c r="K158" s="713">
        <f>OpEx!L76</f>
        <v>52.96832541995618</v>
      </c>
      <c r="L158" s="713">
        <f>OpEx!M76</f>
        <v>53.875003288355295</v>
      </c>
      <c r="M158" s="713">
        <f>OpEx!N76</f>
        <v>54.799814714122405</v>
      </c>
      <c r="N158" s="713">
        <f>OpEx!O76</f>
        <v>55.743122368404848</v>
      </c>
      <c r="O158" s="713">
        <f>OpEx!P76</f>
        <v>71.621392175772939</v>
      </c>
      <c r="P158" s="713">
        <f>OpEx!Q76</f>
        <v>72.602809459288409</v>
      </c>
      <c r="Q158" s="713">
        <f>OpEx!R76</f>
        <v>73.603855088474177</v>
      </c>
      <c r="R158" s="713">
        <f>OpEx!S76</f>
        <v>74.624921630243648</v>
      </c>
      <c r="S158" s="713">
        <f>OpEx!T76</f>
        <v>74.610826492398232</v>
      </c>
      <c r="T158" s="713">
        <f>OpEx!U76</f>
        <v>75.652032462246183</v>
      </c>
      <c r="U158" s="713">
        <f>OpEx!V76</f>
        <v>76.714062551491111</v>
      </c>
      <c r="V158" s="713">
        <f>OpEx!W76</f>
        <v>77.797333242520935</v>
      </c>
      <c r="W158" s="713">
        <f>OpEx!X76</f>
        <v>78.902269347371359</v>
      </c>
      <c r="X158" s="713">
        <f>OpEx!Y76</f>
        <v>80.029304174318767</v>
      </c>
      <c r="Y158" s="713">
        <f>OpEx!Z76</f>
        <v>81.178879697805172</v>
      </c>
      <c r="Z158" s="713">
        <f>OpEx!AA76</f>
        <v>82.351446731761257</v>
      </c>
      <c r="AA158" s="713">
        <f>OpEx!AB76</f>
        <v>83.547465106396487</v>
      </c>
      <c r="AB158" s="713">
        <f>OpEx!AC76</f>
        <v>84.76740384852441</v>
      </c>
      <c r="AC158" s="713">
        <f>OpEx!AD76</f>
        <v>86.011741365494899</v>
      </c>
      <c r="AD158" s="713">
        <f>OpEx!AE76</f>
        <v>87.280965632804808</v>
      </c>
      <c r="AE158" s="713">
        <f>OpEx!AF76</f>
        <v>88.575574385460897</v>
      </c>
      <c r="AF158" s="713">
        <f>OpEx!AG76</f>
        <v>89.896075313170115</v>
      </c>
      <c r="AG158" s="713">
        <f>OpEx!AH76</f>
        <v>91.242986259433536</v>
      </c>
      <c r="AH158" s="714">
        <f>OpEx!AI76</f>
        <v>92.616835424622181</v>
      </c>
      <c r="AJ158" s="4"/>
      <c r="AK158" s="4"/>
      <c r="AL158" s="4"/>
      <c r="AM158" s="4"/>
      <c r="AN158" s="4"/>
      <c r="AO158" s="4"/>
      <c r="AP158" s="4"/>
    </row>
    <row r="159" spans="1:42">
      <c r="A159" s="122" t="str">
        <f>OpEx!B90</f>
        <v>Taxes</v>
      </c>
      <c r="B159" s="3"/>
      <c r="C159" s="718">
        <f>OpEx!E90</f>
        <v>0</v>
      </c>
      <c r="D159" s="124"/>
      <c r="E159" s="712">
        <f>OpEx!F90</f>
        <v>0</v>
      </c>
      <c r="F159" s="713">
        <f>OpEx!G90</f>
        <v>0</v>
      </c>
      <c r="G159" s="713">
        <f>OpEx!H90</f>
        <v>0</v>
      </c>
      <c r="H159" s="713">
        <f>OpEx!I90</f>
        <v>0</v>
      </c>
      <c r="I159" s="713">
        <f>OpEx!J90</f>
        <v>0</v>
      </c>
      <c r="J159" s="713">
        <f>OpEx!K90</f>
        <v>0</v>
      </c>
      <c r="K159" s="713">
        <f>OpEx!L90</f>
        <v>0</v>
      </c>
      <c r="L159" s="713">
        <f>OpEx!M90</f>
        <v>0</v>
      </c>
      <c r="M159" s="713">
        <f>OpEx!N90</f>
        <v>0</v>
      </c>
      <c r="N159" s="713">
        <f>OpEx!O90</f>
        <v>0</v>
      </c>
      <c r="O159" s="713">
        <f>OpEx!P90</f>
        <v>0</v>
      </c>
      <c r="P159" s="713">
        <f>OpEx!Q90</f>
        <v>0</v>
      </c>
      <c r="Q159" s="713">
        <f>OpEx!R90</f>
        <v>0</v>
      </c>
      <c r="R159" s="713">
        <f>OpEx!S90</f>
        <v>0</v>
      </c>
      <c r="S159" s="713">
        <f>OpEx!T90</f>
        <v>0</v>
      </c>
      <c r="T159" s="713">
        <f>OpEx!U90</f>
        <v>0</v>
      </c>
      <c r="U159" s="713">
        <f>OpEx!V90</f>
        <v>0</v>
      </c>
      <c r="V159" s="713">
        <f>OpEx!W90</f>
        <v>0</v>
      </c>
      <c r="W159" s="713">
        <f>OpEx!X90</f>
        <v>0</v>
      </c>
      <c r="X159" s="713">
        <f>OpEx!Y90</f>
        <v>0</v>
      </c>
      <c r="Y159" s="713">
        <f>OpEx!Z90</f>
        <v>0</v>
      </c>
      <c r="Z159" s="713">
        <f>OpEx!AA90</f>
        <v>0</v>
      </c>
      <c r="AA159" s="713">
        <f>OpEx!AB90</f>
        <v>0</v>
      </c>
      <c r="AB159" s="713">
        <f>OpEx!AC90</f>
        <v>0</v>
      </c>
      <c r="AC159" s="713">
        <f>OpEx!AD90</f>
        <v>0</v>
      </c>
      <c r="AD159" s="713">
        <f>OpEx!AE90</f>
        <v>0</v>
      </c>
      <c r="AE159" s="713">
        <f>OpEx!AF90</f>
        <v>0</v>
      </c>
      <c r="AF159" s="713">
        <f>OpEx!AG90</f>
        <v>0</v>
      </c>
      <c r="AG159" s="713">
        <f>OpEx!AH90</f>
        <v>0</v>
      </c>
      <c r="AH159" s="714">
        <f>OpEx!AI90</f>
        <v>0</v>
      </c>
      <c r="AJ159" s="4"/>
      <c r="AK159" s="4"/>
      <c r="AL159" s="4"/>
      <c r="AM159" s="4"/>
      <c r="AN159" s="4"/>
      <c r="AO159" s="4"/>
      <c r="AP159" s="4"/>
    </row>
    <row r="160" spans="1:42">
      <c r="A160" s="122" t="str">
        <f>OpEx!B82</f>
        <v>Salary and payroll Tax</v>
      </c>
      <c r="B160" s="3"/>
      <c r="C160" s="718">
        <f>OpEx!E82</f>
        <v>0</v>
      </c>
      <c r="D160" s="124"/>
      <c r="E160" s="712">
        <f>OpEx!F82</f>
        <v>0</v>
      </c>
      <c r="F160" s="713">
        <f>OpEx!G82</f>
        <v>0</v>
      </c>
      <c r="G160" s="713">
        <f>OpEx!H82</f>
        <v>0</v>
      </c>
      <c r="H160" s="713">
        <f>OpEx!I82</f>
        <v>0</v>
      </c>
      <c r="I160" s="713">
        <f>OpEx!J82</f>
        <v>0</v>
      </c>
      <c r="J160" s="713">
        <f>OpEx!K82</f>
        <v>0</v>
      </c>
      <c r="K160" s="713">
        <f>OpEx!L82</f>
        <v>0</v>
      </c>
      <c r="L160" s="713">
        <f>OpEx!M82</f>
        <v>0</v>
      </c>
      <c r="M160" s="713">
        <f>OpEx!N82</f>
        <v>0</v>
      </c>
      <c r="N160" s="713">
        <f>OpEx!O82</f>
        <v>0</v>
      </c>
      <c r="O160" s="713">
        <f>OpEx!P82</f>
        <v>0</v>
      </c>
      <c r="P160" s="713">
        <f>OpEx!Q82</f>
        <v>0</v>
      </c>
      <c r="Q160" s="713">
        <f>OpEx!R82</f>
        <v>0</v>
      </c>
      <c r="R160" s="713">
        <f>OpEx!S82</f>
        <v>0</v>
      </c>
      <c r="S160" s="713">
        <f>OpEx!T82</f>
        <v>0</v>
      </c>
      <c r="T160" s="713">
        <f>OpEx!U82</f>
        <v>0</v>
      </c>
      <c r="U160" s="713">
        <f>OpEx!V82</f>
        <v>0</v>
      </c>
      <c r="V160" s="713">
        <f>OpEx!W82</f>
        <v>0</v>
      </c>
      <c r="W160" s="713">
        <f>OpEx!X82</f>
        <v>0</v>
      </c>
      <c r="X160" s="713">
        <f>OpEx!Y82</f>
        <v>0</v>
      </c>
      <c r="Y160" s="713">
        <f>OpEx!Z82</f>
        <v>0</v>
      </c>
      <c r="Z160" s="713">
        <f>OpEx!AA82</f>
        <v>0</v>
      </c>
      <c r="AA160" s="713">
        <f>OpEx!AB82</f>
        <v>0</v>
      </c>
      <c r="AB160" s="713">
        <f>OpEx!AC82</f>
        <v>0</v>
      </c>
      <c r="AC160" s="713">
        <f>OpEx!AD82</f>
        <v>0</v>
      </c>
      <c r="AD160" s="713">
        <f>OpEx!AE82</f>
        <v>0</v>
      </c>
      <c r="AE160" s="713">
        <f>OpEx!AF82</f>
        <v>0</v>
      </c>
      <c r="AF160" s="713">
        <f>OpEx!AG82</f>
        <v>0</v>
      </c>
      <c r="AG160" s="713">
        <f>OpEx!AH82</f>
        <v>0</v>
      </c>
      <c r="AH160" s="714">
        <f>OpEx!AI82</f>
        <v>0</v>
      </c>
      <c r="AJ160" s="4"/>
      <c r="AK160" s="4"/>
      <c r="AL160" s="4"/>
      <c r="AM160" s="4"/>
      <c r="AN160" s="4"/>
      <c r="AO160" s="4"/>
      <c r="AP160" s="4"/>
    </row>
    <row r="161" spans="1:42">
      <c r="A161" s="128" t="s">
        <v>334</v>
      </c>
      <c r="B161" s="59"/>
      <c r="C161" s="129"/>
      <c r="D161" s="130"/>
      <c r="E161" s="715">
        <f>SUMPRODUCT(E146:E160,$C$146:$C$160)</f>
        <v>0</v>
      </c>
      <c r="F161" s="716">
        <f t="shared" ref="F161:AH161" si="48">SUMPRODUCT(F146:F160,$C$146:$C$160)</f>
        <v>0</v>
      </c>
      <c r="G161" s="716">
        <f t="shared" si="48"/>
        <v>0</v>
      </c>
      <c r="H161" s="716">
        <f t="shared" si="48"/>
        <v>0</v>
      </c>
      <c r="I161" s="716">
        <f t="shared" si="48"/>
        <v>0</v>
      </c>
      <c r="J161" s="716">
        <f t="shared" si="48"/>
        <v>0</v>
      </c>
      <c r="K161" s="716">
        <f t="shared" si="48"/>
        <v>0</v>
      </c>
      <c r="L161" s="716">
        <f t="shared" si="48"/>
        <v>0</v>
      </c>
      <c r="M161" s="716">
        <f t="shared" si="48"/>
        <v>0</v>
      </c>
      <c r="N161" s="716">
        <f t="shared" si="48"/>
        <v>0</v>
      </c>
      <c r="O161" s="716">
        <f t="shared" si="48"/>
        <v>0</v>
      </c>
      <c r="P161" s="716">
        <f t="shared" si="48"/>
        <v>0</v>
      </c>
      <c r="Q161" s="716">
        <f t="shared" si="48"/>
        <v>0</v>
      </c>
      <c r="R161" s="716">
        <f t="shared" si="48"/>
        <v>0</v>
      </c>
      <c r="S161" s="716">
        <f t="shared" si="48"/>
        <v>0</v>
      </c>
      <c r="T161" s="716">
        <f t="shared" si="48"/>
        <v>0</v>
      </c>
      <c r="U161" s="716">
        <f t="shared" si="48"/>
        <v>0</v>
      </c>
      <c r="V161" s="716">
        <f t="shared" si="48"/>
        <v>0</v>
      </c>
      <c r="W161" s="716">
        <f t="shared" si="48"/>
        <v>0</v>
      </c>
      <c r="X161" s="716">
        <f t="shared" si="48"/>
        <v>0</v>
      </c>
      <c r="Y161" s="716">
        <f t="shared" si="48"/>
        <v>0</v>
      </c>
      <c r="Z161" s="716">
        <f t="shared" si="48"/>
        <v>0</v>
      </c>
      <c r="AA161" s="716">
        <f t="shared" si="48"/>
        <v>0</v>
      </c>
      <c r="AB161" s="716">
        <f t="shared" si="48"/>
        <v>0</v>
      </c>
      <c r="AC161" s="716">
        <f t="shared" si="48"/>
        <v>0</v>
      </c>
      <c r="AD161" s="716">
        <f t="shared" si="48"/>
        <v>0</v>
      </c>
      <c r="AE161" s="716">
        <f t="shared" si="48"/>
        <v>0</v>
      </c>
      <c r="AF161" s="716">
        <f t="shared" si="48"/>
        <v>0</v>
      </c>
      <c r="AG161" s="716">
        <f t="shared" si="48"/>
        <v>0</v>
      </c>
      <c r="AH161" s="717">
        <f t="shared" si="48"/>
        <v>0</v>
      </c>
      <c r="AI161" s="4"/>
      <c r="AJ161" s="4"/>
      <c r="AK161" s="4"/>
      <c r="AL161" s="4"/>
      <c r="AM161" s="4"/>
      <c r="AN161" s="4"/>
      <c r="AO161" s="4"/>
      <c r="AP161" s="4"/>
    </row>
    <row r="162" spans="1:42">
      <c r="A162" s="132"/>
      <c r="B162" s="6"/>
      <c r="C162" s="133"/>
      <c r="D162" s="134"/>
      <c r="E162" s="135"/>
      <c r="F162" s="135"/>
      <c r="G162" s="135"/>
      <c r="H162" s="135"/>
      <c r="I162" s="136"/>
      <c r="J162" s="136"/>
      <c r="K162" s="136"/>
      <c r="L162" s="136"/>
      <c r="M162" s="136"/>
      <c r="N162" s="136"/>
      <c r="O162" s="134"/>
      <c r="P162" s="134"/>
      <c r="Q162" s="134"/>
      <c r="R162" s="134"/>
      <c r="S162" s="134"/>
      <c r="T162" s="134"/>
      <c r="U162" s="134"/>
      <c r="V162" s="134"/>
      <c r="W162" s="134"/>
      <c r="X162" s="133"/>
      <c r="Y162" s="6"/>
    </row>
    <row r="163" spans="1:42">
      <c r="A163" s="5" t="s">
        <v>335</v>
      </c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"/>
      <c r="AJ163" s="4"/>
      <c r="AK163" s="4"/>
      <c r="AL163" s="4"/>
      <c r="AM163" s="4"/>
      <c r="AN163" s="4"/>
      <c r="AO163" s="4"/>
      <c r="AP163" s="4"/>
    </row>
    <row r="164" spans="1:42">
      <c r="A164" s="137"/>
      <c r="B164" s="6"/>
      <c r="C164" s="6"/>
      <c r="D164" s="137"/>
      <c r="E164" s="6"/>
      <c r="F164" s="138"/>
      <c r="G164" s="138"/>
      <c r="H164" s="47"/>
      <c r="I164" s="139"/>
      <c r="J164" s="139"/>
      <c r="K164" s="139"/>
      <c r="L164" s="139"/>
      <c r="M164" s="139"/>
      <c r="N164" s="139"/>
      <c r="O164" s="38"/>
      <c r="P164" s="38"/>
      <c r="Q164" s="38"/>
      <c r="R164" s="38"/>
      <c r="S164" s="38"/>
      <c r="V164" s="6"/>
      <c r="W164" s="6"/>
      <c r="X164" s="6"/>
      <c r="Y164" s="6"/>
    </row>
    <row r="165" spans="1:42">
      <c r="A165" s="140" t="s">
        <v>336</v>
      </c>
      <c r="B165" s="141"/>
      <c r="C165" s="1136">
        <f ca="1">D165/$D$171</f>
        <v>8.6246985606656459E-3</v>
      </c>
      <c r="D165" s="711">
        <f ca="1">IDC!D45</f>
        <v>500</v>
      </c>
      <c r="E165" s="140" t="s">
        <v>337</v>
      </c>
      <c r="F165" s="141"/>
      <c r="G165" s="711">
        <f>CapEx!C117</f>
        <v>55999.085499999994</v>
      </c>
      <c r="H165" s="36"/>
      <c r="I165" s="139"/>
      <c r="J165" s="139"/>
      <c r="K165" s="139"/>
      <c r="L165" s="139"/>
      <c r="M165" s="139"/>
      <c r="N165" s="139"/>
      <c r="O165" s="142"/>
      <c r="P165" s="142"/>
      <c r="Q165" s="143"/>
      <c r="R165" s="38"/>
      <c r="S165" s="38"/>
      <c r="V165" s="3"/>
      <c r="W165" s="3"/>
      <c r="X165" s="3"/>
      <c r="Y165" s="3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>
      <c r="A166" s="144" t="str">
        <f>A322</f>
        <v>Shareholder Loan</v>
      </c>
      <c r="B166" s="3"/>
      <c r="C166" s="145">
        <f ca="1">D166/$D$171</f>
        <v>0.25219953513286847</v>
      </c>
      <c r="D166" s="714">
        <f ca="1">IDC!D46</f>
        <v>14620.773894815633</v>
      </c>
      <c r="E166" s="144" t="str">
        <f>A39</f>
        <v>IDCs</v>
      </c>
      <c r="F166" s="3"/>
      <c r="G166" s="125">
        <f>C39</f>
        <v>1086.031998482634</v>
      </c>
      <c r="H166" s="36"/>
      <c r="I166" s="139"/>
      <c r="J166" s="139"/>
      <c r="K166" s="139"/>
      <c r="L166" s="139"/>
      <c r="M166" s="139"/>
      <c r="N166" s="139"/>
      <c r="O166" s="142"/>
      <c r="P166" s="142"/>
      <c r="Q166" s="143"/>
      <c r="R166" s="38"/>
      <c r="S166" s="38"/>
      <c r="V166" s="3"/>
      <c r="W166" s="3"/>
      <c r="X166" s="3"/>
      <c r="Y166" s="3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>
      <c r="A167" s="144" t="str">
        <f>A253</f>
        <v>Akuo Carbon Fund</v>
      </c>
      <c r="B167" s="3"/>
      <c r="C167" s="146">
        <f ca="1">D167/$D$171</f>
        <v>0</v>
      </c>
      <c r="D167" s="714">
        <f ca="1">IDC!D47</f>
        <v>0</v>
      </c>
      <c r="E167" s="144" t="str">
        <f>A40</f>
        <v>Commitment Fees</v>
      </c>
      <c r="F167" s="3"/>
      <c r="G167" s="125">
        <f>C40</f>
        <v>188.56290055498553</v>
      </c>
      <c r="H167" s="36"/>
      <c r="I167" s="139"/>
      <c r="J167" s="139"/>
      <c r="K167" s="139"/>
      <c r="L167" s="139"/>
      <c r="M167" s="139"/>
      <c r="N167" s="139"/>
      <c r="O167" s="142"/>
      <c r="P167" s="142"/>
      <c r="Q167" s="143"/>
      <c r="R167" s="38"/>
      <c r="S167" s="38"/>
      <c r="V167" s="3"/>
      <c r="W167" s="3"/>
      <c r="X167" s="3"/>
      <c r="Y167" s="3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>
      <c r="A168" s="144" t="str">
        <f>A190</f>
        <v>Senior Debt</v>
      </c>
      <c r="B168" s="3"/>
      <c r="C168" s="147">
        <f ca="1">D168/$D$171</f>
        <v>0.73917576630646586</v>
      </c>
      <c r="D168" s="714">
        <f ca="1">IDC!D48</f>
        <v>42852.266726027869</v>
      </c>
      <c r="E168" s="144" t="str">
        <f>A41</f>
        <v>Bank Fees</v>
      </c>
      <c r="F168" s="3"/>
      <c r="G168" s="125">
        <f>C41+C42</f>
        <v>477.30268707562993</v>
      </c>
      <c r="H168" s="36"/>
      <c r="I168" s="139"/>
      <c r="J168" s="139"/>
      <c r="K168" s="139"/>
      <c r="L168" s="139"/>
      <c r="M168" s="139"/>
      <c r="N168" s="139"/>
      <c r="O168" s="142"/>
      <c r="P168" s="142"/>
      <c r="Q168" s="148"/>
      <c r="R168" s="38"/>
      <c r="S168" s="38"/>
      <c r="V168" s="3"/>
      <c r="W168" s="3"/>
      <c r="X168" s="3"/>
      <c r="Y168" s="3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>
      <c r="A169" s="149"/>
      <c r="D169" s="125"/>
      <c r="E169" s="144" t="str">
        <f>A43</f>
        <v xml:space="preserve">Reserve Accounts </v>
      </c>
      <c r="F169" s="3"/>
      <c r="G169" s="125">
        <f>SUM(C43:C43)</f>
        <v>0</v>
      </c>
      <c r="H169" s="36"/>
      <c r="I169" s="139"/>
      <c r="J169" s="139"/>
      <c r="K169" s="139"/>
      <c r="L169" s="139"/>
      <c r="M169" s="139"/>
      <c r="N169" s="139"/>
      <c r="O169" s="142"/>
      <c r="P169" s="142"/>
      <c r="Q169" s="148"/>
      <c r="R169" s="38"/>
      <c r="S169" s="38"/>
      <c r="V169" s="3"/>
      <c r="W169" s="3"/>
      <c r="X169" s="3"/>
      <c r="Y169" s="3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>
      <c r="A170" s="150"/>
      <c r="B170" s="151"/>
      <c r="C170" s="152"/>
      <c r="D170" s="131"/>
      <c r="E170" s="153" t="str">
        <f>A44</f>
        <v>VAT Costs</v>
      </c>
      <c r="F170" s="59"/>
      <c r="G170" s="131">
        <f ca="1">C44</f>
        <v>222.06957126537966</v>
      </c>
      <c r="H170" s="36"/>
      <c r="I170" s="139"/>
      <c r="J170" s="139"/>
      <c r="K170" s="139"/>
      <c r="L170" s="139"/>
      <c r="M170" s="139"/>
      <c r="N170" s="139"/>
      <c r="O170" s="36"/>
      <c r="P170" s="36"/>
      <c r="Q170" s="38"/>
      <c r="R170" s="38"/>
      <c r="S170" s="38"/>
      <c r="V170" s="3"/>
      <c r="W170" s="3"/>
      <c r="X170" s="3"/>
      <c r="Y170" s="3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>
      <c r="A171" s="154" t="s">
        <v>186</v>
      </c>
      <c r="B171" s="155"/>
      <c r="C171" s="156"/>
      <c r="D171" s="157">
        <f ca="1">SUM(D165:D170)</f>
        <v>57973.040620843502</v>
      </c>
      <c r="E171" s="154" t="str">
        <f>A171</f>
        <v>Total</v>
      </c>
      <c r="F171" s="155"/>
      <c r="G171" s="157">
        <f ca="1">SUM(G165:G170)</f>
        <v>57973.052657378626</v>
      </c>
      <c r="H171" s="158">
        <f ca="1">ABS(D171-G171)</f>
        <v>1.2036535124934744E-2</v>
      </c>
      <c r="I171" s="159"/>
      <c r="J171" s="139"/>
      <c r="K171" s="139"/>
      <c r="L171" s="139"/>
      <c r="M171" s="139"/>
      <c r="N171" s="139"/>
      <c r="O171" s="36"/>
      <c r="P171" s="36"/>
      <c r="Q171" s="38"/>
      <c r="R171" s="38"/>
      <c r="S171" s="38"/>
      <c r="V171" s="3"/>
      <c r="W171" s="3"/>
      <c r="X171" s="3"/>
      <c r="Y171" s="3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>
      <c r="A172" s="154" t="s">
        <v>187</v>
      </c>
      <c r="B172" s="155"/>
      <c r="C172" s="156"/>
      <c r="D172" s="157">
        <f ca="1">D275</f>
        <v>4877.9899450000012</v>
      </c>
      <c r="E172" s="160"/>
      <c r="F172" s="155"/>
      <c r="G172" s="161"/>
      <c r="H172" s="36"/>
      <c r="I172" s="139"/>
      <c r="J172" s="139"/>
      <c r="K172" s="139"/>
      <c r="L172" s="139"/>
      <c r="M172" s="139"/>
      <c r="N172" s="139"/>
      <c r="O172" s="36"/>
      <c r="P172" s="36"/>
      <c r="Q172" s="38"/>
      <c r="R172" s="38"/>
      <c r="S172" s="38"/>
      <c r="V172" s="3"/>
      <c r="W172" s="3"/>
      <c r="X172" s="3"/>
      <c r="Y172" s="3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>
      <c r="A173" s="6"/>
      <c r="B173" s="6"/>
      <c r="C173" s="6"/>
      <c r="D173" s="162"/>
      <c r="E173" s="6"/>
      <c r="F173" s="6"/>
      <c r="G173" s="6"/>
      <c r="H173" s="163"/>
      <c r="I173" s="139"/>
      <c r="J173" s="139"/>
      <c r="K173" s="139"/>
      <c r="L173" s="139"/>
      <c r="M173" s="139"/>
      <c r="N173" s="139"/>
      <c r="O173" s="53"/>
      <c r="P173" s="53"/>
      <c r="Q173" s="53"/>
      <c r="R173" s="53"/>
      <c r="S173" s="53"/>
      <c r="T173" s="6"/>
      <c r="U173" s="6"/>
      <c r="V173" s="6"/>
      <c r="W173" s="6"/>
      <c r="X173" s="6"/>
      <c r="Y173" s="6"/>
    </row>
    <row r="174" spans="1:42">
      <c r="A174" s="59" t="s">
        <v>338</v>
      </c>
      <c r="B174" s="61"/>
      <c r="C174" s="61"/>
      <c r="D174" s="61"/>
      <c r="F174" s="24"/>
      <c r="G174" s="24"/>
      <c r="H174" s="38"/>
      <c r="I174" s="38"/>
      <c r="J174" s="38"/>
      <c r="K174" s="38"/>
      <c r="L174" s="38"/>
      <c r="M174" s="38"/>
      <c r="N174" s="164"/>
      <c r="O174" s="36"/>
      <c r="P174" s="3"/>
      <c r="Q174" s="3"/>
      <c r="R174" s="3"/>
      <c r="S174" s="3"/>
      <c r="T174" s="3"/>
      <c r="U174" s="165"/>
      <c r="V174" s="3"/>
      <c r="W174" s="3"/>
      <c r="X174" s="3"/>
      <c r="Y174" s="3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>
      <c r="A175" s="61"/>
      <c r="B175" s="166"/>
      <c r="C175" s="167"/>
      <c r="D175" s="856" t="s">
        <v>339</v>
      </c>
      <c r="E175" s="167"/>
      <c r="F175" s="168"/>
      <c r="G175" s="24"/>
      <c r="H175" s="38"/>
      <c r="I175" s="38"/>
      <c r="J175" s="38"/>
      <c r="K175" s="38"/>
      <c r="L175" s="38"/>
      <c r="M175" s="38"/>
      <c r="N175" s="38"/>
      <c r="O175" s="38"/>
      <c r="P175" s="3"/>
      <c r="Q175" s="3"/>
      <c r="R175" s="3"/>
      <c r="S175" s="3"/>
      <c r="T175" s="3"/>
      <c r="U175" s="165"/>
      <c r="V175" s="3"/>
      <c r="W175" s="3"/>
      <c r="X175" s="3"/>
      <c r="Y175" s="3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>
      <c r="A176" s="169" t="s">
        <v>288</v>
      </c>
      <c r="B176" s="61"/>
      <c r="C176" s="170" t="s">
        <v>340</v>
      </c>
      <c r="E176" s="171" t="s">
        <v>341</v>
      </c>
      <c r="F176" s="172"/>
      <c r="G176" s="24"/>
      <c r="H176" s="38"/>
      <c r="I176" s="38"/>
      <c r="J176" s="38"/>
      <c r="K176" s="38"/>
      <c r="L176" s="38"/>
      <c r="M176" s="38"/>
      <c r="N176" s="38"/>
      <c r="O176" s="38"/>
      <c r="S176" s="3"/>
      <c r="T176" s="3"/>
      <c r="U176" s="165"/>
      <c r="V176" s="3"/>
      <c r="W176" s="3"/>
      <c r="X176" s="3"/>
      <c r="Y176" s="3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>
      <c r="A177" s="845" t="s">
        <v>272</v>
      </c>
      <c r="C177" s="173">
        <f>VLOOKUP(sizing_scenario,C182:D182,2)</f>
        <v>1.1499999999999999</v>
      </c>
      <c r="E177" s="1046">
        <f ca="1">CF!D159</f>
        <v>1.1499999999999999</v>
      </c>
      <c r="F177" s="172"/>
      <c r="G177" s="24"/>
      <c r="H177" s="38"/>
      <c r="I177" s="38"/>
      <c r="J177" s="38"/>
      <c r="K177" s="38"/>
      <c r="L177" s="38"/>
      <c r="M177" s="38"/>
      <c r="N177" s="36"/>
      <c r="O177" s="36"/>
      <c r="P177" s="3"/>
      <c r="Q177" s="3"/>
      <c r="R177" s="3"/>
      <c r="S177" s="3"/>
      <c r="T177" s="3"/>
      <c r="U177" s="165"/>
      <c r="V177" s="3"/>
      <c r="W177" s="3"/>
      <c r="X177" s="3"/>
      <c r="Y177" s="3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>
      <c r="A178" s="55"/>
      <c r="B178" s="55"/>
      <c r="C178" s="87"/>
      <c r="D178" s="59"/>
      <c r="E178" s="55"/>
      <c r="F178" s="174"/>
      <c r="G178" s="24"/>
      <c r="H178" s="38"/>
      <c r="I178" s="38"/>
      <c r="J178" s="38"/>
      <c r="K178" s="38"/>
      <c r="L178" s="38"/>
      <c r="M178" s="38"/>
      <c r="N178" s="53"/>
      <c r="O178" s="53"/>
      <c r="P178" s="6"/>
      <c r="Q178" s="6"/>
      <c r="R178" s="6"/>
      <c r="S178" s="6"/>
      <c r="T178" s="6"/>
      <c r="U178" s="175"/>
      <c r="V178" s="6"/>
      <c r="W178" s="6"/>
      <c r="X178" s="6"/>
      <c r="Y178" s="6"/>
    </row>
    <row r="179" spans="1:42">
      <c r="A179" s="51"/>
      <c r="B179" s="51"/>
      <c r="C179" s="51"/>
      <c r="G179" s="24"/>
      <c r="H179" s="38"/>
      <c r="I179" s="38"/>
      <c r="J179" s="38"/>
      <c r="K179" s="38"/>
      <c r="L179" s="38"/>
      <c r="M179" s="38"/>
      <c r="N179" s="53"/>
      <c r="O179" s="53"/>
      <c r="P179" s="6"/>
      <c r="Q179" s="6"/>
      <c r="R179" s="6"/>
      <c r="S179" s="6"/>
      <c r="T179" s="6"/>
      <c r="U179" s="175"/>
      <c r="V179" s="6"/>
      <c r="W179" s="6"/>
      <c r="X179" s="6"/>
      <c r="Y179" s="6"/>
    </row>
    <row r="180" spans="1:42">
      <c r="A180" s="61" t="s">
        <v>342</v>
      </c>
      <c r="C180" s="61"/>
      <c r="D180" s="183" t="str">
        <f>$A$64</f>
        <v>P_50</v>
      </c>
      <c r="H180" s="53"/>
      <c r="I180" s="53"/>
      <c r="J180" s="38"/>
      <c r="K180" s="38"/>
      <c r="L180" s="53"/>
      <c r="M180" s="53"/>
      <c r="N180" s="53"/>
      <c r="O180" s="53"/>
      <c r="P180" s="6"/>
      <c r="Q180" s="6"/>
      <c r="R180" s="6"/>
      <c r="S180" s="6"/>
      <c r="T180" s="6"/>
      <c r="U180" s="175"/>
      <c r="V180" s="6"/>
      <c r="W180" s="6"/>
      <c r="X180" s="6"/>
      <c r="Y180" s="6"/>
    </row>
    <row r="181" spans="1:42">
      <c r="A181" s="58" t="s">
        <v>343</v>
      </c>
      <c r="F181" s="61"/>
      <c r="H181" s="53"/>
      <c r="I181" s="53"/>
      <c r="J181" s="38"/>
      <c r="K181" s="38"/>
      <c r="L181" s="53"/>
      <c r="M181" s="53"/>
      <c r="N181" s="53"/>
      <c r="O181" s="53"/>
      <c r="P181" s="6"/>
      <c r="Q181" s="6"/>
      <c r="R181" s="6"/>
      <c r="S181" s="6"/>
      <c r="T181" s="6"/>
      <c r="U181" s="175"/>
      <c r="V181" s="6"/>
      <c r="W181" s="6"/>
      <c r="X181" s="6"/>
      <c r="Y181" s="6"/>
    </row>
    <row r="182" spans="1:42">
      <c r="A182" s="176"/>
      <c r="C182" s="6" t="str">
        <f>A68</f>
        <v>P_90-10y</v>
      </c>
      <c r="D182" s="1457">
        <f>G183</f>
        <v>1.1499999999999999</v>
      </c>
      <c r="E182" s="783"/>
      <c r="H182" s="53"/>
      <c r="I182" s="1453"/>
      <c r="J182" s="1442">
        <f>Scenarios!E350</f>
        <v>1.1499999999999999</v>
      </c>
      <c r="K182" s="53"/>
      <c r="L182" s="53"/>
      <c r="M182" s="53"/>
      <c r="N182" s="53"/>
      <c r="O182" s="53"/>
      <c r="P182" s="6"/>
      <c r="Q182" s="6"/>
      <c r="R182" s="6"/>
      <c r="S182" s="6"/>
      <c r="T182" s="6"/>
      <c r="U182" s="175"/>
      <c r="V182" s="6"/>
      <c r="W182" s="6"/>
      <c r="X182" s="6"/>
      <c r="Y182" s="6"/>
    </row>
    <row r="183" spans="1:42">
      <c r="A183" s="51"/>
      <c r="B183" s="51"/>
      <c r="C183" s="51"/>
      <c r="F183" s="1454" t="s">
        <v>344</v>
      </c>
      <c r="G183" s="1455">
        <f>(J182*D80)+(J183*E80)</f>
        <v>1.1499999999999999</v>
      </c>
      <c r="H183" s="53"/>
      <c r="I183" s="1453"/>
      <c r="J183" s="1442">
        <f>Scenarios!E351</f>
        <v>1.35</v>
      </c>
      <c r="K183" s="38"/>
      <c r="L183" s="53"/>
      <c r="M183" s="53"/>
      <c r="N183" s="53"/>
      <c r="O183" s="53"/>
      <c r="P183" s="6"/>
      <c r="Q183" s="6"/>
      <c r="R183" s="6"/>
      <c r="S183" s="6"/>
      <c r="T183" s="6"/>
      <c r="U183" s="175"/>
      <c r="V183" s="6"/>
      <c r="W183" s="6"/>
      <c r="X183" s="6"/>
      <c r="Y183" s="6"/>
    </row>
    <row r="184" spans="1:42">
      <c r="A184" s="61" t="s">
        <v>345</v>
      </c>
      <c r="C184" s="51"/>
      <c r="D184" s="177">
        <v>1</v>
      </c>
      <c r="H184" s="53"/>
      <c r="I184" s="53"/>
      <c r="J184" s="38"/>
      <c r="K184" s="38"/>
      <c r="L184" s="53"/>
      <c r="M184" s="53"/>
      <c r="N184" s="53"/>
      <c r="O184" s="53"/>
      <c r="P184" s="6"/>
      <c r="Q184" s="6"/>
      <c r="R184" s="6"/>
      <c r="S184" s="6"/>
      <c r="T184" s="6"/>
      <c r="U184" s="175"/>
      <c r="V184" s="6"/>
      <c r="W184" s="6"/>
      <c r="X184" s="6"/>
      <c r="Y184" s="6"/>
    </row>
    <row r="185" spans="1:42">
      <c r="A185" s="51"/>
      <c r="B185" s="51"/>
      <c r="C185" s="51"/>
      <c r="H185" s="53"/>
      <c r="I185" s="53"/>
      <c r="J185" s="38"/>
      <c r="K185" s="38"/>
      <c r="L185" s="53"/>
      <c r="M185" s="53"/>
      <c r="N185" s="53"/>
      <c r="O185" s="53"/>
      <c r="P185" s="6"/>
      <c r="Q185" s="6"/>
      <c r="R185" s="6"/>
      <c r="S185" s="6"/>
      <c r="T185" s="6"/>
      <c r="U185" s="175"/>
      <c r="V185" s="6"/>
      <c r="W185" s="6"/>
      <c r="X185" s="6"/>
      <c r="Y185" s="6"/>
    </row>
    <row r="186" spans="1:42">
      <c r="A186" s="5" t="s">
        <v>346</v>
      </c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"/>
      <c r="AJ186" s="4"/>
      <c r="AK186" s="4"/>
      <c r="AL186" s="4"/>
      <c r="AM186" s="4"/>
      <c r="AN186" s="4"/>
      <c r="AO186" s="4"/>
      <c r="AP186" s="4"/>
    </row>
    <row r="187" spans="1:42">
      <c r="A187" s="51"/>
      <c r="B187" s="51"/>
      <c r="C187" s="51"/>
      <c r="D187" s="178"/>
      <c r="E187" s="179"/>
      <c r="F187" s="178"/>
      <c r="G187" s="179"/>
      <c r="I187" s="136"/>
      <c r="J187" s="136"/>
      <c r="K187" s="136"/>
      <c r="L187" s="136"/>
      <c r="M187" s="136"/>
      <c r="N187" s="136"/>
      <c r="O187" s="53"/>
      <c r="P187" s="53"/>
      <c r="Q187" s="53"/>
      <c r="R187" s="53"/>
      <c r="S187" s="53"/>
      <c r="T187" s="6"/>
      <c r="U187" s="6"/>
      <c r="V187" s="6"/>
      <c r="W187" s="6"/>
      <c r="X187" s="6"/>
      <c r="Y187" s="6"/>
    </row>
    <row r="188" spans="1:42">
      <c r="A188" s="184" t="s">
        <v>347</v>
      </c>
      <c r="C188" s="180"/>
      <c r="D188" s="778">
        <f ca="1">D195+D275+D255</f>
        <v>47730.268707562995</v>
      </c>
      <c r="E188" s="181"/>
      <c r="F188" s="182"/>
      <c r="G188" s="180"/>
      <c r="H188" s="182"/>
      <c r="J188" s="136"/>
      <c r="K188" s="136"/>
      <c r="L188" s="136"/>
      <c r="M188" s="136"/>
      <c r="N188" s="136"/>
      <c r="O188" s="36"/>
      <c r="P188" s="36"/>
      <c r="Q188" s="36"/>
      <c r="R188" s="36"/>
      <c r="S188" s="36"/>
      <c r="T188" s="3"/>
      <c r="U188" s="3"/>
      <c r="V188" s="3"/>
      <c r="W188" s="3"/>
      <c r="X188" s="3"/>
      <c r="Y188" s="3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>
      <c r="A189" s="61"/>
      <c r="C189" s="61"/>
      <c r="D189" s="61"/>
      <c r="E189" s="181"/>
      <c r="F189" s="182"/>
      <c r="G189" s="180"/>
      <c r="H189" s="182"/>
      <c r="J189" s="136"/>
      <c r="K189" s="136"/>
      <c r="L189" s="136"/>
      <c r="M189" s="136"/>
      <c r="N189" s="136"/>
      <c r="O189" s="36"/>
      <c r="P189" s="36"/>
      <c r="Q189" s="36"/>
      <c r="R189" s="36"/>
      <c r="S189" s="36"/>
      <c r="T189" s="3"/>
      <c r="U189" s="3"/>
      <c r="V189" s="3"/>
      <c r="W189" s="3"/>
      <c r="X189" s="3"/>
      <c r="Y189" s="3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>
      <c r="A190" s="54" t="s">
        <v>348</v>
      </c>
      <c r="B190" s="55"/>
      <c r="C190" s="55"/>
      <c r="D190" s="55"/>
      <c r="E190" s="56"/>
      <c r="F190" s="57"/>
      <c r="G190" s="55"/>
      <c r="H190" s="55"/>
      <c r="I190" s="55"/>
      <c r="J190" s="55"/>
      <c r="K190" s="55"/>
      <c r="L190" s="58"/>
      <c r="M190" s="58"/>
      <c r="N190" s="58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60"/>
      <c r="AA190" s="60"/>
      <c r="AB190" s="60"/>
      <c r="AC190" s="60"/>
      <c r="AD190" s="60"/>
      <c r="AE190" s="60"/>
      <c r="AF190" s="60"/>
      <c r="AG190" s="60"/>
      <c r="AH190" s="60"/>
      <c r="AI190" s="4"/>
      <c r="AJ190" s="4"/>
      <c r="AK190" s="4"/>
      <c r="AL190" s="4"/>
      <c r="AM190" s="4"/>
      <c r="AN190" s="4"/>
      <c r="AO190" s="4"/>
      <c r="AP190" s="4"/>
    </row>
    <row r="191" spans="1:42">
      <c r="A191" s="240"/>
      <c r="E191" s="71"/>
      <c r="F191" s="770"/>
      <c r="L191" s="61"/>
      <c r="M191" s="61"/>
      <c r="N191" s="61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>
      <c r="A192" s="51" t="s">
        <v>325</v>
      </c>
      <c r="C192" s="663" t="b">
        <v>1</v>
      </c>
      <c r="D192" s="713">
        <f ca="1">DS!D51</f>
        <v>42852.278762562994</v>
      </c>
      <c r="E192" s="181"/>
      <c r="K192" s="3"/>
      <c r="L192" s="3"/>
      <c r="M192" s="183"/>
      <c r="N192" s="3"/>
      <c r="O192" s="3"/>
      <c r="P192" s="3"/>
      <c r="Q192" s="3"/>
      <c r="R192" s="3"/>
      <c r="S192" s="3"/>
      <c r="T192" s="3"/>
      <c r="U192" s="183"/>
      <c r="V192" s="3"/>
      <c r="W192" s="3"/>
      <c r="X192" s="3"/>
      <c r="Y192" s="3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>
      <c r="A193" s="184"/>
      <c r="C193" s="61"/>
      <c r="E193" s="182"/>
      <c r="F193" s="182"/>
      <c r="G193" s="180"/>
      <c r="N193" s="3"/>
      <c r="O193" s="3"/>
      <c r="P193" s="3"/>
      <c r="Q193" s="3"/>
      <c r="R193" s="3"/>
      <c r="S193" s="3"/>
      <c r="T193" s="3"/>
      <c r="U193" s="183"/>
      <c r="V193" s="3"/>
      <c r="W193" s="3"/>
      <c r="X193" s="3"/>
      <c r="Y193" s="3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>
      <c r="A194" s="58" t="s">
        <v>349</v>
      </c>
      <c r="D194" s="185" t="s">
        <v>350</v>
      </c>
      <c r="E194" s="182"/>
      <c r="F194" s="182"/>
      <c r="G194" s="181"/>
      <c r="J194" s="181"/>
      <c r="Q194" s="3"/>
      <c r="R194" s="3"/>
      <c r="S194" s="3"/>
      <c r="T194" s="3"/>
      <c r="U194" s="183"/>
      <c r="V194" s="3"/>
      <c r="W194" s="3"/>
      <c r="X194" s="3"/>
      <c r="Y194" s="3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>
      <c r="A195" s="95" t="s">
        <v>351</v>
      </c>
      <c r="D195" s="895">
        <f ca="1">MIN(DS!$D$47,G171*$D$230)</f>
        <v>42852.278762562994</v>
      </c>
      <c r="E195" s="182"/>
      <c r="F195" s="182"/>
      <c r="G195" s="181"/>
      <c r="J195" s="181"/>
      <c r="Q195" s="3"/>
      <c r="R195" s="3"/>
      <c r="S195" s="3"/>
      <c r="T195" s="3"/>
      <c r="U195" s="183"/>
      <c r="V195" s="3"/>
      <c r="W195" s="3"/>
      <c r="X195" s="3"/>
      <c r="Y195" s="3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>
      <c r="A196" s="61" t="s">
        <v>352</v>
      </c>
      <c r="C196" s="186"/>
      <c r="D196" s="1445">
        <f>Scenarios!E345</f>
        <v>14</v>
      </c>
      <c r="E196" s="182"/>
      <c r="F196" s="182"/>
      <c r="J196" s="181"/>
      <c r="Q196" s="3"/>
      <c r="R196" s="3"/>
      <c r="S196" s="3"/>
      <c r="T196" s="3"/>
      <c r="U196" s="183"/>
      <c r="V196" s="3"/>
      <c r="W196" s="3"/>
      <c r="X196" s="3"/>
      <c r="Y196" s="3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>
      <c r="A197" s="1" t="s">
        <v>353</v>
      </c>
      <c r="D197" s="205">
        <f>DATE(YEAR($D$11)+$D$196,MONTH($D$11)+MOD($D$196,1)*12,DAY($D$11)-1)</f>
        <v>52776</v>
      </c>
    </row>
    <row r="198" spans="1:42">
      <c r="A198" s="61" t="s">
        <v>354</v>
      </c>
      <c r="C198" s="61"/>
      <c r="D198" s="99">
        <f ca="1">$D195*D199</f>
        <v>42852.278762562994</v>
      </c>
      <c r="E198" s="182"/>
      <c r="F198" s="182"/>
      <c r="J198" s="181"/>
      <c r="Q198" s="3"/>
      <c r="R198" s="3"/>
      <c r="S198" s="3"/>
      <c r="T198" s="3"/>
      <c r="U198" s="183"/>
      <c r="V198" s="3"/>
      <c r="W198" s="3"/>
      <c r="X198" s="3"/>
      <c r="Y198" s="3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>
      <c r="A199" s="61" t="s">
        <v>355</v>
      </c>
      <c r="C199" s="188"/>
      <c r="D199" s="189">
        <v>1</v>
      </c>
      <c r="E199" s="182"/>
      <c r="F199" s="182"/>
      <c r="J199" s="181"/>
      <c r="Q199" s="3"/>
      <c r="R199" s="3"/>
      <c r="S199" s="3"/>
      <c r="T199" s="3"/>
      <c r="U199" s="183"/>
      <c r="V199" s="3"/>
      <c r="W199" s="3"/>
      <c r="X199" s="3"/>
      <c r="Y199" s="3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>
      <c r="E200" s="182"/>
      <c r="F200" s="182"/>
      <c r="Q200" s="3"/>
      <c r="R200" s="3"/>
      <c r="V200" s="3"/>
      <c r="W200" s="3"/>
      <c r="X200" s="3"/>
      <c r="Y200" s="3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>
      <c r="A201" s="58" t="s">
        <v>356</v>
      </c>
      <c r="C201" s="61"/>
      <c r="D201" s="882">
        <f>D204+D203%/100</f>
        <v>5.8499999999999996E-2</v>
      </c>
      <c r="E201" s="190"/>
      <c r="F201" s="662" t="s">
        <v>72</v>
      </c>
      <c r="G201" s="662" t="s">
        <v>151</v>
      </c>
      <c r="K201" s="191"/>
      <c r="M201" s="3"/>
      <c r="O201" s="192"/>
      <c r="P201" s="3"/>
      <c r="Q201" s="3"/>
      <c r="R201" s="3"/>
      <c r="V201" s="3"/>
      <c r="W201" s="3"/>
      <c r="X201" s="3"/>
      <c r="Y201" s="3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>
      <c r="A202" s="61" t="s">
        <v>291</v>
      </c>
      <c r="C202" s="61"/>
      <c r="D202" s="1446">
        <f>Scenarios!E347</f>
        <v>0.03</v>
      </c>
      <c r="E202" s="190"/>
      <c r="F202" s="267">
        <v>1</v>
      </c>
      <c r="G202" s="1459">
        <f>Scenarios!E346</f>
        <v>265</v>
      </c>
      <c r="H202" s="38"/>
      <c r="K202" s="191"/>
      <c r="M202" s="3"/>
      <c r="O202" s="192"/>
      <c r="P202" s="3"/>
      <c r="Q202" s="3"/>
      <c r="R202" s="3"/>
      <c r="V202" s="3"/>
      <c r="W202" s="3"/>
      <c r="X202" s="3"/>
      <c r="Y202" s="3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>
      <c r="A203" s="61" t="s">
        <v>151</v>
      </c>
      <c r="C203" s="61"/>
      <c r="D203" s="193">
        <f>((F203-F202)*G202+(F204-F203)*G203+(F205-F204)*G204+(F206-F205)*G205+(D196+1-F206)*G206)/D196</f>
        <v>265</v>
      </c>
      <c r="E203" s="190"/>
      <c r="F203" s="267">
        <v>2</v>
      </c>
      <c r="G203" s="193">
        <f>G202</f>
        <v>265</v>
      </c>
      <c r="K203" s="191"/>
      <c r="M203" s="3"/>
      <c r="O203" s="192"/>
      <c r="P203" s="3"/>
      <c r="Q203" s="3"/>
      <c r="R203" s="3"/>
      <c r="V203" s="3"/>
      <c r="W203" s="3"/>
      <c r="X203" s="3"/>
      <c r="Y203" s="3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>
      <c r="A204" s="61" t="s">
        <v>357</v>
      </c>
      <c r="D204" s="195">
        <f>D202+D232%/100+D233%/100+D234%/100</f>
        <v>3.2000000000000001E-2</v>
      </c>
      <c r="E204" s="190"/>
      <c r="F204" s="267">
        <v>4</v>
      </c>
      <c r="G204" s="193">
        <f>G202</f>
        <v>265</v>
      </c>
      <c r="K204" s="191"/>
      <c r="M204" s="3"/>
      <c r="O204" s="192"/>
      <c r="P204" s="3"/>
      <c r="Q204" s="3"/>
      <c r="R204" s="3"/>
      <c r="V204" s="3"/>
      <c r="W204" s="3"/>
      <c r="X204" s="3"/>
      <c r="Y204" s="3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>
      <c r="A205" s="61"/>
      <c r="E205" s="190"/>
      <c r="F205" s="267">
        <v>6</v>
      </c>
      <c r="G205" s="193">
        <f>G202</f>
        <v>265</v>
      </c>
      <c r="K205" s="191"/>
      <c r="M205" s="3"/>
      <c r="O205" s="192"/>
      <c r="P205" s="3"/>
      <c r="Q205" s="3"/>
      <c r="R205" s="3"/>
      <c r="V205" s="3"/>
      <c r="W205" s="3"/>
      <c r="X205" s="3"/>
      <c r="Y205" s="3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>
      <c r="E206" s="190"/>
      <c r="F206" s="267">
        <v>13</v>
      </c>
      <c r="G206" s="193">
        <f>G202</f>
        <v>265</v>
      </c>
      <c r="K206" s="191"/>
      <c r="M206" s="3"/>
      <c r="O206" s="192"/>
      <c r="P206" s="3"/>
      <c r="Q206" s="3"/>
      <c r="R206" s="3"/>
      <c r="V206" s="3"/>
      <c r="W206" s="3"/>
      <c r="X206" s="3"/>
      <c r="Y206" s="3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>
      <c r="E207" s="190"/>
      <c r="F207" s="194"/>
      <c r="G207" s="191"/>
      <c r="K207" s="191"/>
      <c r="M207" s="3"/>
      <c r="O207" s="192"/>
      <c r="P207" s="3"/>
      <c r="Q207" s="3"/>
      <c r="R207" s="3"/>
      <c r="V207" s="3"/>
      <c r="W207" s="3"/>
      <c r="X207" s="3"/>
      <c r="Y207" s="3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>
      <c r="A208" s="55" t="s">
        <v>358</v>
      </c>
      <c r="E208" s="190"/>
      <c r="F208" s="194"/>
      <c r="G208" s="191"/>
      <c r="K208" s="191"/>
      <c r="M208" s="3"/>
      <c r="O208" s="192"/>
      <c r="P208" s="3"/>
      <c r="Q208" s="3"/>
      <c r="R208" s="3"/>
      <c r="V208" s="3"/>
      <c r="W208" s="3"/>
      <c r="X208" s="3"/>
      <c r="Y208" s="3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>
      <c r="A209" s="931" t="s">
        <v>359</v>
      </c>
      <c r="D209" s="928">
        <v>1</v>
      </c>
      <c r="E209" s="930"/>
      <c r="F209" s="194"/>
      <c r="G209" s="191"/>
      <c r="K209" s="191"/>
      <c r="M209" s="3"/>
      <c r="O209" s="192"/>
      <c r="P209" s="3"/>
      <c r="Q209" s="3"/>
      <c r="R209" s="3"/>
      <c r="V209" s="3"/>
      <c r="W209" s="3"/>
      <c r="X209" s="3"/>
      <c r="Y209" s="3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>
      <c r="A210" s="931" t="s">
        <v>360</v>
      </c>
      <c r="D210" s="929">
        <f>1-D209</f>
        <v>0</v>
      </c>
      <c r="E210" s="930"/>
      <c r="F210" s="194"/>
      <c r="G210" s="191"/>
      <c r="K210" s="191"/>
      <c r="M210" s="3"/>
      <c r="O210" s="192"/>
      <c r="P210" s="3"/>
      <c r="Q210" s="3"/>
      <c r="R210" s="3"/>
      <c r="V210" s="3"/>
      <c r="W210" s="3"/>
      <c r="X210" s="3"/>
      <c r="Y210" s="3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>
      <c r="I211" s="178"/>
      <c r="J211" s="194"/>
      <c r="K211" s="191"/>
      <c r="M211" s="6"/>
      <c r="O211" s="192"/>
      <c r="P211" s="6"/>
      <c r="Q211" s="6"/>
      <c r="R211" s="6"/>
      <c r="V211" s="6"/>
      <c r="W211" s="6"/>
      <c r="X211" s="6"/>
      <c r="Y211" s="6"/>
    </row>
    <row r="212" spans="1:42">
      <c r="A212" s="58" t="s">
        <v>247</v>
      </c>
      <c r="C212" s="195"/>
      <c r="F212" s="3"/>
    </row>
    <row r="213" spans="1:42">
      <c r="A213" s="61" t="s">
        <v>151</v>
      </c>
      <c r="C213" s="61"/>
      <c r="D213" s="1460">
        <f>Scenarios!E346</f>
        <v>265</v>
      </c>
      <c r="E213" s="657"/>
      <c r="F213" s="3"/>
      <c r="G213" s="6"/>
    </row>
    <row r="214" spans="1:42">
      <c r="A214" s="66" t="s">
        <v>361</v>
      </c>
      <c r="D214" s="664">
        <f>0.35*D202</f>
        <v>1.0499999999999999E-2</v>
      </c>
      <c r="E214" s="896"/>
      <c r="F214" s="3"/>
      <c r="G214" s="6"/>
    </row>
    <row r="215" spans="1:42">
      <c r="A215" s="66"/>
      <c r="E215" s="3"/>
      <c r="F215" s="3"/>
      <c r="G215" s="6"/>
    </row>
    <row r="216" spans="1:42">
      <c r="A216" s="55" t="s">
        <v>362</v>
      </c>
      <c r="F216" s="3"/>
      <c r="G216" s="6"/>
    </row>
    <row r="217" spans="1:42">
      <c r="A217" s="61" t="s">
        <v>363</v>
      </c>
      <c r="C217" s="61"/>
      <c r="D217" s="664">
        <v>0.01</v>
      </c>
    </row>
    <row r="218" spans="1:42">
      <c r="A218" s="61" t="s">
        <v>364</v>
      </c>
      <c r="C218" s="61"/>
      <c r="D218" s="664">
        <v>0</v>
      </c>
    </row>
    <row r="220" spans="1:42">
      <c r="A220" s="58" t="s">
        <v>208</v>
      </c>
      <c r="C220" s="61"/>
      <c r="D220" s="61"/>
      <c r="S220" s="6"/>
      <c r="T220" s="6"/>
      <c r="U220" s="175"/>
      <c r="V220" s="6"/>
      <c r="W220" s="6"/>
      <c r="X220" s="6"/>
      <c r="Y220" s="6"/>
    </row>
    <row r="221" spans="1:42">
      <c r="A221" s="61" t="s">
        <v>155</v>
      </c>
      <c r="C221" s="61"/>
      <c r="D221" s="665">
        <f>C177</f>
        <v>1.1499999999999999</v>
      </c>
      <c r="E221" s="61"/>
      <c r="S221" s="6"/>
      <c r="T221" s="6"/>
      <c r="U221" s="175"/>
      <c r="V221" s="6"/>
      <c r="W221" s="6"/>
      <c r="X221" s="6"/>
      <c r="Y221" s="6"/>
    </row>
    <row r="222" spans="1:42">
      <c r="A222" s="61" t="s">
        <v>365</v>
      </c>
      <c r="C222" s="61"/>
      <c r="D222" s="666">
        <v>0</v>
      </c>
      <c r="E222" s="61"/>
      <c r="S222" s="6"/>
      <c r="T222" s="6"/>
      <c r="U222" s="175"/>
      <c r="V222" s="6"/>
      <c r="W222" s="6"/>
      <c r="X222" s="6"/>
      <c r="Y222" s="6"/>
    </row>
    <row r="223" spans="1:42">
      <c r="A223" s="61" t="s">
        <v>366</v>
      </c>
      <c r="D223" s="667">
        <v>1.1000000000000001</v>
      </c>
      <c r="E223" s="61"/>
      <c r="F223" s="24"/>
      <c r="S223" s="6"/>
      <c r="T223" s="6"/>
      <c r="U223" s="175"/>
      <c r="V223" s="6"/>
      <c r="W223" s="6"/>
      <c r="X223" s="6"/>
      <c r="Y223" s="6"/>
    </row>
    <row r="224" spans="1:42">
      <c r="A224" s="61" t="s">
        <v>367</v>
      </c>
      <c r="C224" s="61"/>
      <c r="D224" s="665">
        <f>C177</f>
        <v>1.1499999999999999</v>
      </c>
      <c r="E224" s="61"/>
      <c r="F224" s="24"/>
      <c r="S224" s="6"/>
      <c r="T224" s="6"/>
      <c r="U224" s="175"/>
      <c r="V224" s="6"/>
      <c r="W224" s="6"/>
      <c r="X224" s="6"/>
      <c r="Y224" s="6"/>
    </row>
    <row r="225" spans="1:34">
      <c r="A225" s="61" t="s">
        <v>368</v>
      </c>
      <c r="B225" s="1" t="s">
        <v>369</v>
      </c>
      <c r="D225" s="1446">
        <f>Scenarios!E349</f>
        <v>0.8</v>
      </c>
      <c r="E225" s="202">
        <f ca="1">$C$168</f>
        <v>0.73917576630646586</v>
      </c>
      <c r="F225" s="158">
        <f ca="1">(D225&lt;=E225-precision)*1</f>
        <v>0</v>
      </c>
      <c r="H225" s="51"/>
      <c r="S225" s="6"/>
      <c r="T225" s="6"/>
      <c r="U225" s="175"/>
      <c r="V225" s="6"/>
      <c r="W225" s="6"/>
      <c r="X225" s="6"/>
      <c r="Y225" s="6"/>
    </row>
    <row r="226" spans="1:34">
      <c r="A226" s="61"/>
      <c r="B226" s="1" t="s">
        <v>370</v>
      </c>
      <c r="C226" s="267">
        <v>0</v>
      </c>
      <c r="D226" s="664">
        <v>1</v>
      </c>
      <c r="H226" s="51"/>
      <c r="M226" s="51"/>
      <c r="N226" s="51"/>
      <c r="O226" s="6"/>
      <c r="P226" s="6"/>
      <c r="Q226" s="6"/>
      <c r="R226" s="6"/>
      <c r="S226" s="6"/>
      <c r="T226" s="6"/>
      <c r="U226" s="175"/>
      <c r="V226" s="6"/>
      <c r="W226" s="6"/>
      <c r="X226" s="6"/>
      <c r="Y226" s="6"/>
    </row>
    <row r="227" spans="1:34">
      <c r="A227" s="61"/>
      <c r="B227" s="61"/>
      <c r="C227" s="267">
        <v>1</v>
      </c>
      <c r="D227" s="664">
        <v>1</v>
      </c>
      <c r="F227" s="24"/>
      <c r="H227" s="51"/>
      <c r="L227" s="51"/>
      <c r="M227" s="51"/>
      <c r="N227" s="51"/>
      <c r="O227" s="6"/>
      <c r="P227" s="6"/>
      <c r="Q227" s="6"/>
      <c r="R227" s="6"/>
      <c r="S227" s="6"/>
      <c r="T227" s="6"/>
      <c r="U227" s="175"/>
      <c r="V227" s="6"/>
      <c r="W227" s="6"/>
      <c r="X227" s="6"/>
      <c r="Y227" s="6"/>
    </row>
    <row r="228" spans="1:34">
      <c r="A228" s="61"/>
      <c r="B228" s="61"/>
      <c r="C228" s="61"/>
      <c r="D228" s="61"/>
      <c r="F228" s="24"/>
      <c r="H228" s="51"/>
      <c r="L228" s="51"/>
      <c r="M228" s="51"/>
      <c r="N228" s="51"/>
      <c r="O228" s="6"/>
      <c r="P228" s="6"/>
      <c r="Q228" s="6"/>
      <c r="R228" s="6"/>
      <c r="S228" s="6"/>
      <c r="T228" s="6"/>
      <c r="U228" s="175"/>
      <c r="V228" s="6"/>
      <c r="W228" s="6"/>
      <c r="X228" s="6"/>
      <c r="Y228" s="6"/>
    </row>
    <row r="229" spans="1:34">
      <c r="A229" s="58" t="s">
        <v>371</v>
      </c>
      <c r="D229" s="3"/>
      <c r="F229" s="24"/>
      <c r="H229" s="51"/>
      <c r="L229" s="51"/>
      <c r="M229" s="51"/>
      <c r="N229" s="51"/>
      <c r="O229" s="6"/>
      <c r="P229" s="6"/>
      <c r="Q229" s="6"/>
      <c r="R229" s="6"/>
      <c r="S229" s="6"/>
      <c r="T229" s="6"/>
      <c r="U229" s="175"/>
      <c r="V229" s="6"/>
      <c r="W229" s="6"/>
      <c r="X229" s="6"/>
      <c r="Y229" s="6"/>
    </row>
    <row r="230" spans="1:34">
      <c r="A230" s="61" t="s">
        <v>372</v>
      </c>
      <c r="D230" s="1609">
        <f>Scenarios!E348</f>
        <v>0.8</v>
      </c>
      <c r="E230" s="3"/>
      <c r="I230" s="51"/>
      <c r="M230" s="51"/>
      <c r="N230" s="51"/>
      <c r="O230" s="6"/>
      <c r="P230" s="6"/>
      <c r="Q230" s="6"/>
      <c r="R230" s="6"/>
      <c r="S230" s="6"/>
      <c r="T230" s="6"/>
      <c r="U230" s="175"/>
      <c r="V230" s="6"/>
      <c r="W230" s="6"/>
      <c r="X230" s="6"/>
      <c r="Y230" s="6"/>
    </row>
    <row r="231" spans="1:34">
      <c r="A231" s="61" t="s">
        <v>373</v>
      </c>
      <c r="C231" s="181"/>
      <c r="D231" s="448">
        <f>D196-E231</f>
        <v>14</v>
      </c>
      <c r="E231" s="668">
        <v>0</v>
      </c>
      <c r="I231" s="51"/>
      <c r="M231" s="51"/>
      <c r="N231" s="51"/>
      <c r="O231" s="6"/>
      <c r="P231" s="6"/>
      <c r="Q231" s="6"/>
      <c r="R231" s="6"/>
      <c r="S231" s="6"/>
      <c r="T231" s="6"/>
      <c r="U231" s="175"/>
      <c r="V231" s="6"/>
      <c r="W231" s="6"/>
      <c r="X231" s="6"/>
      <c r="Y231" s="6"/>
    </row>
    <row r="232" spans="1:34">
      <c r="A232" s="3" t="s">
        <v>374</v>
      </c>
      <c r="C232" s="3"/>
      <c r="D232" s="669">
        <v>20</v>
      </c>
      <c r="E232" s="3"/>
      <c r="I232" s="51"/>
      <c r="M232" s="51"/>
      <c r="N232" s="51"/>
      <c r="O232" s="6"/>
      <c r="P232" s="6"/>
      <c r="Q232" s="6"/>
      <c r="R232" s="6"/>
      <c r="S232" s="6"/>
      <c r="T232" s="6"/>
      <c r="U232" s="175"/>
      <c r="V232" s="6"/>
      <c r="W232" s="6"/>
      <c r="X232" s="6"/>
      <c r="Y232" s="6"/>
    </row>
    <row r="233" spans="1:34">
      <c r="A233" s="3" t="s">
        <v>375</v>
      </c>
      <c r="C233" s="61"/>
      <c r="D233" s="669">
        <v>0</v>
      </c>
      <c r="E233" s="3"/>
      <c r="I233" s="51"/>
      <c r="M233" s="51"/>
      <c r="N233" s="51"/>
      <c r="O233" s="6"/>
      <c r="P233" s="6"/>
      <c r="Q233" s="6"/>
      <c r="R233" s="6"/>
      <c r="S233" s="6"/>
      <c r="T233" s="6"/>
      <c r="U233" s="175"/>
      <c r="V233" s="6"/>
      <c r="W233" s="6"/>
      <c r="X233" s="6"/>
      <c r="Y233" s="6"/>
    </row>
    <row r="234" spans="1:34">
      <c r="A234" s="3" t="s">
        <v>376</v>
      </c>
      <c r="D234" s="669">
        <v>0</v>
      </c>
      <c r="E234" s="3"/>
      <c r="I234" s="51"/>
      <c r="M234" s="51"/>
      <c r="N234" s="51"/>
      <c r="O234" s="6"/>
      <c r="P234" s="6"/>
      <c r="Q234" s="6"/>
      <c r="R234" s="6"/>
      <c r="S234" s="6"/>
      <c r="T234" s="6"/>
      <c r="U234" s="175"/>
      <c r="V234" s="6"/>
      <c r="W234" s="6"/>
      <c r="X234" s="6"/>
      <c r="Y234" s="6"/>
    </row>
    <row r="235" spans="1:34">
      <c r="A235" s="3"/>
      <c r="E235" s="3"/>
      <c r="I235" s="51"/>
      <c r="M235" s="51"/>
      <c r="N235" s="51"/>
      <c r="O235" s="6"/>
      <c r="P235" s="6"/>
      <c r="Q235" s="6"/>
      <c r="R235" s="6"/>
      <c r="S235" s="6"/>
      <c r="T235" s="6"/>
      <c r="U235" s="175"/>
      <c r="V235" s="6"/>
      <c r="W235" s="6"/>
      <c r="X235" s="6"/>
      <c r="Y235" s="6"/>
    </row>
    <row r="236" spans="1:34">
      <c r="A236" s="887" t="s">
        <v>377</v>
      </c>
      <c r="B236" s="55"/>
      <c r="C236" s="55"/>
      <c r="D236" s="55"/>
      <c r="E236" s="56"/>
      <c r="F236" s="57"/>
      <c r="G236" s="55"/>
      <c r="H236" s="55"/>
      <c r="I236" s="55"/>
      <c r="J236" s="55"/>
      <c r="K236" s="55"/>
      <c r="L236" s="86"/>
      <c r="M236" s="86"/>
      <c r="N236" s="86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55"/>
      <c r="AA236" s="55"/>
      <c r="AB236" s="55"/>
      <c r="AC236" s="55"/>
      <c r="AD236" s="55"/>
      <c r="AE236" s="55"/>
      <c r="AF236" s="55"/>
      <c r="AG236" s="55"/>
      <c r="AH236" s="55"/>
    </row>
    <row r="237" spans="1:34">
      <c r="A237" s="137"/>
      <c r="E237" s="71"/>
      <c r="F237" s="770"/>
      <c r="L237" s="51"/>
      <c r="M237" s="51"/>
      <c r="N237" s="51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34">
      <c r="A238" s="3" t="s">
        <v>378</v>
      </c>
      <c r="C238" s="931" t="b">
        <v>0</v>
      </c>
      <c r="D238" s="895">
        <f ca="1">IF(C238,INDEX(DS!$G$56:$BO$56,1,SUMIF(Flags!$G$22:$DW$22,TRUE,Flags!$G$8:$DW$8)),0)</f>
        <v>0</v>
      </c>
      <c r="E238" s="3"/>
      <c r="F238" s="657"/>
      <c r="I238" s="51"/>
      <c r="M238" s="51"/>
      <c r="N238" s="51"/>
      <c r="O238" s="6"/>
      <c r="P238" s="6"/>
      <c r="Q238" s="6"/>
      <c r="R238" s="6"/>
      <c r="S238" s="6"/>
      <c r="T238" s="6"/>
      <c r="U238" s="175"/>
      <c r="V238" s="6"/>
      <c r="W238" s="6"/>
      <c r="X238" s="6"/>
      <c r="Y238" s="6"/>
    </row>
    <row r="239" spans="1:34">
      <c r="A239" s="3" t="s">
        <v>379</v>
      </c>
      <c r="D239" s="959">
        <v>2</v>
      </c>
      <c r="I239" s="51"/>
      <c r="M239" s="51"/>
      <c r="N239" s="51"/>
      <c r="O239" s="6"/>
      <c r="P239" s="6"/>
      <c r="Q239" s="6"/>
      <c r="R239" s="6"/>
      <c r="S239" s="6"/>
      <c r="T239" s="6"/>
      <c r="U239" s="175"/>
      <c r="V239" s="6"/>
      <c r="W239" s="6"/>
      <c r="X239" s="6"/>
      <c r="Y239" s="6"/>
    </row>
    <row r="240" spans="1:34">
      <c r="A240" s="3" t="s">
        <v>380</v>
      </c>
      <c r="D240" s="1047">
        <f>D239*Flags!$B$7+1</f>
        <v>5</v>
      </c>
      <c r="I240" s="51"/>
      <c r="M240" s="51"/>
      <c r="N240" s="51"/>
      <c r="O240" s="6"/>
      <c r="P240" s="6"/>
      <c r="Q240" s="6"/>
      <c r="R240" s="6"/>
      <c r="S240" s="6"/>
      <c r="T240" s="6"/>
      <c r="U240" s="175"/>
      <c r="V240" s="6"/>
      <c r="W240" s="6"/>
      <c r="X240" s="6"/>
      <c r="Y240" s="6"/>
    </row>
    <row r="241" spans="1:34">
      <c r="A241" s="3" t="s">
        <v>352</v>
      </c>
      <c r="D241" s="958">
        <f>D196</f>
        <v>14</v>
      </c>
      <c r="E241" s="3"/>
      <c r="I241" s="51"/>
      <c r="M241" s="51"/>
      <c r="N241" s="51"/>
      <c r="O241" s="6"/>
      <c r="P241" s="6"/>
      <c r="Q241" s="6"/>
      <c r="R241" s="6"/>
      <c r="S241" s="6"/>
      <c r="T241" s="6"/>
      <c r="U241" s="175"/>
      <c r="V241" s="6"/>
      <c r="W241" s="6"/>
      <c r="X241" s="6"/>
      <c r="Y241" s="6"/>
    </row>
    <row r="242" spans="1:34">
      <c r="A242" s="3"/>
      <c r="D242" s="3"/>
      <c r="E242" s="3"/>
      <c r="I242" s="51"/>
      <c r="M242" s="51"/>
      <c r="N242" s="51"/>
      <c r="O242" s="6"/>
      <c r="P242" s="6"/>
      <c r="Q242" s="6"/>
      <c r="R242" s="6"/>
      <c r="S242" s="6"/>
      <c r="T242" s="6"/>
      <c r="U242" s="175"/>
      <c r="V242" s="6"/>
      <c r="W242" s="6"/>
      <c r="X242" s="6"/>
      <c r="Y242" s="6"/>
    </row>
    <row r="243" spans="1:34">
      <c r="A243" s="59" t="s">
        <v>381</v>
      </c>
      <c r="D243" s="885">
        <f>D244/10000+D245</f>
        <v>8.6999999999999994E-2</v>
      </c>
      <c r="E243" s="3"/>
      <c r="I243" s="51"/>
      <c r="M243" s="51"/>
      <c r="N243" s="51"/>
      <c r="O243" s="6"/>
      <c r="P243" s="6"/>
      <c r="Q243" s="6"/>
      <c r="R243" s="6"/>
      <c r="S243" s="6"/>
      <c r="T243" s="6"/>
      <c r="U243" s="175"/>
      <c r="V243" s="6"/>
      <c r="W243" s="6"/>
      <c r="X243" s="6"/>
      <c r="Y243" s="6"/>
    </row>
    <row r="244" spans="1:34">
      <c r="A244" s="61" t="s">
        <v>151</v>
      </c>
      <c r="D244" s="771">
        <v>400</v>
      </c>
      <c r="E244" s="3"/>
      <c r="I244" s="51"/>
      <c r="M244" s="51"/>
      <c r="N244" s="51"/>
      <c r="O244" s="6"/>
      <c r="P244" s="6"/>
      <c r="Q244" s="6"/>
      <c r="R244" s="6"/>
      <c r="S244" s="6"/>
      <c r="T244" s="6"/>
      <c r="U244" s="175"/>
      <c r="V244" s="6"/>
      <c r="W244" s="6"/>
      <c r="X244" s="6"/>
      <c r="Y244" s="6"/>
    </row>
    <row r="245" spans="1:34">
      <c r="A245" s="3" t="s">
        <v>382</v>
      </c>
      <c r="D245" s="850">
        <f>SUM(D246:D247,D202)</f>
        <v>4.7E-2</v>
      </c>
      <c r="E245" s="3"/>
      <c r="I245" s="51"/>
      <c r="M245" s="51"/>
      <c r="N245" s="51"/>
      <c r="O245" s="6"/>
      <c r="P245" s="6"/>
      <c r="Q245" s="6"/>
      <c r="R245" s="6"/>
      <c r="S245" s="6"/>
      <c r="T245" s="6"/>
      <c r="U245" s="175"/>
      <c r="V245" s="6"/>
      <c r="W245" s="6"/>
      <c r="X245" s="6"/>
      <c r="Y245" s="6"/>
    </row>
    <row r="246" spans="1:34">
      <c r="A246" s="884" t="s">
        <v>383</v>
      </c>
      <c r="D246" s="892">
        <f>SUM(D232:D234)/10000</f>
        <v>2E-3</v>
      </c>
      <c r="E246" s="3"/>
      <c r="I246" s="51"/>
      <c r="M246" s="51"/>
      <c r="N246" s="51"/>
      <c r="O246" s="6"/>
      <c r="P246" s="6"/>
      <c r="Q246" s="6"/>
      <c r="R246" s="6"/>
      <c r="S246" s="6"/>
      <c r="T246" s="6"/>
      <c r="U246" s="175"/>
      <c r="V246" s="6"/>
      <c r="W246" s="6"/>
      <c r="X246" s="6"/>
      <c r="Y246" s="6"/>
    </row>
    <row r="247" spans="1:34">
      <c r="A247" s="884" t="s">
        <v>384</v>
      </c>
      <c r="D247" s="893">
        <v>1.4999999999999999E-2</v>
      </c>
      <c r="E247" s="3"/>
      <c r="I247" s="51"/>
      <c r="M247" s="51"/>
      <c r="N247" s="51"/>
      <c r="O247" s="6"/>
      <c r="P247" s="6"/>
      <c r="Q247" s="6"/>
      <c r="R247" s="6"/>
      <c r="S247" s="6"/>
      <c r="T247" s="6"/>
      <c r="U247" s="175"/>
      <c r="V247" s="6"/>
      <c r="W247" s="6"/>
      <c r="X247" s="6"/>
      <c r="Y247" s="6"/>
    </row>
    <row r="249" spans="1:34">
      <c r="A249" s="55" t="s">
        <v>385</v>
      </c>
    </row>
    <row r="250" spans="1:34">
      <c r="A250" s="886" t="s">
        <v>386</v>
      </c>
      <c r="D250" s="883">
        <v>5.0000000000000001E-3</v>
      </c>
      <c r="E250" s="3"/>
      <c r="I250" s="51"/>
      <c r="M250" s="51"/>
      <c r="N250" s="51"/>
      <c r="O250" s="6"/>
      <c r="P250" s="6"/>
      <c r="Q250" s="6"/>
      <c r="R250" s="6"/>
      <c r="S250" s="6"/>
      <c r="T250" s="6"/>
      <c r="U250" s="175"/>
      <c r="V250" s="6"/>
      <c r="W250" s="6"/>
      <c r="X250" s="6"/>
      <c r="Y250" s="6"/>
    </row>
    <row r="251" spans="1:34">
      <c r="A251" s="886" t="s">
        <v>387</v>
      </c>
      <c r="D251" s="895">
        <f>Macro!$H$27</f>
        <v>0</v>
      </c>
      <c r="E251" s="3"/>
      <c r="I251" s="51"/>
      <c r="M251" s="51"/>
      <c r="N251" s="51"/>
      <c r="O251" s="6"/>
      <c r="P251" s="6"/>
      <c r="Q251" s="6"/>
      <c r="R251" s="6"/>
      <c r="S251" s="6"/>
      <c r="T251" s="6"/>
      <c r="U251" s="175"/>
      <c r="V251" s="6"/>
      <c r="W251" s="6"/>
      <c r="X251" s="6"/>
      <c r="Y251" s="6"/>
    </row>
    <row r="252" spans="1:34">
      <c r="A252" s="3"/>
      <c r="E252" s="3"/>
      <c r="I252" s="51"/>
      <c r="M252" s="51"/>
      <c r="N252" s="51"/>
      <c r="O252" s="6"/>
      <c r="P252" s="6"/>
      <c r="Q252" s="6"/>
      <c r="R252" s="6"/>
      <c r="S252" s="6"/>
      <c r="T252" s="6"/>
      <c r="U252" s="175"/>
      <c r="V252" s="6"/>
      <c r="W252" s="6"/>
      <c r="X252" s="6"/>
      <c r="Y252" s="6"/>
    </row>
    <row r="253" spans="1:34">
      <c r="A253" s="54" t="s">
        <v>388</v>
      </c>
      <c r="B253" s="55"/>
      <c r="C253" s="55"/>
      <c r="D253" s="55"/>
      <c r="E253" s="56"/>
      <c r="F253" s="57"/>
      <c r="G253" s="55"/>
      <c r="H253" s="55"/>
      <c r="I253" s="55"/>
      <c r="J253" s="55"/>
      <c r="K253" s="55"/>
      <c r="L253" s="86"/>
      <c r="M253" s="86"/>
      <c r="N253" s="86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55"/>
      <c r="AA253" s="55"/>
      <c r="AB253" s="55"/>
      <c r="AC253" s="55"/>
      <c r="AD253" s="55"/>
      <c r="AE253" s="55"/>
      <c r="AF253" s="55"/>
      <c r="AG253" s="55"/>
      <c r="AH253" s="55"/>
    </row>
    <row r="254" spans="1:34">
      <c r="A254" s="240"/>
      <c r="E254" s="71"/>
      <c r="F254" s="770"/>
      <c r="L254" s="51"/>
      <c r="M254" s="51"/>
      <c r="N254" s="51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34">
      <c r="A255" s="51" t="s">
        <v>325</v>
      </c>
      <c r="C255" s="663" t="b">
        <v>0</v>
      </c>
      <c r="D255" s="932">
        <f ca="1">MAX(DS!$D$104,0)</f>
        <v>0</v>
      </c>
      <c r="I255" s="51"/>
      <c r="M255" s="51"/>
      <c r="N255" s="51"/>
      <c r="O255" s="6"/>
      <c r="P255" s="6"/>
      <c r="Q255" s="6"/>
      <c r="R255" s="6"/>
      <c r="S255" s="6"/>
      <c r="T255" s="6"/>
      <c r="U255" s="175"/>
      <c r="V255" s="6"/>
      <c r="W255" s="6"/>
      <c r="X255" s="6"/>
      <c r="Y255" s="6"/>
    </row>
    <row r="256" spans="1:34">
      <c r="A256" s="51" t="s">
        <v>389</v>
      </c>
      <c r="C256" s="51"/>
      <c r="D256" s="1210">
        <f ca="1">(1-D225)/2*G171</f>
        <v>5797.3052657378612</v>
      </c>
      <c r="I256" s="51"/>
      <c r="M256" s="51"/>
      <c r="N256" s="51"/>
      <c r="O256" s="6"/>
      <c r="P256" s="6"/>
      <c r="Q256" s="6"/>
      <c r="R256" s="6"/>
      <c r="S256" s="6"/>
      <c r="T256" s="6"/>
      <c r="U256" s="175"/>
      <c r="V256" s="6"/>
      <c r="W256" s="6"/>
      <c r="X256" s="6"/>
      <c r="Y256" s="6"/>
    </row>
    <row r="257" spans="1:25">
      <c r="A257" s="51" t="str">
        <f>A204</f>
        <v>All-in Base Rate</v>
      </c>
      <c r="C257" s="51"/>
      <c r="D257" s="1191">
        <v>0</v>
      </c>
      <c r="P257" s="6"/>
      <c r="T257" s="6"/>
      <c r="U257" s="175"/>
      <c r="V257" s="6"/>
      <c r="W257" s="6"/>
      <c r="X257" s="6"/>
      <c r="Y257" s="6"/>
    </row>
    <row r="258" spans="1:25">
      <c r="A258" s="51" t="s">
        <v>151</v>
      </c>
      <c r="C258" s="51"/>
      <c r="D258" s="1033">
        <f>D201*10000+200</f>
        <v>785</v>
      </c>
      <c r="P258" s="6"/>
      <c r="T258" s="6"/>
      <c r="U258" s="175"/>
      <c r="V258" s="6"/>
      <c r="W258" s="6"/>
      <c r="X258" s="6"/>
      <c r="Y258" s="6"/>
    </row>
    <row r="259" spans="1:25">
      <c r="A259" s="61" t="s">
        <v>352</v>
      </c>
      <c r="C259" s="186"/>
      <c r="D259" s="187">
        <v>7</v>
      </c>
      <c r="P259" s="6"/>
      <c r="Q259" s="6"/>
      <c r="R259" s="6"/>
      <c r="S259" s="6"/>
      <c r="T259" s="6"/>
      <c r="U259" s="175"/>
      <c r="V259" s="6"/>
      <c r="W259" s="6"/>
      <c r="X259" s="6"/>
      <c r="Y259" s="6"/>
    </row>
    <row r="260" spans="1:25">
      <c r="A260" s="1" t="s">
        <v>353</v>
      </c>
      <c r="D260" s="205">
        <f>DATE(YEAR($D$11)+$D$259,MONTH($D$11)+MOD($D$259,1)*12,DAY($D$11)-1)</f>
        <v>50219</v>
      </c>
      <c r="F260" s="202"/>
      <c r="G260" s="203"/>
      <c r="H260" s="51"/>
      <c r="L260" s="51"/>
      <c r="M260" s="51"/>
      <c r="N260" s="51"/>
      <c r="O260" s="6"/>
      <c r="P260" s="6"/>
      <c r="Q260" s="6"/>
      <c r="R260" s="6"/>
      <c r="S260" s="6"/>
      <c r="T260" s="6"/>
      <c r="U260" s="175"/>
      <c r="V260" s="6"/>
      <c r="W260" s="6"/>
      <c r="X260" s="6"/>
      <c r="Y260" s="6"/>
    </row>
    <row r="261" spans="1:25">
      <c r="A261" s="61"/>
      <c r="C261" s="186"/>
      <c r="M261" s="51"/>
      <c r="N261" s="51"/>
      <c r="P261" s="6"/>
      <c r="Q261" s="6"/>
      <c r="R261" s="6"/>
      <c r="S261" s="6"/>
      <c r="T261" s="6"/>
      <c r="U261" s="175"/>
      <c r="V261" s="6"/>
      <c r="W261" s="6"/>
      <c r="X261" s="6"/>
      <c r="Y261" s="6"/>
    </row>
    <row r="262" spans="1:25">
      <c r="A262" s="6" t="s">
        <v>390</v>
      </c>
      <c r="C262" s="73">
        <v>0</v>
      </c>
      <c r="D262" s="200">
        <v>1</v>
      </c>
      <c r="E262" s="201">
        <v>0</v>
      </c>
      <c r="M262" s="51"/>
      <c r="N262" s="51"/>
      <c r="P262" s="6"/>
      <c r="Q262" s="6"/>
      <c r="R262" s="6"/>
      <c r="S262" s="6"/>
      <c r="T262" s="6"/>
      <c r="U262" s="175"/>
      <c r="V262" s="6"/>
      <c r="W262" s="6"/>
      <c r="X262" s="6"/>
      <c r="Y262" s="6"/>
    </row>
    <row r="263" spans="1:25">
      <c r="C263" s="1030">
        <v>6</v>
      </c>
      <c r="D263" s="740">
        <f>D262+E$262</f>
        <v>1</v>
      </c>
      <c r="E263" s="61"/>
      <c r="M263" s="51"/>
      <c r="N263" s="51"/>
      <c r="P263" s="6"/>
      <c r="Q263" s="6"/>
      <c r="R263" s="6"/>
      <c r="S263" s="6"/>
      <c r="T263" s="6"/>
      <c r="U263" s="175"/>
      <c r="V263" s="6"/>
      <c r="W263" s="6"/>
      <c r="X263" s="6"/>
      <c r="Y263" s="6"/>
    </row>
    <row r="264" spans="1:25">
      <c r="C264" s="1032"/>
      <c r="D264" s="1029"/>
      <c r="E264" s="61"/>
      <c r="M264" s="51"/>
      <c r="N264" s="51"/>
      <c r="P264" s="6"/>
      <c r="Q264" s="6"/>
      <c r="R264" s="6"/>
      <c r="S264" s="6"/>
      <c r="T264" s="6"/>
      <c r="U264" s="175"/>
      <c r="V264" s="6"/>
      <c r="W264" s="6"/>
      <c r="X264" s="6"/>
      <c r="Y264" s="6"/>
    </row>
    <row r="265" spans="1:25">
      <c r="A265" s="6" t="s">
        <v>247</v>
      </c>
      <c r="C265" s="1031">
        <f>D258</f>
        <v>785</v>
      </c>
      <c r="D265" s="657"/>
      <c r="E265" s="61"/>
      <c r="M265" s="51"/>
      <c r="N265" s="51"/>
      <c r="P265" s="6"/>
      <c r="Q265" s="6"/>
      <c r="R265" s="6"/>
      <c r="S265" s="6"/>
      <c r="T265" s="6"/>
      <c r="U265" s="175"/>
      <c r="V265" s="6"/>
      <c r="W265" s="6"/>
      <c r="X265" s="6"/>
      <c r="Y265" s="6"/>
    </row>
    <row r="266" spans="1:25">
      <c r="A266" s="6" t="s">
        <v>391</v>
      </c>
      <c r="C266" s="196">
        <v>0</v>
      </c>
      <c r="E266" s="61"/>
      <c r="M266" s="51"/>
      <c r="N266" s="51"/>
      <c r="P266" s="6"/>
      <c r="Q266" s="6"/>
      <c r="R266" s="6"/>
      <c r="S266" s="6"/>
      <c r="T266" s="6"/>
      <c r="U266" s="175"/>
      <c r="V266" s="6"/>
      <c r="W266" s="6"/>
      <c r="X266" s="6"/>
      <c r="Y266" s="6"/>
    </row>
    <row r="267" spans="1:25">
      <c r="A267" s="6" t="str">
        <f>A214</f>
        <v>Commitment Fee</v>
      </c>
      <c r="C267" s="197">
        <f>D267*D258%/100</f>
        <v>0</v>
      </c>
      <c r="D267" s="206">
        <v>0</v>
      </c>
      <c r="E267" s="61"/>
      <c r="M267" s="51"/>
      <c r="N267" s="51"/>
      <c r="P267" s="6"/>
      <c r="Q267" s="6"/>
      <c r="R267" s="6"/>
      <c r="S267" s="6"/>
      <c r="T267" s="6"/>
      <c r="U267" s="175"/>
      <c r="V267" s="6"/>
      <c r="W267" s="6"/>
      <c r="X267" s="6"/>
      <c r="Y267" s="6"/>
    </row>
    <row r="268" spans="1:25">
      <c r="N268" s="51"/>
      <c r="P268" s="6"/>
      <c r="Q268" s="6"/>
      <c r="R268" s="6"/>
      <c r="S268" s="6"/>
      <c r="T268" s="6"/>
      <c r="U268" s="175"/>
      <c r="V268" s="6"/>
      <c r="W268" s="6"/>
      <c r="X268" s="6"/>
      <c r="Y268" s="6"/>
    </row>
    <row r="269" spans="1:25">
      <c r="A269" s="58" t="str">
        <f>A229</f>
        <v>Hedging</v>
      </c>
      <c r="D269" s="3"/>
      <c r="N269" s="51"/>
      <c r="P269" s="6"/>
      <c r="Q269" s="6"/>
      <c r="R269" s="6"/>
      <c r="S269" s="6"/>
      <c r="T269" s="6"/>
      <c r="U269" s="175"/>
      <c r="V269" s="6"/>
      <c r="W269" s="6"/>
      <c r="X269" s="6"/>
      <c r="Y269" s="6"/>
    </row>
    <row r="270" spans="1:25">
      <c r="A270" s="61" t="s">
        <v>372</v>
      </c>
      <c r="C270" s="198">
        <v>0.8</v>
      </c>
      <c r="D270" s="3"/>
      <c r="F270" s="202"/>
      <c r="G270" s="203"/>
      <c r="H270" s="51"/>
      <c r="L270" s="51"/>
      <c r="M270" s="51"/>
      <c r="N270" s="51"/>
      <c r="O270" s="6"/>
      <c r="P270" s="6"/>
      <c r="Q270" s="6"/>
      <c r="R270" s="6"/>
      <c r="S270" s="6"/>
      <c r="T270" s="6"/>
      <c r="U270" s="175"/>
      <c r="V270" s="6"/>
      <c r="W270" s="6"/>
      <c r="X270" s="6"/>
      <c r="Y270" s="6"/>
    </row>
    <row r="271" spans="1:25">
      <c r="A271" s="61" t="s">
        <v>373</v>
      </c>
      <c r="B271" s="181"/>
      <c r="C271" s="199">
        <f>D259-D271</f>
        <v>6</v>
      </c>
      <c r="D271" s="204">
        <v>1</v>
      </c>
      <c r="F271" s="202"/>
      <c r="G271" s="203"/>
      <c r="H271" s="51"/>
      <c r="L271" s="51"/>
      <c r="M271" s="51"/>
      <c r="N271" s="51"/>
      <c r="O271" s="6"/>
      <c r="P271" s="6"/>
      <c r="Q271" s="6"/>
      <c r="R271" s="6"/>
      <c r="S271" s="6"/>
      <c r="T271" s="6"/>
      <c r="U271" s="175"/>
      <c r="V271" s="6"/>
      <c r="W271" s="6"/>
      <c r="X271" s="6"/>
      <c r="Y271" s="6"/>
    </row>
    <row r="272" spans="1:25">
      <c r="D272" s="6"/>
      <c r="F272" s="202"/>
      <c r="G272" s="203"/>
      <c r="H272" s="51"/>
      <c r="L272" s="51"/>
      <c r="M272" s="51"/>
      <c r="N272" s="51"/>
      <c r="O272" s="6"/>
      <c r="P272" s="6"/>
      <c r="Q272" s="6"/>
      <c r="R272" s="6"/>
      <c r="S272" s="6"/>
      <c r="T272" s="6"/>
      <c r="U272" s="175"/>
      <c r="V272" s="6"/>
      <c r="W272" s="6"/>
      <c r="X272" s="6"/>
      <c r="Y272" s="6"/>
    </row>
    <row r="273" spans="1:34">
      <c r="A273" s="54" t="s">
        <v>187</v>
      </c>
      <c r="B273" s="55"/>
      <c r="C273" s="55"/>
      <c r="D273" s="55"/>
      <c r="E273" s="56"/>
      <c r="F273" s="57"/>
      <c r="G273" s="55"/>
      <c r="H273" s="55"/>
      <c r="I273" s="55"/>
      <c r="J273" s="55"/>
      <c r="K273" s="55"/>
      <c r="L273" s="86"/>
      <c r="M273" s="86"/>
      <c r="N273" s="86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55"/>
      <c r="AA273" s="55"/>
      <c r="AB273" s="55"/>
      <c r="AC273" s="55"/>
      <c r="AD273" s="55"/>
      <c r="AE273" s="55"/>
      <c r="AF273" s="55"/>
      <c r="AG273" s="55"/>
      <c r="AH273" s="55"/>
    </row>
    <row r="274" spans="1:34">
      <c r="A274" s="240"/>
      <c r="E274" s="71"/>
      <c r="F274" s="770"/>
      <c r="L274" s="51"/>
      <c r="M274" s="51"/>
      <c r="N274" s="51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34">
      <c r="A275" s="1" t="s">
        <v>325</v>
      </c>
      <c r="D275" s="713">
        <f ca="1">IDC!D67</f>
        <v>4877.9899450000012</v>
      </c>
      <c r="M275" s="51"/>
      <c r="N275" s="51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34">
      <c r="A276" s="61" t="s">
        <v>392</v>
      </c>
      <c r="B276" s="61"/>
      <c r="D276" s="772">
        <v>0</v>
      </c>
      <c r="M276" s="51"/>
      <c r="N276" s="51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34">
      <c r="A277" s="61" t="s">
        <v>393</v>
      </c>
      <c r="B277" s="61"/>
      <c r="D277" s="773">
        <f ca="1">IFERROR(IF(D436=A481,0,COUNTIF(DS!$G$34:$AK$34,"&gt;0")-1+ABS(INDEX(DS!$G$30:$AK$30,,COUNTIF(DS!$G$34:$AK$34,"&gt;0")+1))/INDEX(DS!$G$29:$AK$29,,COUNTIF(DS!$G$34:$AK$34,"&gt;0")+1)),0)</f>
        <v>0</v>
      </c>
      <c r="G277" s="51"/>
      <c r="H277" s="51"/>
      <c r="J277" s="51"/>
      <c r="K277" s="51"/>
      <c r="L277" s="51"/>
      <c r="M277" s="51"/>
      <c r="N277" s="51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34">
      <c r="A278" s="61" t="s">
        <v>394</v>
      </c>
      <c r="B278" s="61"/>
      <c r="D278" s="664">
        <v>1</v>
      </c>
      <c r="G278" s="51"/>
      <c r="H278" s="51"/>
      <c r="J278" s="51"/>
      <c r="K278" s="51"/>
      <c r="L278" s="51"/>
      <c r="M278" s="51"/>
      <c r="N278" s="51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34">
      <c r="A279" s="61"/>
      <c r="B279" s="61"/>
      <c r="D279" s="61"/>
      <c r="G279" s="51"/>
      <c r="H279" s="51"/>
      <c r="J279" s="51"/>
      <c r="K279" s="51"/>
      <c r="L279" s="51"/>
      <c r="M279" s="51"/>
      <c r="N279" s="51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34">
      <c r="A280" s="61" t="s">
        <v>395</v>
      </c>
      <c r="D280" s="202">
        <f>D282+D281%/100</f>
        <v>5.6499999999999995E-2</v>
      </c>
      <c r="G280" s="51"/>
      <c r="H280" s="51"/>
      <c r="J280" s="51"/>
      <c r="K280" s="51"/>
      <c r="L280" s="51"/>
      <c r="M280" s="51"/>
      <c r="N280" s="51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34">
      <c r="A281" s="3" t="s">
        <v>151</v>
      </c>
      <c r="D281" s="669">
        <f>G202</f>
        <v>265</v>
      </c>
      <c r="G281" s="51"/>
      <c r="H281" s="51"/>
      <c r="J281" s="51"/>
      <c r="K281" s="51"/>
      <c r="L281" s="51"/>
      <c r="M281" s="51"/>
      <c r="N281" s="51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34">
      <c r="A282" s="71" t="s">
        <v>396</v>
      </c>
      <c r="B282" s="71"/>
      <c r="D282" s="664">
        <f>D202</f>
        <v>0.03</v>
      </c>
      <c r="G282" s="51"/>
      <c r="H282" s="51"/>
      <c r="J282" s="51"/>
      <c r="K282" s="51"/>
      <c r="L282" s="51"/>
      <c r="M282" s="51"/>
      <c r="N282" s="51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34">
      <c r="A283" s="61"/>
      <c r="B283" s="61"/>
      <c r="C283" s="61"/>
      <c r="G283" s="51"/>
      <c r="H283" s="51"/>
      <c r="J283" s="51"/>
      <c r="K283" s="51"/>
      <c r="L283" s="51"/>
      <c r="M283" s="51"/>
      <c r="N283" s="51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34">
      <c r="A284" s="59" t="s">
        <v>397</v>
      </c>
      <c r="B284" s="55"/>
      <c r="C284" s="55"/>
      <c r="D284" s="61"/>
      <c r="E284" s="61"/>
      <c r="G284" s="51"/>
      <c r="H284" s="51"/>
      <c r="J284" s="51"/>
      <c r="K284" s="51"/>
      <c r="L284" s="51"/>
      <c r="M284" s="51"/>
      <c r="N284" s="51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34">
      <c r="A285" s="61" t="str">
        <f>A280</f>
        <v>All-In Rate</v>
      </c>
      <c r="D285" s="197">
        <f>D280</f>
        <v>5.6499999999999995E-2</v>
      </c>
      <c r="G285" s="51"/>
      <c r="H285" s="51"/>
      <c r="J285" s="51"/>
      <c r="K285" s="51"/>
      <c r="L285" s="51"/>
      <c r="M285" s="51"/>
      <c r="N285" s="51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34">
      <c r="A286" s="61" t="s">
        <v>398</v>
      </c>
      <c r="D286" s="207">
        <v>0</v>
      </c>
      <c r="G286" s="51"/>
      <c r="H286" s="51"/>
      <c r="J286" s="51"/>
      <c r="K286" s="51"/>
      <c r="L286" s="51"/>
      <c r="M286" s="51"/>
      <c r="N286" s="51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34">
      <c r="A287" s="3" t="s">
        <v>399</v>
      </c>
      <c r="D287" s="208" t="b">
        <v>1</v>
      </c>
      <c r="E287" s="197">
        <f>F287*D281%/100</f>
        <v>9.2749999999999985E-3</v>
      </c>
      <c r="F287" s="206">
        <v>0.35</v>
      </c>
      <c r="G287" s="51"/>
      <c r="H287" s="51"/>
      <c r="J287" s="51"/>
      <c r="K287" s="51"/>
      <c r="L287" s="51"/>
      <c r="M287" s="51"/>
      <c r="N287" s="51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34">
      <c r="G288" s="51"/>
      <c r="H288" s="51"/>
      <c r="I288" s="209"/>
      <c r="J288" s="51"/>
      <c r="K288" s="51"/>
      <c r="L288" s="51"/>
      <c r="M288" s="51"/>
      <c r="N288" s="51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123">
      <c r="A289" s="54" t="s">
        <v>400</v>
      </c>
      <c r="B289" s="151"/>
      <c r="C289" s="55"/>
      <c r="D289" s="55"/>
      <c r="E289" s="55"/>
      <c r="F289" s="55"/>
      <c r="G289" s="55"/>
      <c r="H289" s="55"/>
      <c r="I289" s="55"/>
      <c r="J289" s="55"/>
      <c r="K289" s="151"/>
      <c r="L289" s="55"/>
      <c r="M289" s="55"/>
      <c r="N289" s="55"/>
      <c r="O289" s="55"/>
      <c r="P289" s="55"/>
      <c r="Q289" s="55"/>
      <c r="R289" s="55"/>
      <c r="S289" s="55"/>
      <c r="T289" s="55"/>
      <c r="U289" s="151"/>
      <c r="V289" s="151"/>
      <c r="W289" s="151"/>
      <c r="X289" s="151"/>
      <c r="Y289" s="151"/>
      <c r="Z289" s="55"/>
      <c r="AA289" s="55"/>
      <c r="AB289" s="55"/>
      <c r="AC289" s="55"/>
      <c r="AD289" s="55"/>
      <c r="AE289" s="55"/>
      <c r="AF289" s="55"/>
      <c r="AG289" s="55"/>
      <c r="AH289" s="55"/>
    </row>
    <row r="290" spans="1:123">
      <c r="A290" s="240"/>
      <c r="B290" s="6"/>
      <c r="K290" s="6"/>
      <c r="U290" s="6"/>
      <c r="V290" s="6"/>
      <c r="W290" s="6"/>
      <c r="X290" s="6"/>
      <c r="Y290" s="6"/>
    </row>
    <row r="291" spans="1:123">
      <c r="A291" s="61" t="s">
        <v>401</v>
      </c>
      <c r="B291" s="61"/>
      <c r="D291" s="664">
        <v>0</v>
      </c>
      <c r="G291" s="51"/>
      <c r="I291" s="210"/>
      <c r="J291" s="51"/>
      <c r="K291" s="51"/>
      <c r="L291" s="51"/>
      <c r="M291" s="51"/>
      <c r="N291" s="211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123">
      <c r="A292" s="61"/>
      <c r="D292" s="169" t="s">
        <v>325</v>
      </c>
      <c r="E292" s="98" t="s">
        <v>402</v>
      </c>
      <c r="G292" s="51"/>
      <c r="I292" s="210"/>
      <c r="J292" s="51"/>
      <c r="K292" s="51"/>
      <c r="L292" s="51"/>
      <c r="M292" s="51"/>
      <c r="N292" s="211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123">
      <c r="A293" s="61" t="s">
        <v>403</v>
      </c>
      <c r="D293" s="99">
        <f>I474</f>
        <v>0</v>
      </c>
      <c r="E293" s="212">
        <v>0</v>
      </c>
      <c r="F293" s="213"/>
      <c r="G293" s="51"/>
      <c r="I293" s="210"/>
      <c r="J293" s="51"/>
      <c r="K293" s="51"/>
      <c r="L293" s="51"/>
      <c r="M293" s="51"/>
      <c r="N293" s="211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123">
      <c r="A294" s="61" t="s">
        <v>370</v>
      </c>
      <c r="D294" s="99">
        <f>I475</f>
        <v>0</v>
      </c>
      <c r="E294" s="212">
        <v>0</v>
      </c>
      <c r="F294" s="213"/>
      <c r="G294" s="51"/>
      <c r="I294" s="210"/>
      <c r="J294" s="51"/>
      <c r="K294" s="51"/>
      <c r="L294" s="51"/>
      <c r="M294" s="51"/>
      <c r="N294" s="211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123">
      <c r="I295" s="210"/>
      <c r="J295" s="51"/>
      <c r="K295" s="51"/>
      <c r="L295" s="51"/>
      <c r="M295" s="51"/>
      <c r="N295" s="211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123">
      <c r="A296" s="54" t="s">
        <v>404</v>
      </c>
      <c r="B296" s="151"/>
      <c r="C296" s="55"/>
      <c r="D296" s="55"/>
      <c r="E296" s="55"/>
      <c r="F296" s="55"/>
      <c r="G296" s="55"/>
      <c r="H296" s="55"/>
      <c r="I296" s="55"/>
      <c r="J296" s="55"/>
      <c r="K296" s="151"/>
      <c r="L296" s="55"/>
      <c r="M296" s="55"/>
      <c r="N296" s="55"/>
      <c r="O296" s="55"/>
      <c r="P296" s="55"/>
      <c r="Q296" s="55"/>
      <c r="R296" s="55"/>
      <c r="S296" s="55"/>
      <c r="T296" s="55"/>
      <c r="U296" s="151"/>
      <c r="V296" s="151"/>
      <c r="W296" s="151"/>
      <c r="X296" s="151"/>
      <c r="Y296" s="151"/>
      <c r="Z296" s="55"/>
      <c r="AA296" s="55"/>
      <c r="AB296" s="55"/>
      <c r="AC296" s="55"/>
      <c r="AD296" s="55"/>
      <c r="AE296" s="55"/>
      <c r="AF296" s="55"/>
      <c r="AG296" s="55"/>
      <c r="AH296" s="55"/>
    </row>
    <row r="297" spans="1:123">
      <c r="A297" s="240"/>
      <c r="B297" s="6"/>
      <c r="K297" s="6"/>
      <c r="U297" s="6"/>
      <c r="V297" s="6"/>
      <c r="W297" s="6"/>
      <c r="X297" s="6"/>
      <c r="Y297" s="6"/>
    </row>
    <row r="298" spans="1:123">
      <c r="A298" s="56" t="s">
        <v>405</v>
      </c>
      <c r="B298" s="51"/>
      <c r="D298" s="774">
        <v>0.2</v>
      </c>
      <c r="H298" s="51"/>
      <c r="L298" s="51"/>
      <c r="M298" s="51"/>
      <c r="N298" s="51"/>
      <c r="O298" s="6"/>
      <c r="P298" s="6"/>
      <c r="Q298" s="6"/>
      <c r="R298" s="6"/>
      <c r="S298" s="6"/>
      <c r="T298" s="6"/>
      <c r="U298" s="175"/>
      <c r="V298" s="6"/>
      <c r="W298" s="6"/>
      <c r="X298" s="6"/>
      <c r="Y298" s="6"/>
    </row>
    <row r="299" spans="1:123">
      <c r="A299" s="775" t="s">
        <v>406</v>
      </c>
      <c r="B299" s="51"/>
      <c r="C299" s="51"/>
      <c r="H299" s="51"/>
      <c r="L299" s="51"/>
      <c r="M299" s="51"/>
      <c r="N299" s="51"/>
      <c r="O299" s="6"/>
      <c r="P299" s="6"/>
      <c r="Q299" s="6"/>
      <c r="R299" s="6"/>
      <c r="S299" s="6"/>
      <c r="T299" s="6"/>
      <c r="U299" s="175"/>
      <c r="V299" s="6"/>
      <c r="W299" s="6"/>
      <c r="X299" s="6"/>
      <c r="Y299" s="6"/>
    </row>
    <row r="300" spans="1:123">
      <c r="A300" s="20">
        <v>1</v>
      </c>
      <c r="B300" s="20">
        <f t="shared" ref="B300:X300" si="49">A300+1</f>
        <v>2</v>
      </c>
      <c r="C300" s="20">
        <f t="shared" si="49"/>
        <v>3</v>
      </c>
      <c r="D300" s="20">
        <f t="shared" si="49"/>
        <v>4</v>
      </c>
      <c r="E300" s="20">
        <f t="shared" si="49"/>
        <v>5</v>
      </c>
      <c r="F300" s="20">
        <f t="shared" si="49"/>
        <v>6</v>
      </c>
      <c r="G300" s="20">
        <f t="shared" si="49"/>
        <v>7</v>
      </c>
      <c r="H300" s="20">
        <f t="shared" si="49"/>
        <v>8</v>
      </c>
      <c r="I300" s="20">
        <f t="shared" si="49"/>
        <v>9</v>
      </c>
      <c r="J300" s="20">
        <f t="shared" si="49"/>
        <v>10</v>
      </c>
      <c r="K300" s="20">
        <f t="shared" si="49"/>
        <v>11</v>
      </c>
      <c r="L300" s="20">
        <f t="shared" si="49"/>
        <v>12</v>
      </c>
      <c r="M300" s="20">
        <f t="shared" si="49"/>
        <v>13</v>
      </c>
      <c r="N300" s="20">
        <f t="shared" si="49"/>
        <v>14</v>
      </c>
      <c r="O300" s="20">
        <f t="shared" si="49"/>
        <v>15</v>
      </c>
      <c r="P300" s="20">
        <f t="shared" si="49"/>
        <v>16</v>
      </c>
      <c r="Q300" s="20">
        <f t="shared" si="49"/>
        <v>17</v>
      </c>
      <c r="R300" s="20">
        <f t="shared" si="49"/>
        <v>18</v>
      </c>
      <c r="S300" s="20">
        <f t="shared" si="49"/>
        <v>19</v>
      </c>
      <c r="T300" s="1227">
        <f t="shared" si="49"/>
        <v>20</v>
      </c>
      <c r="U300" s="1227">
        <f t="shared" si="49"/>
        <v>21</v>
      </c>
      <c r="V300" s="1227">
        <f t="shared" si="49"/>
        <v>22</v>
      </c>
      <c r="W300" s="1227">
        <f t="shared" si="49"/>
        <v>23</v>
      </c>
      <c r="X300" s="1227">
        <f t="shared" si="49"/>
        <v>24</v>
      </c>
      <c r="Y300" s="6"/>
      <c r="Z300" s="6"/>
      <c r="AA300" s="6"/>
      <c r="AB300" s="6"/>
      <c r="AC300" s="6"/>
      <c r="AD300" s="6"/>
      <c r="AE300" s="6"/>
      <c r="AF300" s="6"/>
    </row>
    <row r="301" spans="1:123">
      <c r="A301" s="215">
        <v>3.0640000000000001E-2</v>
      </c>
      <c r="B301" s="216">
        <v>2.9960000000000001E-2</v>
      </c>
      <c r="C301" s="216">
        <v>2.9300000000000003E-2</v>
      </c>
      <c r="D301" s="216">
        <v>2.8650000000000002E-2</v>
      </c>
      <c r="E301" s="216">
        <v>2.8060000000000002E-2</v>
      </c>
      <c r="F301" s="216">
        <v>2.75E-2</v>
      </c>
      <c r="G301" s="216">
        <v>2.7000000000000003E-2</v>
      </c>
      <c r="H301" s="216">
        <v>2.6539999999999998E-2</v>
      </c>
      <c r="I301" s="216">
        <v>2.6120000000000001E-2</v>
      </c>
      <c r="J301" s="216">
        <v>2.5750000000000002E-2</v>
      </c>
      <c r="K301" s="216">
        <v>2.5419999999999998E-2</v>
      </c>
      <c r="L301" s="216">
        <v>2.512E-2</v>
      </c>
      <c r="M301" s="216">
        <v>2.4860000000000004E-2</v>
      </c>
      <c r="N301" s="216">
        <v>2.4649999999999998E-2</v>
      </c>
      <c r="O301" s="216">
        <v>2.4470000000000002E-2</v>
      </c>
      <c r="P301" s="216">
        <v>2.4310000000000002E-2</v>
      </c>
      <c r="Q301" s="216">
        <v>2.4160000000000001E-2</v>
      </c>
      <c r="R301" s="216">
        <v>2.402E-2</v>
      </c>
      <c r="S301" s="216">
        <v>2.3889999999999998E-2</v>
      </c>
      <c r="T301" s="216">
        <v>2.3769999999999999E-2</v>
      </c>
      <c r="U301" s="216">
        <v>2.366E-2</v>
      </c>
      <c r="V301" s="216">
        <v>2.3570000000000001E-2</v>
      </c>
      <c r="W301" s="216">
        <v>2.3470000000000001E-2</v>
      </c>
      <c r="X301" s="219">
        <v>2.3390000000000001E-2</v>
      </c>
      <c r="Y301" s="6">
        <v>2.3310000000000001E-2</v>
      </c>
      <c r="Z301" s="1">
        <v>2.3239999999999997E-2</v>
      </c>
      <c r="AA301" s="1">
        <v>2.3179999999999999E-2</v>
      </c>
      <c r="AB301" s="1">
        <v>2.3130000000000001E-2</v>
      </c>
      <c r="AC301" s="1">
        <v>2.308E-2</v>
      </c>
      <c r="AD301" s="1">
        <v>2.3029999999999998E-2</v>
      </c>
      <c r="AE301" s="1">
        <v>2.3E-2</v>
      </c>
      <c r="AF301" s="1">
        <v>2.2970000000000001E-2</v>
      </c>
      <c r="AG301" s="1">
        <v>2.2949999999999998E-2</v>
      </c>
      <c r="AH301" s="1">
        <v>2.2930000000000002E-2</v>
      </c>
      <c r="AI301" s="1">
        <v>2.2919999999999999E-2</v>
      </c>
      <c r="AJ301" s="1">
        <v>2.291E-2</v>
      </c>
      <c r="AK301" s="1">
        <v>2.291E-2</v>
      </c>
      <c r="AL301" s="1">
        <v>2.2919999999999999E-2</v>
      </c>
      <c r="AM301" s="1">
        <v>2.2930000000000002E-2</v>
      </c>
      <c r="AN301" s="1">
        <v>2.2940000000000002E-2</v>
      </c>
      <c r="AO301" s="1">
        <v>2.2959999999999998E-2</v>
      </c>
      <c r="AP301" s="1">
        <v>2.299E-2</v>
      </c>
      <c r="AQ301" s="1">
        <v>2.3019999999999999E-2</v>
      </c>
      <c r="AR301" s="1">
        <v>2.3060000000000001E-2</v>
      </c>
      <c r="AS301" s="1">
        <v>2.3099999999999999E-2</v>
      </c>
      <c r="AT301" s="1">
        <v>2.3140000000000001E-2</v>
      </c>
      <c r="AU301" s="1">
        <v>2.3189999999999999E-2</v>
      </c>
      <c r="AV301" s="1">
        <v>2.3250000000000003E-2</v>
      </c>
      <c r="AW301" s="1" t="s">
        <v>407</v>
      </c>
      <c r="AX301" s="1" t="s">
        <v>407</v>
      </c>
      <c r="AY301" s="1" t="s">
        <v>407</v>
      </c>
      <c r="AZ301" s="1" t="s">
        <v>407</v>
      </c>
      <c r="BA301" s="1" t="s">
        <v>407</v>
      </c>
      <c r="BB301" s="1" t="s">
        <v>407</v>
      </c>
      <c r="BC301" s="1" t="s">
        <v>407</v>
      </c>
      <c r="BD301" s="1" t="s">
        <v>407</v>
      </c>
      <c r="BE301" s="1" t="s">
        <v>407</v>
      </c>
      <c r="BF301" s="1" t="s">
        <v>407</v>
      </c>
      <c r="BG301" s="1" t="s">
        <v>407</v>
      </c>
      <c r="BH301" s="1" t="s">
        <v>407</v>
      </c>
      <c r="BI301" s="1" t="s">
        <v>407</v>
      </c>
      <c r="BJ301" s="1" t="s">
        <v>407</v>
      </c>
      <c r="BK301" s="1" t="s">
        <v>407</v>
      </c>
      <c r="BL301" s="1" t="s">
        <v>407</v>
      </c>
      <c r="BM301" s="1" t="s">
        <v>407</v>
      </c>
      <c r="BN301" s="1" t="s">
        <v>407</v>
      </c>
      <c r="BO301" s="1" t="s">
        <v>407</v>
      </c>
      <c r="BP301" s="1" t="s">
        <v>407</v>
      </c>
      <c r="BQ301" s="1" t="s">
        <v>407</v>
      </c>
      <c r="BR301" s="1" t="s">
        <v>407</v>
      </c>
      <c r="BS301" s="1" t="s">
        <v>407</v>
      </c>
      <c r="BT301" s="1" t="s">
        <v>407</v>
      </c>
      <c r="BU301" s="1" t="s">
        <v>407</v>
      </c>
      <c r="BV301" s="1" t="s">
        <v>407</v>
      </c>
      <c r="BW301" s="1" t="s">
        <v>407</v>
      </c>
      <c r="BX301" s="1" t="s">
        <v>407</v>
      </c>
      <c r="BY301" s="1" t="s">
        <v>407</v>
      </c>
      <c r="BZ301" s="1" t="s">
        <v>407</v>
      </c>
      <c r="CA301" s="1" t="s">
        <v>407</v>
      </c>
      <c r="CB301" s="1" t="s">
        <v>407</v>
      </c>
      <c r="CC301" s="1" t="s">
        <v>407</v>
      </c>
      <c r="CD301" s="1" t="s">
        <v>407</v>
      </c>
      <c r="CE301" s="1" t="s">
        <v>407</v>
      </c>
      <c r="CF301" s="1" t="s">
        <v>407</v>
      </c>
      <c r="CG301" s="1" t="s">
        <v>407</v>
      </c>
      <c r="CH301" s="1" t="s">
        <v>407</v>
      </c>
      <c r="CI301" s="1" t="s">
        <v>407</v>
      </c>
      <c r="CJ301" s="1" t="s">
        <v>407</v>
      </c>
      <c r="CK301" s="1" t="s">
        <v>407</v>
      </c>
      <c r="CL301" s="1" t="s">
        <v>407</v>
      </c>
      <c r="CM301" s="1" t="s">
        <v>407</v>
      </c>
      <c r="CN301" s="1" t="s">
        <v>407</v>
      </c>
      <c r="CO301" s="1" t="s">
        <v>407</v>
      </c>
      <c r="CP301" s="1" t="s">
        <v>407</v>
      </c>
      <c r="CQ301" s="1" t="s">
        <v>407</v>
      </c>
      <c r="CR301" s="1" t="s">
        <v>407</v>
      </c>
      <c r="CS301" s="1" t="s">
        <v>407</v>
      </c>
      <c r="CT301" s="1" t="s">
        <v>407</v>
      </c>
      <c r="CU301" s="1" t="s">
        <v>407</v>
      </c>
      <c r="CV301" s="1" t="s">
        <v>407</v>
      </c>
      <c r="CW301" s="1" t="s">
        <v>407</v>
      </c>
      <c r="CX301" s="1" t="s">
        <v>407</v>
      </c>
      <c r="CY301" s="1" t="s">
        <v>407</v>
      </c>
      <c r="CZ301" s="1" t="s">
        <v>407</v>
      </c>
      <c r="DA301" s="1" t="s">
        <v>407</v>
      </c>
      <c r="DB301" s="1" t="s">
        <v>407</v>
      </c>
      <c r="DC301" s="1" t="s">
        <v>407</v>
      </c>
      <c r="DD301" s="1" t="s">
        <v>407</v>
      </c>
      <c r="DE301" s="1" t="s">
        <v>407</v>
      </c>
      <c r="DF301" s="1" t="s">
        <v>407</v>
      </c>
      <c r="DG301" s="1" t="s">
        <v>407</v>
      </c>
      <c r="DH301" s="1" t="s">
        <v>407</v>
      </c>
      <c r="DI301" s="1" t="s">
        <v>407</v>
      </c>
      <c r="DJ301" s="1" t="s">
        <v>407</v>
      </c>
      <c r="DK301" s="1" t="s">
        <v>407</v>
      </c>
      <c r="DL301" s="1" t="s">
        <v>407</v>
      </c>
      <c r="DM301" s="1" t="s">
        <v>407</v>
      </c>
      <c r="DN301" s="1" t="s">
        <v>407</v>
      </c>
      <c r="DO301" s="1" t="s">
        <v>407</v>
      </c>
      <c r="DP301" s="1" t="s">
        <v>407</v>
      </c>
      <c r="DQ301" s="1" t="s">
        <v>407</v>
      </c>
      <c r="DR301" s="1" t="s">
        <v>407</v>
      </c>
      <c r="DS301" s="1" t="s">
        <v>407</v>
      </c>
    </row>
    <row r="302" spans="1:123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123">
      <c r="A303" s="214" t="s">
        <v>408</v>
      </c>
      <c r="B303" s="71"/>
      <c r="C303" s="71"/>
      <c r="D303" s="61"/>
      <c r="E303" s="61"/>
      <c r="F303" s="217"/>
      <c r="G303" s="61"/>
      <c r="H303" s="61"/>
      <c r="I303" s="218"/>
      <c r="J303" s="61"/>
      <c r="K303" s="61"/>
      <c r="L303" s="61"/>
      <c r="M303" s="61"/>
      <c r="N303" s="61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123">
      <c r="A304" s="116">
        <v>1</v>
      </c>
      <c r="B304" s="116">
        <v>2</v>
      </c>
      <c r="C304" s="116">
        <v>3</v>
      </c>
      <c r="D304" s="116">
        <v>4</v>
      </c>
      <c r="E304" s="116">
        <v>5</v>
      </c>
      <c r="F304" s="116">
        <v>6</v>
      </c>
      <c r="G304" s="116">
        <v>7</v>
      </c>
      <c r="H304" s="116">
        <v>8</v>
      </c>
      <c r="I304" s="116">
        <v>9</v>
      </c>
      <c r="J304" s="116">
        <v>10</v>
      </c>
      <c r="K304" s="116">
        <v>11</v>
      </c>
      <c r="L304" s="116">
        <v>12</v>
      </c>
      <c r="M304" s="116">
        <v>13</v>
      </c>
      <c r="N304" s="116">
        <v>14</v>
      </c>
      <c r="O304" s="116">
        <v>15</v>
      </c>
      <c r="P304" s="116">
        <v>16</v>
      </c>
      <c r="Q304" s="116">
        <v>17</v>
      </c>
      <c r="R304" s="116">
        <v>18</v>
      </c>
      <c r="S304" s="116">
        <v>19</v>
      </c>
      <c r="T304" s="116">
        <v>20</v>
      </c>
      <c r="U304" s="3"/>
      <c r="V304" s="3"/>
      <c r="W304" s="3"/>
      <c r="X304" s="3"/>
      <c r="Y304" s="3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123">
      <c r="A305" s="215">
        <v>3.0890000000000001E-2</v>
      </c>
      <c r="B305" s="216">
        <v>2.6179999999999998E-2</v>
      </c>
      <c r="C305" s="216">
        <v>2.4329999999999997E-2</v>
      </c>
      <c r="D305" s="216">
        <v>2.392E-2</v>
      </c>
      <c r="E305" s="216">
        <v>2.4169999999999997E-2</v>
      </c>
      <c r="F305" s="216">
        <v>2.4719999999999999E-2</v>
      </c>
      <c r="G305" s="216">
        <v>2.5390000000000003E-2</v>
      </c>
      <c r="H305" s="216">
        <v>2.6000000000000002E-2</v>
      </c>
      <c r="I305" s="216">
        <v>2.6509999999999999E-2</v>
      </c>
      <c r="J305" s="216">
        <v>2.6939999999999999E-2</v>
      </c>
      <c r="K305" s="216">
        <v>2.7200000000000002E-2</v>
      </c>
      <c r="L305" s="216">
        <v>2.717E-2</v>
      </c>
      <c r="M305" s="216">
        <v>2.6869999999999998E-2</v>
      </c>
      <c r="N305" s="216">
        <v>2.6280000000000001E-2</v>
      </c>
      <c r="O305" s="216">
        <v>2.5270000000000001E-2</v>
      </c>
      <c r="P305" s="216">
        <v>2.4160000000000001E-2</v>
      </c>
      <c r="Q305" s="216">
        <v>2.3310000000000001E-2</v>
      </c>
      <c r="R305" s="216">
        <v>2.2599999999999999E-2</v>
      </c>
      <c r="S305" s="216">
        <v>2.1829999999999999E-2</v>
      </c>
      <c r="T305" s="219">
        <v>2.0899999999999998E-2</v>
      </c>
      <c r="U305" s="1">
        <v>1.992E-2</v>
      </c>
      <c r="V305" s="6">
        <v>1.907E-2</v>
      </c>
      <c r="W305" s="6">
        <v>1.839E-2</v>
      </c>
      <c r="X305" s="6">
        <v>1.7829999999999999E-2</v>
      </c>
      <c r="Y305" s="6">
        <v>1.737E-2</v>
      </c>
      <c r="Z305" s="1">
        <v>1.6959999999999999E-2</v>
      </c>
      <c r="AA305" s="1">
        <v>1.6579999999999998E-2</v>
      </c>
      <c r="AB305" s="1">
        <v>1.627E-2</v>
      </c>
      <c r="AC305" s="1">
        <v>1.6070000000000001E-2</v>
      </c>
      <c r="AD305" s="1">
        <v>1.5990000000000001E-2</v>
      </c>
      <c r="AE305" s="1">
        <v>2.214E-2</v>
      </c>
      <c r="AF305" s="1">
        <v>2.2090000000000002E-2</v>
      </c>
      <c r="AG305" s="1">
        <v>2.2040000000000001E-2</v>
      </c>
      <c r="AH305" s="1">
        <v>2.2000000000000002E-2</v>
      </c>
      <c r="AI305" s="1">
        <v>2.197E-2</v>
      </c>
      <c r="AJ305" s="1">
        <v>2.1949999999999997E-2</v>
      </c>
      <c r="AK305" s="1" t="s">
        <v>407</v>
      </c>
      <c r="AL305" s="1" t="s">
        <v>407</v>
      </c>
      <c r="AM305" s="1" t="s">
        <v>407</v>
      </c>
      <c r="AN305" s="1" t="s">
        <v>407</v>
      </c>
      <c r="AO305" s="1" t="s">
        <v>407</v>
      </c>
      <c r="AP305" s="1" t="s">
        <v>407</v>
      </c>
      <c r="AQ305" s="1" t="s">
        <v>407</v>
      </c>
      <c r="AR305" s="1" t="s">
        <v>407</v>
      </c>
      <c r="AS305" s="1" t="s">
        <v>407</v>
      </c>
      <c r="AT305" s="1" t="s">
        <v>407</v>
      </c>
      <c r="AU305" s="1" t="s">
        <v>407</v>
      </c>
      <c r="AV305" s="1" t="s">
        <v>407</v>
      </c>
      <c r="AW305" s="1" t="s">
        <v>407</v>
      </c>
      <c r="AX305" s="1" t="s">
        <v>407</v>
      </c>
      <c r="AY305" s="1" t="s">
        <v>407</v>
      </c>
      <c r="AZ305" s="1" t="s">
        <v>407</v>
      </c>
      <c r="BA305" s="1" t="s">
        <v>407</v>
      </c>
      <c r="BB305" s="1" t="s">
        <v>407</v>
      </c>
      <c r="BC305" s="1" t="s">
        <v>407</v>
      </c>
      <c r="BD305" s="1" t="s">
        <v>407</v>
      </c>
      <c r="BE305" s="1" t="s">
        <v>407</v>
      </c>
      <c r="BF305" s="1" t="s">
        <v>407</v>
      </c>
      <c r="BG305" s="1" t="s">
        <v>407</v>
      </c>
      <c r="BH305" s="1" t="s">
        <v>407</v>
      </c>
      <c r="BI305" s="1" t="s">
        <v>407</v>
      </c>
      <c r="BJ305" s="1" t="s">
        <v>407</v>
      </c>
      <c r="BK305" s="1" t="s">
        <v>407</v>
      </c>
      <c r="BL305" s="1" t="s">
        <v>407</v>
      </c>
      <c r="BM305" s="1" t="s">
        <v>407</v>
      </c>
      <c r="BN305" s="1" t="s">
        <v>407</v>
      </c>
      <c r="BO305" s="1" t="s">
        <v>407</v>
      </c>
      <c r="BP305" s="1" t="s">
        <v>407</v>
      </c>
      <c r="BQ305" s="1" t="s">
        <v>407</v>
      </c>
      <c r="BR305" s="1" t="s">
        <v>407</v>
      </c>
      <c r="BS305" s="1" t="s">
        <v>407</v>
      </c>
      <c r="BT305" s="1" t="s">
        <v>407</v>
      </c>
      <c r="BU305" s="1" t="s">
        <v>407</v>
      </c>
      <c r="BV305" s="1" t="s">
        <v>407</v>
      </c>
      <c r="BW305" s="1" t="s">
        <v>407</v>
      </c>
      <c r="BX305" s="1" t="s">
        <v>407</v>
      </c>
      <c r="BY305" s="1" t="s">
        <v>407</v>
      </c>
      <c r="BZ305" s="1" t="s">
        <v>407</v>
      </c>
      <c r="CA305" s="1" t="s">
        <v>407</v>
      </c>
      <c r="CB305" s="1" t="s">
        <v>407</v>
      </c>
      <c r="CC305" s="1" t="s">
        <v>407</v>
      </c>
      <c r="CD305" s="1" t="s">
        <v>407</v>
      </c>
      <c r="CE305" s="1" t="s">
        <v>407</v>
      </c>
      <c r="CF305" s="1" t="s">
        <v>407</v>
      </c>
      <c r="CG305" s="1" t="s">
        <v>407</v>
      </c>
      <c r="CH305" s="1" t="s">
        <v>407</v>
      </c>
      <c r="CI305" s="1" t="s">
        <v>407</v>
      </c>
      <c r="CJ305" s="1" t="s">
        <v>407</v>
      </c>
      <c r="CK305" s="1" t="s">
        <v>407</v>
      </c>
      <c r="CL305" s="1" t="s">
        <v>407</v>
      </c>
      <c r="CM305" s="1" t="s">
        <v>407</v>
      </c>
      <c r="CN305" s="1" t="s">
        <v>407</v>
      </c>
      <c r="CO305" s="1" t="s">
        <v>407</v>
      </c>
      <c r="CP305" s="1" t="s">
        <v>407</v>
      </c>
      <c r="CQ305" s="1" t="s">
        <v>407</v>
      </c>
      <c r="CR305" s="1" t="s">
        <v>407</v>
      </c>
      <c r="CS305" s="1" t="s">
        <v>407</v>
      </c>
      <c r="CT305" s="1" t="s">
        <v>407</v>
      </c>
      <c r="CU305" s="1" t="s">
        <v>407</v>
      </c>
      <c r="CV305" s="1" t="s">
        <v>407</v>
      </c>
      <c r="CW305" s="1" t="s">
        <v>407</v>
      </c>
      <c r="CX305" s="1" t="s">
        <v>407</v>
      </c>
      <c r="CY305" s="1" t="s">
        <v>407</v>
      </c>
      <c r="CZ305" s="1" t="s">
        <v>407</v>
      </c>
      <c r="DA305" s="1" t="s">
        <v>407</v>
      </c>
      <c r="DB305" s="1" t="s">
        <v>407</v>
      </c>
      <c r="DC305" s="1" t="s">
        <v>407</v>
      </c>
      <c r="DD305" s="1" t="s">
        <v>407</v>
      </c>
      <c r="DE305" s="1" t="s">
        <v>407</v>
      </c>
      <c r="DF305" s="1" t="s">
        <v>407</v>
      </c>
      <c r="DG305" s="1" t="s">
        <v>407</v>
      </c>
      <c r="DH305" s="1" t="s">
        <v>407</v>
      </c>
      <c r="DI305" s="1" t="s">
        <v>407</v>
      </c>
      <c r="DJ305" s="1" t="s">
        <v>407</v>
      </c>
      <c r="DK305" s="1" t="s">
        <v>407</v>
      </c>
      <c r="DL305" s="1" t="s">
        <v>407</v>
      </c>
      <c r="DM305" s="1" t="s">
        <v>407</v>
      </c>
      <c r="DN305" s="1" t="s">
        <v>407</v>
      </c>
      <c r="DO305" s="1" t="s">
        <v>407</v>
      </c>
      <c r="DP305" s="1" t="s">
        <v>407</v>
      </c>
      <c r="DQ305" s="1" t="s">
        <v>407</v>
      </c>
      <c r="DR305" s="1" t="s">
        <v>407</v>
      </c>
      <c r="DS305" s="1" t="s">
        <v>407</v>
      </c>
    </row>
    <row r="306" spans="1:1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123">
      <c r="A307" s="5" t="s">
        <v>409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"/>
      <c r="AJ307" s="4"/>
      <c r="AK307" s="4"/>
      <c r="AL307" s="4"/>
      <c r="AM307" s="4"/>
      <c r="AN307" s="4"/>
      <c r="AO307" s="4"/>
      <c r="AP307" s="4"/>
    </row>
    <row r="308" spans="1:12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123">
      <c r="A309" s="54" t="s">
        <v>410</v>
      </c>
      <c r="B309" s="151"/>
      <c r="C309" s="55"/>
      <c r="D309" s="55"/>
      <c r="E309" s="55"/>
      <c r="F309" s="55"/>
      <c r="G309" s="55"/>
      <c r="H309" s="55"/>
      <c r="I309" s="55"/>
      <c r="J309" s="55"/>
      <c r="K309" s="220"/>
      <c r="L309" s="55"/>
      <c r="M309" s="55"/>
      <c r="N309" s="55"/>
      <c r="O309" s="55"/>
      <c r="P309" s="55"/>
      <c r="Q309" s="55"/>
      <c r="R309" s="55"/>
      <c r="S309" s="55"/>
      <c r="T309" s="55"/>
      <c r="U309" s="59"/>
      <c r="V309" s="59"/>
      <c r="W309" s="59"/>
      <c r="X309" s="59"/>
      <c r="Y309" s="59"/>
      <c r="Z309" s="221"/>
      <c r="AA309" s="60"/>
      <c r="AB309" s="221"/>
      <c r="AC309" s="60"/>
      <c r="AD309" s="60"/>
      <c r="AE309" s="60"/>
      <c r="AF309" s="60"/>
      <c r="AG309" s="60"/>
      <c r="AH309" s="221"/>
      <c r="AI309" s="4"/>
      <c r="AJ309" s="4"/>
      <c r="AK309" s="4"/>
      <c r="AL309" s="4"/>
      <c r="AM309" s="4"/>
      <c r="AN309" s="4"/>
      <c r="AO309" s="4"/>
      <c r="AP309" s="4"/>
    </row>
    <row r="310" spans="1:123">
      <c r="A310" s="240"/>
      <c r="B310" s="6"/>
      <c r="F310" s="66"/>
      <c r="G310" s="24"/>
      <c r="H310" s="24"/>
      <c r="I310" s="1168"/>
      <c r="K310" s="66"/>
      <c r="U310" s="3"/>
      <c r="V310" s="3"/>
      <c r="W310" s="3"/>
      <c r="X310" s="3"/>
      <c r="Y310" s="3"/>
      <c r="Z310" s="24"/>
      <c r="AA310" s="4"/>
      <c r="AB310" s="24"/>
      <c r="AC310" s="4"/>
      <c r="AD310" s="4"/>
      <c r="AE310" s="4"/>
      <c r="AF310" s="4"/>
      <c r="AG310" s="4"/>
      <c r="AH310" s="24"/>
      <c r="AI310" s="4"/>
      <c r="AJ310" s="4"/>
      <c r="AK310" s="4"/>
      <c r="AL310" s="4"/>
      <c r="AM310" s="4"/>
      <c r="AN310" s="4"/>
      <c r="AO310" s="4"/>
      <c r="AP310" s="4"/>
    </row>
    <row r="311" spans="1:123">
      <c r="A311" s="240" t="s">
        <v>411</v>
      </c>
      <c r="C311" s="3"/>
      <c r="D311" s="776">
        <f ca="1">D312/G171</f>
        <v>8.6246967699804503E-3</v>
      </c>
      <c r="E311" s="3"/>
      <c r="F311" s="1169"/>
      <c r="G311" s="24"/>
      <c r="H311" s="66"/>
      <c r="I311" s="776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123">
      <c r="A312" s="32" t="s">
        <v>325</v>
      </c>
      <c r="C312" s="547"/>
      <c r="D312" s="1211">
        <v>500</v>
      </c>
      <c r="E312" s="38"/>
      <c r="F312" s="280"/>
      <c r="G312" s="24"/>
      <c r="H312" s="547"/>
      <c r="I312" s="1154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123">
      <c r="A313" s="3" t="s">
        <v>178</v>
      </c>
      <c r="D313" s="839">
        <v>0</v>
      </c>
      <c r="F313" s="66"/>
      <c r="G313" s="24"/>
      <c r="H313" s="24"/>
      <c r="I313" s="117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123" s="24" customFormat="1">
      <c r="A314" s="1"/>
      <c r="C314" s="183" t="s">
        <v>412</v>
      </c>
      <c r="D314" s="183" t="s">
        <v>160</v>
      </c>
      <c r="H314" s="282"/>
      <c r="I314" s="282"/>
      <c r="Q314" s="66"/>
      <c r="R314" s="66"/>
      <c r="S314" s="66"/>
      <c r="T314" s="66"/>
      <c r="U314" s="66"/>
      <c r="V314" s="66"/>
      <c r="W314" s="66"/>
      <c r="X314" s="66"/>
      <c r="Y314" s="66"/>
    </row>
    <row r="315" spans="1:123" s="24" customFormat="1">
      <c r="A315" s="6" t="s">
        <v>413</v>
      </c>
      <c r="C315" s="838">
        <v>1</v>
      </c>
      <c r="D315" s="222">
        <f>C315*SUM($D$312:$D$313)</f>
        <v>500</v>
      </c>
      <c r="E315" s="1145"/>
      <c r="F315" s="66"/>
      <c r="H315" s="146"/>
      <c r="I315" s="1171"/>
      <c r="Q315" s="66"/>
      <c r="R315" s="66"/>
      <c r="S315" s="66"/>
      <c r="T315" s="66"/>
      <c r="U315" s="66"/>
      <c r="V315" s="66"/>
      <c r="W315" s="66"/>
      <c r="X315" s="66"/>
      <c r="Y315" s="66"/>
    </row>
    <row r="316" spans="1:123" s="24" customFormat="1">
      <c r="A316" s="3" t="s">
        <v>414</v>
      </c>
      <c r="C316" s="224">
        <f>SUM(C317:C318)</f>
        <v>0</v>
      </c>
      <c r="D316" s="225">
        <f>SUM(D317:D318)</f>
        <v>0</v>
      </c>
      <c r="E316" s="223"/>
      <c r="F316" s="66"/>
      <c r="H316" s="146"/>
      <c r="I316" s="1171"/>
      <c r="J316" s="66"/>
      <c r="K316" s="66"/>
      <c r="Q316" s="66"/>
      <c r="R316" s="66"/>
      <c r="S316" s="66"/>
      <c r="T316" s="66"/>
      <c r="U316" s="66"/>
      <c r="V316" s="66"/>
      <c r="W316" s="66"/>
      <c r="X316" s="66"/>
      <c r="Y316" s="66"/>
    </row>
    <row r="317" spans="1:123" s="24" customFormat="1">
      <c r="A317" s="78" t="s">
        <v>415</v>
      </c>
      <c r="C317" s="837">
        <v>0</v>
      </c>
      <c r="D317" s="222">
        <f>SUM($D$312:$D$313)*$C$317</f>
        <v>0</v>
      </c>
      <c r="F317" s="280"/>
      <c r="H317" s="146"/>
      <c r="I317" s="1172"/>
      <c r="Q317" s="66"/>
      <c r="R317" s="66"/>
      <c r="S317" s="66"/>
      <c r="T317" s="66"/>
      <c r="U317" s="66"/>
      <c r="V317" s="66"/>
      <c r="W317" s="66"/>
      <c r="X317" s="66"/>
      <c r="Y317" s="66"/>
    </row>
    <row r="318" spans="1:123" s="24" customFormat="1">
      <c r="A318" s="78" t="s">
        <v>416</v>
      </c>
      <c r="C318" s="1150">
        <f>1-C315-C317</f>
        <v>0</v>
      </c>
      <c r="D318" s="777">
        <f>SUM($D$312:$D$313)*$C$318</f>
        <v>0</v>
      </c>
      <c r="E318" s="223"/>
      <c r="F318" s="280"/>
      <c r="H318" s="146"/>
      <c r="I318" s="1172"/>
      <c r="L318" s="66"/>
      <c r="M318" s="226"/>
      <c r="N318" s="227"/>
      <c r="O318" s="228"/>
      <c r="P318" s="66"/>
      <c r="Q318" s="66"/>
      <c r="R318" s="66"/>
      <c r="S318" s="66"/>
      <c r="T318" s="66"/>
      <c r="U318" s="66"/>
      <c r="V318" s="66"/>
      <c r="W318" s="66"/>
      <c r="X318" s="66"/>
      <c r="Y318" s="66"/>
    </row>
    <row r="319" spans="1:123" s="24" customFormat="1" ht="15">
      <c r="A319" s="3"/>
      <c r="C319" s="1149"/>
      <c r="D319" s="229"/>
      <c r="E319" s="230"/>
      <c r="F319" s="3"/>
      <c r="H319" s="1149"/>
      <c r="I319" s="229"/>
      <c r="L319" s="66"/>
      <c r="M319" s="226"/>
      <c r="N319" s="66"/>
      <c r="O319" s="228"/>
      <c r="P319" s="66"/>
      <c r="Q319" s="66"/>
      <c r="R319" s="66"/>
      <c r="S319" s="66"/>
      <c r="T319" s="66"/>
      <c r="U319" s="66"/>
      <c r="V319" s="66"/>
      <c r="W319" s="66"/>
      <c r="X319" s="66"/>
      <c r="Y319" s="66"/>
    </row>
    <row r="320" spans="1:123" s="24" customFormat="1">
      <c r="A320" s="3" t="s">
        <v>417</v>
      </c>
      <c r="B320" s="3"/>
      <c r="D320" s="231">
        <v>1</v>
      </c>
      <c r="E320" s="230"/>
      <c r="G320" s="3"/>
      <c r="L320" s="66"/>
      <c r="M320" s="226"/>
      <c r="N320" s="66"/>
      <c r="O320" s="228"/>
      <c r="P320" s="66"/>
      <c r="Q320" s="66"/>
      <c r="R320" s="66"/>
      <c r="S320" s="66"/>
      <c r="T320" s="66"/>
      <c r="U320" s="66"/>
      <c r="V320" s="66"/>
      <c r="W320" s="66"/>
      <c r="X320" s="66"/>
      <c r="Y320" s="66"/>
    </row>
    <row r="321" spans="1:42" s="24" customFormat="1">
      <c r="A321" s="3"/>
      <c r="D321" s="229"/>
      <c r="E321" s="230"/>
      <c r="F321" s="136"/>
      <c r="L321" s="66"/>
      <c r="M321" s="226"/>
      <c r="N321" s="66"/>
      <c r="O321" s="228"/>
      <c r="P321" s="66"/>
      <c r="Q321" s="66"/>
      <c r="R321" s="66"/>
      <c r="S321" s="66"/>
      <c r="T321" s="66"/>
      <c r="U321" s="66"/>
      <c r="V321" s="66"/>
      <c r="W321" s="66"/>
      <c r="X321" s="66"/>
      <c r="Y321" s="66"/>
    </row>
    <row r="322" spans="1:42">
      <c r="A322" s="54" t="s">
        <v>18</v>
      </c>
      <c r="B322" s="151"/>
      <c r="C322" s="55"/>
      <c r="D322" s="55"/>
      <c r="E322" s="55"/>
      <c r="F322" s="55"/>
      <c r="G322" s="55"/>
      <c r="H322" s="55"/>
      <c r="I322" s="55"/>
      <c r="J322" s="55"/>
      <c r="K322" s="220"/>
      <c r="L322" s="55"/>
      <c r="M322" s="55"/>
      <c r="N322" s="55"/>
      <c r="O322" s="55"/>
      <c r="P322" s="55"/>
      <c r="Q322" s="55"/>
      <c r="R322" s="55"/>
      <c r="S322" s="55"/>
      <c r="T322" s="55"/>
      <c r="U322" s="59"/>
      <c r="V322" s="59"/>
      <c r="W322" s="59"/>
      <c r="X322" s="59"/>
      <c r="Y322" s="59"/>
      <c r="Z322" s="221"/>
      <c r="AA322" s="60"/>
      <c r="AB322" s="221"/>
      <c r="AC322" s="60"/>
      <c r="AD322" s="60"/>
      <c r="AE322" s="60"/>
      <c r="AF322" s="60"/>
      <c r="AG322" s="60"/>
      <c r="AH322" s="221"/>
      <c r="AI322" s="4"/>
      <c r="AJ322" s="4"/>
      <c r="AK322" s="4"/>
      <c r="AL322" s="4"/>
      <c r="AM322" s="4"/>
      <c r="AN322" s="4"/>
      <c r="AO322" s="4"/>
      <c r="AP322" s="4"/>
    </row>
    <row r="323" spans="1:42">
      <c r="A323" s="240"/>
      <c r="B323" s="6"/>
      <c r="K323" s="66"/>
      <c r="U323" s="3"/>
      <c r="V323" s="3"/>
      <c r="W323" s="3"/>
      <c r="X323" s="3"/>
      <c r="Y323" s="3"/>
      <c r="Z323" s="24"/>
      <c r="AA323" s="4"/>
      <c r="AB323" s="24"/>
      <c r="AC323" s="4"/>
      <c r="AD323" s="4"/>
      <c r="AE323" s="4"/>
      <c r="AF323" s="4"/>
      <c r="AG323" s="4"/>
      <c r="AH323" s="24"/>
      <c r="AI323" s="4"/>
      <c r="AJ323" s="4"/>
      <c r="AK323" s="4"/>
      <c r="AL323" s="4"/>
      <c r="AM323" s="4"/>
      <c r="AN323" s="4"/>
      <c r="AO323" s="4"/>
      <c r="AP323" s="4"/>
    </row>
    <row r="324" spans="1:42">
      <c r="A324" s="240" t="s">
        <v>411</v>
      </c>
      <c r="C324" s="3"/>
      <c r="D324" s="776">
        <f ca="1">D325/G171</f>
        <v>0.25219948277046178</v>
      </c>
      <c r="E324" s="3"/>
      <c r="F324" s="136"/>
      <c r="G324" s="3"/>
      <c r="H324" s="3"/>
      <c r="I324" s="3"/>
      <c r="J324" s="66"/>
      <c r="K324" s="66"/>
      <c r="L324" s="66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>
      <c r="A325" s="32" t="s">
        <v>325</v>
      </c>
      <c r="C325" s="3"/>
      <c r="D325" s="1154">
        <f ca="1">G171-SUM(D195,D255,D312)</f>
        <v>14620.773894815633</v>
      </c>
      <c r="E325" s="851"/>
      <c r="F325" s="852"/>
      <c r="N325" s="6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>
      <c r="G326" s="66"/>
      <c r="J326" s="66"/>
      <c r="K326" s="66"/>
      <c r="L326" s="66"/>
      <c r="N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>
      <c r="C327" s="183" t="s">
        <v>418</v>
      </c>
      <c r="D327" s="183" t="s">
        <v>419</v>
      </c>
      <c r="F327" s="183" t="s">
        <v>420</v>
      </c>
      <c r="G327" s="183" t="s">
        <v>421</v>
      </c>
      <c r="I327" s="61"/>
      <c r="J327" s="61"/>
      <c r="K327" s="6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>
      <c r="A328" s="3" t="str">
        <f>A315</f>
        <v>Sponsor</v>
      </c>
      <c r="C328" s="838">
        <v>1</v>
      </c>
      <c r="D328" s="233">
        <f ca="1">$D$325*C328</f>
        <v>14620.773894815633</v>
      </c>
      <c r="E328" s="1145"/>
      <c r="F328" s="836">
        <v>0.08</v>
      </c>
      <c r="G328" s="236">
        <f>F328</f>
        <v>0.08</v>
      </c>
      <c r="I328" s="61"/>
      <c r="J328" s="61"/>
      <c r="K328" s="6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>
      <c r="A329" s="3" t="s">
        <v>422</v>
      </c>
      <c r="C329" s="224">
        <f>SUM(C330:C331)</f>
        <v>0</v>
      </c>
      <c r="D329" s="234">
        <f ca="1">SUM(D330:D331)</f>
        <v>0</v>
      </c>
      <c r="F329" s="113"/>
      <c r="I329" s="235"/>
      <c r="J329" s="61"/>
      <c r="K329" s="6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>
      <c r="A330" s="3" t="str">
        <f>A317</f>
        <v>Investor 1</v>
      </c>
      <c r="C330" s="837">
        <v>0</v>
      </c>
      <c r="D330" s="459">
        <f t="shared" ref="D330:D331" ca="1" si="50">$D$325*C330</f>
        <v>0</v>
      </c>
      <c r="F330" s="236">
        <f>F328</f>
        <v>0.08</v>
      </c>
      <c r="G330" s="236">
        <f>G328</f>
        <v>0.08</v>
      </c>
      <c r="I330" s="61"/>
      <c r="J330" s="61"/>
      <c r="K330" s="6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>
      <c r="A331" s="3" t="str">
        <f>A318</f>
        <v>Investor 2</v>
      </c>
      <c r="C331" s="1150">
        <f>1-C328-C330</f>
        <v>0</v>
      </c>
      <c r="D331" s="547">
        <f t="shared" ca="1" si="50"/>
        <v>0</v>
      </c>
      <c r="F331" s="236">
        <f>F330</f>
        <v>0.08</v>
      </c>
      <c r="G331" s="236">
        <f>G328</f>
        <v>0.08</v>
      </c>
      <c r="I331" s="61"/>
      <c r="J331" s="61"/>
      <c r="K331" s="136"/>
      <c r="L331" s="13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>
      <c r="A332" s="3"/>
      <c r="B332" s="237"/>
      <c r="C332" s="238"/>
      <c r="E332" s="61"/>
      <c r="F332" s="239"/>
      <c r="G332" s="239"/>
      <c r="H332" s="61"/>
      <c r="I332" s="61"/>
      <c r="J332" s="136"/>
      <c r="K332" s="13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>
      <c r="A333" s="54" t="s">
        <v>423</v>
      </c>
      <c r="B333" s="151"/>
      <c r="C333" s="55"/>
      <c r="D333" s="55"/>
      <c r="E333" s="55"/>
      <c r="F333" s="55"/>
      <c r="G333" s="55"/>
      <c r="H333" s="55"/>
      <c r="I333" s="55"/>
      <c r="J333" s="55"/>
      <c r="K333" s="220"/>
      <c r="L333" s="55"/>
      <c r="M333" s="55"/>
      <c r="N333" s="55"/>
      <c r="O333" s="55"/>
      <c r="P333" s="55"/>
      <c r="Q333" s="55"/>
      <c r="R333" s="55"/>
      <c r="S333" s="55"/>
      <c r="T333" s="55"/>
      <c r="U333" s="59"/>
      <c r="V333" s="59"/>
      <c r="W333" s="59"/>
      <c r="X333" s="59"/>
      <c r="Y333" s="59"/>
      <c r="Z333" s="221"/>
      <c r="AA333" s="60"/>
      <c r="AB333" s="221"/>
      <c r="AC333" s="60"/>
      <c r="AD333" s="60"/>
      <c r="AE333" s="60"/>
      <c r="AF333" s="60"/>
      <c r="AG333" s="60"/>
      <c r="AH333" s="221"/>
      <c r="AI333" s="4"/>
      <c r="AJ333" s="4"/>
      <c r="AK333" s="4"/>
      <c r="AL333" s="4"/>
      <c r="AM333" s="4"/>
      <c r="AN333" s="4"/>
      <c r="AO333" s="4"/>
      <c r="AP333" s="4"/>
    </row>
    <row r="334" spans="1:42">
      <c r="A334" s="240"/>
      <c r="B334" s="6"/>
      <c r="K334" s="66"/>
      <c r="U334" s="3"/>
      <c r="V334" s="3"/>
      <c r="W334" s="3"/>
      <c r="X334" s="3"/>
      <c r="Y334" s="3"/>
      <c r="Z334" s="24"/>
      <c r="AA334" s="4"/>
      <c r="AB334" s="24"/>
      <c r="AC334" s="4"/>
      <c r="AD334" s="4"/>
      <c r="AE334" s="4"/>
      <c r="AF334" s="4"/>
      <c r="AG334" s="4"/>
      <c r="AH334" s="24"/>
      <c r="AI334" s="4"/>
      <c r="AJ334" s="4"/>
      <c r="AK334" s="4"/>
      <c r="AL334" s="4"/>
      <c r="AM334" s="4"/>
      <c r="AN334" s="4"/>
      <c r="AO334" s="4"/>
      <c r="AP334" s="4"/>
    </row>
    <row r="335" spans="1:42">
      <c r="A335" s="51" t="s">
        <v>424</v>
      </c>
      <c r="B335" s="6"/>
      <c r="D335" s="1016">
        <v>6</v>
      </c>
      <c r="K335" s="66"/>
      <c r="U335" s="3"/>
      <c r="V335" s="3"/>
      <c r="W335" s="3"/>
      <c r="X335" s="3"/>
      <c r="Y335" s="3"/>
      <c r="Z335" s="24"/>
      <c r="AA335" s="4"/>
      <c r="AB335" s="24"/>
      <c r="AC335" s="4"/>
      <c r="AD335" s="4"/>
      <c r="AE335" s="4"/>
      <c r="AF335" s="4"/>
      <c r="AG335" s="4"/>
      <c r="AH335" s="24"/>
      <c r="AI335" s="4"/>
      <c r="AJ335" s="4"/>
      <c r="AK335" s="4"/>
      <c r="AL335" s="4"/>
      <c r="AM335" s="4"/>
      <c r="AN335" s="4"/>
      <c r="AO335" s="4"/>
      <c r="AP335" s="4"/>
    </row>
    <row r="336" spans="1:42">
      <c r="A336" s="51" t="s">
        <v>425</v>
      </c>
      <c r="B336" s="6"/>
      <c r="D336" s="1017">
        <v>1</v>
      </c>
      <c r="K336" s="66"/>
      <c r="U336" s="3"/>
      <c r="V336" s="3"/>
      <c r="W336" s="3"/>
      <c r="X336" s="3"/>
      <c r="Y336" s="3"/>
      <c r="Z336" s="24"/>
      <c r="AA336" s="4"/>
      <c r="AB336" s="24"/>
      <c r="AC336" s="4"/>
      <c r="AD336" s="4"/>
      <c r="AE336" s="4"/>
      <c r="AF336" s="4"/>
      <c r="AG336" s="4"/>
      <c r="AH336" s="24"/>
      <c r="AI336" s="4"/>
      <c r="AJ336" s="4"/>
      <c r="AK336" s="4"/>
      <c r="AL336" s="4"/>
      <c r="AM336" s="4"/>
      <c r="AN336" s="4"/>
      <c r="AO336" s="4"/>
      <c r="AP336" s="4"/>
    </row>
    <row r="337" spans="1:42">
      <c r="A337" s="240"/>
      <c r="B337" s="6"/>
      <c r="K337" s="66"/>
      <c r="U337" s="3"/>
      <c r="V337" s="3"/>
      <c r="W337" s="3"/>
      <c r="X337" s="3"/>
      <c r="Y337" s="3"/>
      <c r="Z337" s="24"/>
      <c r="AA337" s="4"/>
      <c r="AB337" s="24"/>
      <c r="AC337" s="4"/>
      <c r="AD337" s="4"/>
      <c r="AE337" s="4"/>
      <c r="AF337" s="4"/>
      <c r="AG337" s="4"/>
      <c r="AH337" s="24"/>
      <c r="AI337" s="4"/>
      <c r="AJ337" s="4"/>
      <c r="AK337" s="4"/>
      <c r="AL337" s="4"/>
      <c r="AM337" s="4"/>
      <c r="AN337" s="4"/>
      <c r="AO337" s="4"/>
      <c r="AP337" s="4"/>
    </row>
    <row r="338" spans="1:42">
      <c r="A338" s="66" t="s">
        <v>426</v>
      </c>
      <c r="B338" s="66"/>
      <c r="D338" s="205">
        <f>D9</f>
        <v>47298</v>
      </c>
      <c r="K338" s="66"/>
      <c r="U338" s="3"/>
      <c r="V338" s="3"/>
      <c r="W338" s="3"/>
      <c r="X338" s="3"/>
      <c r="Y338" s="3"/>
      <c r="Z338" s="24"/>
      <c r="AA338" s="4"/>
      <c r="AB338" s="24"/>
      <c r="AC338" s="4"/>
      <c r="AD338" s="4"/>
      <c r="AE338" s="4"/>
      <c r="AF338" s="4"/>
      <c r="AG338" s="4"/>
      <c r="AH338" s="24"/>
      <c r="AI338" s="4"/>
      <c r="AJ338" s="4"/>
      <c r="AK338" s="4"/>
      <c r="AL338" s="4"/>
      <c r="AM338" s="4"/>
      <c r="AN338" s="4"/>
      <c r="AO338" s="4"/>
      <c r="AP338" s="4"/>
    </row>
    <row r="339" spans="1:42">
      <c r="A339" s="51" t="s">
        <v>427</v>
      </c>
      <c r="B339" s="6"/>
      <c r="D339" s="205">
        <f>DATE(YEAR(D11),MONTH(D11)+D335,DAY(D11)-1)</f>
        <v>47845</v>
      </c>
      <c r="K339" s="66"/>
      <c r="U339" s="3"/>
      <c r="V339" s="3"/>
      <c r="W339" s="3"/>
      <c r="X339" s="3"/>
      <c r="Y339" s="3"/>
      <c r="Z339" s="24"/>
      <c r="AA339" s="4"/>
      <c r="AB339" s="24"/>
      <c r="AC339" s="4"/>
      <c r="AD339" s="4"/>
      <c r="AE339" s="4"/>
      <c r="AF339" s="4"/>
      <c r="AG339" s="4"/>
      <c r="AH339" s="24"/>
      <c r="AI339" s="4"/>
      <c r="AJ339" s="4"/>
      <c r="AK339" s="4"/>
      <c r="AL339" s="4"/>
      <c r="AM339" s="4"/>
      <c r="AN339" s="4"/>
      <c r="AO339" s="4"/>
      <c r="AP339" s="4"/>
    </row>
    <row r="340" spans="1:42">
      <c r="A340" s="51" t="s">
        <v>428</v>
      </c>
      <c r="B340" s="6"/>
      <c r="D340" s="205">
        <f>D339+D336</f>
        <v>47846</v>
      </c>
      <c r="K340" s="66"/>
      <c r="U340" s="3"/>
      <c r="V340" s="3"/>
      <c r="W340" s="3"/>
      <c r="X340" s="3"/>
      <c r="Y340" s="3"/>
      <c r="Z340" s="24"/>
      <c r="AA340" s="4"/>
      <c r="AB340" s="24"/>
      <c r="AC340" s="4"/>
      <c r="AD340" s="4"/>
      <c r="AE340" s="4"/>
      <c r="AF340" s="4"/>
      <c r="AG340" s="4"/>
      <c r="AH340" s="24"/>
      <c r="AI340" s="4"/>
      <c r="AJ340" s="4"/>
      <c r="AK340" s="4"/>
      <c r="AL340" s="4"/>
      <c r="AM340" s="4"/>
      <c r="AN340" s="4"/>
      <c r="AO340" s="4"/>
      <c r="AP340" s="4"/>
    </row>
    <row r="341" spans="1:42">
      <c r="K341" s="66"/>
      <c r="U341" s="3"/>
      <c r="V341" s="3"/>
      <c r="W341" s="3"/>
      <c r="X341" s="3"/>
      <c r="Y341" s="3"/>
      <c r="Z341" s="24"/>
      <c r="AA341" s="4"/>
      <c r="AB341" s="24"/>
      <c r="AC341" s="4"/>
      <c r="AD341" s="4"/>
      <c r="AE341" s="4"/>
      <c r="AF341" s="4"/>
      <c r="AG341" s="4"/>
      <c r="AH341" s="24"/>
      <c r="AI341" s="4"/>
      <c r="AJ341" s="4"/>
      <c r="AK341" s="4"/>
      <c r="AL341" s="4"/>
      <c r="AM341" s="4"/>
      <c r="AN341" s="4"/>
      <c r="AO341" s="4"/>
      <c r="AP341" s="4"/>
    </row>
    <row r="342" spans="1:42">
      <c r="A342" s="5" t="s">
        <v>220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"/>
      <c r="AJ342" s="4"/>
      <c r="AK342" s="4"/>
      <c r="AL342" s="4"/>
      <c r="AM342" s="4"/>
      <c r="AN342" s="4"/>
      <c r="AO342" s="4"/>
      <c r="AP342" s="4"/>
    </row>
    <row r="343" spans="1:42">
      <c r="A343" s="51"/>
      <c r="B343" s="51"/>
      <c r="C343" s="51"/>
      <c r="D343" s="51"/>
      <c r="E343" s="51"/>
      <c r="F343" s="51"/>
      <c r="G343" s="51"/>
      <c r="H343" s="51"/>
      <c r="I343" s="51"/>
      <c r="J343" s="136"/>
      <c r="K343" s="13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42">
      <c r="A344" s="54" t="s">
        <v>429</v>
      </c>
      <c r="B344" s="151"/>
      <c r="C344" s="55"/>
      <c r="D344" s="55"/>
      <c r="E344" s="55"/>
      <c r="F344" s="55"/>
      <c r="G344" s="55"/>
      <c r="H344" s="55"/>
      <c r="I344" s="55"/>
      <c r="J344" s="55"/>
      <c r="K344" s="220"/>
      <c r="L344" s="55"/>
      <c r="M344" s="55"/>
      <c r="N344" s="55"/>
      <c r="O344" s="55"/>
      <c r="P344" s="55"/>
      <c r="Q344" s="55"/>
      <c r="R344" s="55"/>
      <c r="S344" s="55"/>
      <c r="T344" s="55"/>
      <c r="U344" s="59"/>
      <c r="V344" s="59"/>
      <c r="W344" s="59"/>
      <c r="X344" s="59"/>
      <c r="Y344" s="59"/>
      <c r="Z344" s="221"/>
      <c r="AA344" s="60"/>
      <c r="AB344" s="221"/>
      <c r="AC344" s="60"/>
      <c r="AD344" s="60"/>
      <c r="AE344" s="60"/>
      <c r="AF344" s="60"/>
      <c r="AG344" s="60"/>
      <c r="AH344" s="221"/>
      <c r="AI344" s="4"/>
      <c r="AJ344" s="4"/>
      <c r="AK344" s="4"/>
      <c r="AL344" s="4"/>
      <c r="AM344" s="4"/>
      <c r="AN344" s="4"/>
      <c r="AO344" s="4"/>
      <c r="AP344" s="4"/>
    </row>
    <row r="345" spans="1:42">
      <c r="A345" s="240"/>
      <c r="B345" s="6"/>
      <c r="K345" s="66"/>
      <c r="U345" s="3"/>
      <c r="V345" s="3"/>
      <c r="W345" s="3"/>
      <c r="X345" s="3"/>
      <c r="Y345" s="3"/>
      <c r="Z345" s="24"/>
      <c r="AA345" s="4"/>
      <c r="AB345" s="24"/>
      <c r="AC345" s="4"/>
      <c r="AD345" s="4"/>
      <c r="AE345" s="4"/>
      <c r="AF345" s="4"/>
      <c r="AG345" s="4"/>
      <c r="AH345" s="24"/>
      <c r="AI345" s="4"/>
      <c r="AJ345" s="4"/>
      <c r="AK345" s="4"/>
      <c r="AL345" s="4"/>
      <c r="AM345" s="4"/>
      <c r="AN345" s="4"/>
      <c r="AO345" s="4"/>
      <c r="AP345" s="4"/>
    </row>
    <row r="346" spans="1:42">
      <c r="A346" s="1140">
        <v>0</v>
      </c>
      <c r="B346" s="71"/>
      <c r="C346" s="1139"/>
      <c r="D346" s="1212">
        <v>0</v>
      </c>
      <c r="E346" s="242"/>
      <c r="G346" s="51"/>
      <c r="H346" s="51"/>
      <c r="I346" s="953"/>
      <c r="K346" s="13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>
      <c r="A347" s="241">
        <v>3</v>
      </c>
      <c r="B347" s="61"/>
      <c r="C347" s="242"/>
      <c r="D347" s="713">
        <f ca="1">DS!$H$57/IF(DS!$B$3=4,1,IF(DS!$B$3=2,2,IF(DS!$B$3=1,4,NA())))</f>
        <v>1119.5667064271779</v>
      </c>
      <c r="G347" s="51" t="s">
        <v>430</v>
      </c>
      <c r="H347" s="51"/>
      <c r="I347" s="952">
        <v>0</v>
      </c>
      <c r="K347" s="13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s="242" customFormat="1">
      <c r="A348" s="241">
        <v>6</v>
      </c>
      <c r="B348" s="61"/>
      <c r="D348" s="713">
        <f ca="1">IF(DS!$B$3=2,DS!$H$57,IF(DS!$B$3=1,DS!$H$57/2,IF(DS!$B$3=4,SUM(DS!$H$57:$I$57),NA())))</f>
        <v>2239.1334128543558</v>
      </c>
      <c r="E348" s="51"/>
      <c r="F348" s="51"/>
      <c r="G348" s="51" t="s">
        <v>370</v>
      </c>
      <c r="H348" s="51"/>
      <c r="I348" s="952">
        <v>0</v>
      </c>
      <c r="J348" s="244"/>
      <c r="K348" s="136"/>
      <c r="L348" s="3"/>
      <c r="M348" s="3"/>
      <c r="N348" s="3"/>
      <c r="O348" s="3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6"/>
      <c r="AA348" s="246"/>
      <c r="AB348" s="246"/>
      <c r="AC348" s="246"/>
      <c r="AD348" s="246"/>
      <c r="AE348" s="246"/>
      <c r="AF348" s="246"/>
      <c r="AG348" s="246"/>
      <c r="AH348" s="246"/>
      <c r="AI348" s="246"/>
      <c r="AJ348" s="246"/>
      <c r="AK348" s="246"/>
      <c r="AL348" s="246"/>
      <c r="AM348" s="246"/>
      <c r="AN348" s="246"/>
      <c r="AO348" s="246"/>
      <c r="AP348" s="246"/>
    </row>
    <row r="349" spans="1:42" s="242" customFormat="1">
      <c r="A349" s="241">
        <v>12</v>
      </c>
      <c r="B349" s="61"/>
      <c r="D349" s="713">
        <f ca="1">SUM(DS!$H$57:OFFSET(DS!$H$57,,DS!$B$3-1))</f>
        <v>4441.7592157165218</v>
      </c>
      <c r="E349" s="51"/>
      <c r="F349" s="51"/>
      <c r="J349" s="61"/>
      <c r="K349" s="61"/>
      <c r="L349" s="3"/>
      <c r="M349" s="3"/>
      <c r="N349" s="3"/>
      <c r="O349" s="3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6"/>
      <c r="AA349" s="246"/>
      <c r="AB349" s="246"/>
      <c r="AC349" s="246"/>
      <c r="AD349" s="246"/>
      <c r="AE349" s="246"/>
      <c r="AF349" s="246"/>
      <c r="AG349" s="246"/>
      <c r="AH349" s="246"/>
      <c r="AI349" s="246"/>
      <c r="AJ349" s="246"/>
      <c r="AK349" s="246"/>
      <c r="AL349" s="246"/>
      <c r="AM349" s="246"/>
      <c r="AN349" s="246"/>
      <c r="AO349" s="246"/>
      <c r="AP349" s="246"/>
    </row>
    <row r="350" spans="1:42" s="242" customFormat="1">
      <c r="E350" s="51"/>
      <c r="F350" s="51"/>
      <c r="J350" s="61"/>
      <c r="K350" s="61"/>
      <c r="L350" s="3"/>
      <c r="M350" s="3"/>
      <c r="N350" s="3"/>
      <c r="O350" s="3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6"/>
      <c r="AA350" s="246"/>
      <c r="AB350" s="246"/>
      <c r="AC350" s="246"/>
      <c r="AD350" s="246"/>
      <c r="AE350" s="246"/>
      <c r="AF350" s="246"/>
      <c r="AG350" s="246"/>
      <c r="AH350" s="246"/>
      <c r="AI350" s="246"/>
      <c r="AJ350" s="246"/>
      <c r="AK350" s="246"/>
      <c r="AL350" s="246"/>
      <c r="AM350" s="246"/>
      <c r="AN350" s="246"/>
      <c r="AO350" s="246"/>
      <c r="AP350" s="246"/>
    </row>
    <row r="351" spans="1:42" s="242" customFormat="1">
      <c r="A351" s="54" t="s">
        <v>431</v>
      </c>
      <c r="B351" s="151"/>
      <c r="C351" s="55"/>
      <c r="D351" s="55"/>
      <c r="E351" s="55"/>
      <c r="F351" s="55"/>
      <c r="G351" s="55"/>
      <c r="H351" s="55"/>
      <c r="I351" s="55"/>
      <c r="J351" s="55"/>
      <c r="K351" s="220"/>
      <c r="L351" s="55"/>
      <c r="M351" s="55"/>
      <c r="N351" s="55"/>
      <c r="O351" s="55"/>
      <c r="P351" s="55"/>
      <c r="Q351" s="55"/>
      <c r="R351" s="55"/>
      <c r="S351" s="55"/>
      <c r="T351" s="55"/>
      <c r="U351" s="59"/>
      <c r="V351" s="59"/>
      <c r="W351" s="59"/>
      <c r="X351" s="59"/>
      <c r="Y351" s="59"/>
      <c r="Z351" s="221"/>
      <c r="AA351" s="60"/>
      <c r="AB351" s="221"/>
      <c r="AC351" s="60"/>
      <c r="AD351" s="60"/>
      <c r="AE351" s="60"/>
      <c r="AF351" s="60"/>
      <c r="AG351" s="60"/>
      <c r="AH351" s="221"/>
      <c r="AI351" s="246"/>
      <c r="AJ351" s="246"/>
      <c r="AK351" s="246"/>
      <c r="AL351" s="246"/>
      <c r="AM351" s="246"/>
      <c r="AN351" s="246"/>
      <c r="AO351" s="246"/>
      <c r="AP351" s="246"/>
    </row>
    <row r="352" spans="1:42" s="242" customFormat="1">
      <c r="A352" s="240"/>
      <c r="B352" s="6"/>
      <c r="C352" s="1"/>
      <c r="D352" s="1"/>
      <c r="E352" s="1"/>
      <c r="F352" s="1"/>
      <c r="G352" s="1"/>
      <c r="H352" s="1"/>
      <c r="I352" s="1"/>
      <c r="J352" s="1"/>
      <c r="K352" s="66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3"/>
      <c r="W352" s="3"/>
      <c r="X352" s="3"/>
      <c r="Y352" s="3"/>
      <c r="Z352" s="24"/>
      <c r="AA352" s="4"/>
      <c r="AB352" s="24"/>
      <c r="AC352" s="4"/>
      <c r="AD352" s="4"/>
      <c r="AE352" s="4"/>
      <c r="AF352" s="4"/>
      <c r="AG352" s="4"/>
      <c r="AH352" s="24"/>
      <c r="AI352" s="246"/>
      <c r="AJ352" s="246"/>
      <c r="AK352" s="246"/>
      <c r="AL352" s="246"/>
      <c r="AM352" s="246"/>
      <c r="AN352" s="246"/>
      <c r="AO352" s="246"/>
      <c r="AP352" s="246"/>
    </row>
    <row r="353" spans="1:42" s="242" customFormat="1">
      <c r="A353" s="247" t="s">
        <v>432</v>
      </c>
      <c r="B353" s="61"/>
      <c r="D353" s="1048">
        <v>0</v>
      </c>
      <c r="G353" s="51"/>
      <c r="H353" s="51"/>
      <c r="I353" s="951"/>
      <c r="J353" s="61"/>
      <c r="K353" s="61"/>
      <c r="L353" s="3"/>
      <c r="M353" s="3"/>
      <c r="N353" s="3"/>
      <c r="O353" s="3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6"/>
      <c r="AA353" s="246"/>
      <c r="AB353" s="246"/>
      <c r="AC353" s="246"/>
      <c r="AD353" s="246"/>
      <c r="AE353" s="246"/>
      <c r="AF353" s="246"/>
      <c r="AG353" s="246"/>
      <c r="AH353" s="246"/>
      <c r="AI353" s="246"/>
      <c r="AJ353" s="246"/>
      <c r="AK353" s="246"/>
      <c r="AL353" s="246"/>
      <c r="AM353" s="246"/>
      <c r="AN353" s="246"/>
      <c r="AO353" s="246"/>
      <c r="AP353" s="246"/>
    </row>
    <row r="354" spans="1:42" s="242" customFormat="1">
      <c r="A354" s="247">
        <f>A347</f>
        <v>3</v>
      </c>
      <c r="B354" s="61"/>
      <c r="D354" s="713">
        <f ca="1">DS!$H$114/IF(DS!$B$3=4,1,IF(DS!$B$3=2,2,IF(DS!$B$3=1,4,NA())))</f>
        <v>0</v>
      </c>
      <c r="G354" s="51" t="s">
        <v>430</v>
      </c>
      <c r="H354" s="51"/>
      <c r="I354" s="243">
        <v>6</v>
      </c>
      <c r="J354" s="61"/>
      <c r="K354" s="61"/>
      <c r="L354" s="3"/>
      <c r="M354" s="3"/>
      <c r="N354" s="3"/>
      <c r="O354" s="3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6"/>
      <c r="AA354" s="246"/>
      <c r="AB354" s="246"/>
      <c r="AC354" s="246"/>
      <c r="AD354" s="246"/>
      <c r="AE354" s="246"/>
      <c r="AF354" s="246"/>
      <c r="AG354" s="246"/>
      <c r="AH354" s="246"/>
      <c r="AI354" s="246"/>
      <c r="AJ354" s="246"/>
      <c r="AK354" s="246"/>
      <c r="AL354" s="246"/>
      <c r="AM354" s="246"/>
      <c r="AN354" s="246"/>
      <c r="AO354" s="246"/>
      <c r="AP354" s="246"/>
    </row>
    <row r="355" spans="1:42" s="242" customFormat="1">
      <c r="A355" s="247">
        <f>A348</f>
        <v>6</v>
      </c>
      <c r="B355" s="61"/>
      <c r="D355" s="713">
        <f ca="1">IF(DS!$B$3=2,DS!$H$114,IF(DS!$B$3=1,DS!$H$114/2,IF(DS!$B$3=4,SUM(DS!$H$114:$I$114),NA())))</f>
        <v>0</v>
      </c>
      <c r="E355" s="51"/>
      <c r="F355" s="51"/>
      <c r="G355" s="51" t="s">
        <v>370</v>
      </c>
      <c r="H355" s="51"/>
      <c r="I355" s="952">
        <v>6</v>
      </c>
      <c r="J355" s="61"/>
      <c r="K355" s="61"/>
      <c r="L355" s="3"/>
      <c r="M355" s="3"/>
      <c r="N355" s="3"/>
      <c r="O355" s="3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6"/>
      <c r="AA355" s="246"/>
      <c r="AB355" s="246"/>
      <c r="AC355" s="246"/>
      <c r="AD355" s="246"/>
      <c r="AE355" s="246"/>
      <c r="AF355" s="246"/>
      <c r="AG355" s="246"/>
      <c r="AH355" s="246"/>
      <c r="AI355" s="246"/>
      <c r="AJ355" s="246"/>
      <c r="AK355" s="246"/>
      <c r="AL355" s="246"/>
      <c r="AM355" s="246"/>
      <c r="AN355" s="246"/>
      <c r="AO355" s="246"/>
      <c r="AP355" s="246"/>
    </row>
    <row r="356" spans="1:42" s="242" customFormat="1">
      <c r="A356" s="247">
        <f>A349</f>
        <v>12</v>
      </c>
      <c r="B356" s="61"/>
      <c r="D356" s="713">
        <f ca="1">SUM(DS!$H$114:OFFSET(DS!$H$114,,DS!$B$3-1))</f>
        <v>0</v>
      </c>
      <c r="E356" s="51"/>
      <c r="F356" s="51"/>
      <c r="J356" s="61"/>
      <c r="K356" s="61"/>
      <c r="L356" s="3"/>
      <c r="M356" s="3"/>
      <c r="N356" s="3"/>
      <c r="O356" s="3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6"/>
      <c r="AA356" s="246"/>
      <c r="AB356" s="246"/>
      <c r="AC356" s="246"/>
      <c r="AD356" s="246"/>
      <c r="AE356" s="246"/>
      <c r="AF356" s="246"/>
      <c r="AG356" s="246"/>
      <c r="AH356" s="246"/>
      <c r="AI356" s="246"/>
      <c r="AJ356" s="246"/>
      <c r="AK356" s="246"/>
      <c r="AL356" s="246"/>
      <c r="AM356" s="246"/>
      <c r="AN356" s="246"/>
      <c r="AO356" s="246"/>
      <c r="AP356" s="246"/>
    </row>
    <row r="357" spans="1:42" s="242" customFormat="1">
      <c r="E357" s="51"/>
      <c r="F357" s="51"/>
      <c r="G357" s="51"/>
      <c r="H357" s="51"/>
      <c r="I357" s="61"/>
      <c r="J357" s="61"/>
      <c r="K357" s="61"/>
      <c r="L357" s="3"/>
      <c r="M357" s="3"/>
      <c r="N357" s="3"/>
      <c r="O357" s="3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6"/>
      <c r="AA357" s="246"/>
      <c r="AB357" s="246"/>
      <c r="AC357" s="246"/>
      <c r="AD357" s="246"/>
      <c r="AE357" s="246"/>
      <c r="AF357" s="246"/>
      <c r="AG357" s="246"/>
      <c r="AH357" s="246"/>
      <c r="AI357" s="246"/>
      <c r="AJ357" s="246"/>
      <c r="AK357" s="246"/>
      <c r="AL357" s="246"/>
      <c r="AM357" s="246"/>
      <c r="AN357" s="246"/>
      <c r="AO357" s="246"/>
      <c r="AP357" s="246"/>
    </row>
    <row r="358" spans="1:42">
      <c r="A358" s="54" t="s">
        <v>433</v>
      </c>
      <c r="B358" s="151"/>
      <c r="C358" s="55"/>
      <c r="D358" s="55"/>
      <c r="E358" s="55"/>
      <c r="F358" s="55"/>
      <c r="G358" s="55"/>
      <c r="H358" s="55"/>
      <c r="I358" s="55"/>
      <c r="J358" s="55"/>
      <c r="K358" s="220"/>
      <c r="L358" s="55"/>
      <c r="M358" s="55"/>
      <c r="N358" s="55"/>
      <c r="O358" s="55"/>
      <c r="P358" s="55"/>
      <c r="Q358" s="55"/>
      <c r="R358" s="55"/>
      <c r="S358" s="55"/>
      <c r="T358" s="55"/>
      <c r="U358" s="59"/>
      <c r="V358" s="59"/>
      <c r="W358" s="59"/>
      <c r="X358" s="59"/>
      <c r="Y358" s="59"/>
      <c r="Z358" s="221"/>
      <c r="AA358" s="60"/>
      <c r="AB358" s="221"/>
      <c r="AC358" s="60"/>
      <c r="AD358" s="60"/>
      <c r="AE358" s="60"/>
      <c r="AF358" s="60"/>
      <c r="AG358" s="60"/>
      <c r="AH358" s="221"/>
      <c r="AI358" s="4"/>
      <c r="AJ358" s="4"/>
      <c r="AK358" s="4"/>
      <c r="AL358" s="4"/>
      <c r="AM358" s="4"/>
      <c r="AN358" s="4"/>
      <c r="AO358" s="4"/>
      <c r="AP358" s="4"/>
    </row>
    <row r="359" spans="1:42">
      <c r="A359" s="240"/>
      <c r="B359" s="6"/>
      <c r="K359" s="66"/>
      <c r="U359" s="3"/>
      <c r="V359" s="3"/>
      <c r="W359" s="3"/>
      <c r="X359" s="3"/>
      <c r="Y359" s="3"/>
      <c r="Z359" s="24"/>
      <c r="AA359" s="4"/>
      <c r="AB359" s="24"/>
      <c r="AC359" s="4"/>
      <c r="AD359" s="4"/>
      <c r="AE359" s="4"/>
      <c r="AF359" s="4"/>
      <c r="AG359" s="4"/>
      <c r="AH359" s="24"/>
      <c r="AI359" s="4"/>
      <c r="AJ359" s="4"/>
      <c r="AK359" s="4"/>
      <c r="AL359" s="4"/>
      <c r="AM359" s="4"/>
      <c r="AN359" s="4"/>
      <c r="AO359" s="4"/>
      <c r="AP359" s="4"/>
    </row>
    <row r="360" spans="1:42">
      <c r="A360" s="71"/>
      <c r="B360" s="71"/>
      <c r="D360" s="171" t="s">
        <v>214</v>
      </c>
      <c r="E360" s="170" t="s">
        <v>325</v>
      </c>
      <c r="G360" s="51"/>
      <c r="H360" s="51"/>
      <c r="I360" s="61"/>
      <c r="J360" s="61"/>
      <c r="K360" s="6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>
      <c r="A361" s="71" t="s">
        <v>403</v>
      </c>
      <c r="B361" s="248"/>
      <c r="D361" s="832">
        <v>0</v>
      </c>
      <c r="E361" s="1132">
        <f>I474</f>
        <v>0</v>
      </c>
      <c r="H361" s="51"/>
      <c r="I361" s="61"/>
      <c r="K361" s="249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>
      <c r="A362" s="61" t="s">
        <v>370</v>
      </c>
      <c r="B362" s="250"/>
      <c r="D362" s="833">
        <v>1</v>
      </c>
      <c r="E362" s="834">
        <f>I475</f>
        <v>0</v>
      </c>
      <c r="G362" s="780"/>
      <c r="H362" s="51"/>
      <c r="I362" s="61"/>
      <c r="J362" s="252"/>
      <c r="K362" s="249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>
      <c r="A363" s="184" t="s">
        <v>352</v>
      </c>
      <c r="B363" s="250"/>
      <c r="D363" s="252">
        <f>D196</f>
        <v>14</v>
      </c>
      <c r="E363" s="780"/>
      <c r="G363" s="780"/>
      <c r="H363" s="51"/>
      <c r="I363" s="61"/>
      <c r="J363" s="252"/>
      <c r="K363" s="249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>
      <c r="A364" s="61"/>
      <c r="B364" s="250"/>
      <c r="D364" s="251"/>
      <c r="E364" s="51"/>
      <c r="F364" s="254"/>
      <c r="G364" s="780"/>
      <c r="H364" s="51"/>
      <c r="I364" s="61"/>
      <c r="J364" s="252"/>
      <c r="K364" s="249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>
      <c r="A365" s="54" t="s">
        <v>434</v>
      </c>
      <c r="B365" s="151"/>
      <c r="C365" s="55"/>
      <c r="D365" s="55"/>
      <c r="E365" s="55"/>
      <c r="F365" s="55"/>
      <c r="G365" s="55"/>
      <c r="H365" s="55"/>
      <c r="I365" s="55"/>
      <c r="J365" s="55"/>
      <c r="K365" s="220"/>
      <c r="L365" s="55"/>
      <c r="M365" s="55"/>
      <c r="N365" s="55"/>
      <c r="O365" s="55"/>
      <c r="P365" s="55"/>
      <c r="Q365" s="55"/>
      <c r="R365" s="55"/>
      <c r="S365" s="55"/>
      <c r="T365" s="55"/>
      <c r="U365" s="59"/>
      <c r="V365" s="59"/>
      <c r="W365" s="59"/>
      <c r="X365" s="59"/>
      <c r="Y365" s="59"/>
      <c r="Z365" s="221"/>
      <c r="AA365" s="60"/>
      <c r="AB365" s="221"/>
      <c r="AC365" s="60"/>
      <c r="AD365" s="60"/>
      <c r="AE365" s="60"/>
      <c r="AF365" s="60"/>
      <c r="AG365" s="60"/>
      <c r="AH365" s="221"/>
      <c r="AI365" s="4"/>
      <c r="AJ365" s="4"/>
      <c r="AK365" s="4"/>
      <c r="AL365" s="4"/>
      <c r="AM365" s="4"/>
      <c r="AN365" s="4"/>
      <c r="AO365" s="4"/>
      <c r="AP365" s="4"/>
    </row>
    <row r="366" spans="1:42">
      <c r="A366" s="240"/>
      <c r="B366" s="6"/>
      <c r="K366" s="66"/>
      <c r="U366" s="3"/>
      <c r="V366" s="3"/>
      <c r="W366" s="3"/>
      <c r="X366" s="3"/>
      <c r="Y366" s="3"/>
      <c r="Z366" s="24"/>
      <c r="AA366" s="4"/>
      <c r="AB366" s="24"/>
      <c r="AC366" s="4"/>
      <c r="AD366" s="4"/>
      <c r="AE366" s="4"/>
      <c r="AF366" s="4"/>
      <c r="AG366" s="4"/>
      <c r="AH366" s="24"/>
      <c r="AI366" s="4"/>
      <c r="AJ366" s="4"/>
      <c r="AK366" s="4"/>
      <c r="AL366" s="4"/>
      <c r="AM366" s="4"/>
      <c r="AN366" s="4"/>
      <c r="AO366" s="4"/>
      <c r="AP366" s="4"/>
    </row>
    <row r="367" spans="1:42">
      <c r="A367" s="71" t="s">
        <v>325</v>
      </c>
      <c r="B367" s="248"/>
      <c r="D367" s="251">
        <f>E362</f>
        <v>0</v>
      </c>
      <c r="E367" s="51"/>
      <c r="F367" s="254"/>
      <c r="G367" s="780"/>
      <c r="H367" s="51"/>
      <c r="I367" s="61"/>
      <c r="J367" s="252"/>
      <c r="K367" s="249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>
      <c r="A368" s="71" t="s">
        <v>435</v>
      </c>
      <c r="B368" s="248"/>
      <c r="D368" s="779">
        <v>0</v>
      </c>
      <c r="E368" s="51"/>
      <c r="F368" s="254"/>
      <c r="G368" s="780"/>
      <c r="H368" s="51"/>
      <c r="I368" s="61"/>
      <c r="J368" s="252"/>
      <c r="K368" s="249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4">
      <c r="A369" s="71" t="s">
        <v>436</v>
      </c>
      <c r="B369" s="248"/>
      <c r="D369" s="835">
        <v>0</v>
      </c>
      <c r="H369" s="51"/>
      <c r="I369" s="61"/>
      <c r="J369" s="61"/>
      <c r="K369" s="6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4">
      <c r="A370" s="184" t="s">
        <v>352</v>
      </c>
      <c r="B370" s="250"/>
      <c r="D370" s="252">
        <f>D81</f>
        <v>12</v>
      </c>
      <c r="E370" s="51"/>
      <c r="F370" s="254"/>
      <c r="G370" s="252"/>
      <c r="H370" s="51"/>
      <c r="I370" s="61"/>
      <c r="J370" s="61"/>
      <c r="K370" s="6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4">
      <c r="A371" s="51"/>
      <c r="B371" s="253"/>
      <c r="C371" s="252"/>
      <c r="D371" s="51"/>
      <c r="E371" s="254"/>
      <c r="F371" s="252"/>
      <c r="G371" s="51"/>
      <c r="H371" s="51"/>
      <c r="I371" s="51"/>
      <c r="J371" s="51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44">
      <c r="A372" s="5" t="s">
        <v>6</v>
      </c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"/>
      <c r="AJ372" s="4"/>
      <c r="AK372" s="4"/>
      <c r="AL372" s="4"/>
      <c r="AM372" s="4"/>
      <c r="AN372" s="4"/>
      <c r="AO372" s="4"/>
      <c r="AP372" s="4"/>
    </row>
    <row r="373" spans="1:44">
      <c r="A373" s="3"/>
      <c r="B373" s="3"/>
      <c r="C373" s="3"/>
      <c r="D373" s="245"/>
      <c r="E373" s="245"/>
      <c r="F373" s="24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4">
      <c r="A374" s="255" t="s">
        <v>437</v>
      </c>
      <c r="B374" s="3"/>
      <c r="C374" s="55"/>
      <c r="D374" s="2" t="s">
        <v>6</v>
      </c>
      <c r="E374" s="899"/>
      <c r="F374" s="2" t="s">
        <v>0</v>
      </c>
      <c r="G374" s="3"/>
      <c r="H374" s="3"/>
      <c r="I374" s="7"/>
      <c r="J374" s="280"/>
      <c r="K374" s="66"/>
      <c r="L374" s="24"/>
      <c r="M374" s="279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4">
      <c r="A375" s="140" t="str">
        <f t="shared" ref="A375:A396" si="51">A23</f>
        <v>Production Units</v>
      </c>
      <c r="B375" s="141"/>
      <c r="D375" s="1190">
        <v>20</v>
      </c>
      <c r="E375" s="1134"/>
      <c r="F375" s="709">
        <f>SUMPRODUCT(CapEx!C7:C8,CapEx!K7:K8)</f>
        <v>10912.7</v>
      </c>
      <c r="G375" s="900">
        <f>F375</f>
        <v>10912.7</v>
      </c>
      <c r="H375" s="256">
        <f>F375-G375</f>
        <v>0</v>
      </c>
      <c r="J375" s="92" t="s">
        <v>438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>
      <c r="A376" s="144" t="str">
        <f t="shared" si="51"/>
        <v>EPC Contract</v>
      </c>
      <c r="B376" s="3"/>
      <c r="D376" s="1135">
        <v>20</v>
      </c>
      <c r="E376" s="1134"/>
      <c r="F376" s="712">
        <f>SUMPRODUCT(CapEx!C10:C11,CapEx!K10:K11)</f>
        <v>26430</v>
      </c>
      <c r="G376" s="897">
        <f t="shared" ref="G376:G382" si="52">F376</f>
        <v>26430</v>
      </c>
      <c r="H376" s="257">
        <f t="shared" ref="H376:H393" si="53">F376-G376</f>
        <v>0</v>
      </c>
      <c r="L376" s="98" t="s">
        <v>439</v>
      </c>
      <c r="M376" s="183" t="s">
        <v>440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>
      <c r="A377" s="144" t="str">
        <f t="shared" si="51"/>
        <v>EPC other costs</v>
      </c>
      <c r="B377" s="3"/>
      <c r="D377" s="1135">
        <v>20</v>
      </c>
      <c r="E377" s="1134"/>
      <c r="F377" s="712">
        <f>SUMPRODUCT(CapEx!C14:C17,CapEx!K14:K17)</f>
        <v>2014</v>
      </c>
      <c r="G377" s="897">
        <f t="shared" si="52"/>
        <v>2014</v>
      </c>
      <c r="H377" s="257">
        <f t="shared" si="53"/>
        <v>0</v>
      </c>
      <c r="J377" s="1" t="s">
        <v>441</v>
      </c>
      <c r="L377" s="1190">
        <v>20</v>
      </c>
      <c r="M377" s="1198">
        <v>0.05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>
      <c r="A378" s="144" t="str">
        <f t="shared" si="51"/>
        <v>Grid connection</v>
      </c>
      <c r="B378" s="3"/>
      <c r="D378" s="1135">
        <v>20</v>
      </c>
      <c r="E378" s="1134"/>
      <c r="F378" s="712">
        <f>SUMPRODUCT(CapEx!C19:C23,CapEx!K19:K23)</f>
        <v>4050</v>
      </c>
      <c r="G378" s="897">
        <f t="shared" si="52"/>
        <v>4050</v>
      </c>
      <c r="H378" s="257">
        <f t="shared" si="53"/>
        <v>0</v>
      </c>
      <c r="J378" s="1" t="s">
        <v>442</v>
      </c>
      <c r="L378" s="1135">
        <v>4</v>
      </c>
      <c r="M378" s="1199">
        <v>0.25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>
      <c r="A379" s="144" t="str">
        <f t="shared" si="51"/>
        <v>Investments to prepare operation phase</v>
      </c>
      <c r="B379" s="3"/>
      <c r="D379" s="1135">
        <v>20</v>
      </c>
      <c r="E379" s="1134"/>
      <c r="F379" s="712">
        <f>SUMPRODUCT(CapEx!C32:C46,CapEx!K32:K46)+SUMPRODUCT(CapEx!C25:C30,CapEx!K25:K30)</f>
        <v>150</v>
      </c>
      <c r="G379" s="897">
        <f t="shared" si="52"/>
        <v>150</v>
      </c>
      <c r="H379" s="257">
        <f t="shared" si="53"/>
        <v>0</v>
      </c>
      <c r="J379" s="1" t="s">
        <v>443</v>
      </c>
      <c r="L379" s="1135">
        <v>10</v>
      </c>
      <c r="M379" s="1200">
        <v>0.1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>
      <c r="A380" s="144" t="str">
        <f t="shared" si="51"/>
        <v>Insurances</v>
      </c>
      <c r="B380" s="3"/>
      <c r="D380" s="1135">
        <v>20</v>
      </c>
      <c r="E380" s="1134"/>
      <c r="F380" s="712">
        <f>SUMPRODUCT(CapEx!C48:C53,CapEx!K48:K53)</f>
        <v>320</v>
      </c>
      <c r="G380" s="897">
        <f t="shared" si="52"/>
        <v>320</v>
      </c>
      <c r="H380" s="257">
        <f t="shared" si="53"/>
        <v>0</v>
      </c>
      <c r="J380" s="1" t="s">
        <v>444</v>
      </c>
      <c r="L380" s="1135">
        <v>2</v>
      </c>
      <c r="M380" s="1200">
        <v>0.5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>
      <c r="A381" s="144" t="str">
        <f t="shared" si="51"/>
        <v>Lease and Property Tax</v>
      </c>
      <c r="B381" s="3"/>
      <c r="D381" s="1135">
        <v>20</v>
      </c>
      <c r="E381" s="1134"/>
      <c r="F381" s="712">
        <f>SUMPRODUCT(CapEx!C55:C56,CapEx!K55:K56)</f>
        <v>0</v>
      </c>
      <c r="G381" s="897">
        <f t="shared" si="52"/>
        <v>0</v>
      </c>
      <c r="H381" s="257">
        <f t="shared" si="53"/>
        <v>0</v>
      </c>
      <c r="J381" s="1" t="s">
        <v>445</v>
      </c>
      <c r="L381" s="1135">
        <v>5</v>
      </c>
      <c r="M381" s="1200">
        <v>0.2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>
      <c r="A382" s="144" t="str">
        <f t="shared" si="51"/>
        <v>Project finance costs due at closing</v>
      </c>
      <c r="B382" s="3"/>
      <c r="D382" s="1135">
        <v>20</v>
      </c>
      <c r="E382" s="1134"/>
      <c r="F382" s="712">
        <f>SUMPRODUCT(CapEx!C58:C81,CapEx!K58:K81)</f>
        <v>355</v>
      </c>
      <c r="G382" s="897">
        <f t="shared" si="52"/>
        <v>355</v>
      </c>
      <c r="H382" s="257">
        <f t="shared" si="53"/>
        <v>0</v>
      </c>
      <c r="J382" s="1" t="s">
        <v>446</v>
      </c>
      <c r="L382" s="1135">
        <v>10</v>
      </c>
      <c r="M382" s="1200">
        <v>0.1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>
      <c r="A383" s="144" t="str">
        <f t="shared" si="51"/>
        <v>Construction Management</v>
      </c>
      <c r="B383" s="3"/>
      <c r="D383" s="1135">
        <v>20</v>
      </c>
      <c r="E383" s="1134"/>
      <c r="F383" s="712">
        <f>SUMPRODUCT(CapEx!C83:C85,CapEx!K83:K85)</f>
        <v>0</v>
      </c>
      <c r="G383" s="897">
        <f t="shared" ref="G383:G394" si="54">F383</f>
        <v>0</v>
      </c>
      <c r="H383" s="257">
        <f t="shared" si="53"/>
        <v>0</v>
      </c>
      <c r="J383" s="1" t="s">
        <v>447</v>
      </c>
      <c r="L383" s="1121">
        <v>5</v>
      </c>
      <c r="M383" s="1201">
        <v>0.2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>
      <c r="A384" s="144" t="str">
        <f t="shared" si="51"/>
        <v>Commissioning</v>
      </c>
      <c r="B384" s="3"/>
      <c r="D384" s="1135">
        <v>20</v>
      </c>
      <c r="E384" s="1134"/>
      <c r="F384" s="712">
        <f>SUMPRODUCT(CapEx!C87:C89,CapEx!K87:K89)</f>
        <v>17</v>
      </c>
      <c r="G384" s="897">
        <f t="shared" si="54"/>
        <v>17</v>
      </c>
      <c r="H384" s="257">
        <f t="shared" si="53"/>
        <v>0</v>
      </c>
      <c r="J384" s="24"/>
      <c r="K384" s="24"/>
      <c r="L384" s="24"/>
      <c r="M384" s="24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>
      <c r="A385" s="144" t="str">
        <f t="shared" si="51"/>
        <v>Audit&amp;Accounting&amp;Legal Fees</v>
      </c>
      <c r="B385" s="3"/>
      <c r="D385" s="1135">
        <v>20</v>
      </c>
      <c r="E385" s="1134"/>
      <c r="F385" s="712">
        <f>SUMPRODUCT(CapEx!C91:C96,CapEx!K91:K96)</f>
        <v>70</v>
      </c>
      <c r="G385" s="897">
        <f t="shared" si="54"/>
        <v>70</v>
      </c>
      <c r="H385" s="257">
        <f t="shared" si="53"/>
        <v>0</v>
      </c>
      <c r="J385" s="24"/>
      <c r="K385" s="24"/>
      <c r="L385" s="24"/>
      <c r="M385" s="24"/>
      <c r="N385" s="258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>
      <c r="A386" s="144" t="str">
        <f t="shared" si="51"/>
        <v>Construction Management</v>
      </c>
      <c r="B386" s="3"/>
      <c r="D386" s="1135">
        <v>20</v>
      </c>
      <c r="E386" s="1134"/>
      <c r="F386" s="712">
        <f>SUMPRODUCT(CapEx!C98:C104,CapEx!K98:K104)</f>
        <v>1151.134</v>
      </c>
      <c r="G386" s="897">
        <f t="shared" si="54"/>
        <v>1151.134</v>
      </c>
      <c r="H386" s="257">
        <f t="shared" si="53"/>
        <v>0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>
      <c r="A387" s="144" t="str">
        <f t="shared" si="51"/>
        <v>Contingencies</v>
      </c>
      <c r="B387" s="3"/>
      <c r="D387" s="1135">
        <v>20</v>
      </c>
      <c r="E387" s="1134"/>
      <c r="F387" s="712">
        <f>CapEx!C105*CapEx!K105</f>
        <v>1986.4400000000007</v>
      </c>
      <c r="G387" s="897">
        <f t="shared" si="54"/>
        <v>1986.4400000000007</v>
      </c>
      <c r="H387" s="257">
        <f t="shared" si="53"/>
        <v>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>
      <c r="A388" s="144" t="str">
        <f t="shared" si="51"/>
        <v>Taxes</v>
      </c>
      <c r="B388" s="3"/>
      <c r="D388" s="1135">
        <v>20</v>
      </c>
      <c r="E388" s="1134"/>
      <c r="F388" s="712">
        <f>SUMPRODUCT(CapEx!C107:C110,CapEx!K107:K110)</f>
        <v>0</v>
      </c>
      <c r="G388" s="897">
        <f t="shared" si="54"/>
        <v>0</v>
      </c>
      <c r="H388" s="257">
        <f t="shared" si="53"/>
        <v>0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>
      <c r="A389" s="144" t="str">
        <f t="shared" si="51"/>
        <v xml:space="preserve"> Project Acquisition / Project Development </v>
      </c>
      <c r="B389" s="3"/>
      <c r="D389" s="1135">
        <v>20</v>
      </c>
      <c r="E389" s="1134"/>
      <c r="F389" s="712">
        <f>CapEx!C111*CapEx!K111</f>
        <v>18.326999999999998</v>
      </c>
      <c r="G389" s="897">
        <f t="shared" si="54"/>
        <v>18.326999999999998</v>
      </c>
      <c r="H389" s="257">
        <f t="shared" si="53"/>
        <v>0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>
      <c r="A390" s="144" t="str">
        <f t="shared" si="51"/>
        <v xml:space="preserve"> Project Rights </v>
      </c>
      <c r="B390" s="3"/>
      <c r="D390" s="1135">
        <v>20</v>
      </c>
      <c r="E390" s="1134"/>
      <c r="F390" s="712">
        <f>SUMPRODUCT(CapEx!C113:C115,CapEx!K113:K115)</f>
        <v>8524.4845000000005</v>
      </c>
      <c r="G390" s="897">
        <f t="shared" si="54"/>
        <v>8524.4845000000005</v>
      </c>
      <c r="H390" s="257">
        <f t="shared" si="53"/>
        <v>0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>
      <c r="A391" s="144" t="str">
        <f t="shared" si="51"/>
        <v>IDCs</v>
      </c>
      <c r="B391" s="3"/>
      <c r="D391" s="1135">
        <v>12</v>
      </c>
      <c r="E391" s="1134"/>
      <c r="F391" s="902">
        <f t="shared" ref="F391:F396" si="55">C39</f>
        <v>1086.031998482634</v>
      </c>
      <c r="G391" s="897">
        <f t="shared" si="54"/>
        <v>1086.031998482634</v>
      </c>
      <c r="H391" s="257">
        <f t="shared" si="53"/>
        <v>0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>
      <c r="A392" s="144" t="str">
        <f t="shared" si="51"/>
        <v>Commitment Fees</v>
      </c>
      <c r="B392" s="3"/>
      <c r="D392" s="1135">
        <v>12</v>
      </c>
      <c r="E392" s="1134"/>
      <c r="F392" s="902">
        <f t="shared" si="55"/>
        <v>188.56290055498553</v>
      </c>
      <c r="G392" s="897">
        <f t="shared" si="54"/>
        <v>188.56290055498553</v>
      </c>
      <c r="H392" s="257">
        <f t="shared" si="53"/>
        <v>0</v>
      </c>
      <c r="M392" s="3"/>
      <c r="N392" s="258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>
      <c r="A393" s="144" t="str">
        <f t="shared" si="51"/>
        <v>Bank Fees</v>
      </c>
      <c r="B393" s="3"/>
      <c r="D393" s="1135">
        <v>12</v>
      </c>
      <c r="E393" s="1134"/>
      <c r="F393" s="902">
        <f t="shared" si="55"/>
        <v>477.30268707562993</v>
      </c>
      <c r="G393" s="897">
        <f t="shared" si="54"/>
        <v>477.30268707562993</v>
      </c>
      <c r="H393" s="257">
        <f t="shared" si="53"/>
        <v>0</v>
      </c>
      <c r="M393" s="3"/>
      <c r="N393" s="258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>
      <c r="A394" s="144" t="str">
        <f t="shared" si="51"/>
        <v>Other Financial Costs</v>
      </c>
      <c r="B394" s="3"/>
      <c r="D394" s="1135">
        <v>12</v>
      </c>
      <c r="E394" s="1134"/>
      <c r="F394" s="902">
        <f t="shared" si="55"/>
        <v>0</v>
      </c>
      <c r="G394" s="897">
        <f t="shared" si="54"/>
        <v>0</v>
      </c>
      <c r="H394" s="257">
        <f>F394-G394</f>
        <v>0</v>
      </c>
      <c r="M394" s="3"/>
      <c r="N394" s="258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>
      <c r="A395" s="144" t="str">
        <f t="shared" si="51"/>
        <v xml:space="preserve">Reserve Accounts </v>
      </c>
      <c r="B395" s="3"/>
      <c r="D395" s="1135">
        <v>12</v>
      </c>
      <c r="E395" s="1134"/>
      <c r="F395" s="902">
        <f t="shared" si="55"/>
        <v>0</v>
      </c>
      <c r="G395" s="901">
        <v>0</v>
      </c>
      <c r="H395" s="259">
        <v>0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>
      <c r="A396" s="153" t="str">
        <f t="shared" si="51"/>
        <v>VAT Costs</v>
      </c>
      <c r="B396" s="59"/>
      <c r="C396" s="55"/>
      <c r="D396" s="1121">
        <v>20</v>
      </c>
      <c r="E396" s="1134"/>
      <c r="F396" s="903">
        <f t="shared" ca="1" si="55"/>
        <v>222.06957126537966</v>
      </c>
      <c r="G396" s="898">
        <f ca="1">F396</f>
        <v>222.06957126537966</v>
      </c>
      <c r="H396" s="260">
        <f ca="1">F396-G396</f>
        <v>0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>
      <c r="A397" s="6"/>
      <c r="B397" s="6"/>
      <c r="C397" s="6"/>
      <c r="D397" s="6"/>
      <c r="E397" s="6"/>
      <c r="G397" s="6"/>
      <c r="H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44">
      <c r="A398" s="5" t="s">
        <v>448</v>
      </c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"/>
      <c r="AJ398" s="4"/>
      <c r="AK398" s="4"/>
      <c r="AL398" s="4"/>
      <c r="AM398" s="4"/>
      <c r="AN398" s="4"/>
      <c r="AO398" s="4"/>
      <c r="AP398" s="4"/>
    </row>
    <row r="399" spans="1:44" s="24" customFormat="1">
      <c r="A399" s="1236" t="s">
        <v>449</v>
      </c>
      <c r="B399" s="1235"/>
      <c r="C399" s="1235"/>
      <c r="D399" s="1235"/>
      <c r="E399" s="1235"/>
      <c r="F399" s="1235"/>
      <c r="G399" s="1235"/>
      <c r="H399" s="1235"/>
      <c r="I399" s="1235"/>
      <c r="J399" s="1235"/>
      <c r="K399" s="1235"/>
      <c r="L399" s="1235"/>
      <c r="M399" s="1235"/>
      <c r="N399" s="1235"/>
      <c r="O399" s="1235"/>
      <c r="P399" s="1235"/>
      <c r="Q399" s="1235"/>
      <c r="R399" s="1235"/>
      <c r="S399" s="1235"/>
      <c r="T399" s="1235"/>
      <c r="U399" s="1235"/>
      <c r="V399" s="1235"/>
      <c r="W399" s="1235"/>
      <c r="X399" s="1235"/>
      <c r="Y399" s="1235"/>
      <c r="Z399" s="1235"/>
      <c r="AA399" s="1235"/>
      <c r="AB399" s="1235"/>
      <c r="AC399" s="1235"/>
      <c r="AD399" s="1235"/>
      <c r="AE399" s="1235"/>
      <c r="AF399" s="1235"/>
      <c r="AG399" s="1235"/>
      <c r="AH399" s="1235"/>
    </row>
    <row r="400" spans="1:44">
      <c r="A400" s="6"/>
      <c r="B400" s="6"/>
      <c r="C400" s="261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48">
      <c r="A401" s="54" t="s">
        <v>450</v>
      </c>
      <c r="B401" s="151"/>
      <c r="C401" s="55"/>
      <c r="D401" s="55"/>
      <c r="E401" s="55"/>
      <c r="F401" s="55"/>
      <c r="G401" s="55"/>
      <c r="H401" s="55"/>
      <c r="I401" s="55"/>
      <c r="J401" s="55"/>
      <c r="K401" s="220"/>
      <c r="L401" s="55"/>
      <c r="M401" s="55"/>
      <c r="N401" s="55"/>
      <c r="O401" s="55"/>
      <c r="P401" s="55"/>
      <c r="Q401" s="55"/>
      <c r="R401" s="55"/>
      <c r="S401" s="55"/>
      <c r="T401" s="55"/>
      <c r="U401" s="59"/>
      <c r="V401" s="59"/>
      <c r="W401" s="59"/>
      <c r="X401" s="59"/>
      <c r="Y401" s="59"/>
      <c r="Z401" s="221"/>
      <c r="AA401" s="60"/>
      <c r="AB401" s="221"/>
      <c r="AC401" s="60"/>
      <c r="AD401" s="60"/>
      <c r="AE401" s="60"/>
      <c r="AF401" s="60"/>
      <c r="AG401" s="60"/>
      <c r="AH401" s="221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</row>
    <row r="402" spans="1:48">
      <c r="A402" s="240"/>
      <c r="B402" s="6"/>
      <c r="D402" s="221"/>
      <c r="K402" s="66"/>
      <c r="U402" s="3"/>
      <c r="V402" s="3"/>
      <c r="W402" s="3"/>
      <c r="X402" s="3"/>
      <c r="Y402" s="3"/>
      <c r="Z402" s="24"/>
      <c r="AA402" s="4"/>
      <c r="AB402" s="24"/>
      <c r="AC402" s="4"/>
      <c r="AD402" s="4"/>
      <c r="AE402" s="4"/>
      <c r="AF402" s="4"/>
      <c r="AG402" s="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</row>
    <row r="403" spans="1:48">
      <c r="A403" s="3" t="s">
        <v>451</v>
      </c>
      <c r="D403" s="1224">
        <v>0.1</v>
      </c>
      <c r="S403" s="3"/>
      <c r="T403" s="24"/>
      <c r="U403" s="3"/>
      <c r="V403" s="3"/>
      <c r="W403" s="3"/>
      <c r="X403" s="3"/>
      <c r="Y403" s="3"/>
      <c r="Z403" s="24"/>
      <c r="AA403" s="3"/>
      <c r="AB403" s="24"/>
      <c r="AC403" s="4"/>
      <c r="AD403" s="4"/>
      <c r="AE403" s="4"/>
      <c r="AF403" s="4"/>
      <c r="AG403" s="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</row>
    <row r="404" spans="1:48">
      <c r="A404" s="3"/>
      <c r="D404" s="24"/>
      <c r="S404" s="3"/>
      <c r="T404" s="24"/>
      <c r="U404" s="3"/>
      <c r="V404" s="3"/>
      <c r="W404" s="3"/>
      <c r="X404" s="3"/>
      <c r="Y404" s="3"/>
      <c r="Z404" s="24"/>
      <c r="AA404" s="3"/>
      <c r="AB404" s="24"/>
      <c r="AC404" s="4"/>
      <c r="AD404" s="4"/>
      <c r="AE404" s="4"/>
      <c r="AF404" s="4"/>
      <c r="AG404" s="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</row>
    <row r="405" spans="1:48">
      <c r="A405" s="54" t="s">
        <v>452</v>
      </c>
      <c r="B405" s="151"/>
      <c r="C405" s="55"/>
      <c r="D405" s="221"/>
      <c r="E405" s="55"/>
      <c r="F405" s="55"/>
      <c r="G405" s="55"/>
      <c r="H405" s="55"/>
      <c r="I405" s="55"/>
      <c r="J405" s="55"/>
      <c r="K405" s="220"/>
      <c r="L405" s="55"/>
      <c r="M405" s="55"/>
      <c r="N405" s="55"/>
      <c r="O405" s="55"/>
      <c r="P405" s="55"/>
      <c r="Q405" s="55"/>
      <c r="R405" s="55"/>
      <c r="S405" s="55"/>
      <c r="T405" s="55"/>
      <c r="U405" s="59"/>
      <c r="V405" s="59"/>
      <c r="W405" s="59"/>
      <c r="X405" s="59"/>
      <c r="Y405" s="59"/>
      <c r="Z405" s="221"/>
      <c r="AA405" s="60"/>
      <c r="AB405" s="221"/>
      <c r="AC405" s="60"/>
      <c r="AD405" s="60"/>
      <c r="AE405" s="60"/>
      <c r="AF405" s="60"/>
      <c r="AG405" s="60"/>
      <c r="AH405" s="221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</row>
    <row r="406" spans="1:48">
      <c r="A406" s="3"/>
      <c r="D406" s="24"/>
      <c r="E406" s="262"/>
      <c r="F406" s="262"/>
      <c r="G406" s="262"/>
      <c r="L406" s="263"/>
      <c r="M406" s="26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8">
      <c r="A407" s="3" t="s">
        <v>453</v>
      </c>
      <c r="B407" s="3" t="s">
        <v>454</v>
      </c>
      <c r="D407" s="1226">
        <v>5</v>
      </c>
      <c r="E407" s="262"/>
      <c r="F407" s="262"/>
      <c r="G407" s="262"/>
      <c r="L407" s="263"/>
      <c r="M407" s="26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8">
      <c r="A408" s="3"/>
      <c r="B408" s="3" t="s">
        <v>455</v>
      </c>
      <c r="D408" s="1224">
        <v>1</v>
      </c>
      <c r="F408" s="262"/>
      <c r="G408" s="262"/>
      <c r="L408" s="263"/>
      <c r="M408" s="26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8">
      <c r="A409" s="3"/>
      <c r="D409" s="24"/>
      <c r="L409" s="263"/>
      <c r="M409" s="26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8">
      <c r="A410" s="3" t="s">
        <v>456</v>
      </c>
      <c r="B410" s="1" t="s">
        <v>455</v>
      </c>
      <c r="D410" s="1652">
        <v>0.1</v>
      </c>
      <c r="E410" s="70" t="s">
        <v>457</v>
      </c>
      <c r="L410" s="263"/>
      <c r="M410" s="26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8">
      <c r="A411" s="3"/>
      <c r="D411" s="24"/>
      <c r="L411" s="263"/>
      <c r="M411" s="26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8">
      <c r="A412" s="3" t="s">
        <v>458</v>
      </c>
      <c r="D412" s="1232" t="b">
        <v>1</v>
      </c>
      <c r="M412" s="26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8">
      <c r="A413" s="3"/>
      <c r="M413" s="26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8">
      <c r="A414" s="3" t="s">
        <v>459</v>
      </c>
      <c r="D414" s="1232" t="b">
        <v>0</v>
      </c>
      <c r="M414" s="26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8">
      <c r="A415" s="1233" t="s">
        <v>460</v>
      </c>
      <c r="D415" s="1278">
        <f>4/(4+1)</f>
        <v>0.8</v>
      </c>
      <c r="E415" s="1280" t="s">
        <v>461</v>
      </c>
      <c r="L415" s="263"/>
      <c r="M415" s="26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8">
      <c r="A416" s="886" t="s">
        <v>462</v>
      </c>
      <c r="D416" s="1279">
        <v>3000</v>
      </c>
      <c r="E416" s="1280" t="s">
        <v>461</v>
      </c>
      <c r="L416" s="263"/>
      <c r="M416" s="26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>
      <c r="A417" s="886" t="s">
        <v>463</v>
      </c>
      <c r="D417" s="1278">
        <v>0.3</v>
      </c>
      <c r="E417" s="1280" t="s">
        <v>461</v>
      </c>
      <c r="L417" s="263"/>
      <c r="M417" s="26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>
      <c r="A418" s="3"/>
      <c r="L418" s="263"/>
      <c r="M418" s="26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>
      <c r="A419" s="6"/>
      <c r="D419" s="831"/>
      <c r="E419" s="265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>
      <c r="A420" s="54" t="s">
        <v>334</v>
      </c>
      <c r="B420" s="151"/>
      <c r="C420" s="55"/>
      <c r="D420" s="55"/>
      <c r="E420" s="55"/>
      <c r="F420" s="55"/>
      <c r="G420" s="55"/>
      <c r="H420" s="55"/>
      <c r="I420" s="55"/>
      <c r="J420" s="55"/>
      <c r="K420" s="220"/>
      <c r="L420" s="55"/>
      <c r="M420" s="55"/>
      <c r="N420" s="55"/>
      <c r="O420" s="55"/>
      <c r="P420" s="55"/>
      <c r="Q420" s="55"/>
      <c r="R420" s="55"/>
      <c r="S420" s="55"/>
      <c r="T420" s="55"/>
      <c r="U420" s="59"/>
      <c r="V420" s="59"/>
      <c r="W420" s="59"/>
      <c r="X420" s="59"/>
      <c r="Y420" s="59"/>
      <c r="Z420" s="221"/>
      <c r="AA420" s="60"/>
      <c r="AB420" s="221"/>
      <c r="AC420" s="60"/>
      <c r="AD420" s="60"/>
      <c r="AE420" s="60"/>
      <c r="AF420" s="60"/>
      <c r="AG420" s="60"/>
      <c r="AH420" s="221"/>
      <c r="AI420" s="4"/>
      <c r="AJ420" s="4"/>
      <c r="AK420" s="4"/>
      <c r="AL420" s="4"/>
      <c r="AM420" s="4"/>
      <c r="AN420" s="4"/>
      <c r="AO420" s="4"/>
      <c r="AP420" s="4"/>
    </row>
    <row r="421" spans="1:42">
      <c r="A421" s="137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>
      <c r="A422" s="6" t="s">
        <v>464</v>
      </c>
      <c r="D422" s="1221">
        <v>0</v>
      </c>
      <c r="E422" s="1213"/>
    </row>
    <row r="423" spans="1:42">
      <c r="A423" s="6" t="s">
        <v>465</v>
      </c>
      <c r="B423" s="1" t="str">
        <f>$A$315</f>
        <v>Sponsor</v>
      </c>
      <c r="D423" s="1650">
        <v>0</v>
      </c>
      <c r="E423" s="266" t="s">
        <v>466</v>
      </c>
      <c r="F423" s="267">
        <v>99</v>
      </c>
      <c r="G423" s="1213" t="s">
        <v>467</v>
      </c>
    </row>
    <row r="424" spans="1:42">
      <c r="A424" s="6"/>
      <c r="B424" s="1" t="str">
        <f>$A$317</f>
        <v>Investor 1</v>
      </c>
      <c r="D424" s="1222">
        <v>0</v>
      </c>
      <c r="E424" s="266" t="s">
        <v>466</v>
      </c>
      <c r="F424" s="267">
        <v>99</v>
      </c>
      <c r="G424" s="1213"/>
    </row>
    <row r="425" spans="1:42">
      <c r="A425" s="6"/>
      <c r="B425" s="1" t="str">
        <f>$A$318</f>
        <v>Investor 2</v>
      </c>
      <c r="D425" s="1223">
        <v>0</v>
      </c>
      <c r="E425" s="266" t="s">
        <v>466</v>
      </c>
      <c r="F425" s="267">
        <v>99</v>
      </c>
      <c r="G425" s="1213"/>
    </row>
    <row r="426" spans="1:42">
      <c r="A426" s="6" t="s">
        <v>468</v>
      </c>
      <c r="B426" s="1" t="str">
        <f>$A$315</f>
        <v>Sponsor</v>
      </c>
      <c r="D426" s="1650">
        <v>0.05</v>
      </c>
      <c r="E426" s="1213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42" ht="12" customHeight="1">
      <c r="A427" s="6"/>
      <c r="B427" s="1" t="str">
        <f>$A$317</f>
        <v>Investor 1</v>
      </c>
      <c r="D427" s="1222">
        <v>0</v>
      </c>
      <c r="E427" s="1213"/>
      <c r="F427" s="1149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42">
      <c r="A428" s="6"/>
      <c r="B428" s="1" t="str">
        <f>$A$318</f>
        <v>Investor 2</v>
      </c>
      <c r="D428" s="1223">
        <v>0</v>
      </c>
      <c r="E428" s="1213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42">
      <c r="A429" s="6" t="s">
        <v>469</v>
      </c>
      <c r="D429" s="1223">
        <v>0</v>
      </c>
      <c r="E429" s="1213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42">
      <c r="A430" s="1" t="s">
        <v>470</v>
      </c>
      <c r="D430" s="285">
        <v>0</v>
      </c>
      <c r="E430" s="1213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42">
      <c r="A431" s="1" t="s">
        <v>471</v>
      </c>
      <c r="C431" s="657"/>
      <c r="D431" s="837">
        <v>0</v>
      </c>
      <c r="E431" s="1213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42">
      <c r="A432" s="3" t="s">
        <v>472</v>
      </c>
      <c r="D432" s="1225">
        <v>0</v>
      </c>
      <c r="E432" s="262"/>
      <c r="F432" s="262"/>
      <c r="G432" s="262"/>
      <c r="L432" s="263"/>
      <c r="M432" s="26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>
      <c r="A433" s="268"/>
      <c r="H433" s="6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>
      <c r="A434" s="54" t="s">
        <v>473</v>
      </c>
      <c r="B434" s="151"/>
      <c r="C434" s="55"/>
      <c r="D434" s="55"/>
      <c r="E434" s="55"/>
      <c r="F434" s="55"/>
      <c r="G434" s="55"/>
      <c r="H434" s="55"/>
      <c r="I434" s="55"/>
      <c r="J434" s="55"/>
      <c r="K434" s="220"/>
      <c r="L434" s="55"/>
      <c r="M434" s="55"/>
      <c r="N434" s="55"/>
      <c r="O434" s="55"/>
      <c r="P434" s="55"/>
      <c r="Q434" s="55"/>
      <c r="R434" s="55"/>
      <c r="S434" s="55"/>
      <c r="T434" s="55"/>
      <c r="U434" s="59"/>
      <c r="V434" s="59"/>
      <c r="W434" s="59"/>
      <c r="X434" s="59"/>
      <c r="Y434" s="59"/>
      <c r="Z434" s="221"/>
      <c r="AA434" s="60"/>
      <c r="AB434" s="221"/>
      <c r="AC434" s="60"/>
      <c r="AD434" s="60"/>
      <c r="AE434" s="60"/>
      <c r="AF434" s="60"/>
      <c r="AG434" s="60"/>
      <c r="AH434" s="221"/>
      <c r="AI434" s="4"/>
      <c r="AJ434" s="4"/>
      <c r="AK434" s="4"/>
      <c r="AL434" s="4"/>
      <c r="AM434" s="4"/>
      <c r="AN434" s="4"/>
      <c r="AO434" s="4"/>
      <c r="AP434" s="4"/>
    </row>
    <row r="435" spans="1:42">
      <c r="A435" s="240"/>
      <c r="B435" s="6"/>
      <c r="D435" s="55"/>
      <c r="K435" s="66"/>
      <c r="U435" s="3"/>
      <c r="V435" s="3"/>
      <c r="W435" s="3"/>
      <c r="X435" s="3"/>
      <c r="Y435" s="3"/>
      <c r="Z435" s="24"/>
      <c r="AA435" s="4"/>
      <c r="AB435" s="24"/>
      <c r="AC435" s="4"/>
      <c r="AD435" s="4"/>
      <c r="AE435" s="4"/>
      <c r="AF435" s="4"/>
      <c r="AG435" s="4"/>
      <c r="AH435" s="24"/>
      <c r="AI435" s="4"/>
      <c r="AJ435" s="4"/>
      <c r="AK435" s="4"/>
      <c r="AL435" s="4"/>
      <c r="AM435" s="4"/>
      <c r="AN435" s="4"/>
      <c r="AO435" s="4"/>
      <c r="AP435" s="4"/>
    </row>
    <row r="436" spans="1:42">
      <c r="A436" s="3" t="s">
        <v>474</v>
      </c>
      <c r="D436" s="1219" t="b">
        <v>1</v>
      </c>
      <c r="E436" s="122"/>
      <c r="F436" s="24"/>
      <c r="G436" s="2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>
      <c r="A437" s="3"/>
      <c r="C437" s="81"/>
      <c r="D437" s="1651">
        <v>6</v>
      </c>
      <c r="E437" s="70" t="s">
        <v>457</v>
      </c>
      <c r="F437" s="24"/>
      <c r="G437" s="1189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>
      <c r="A438" s="3" t="s">
        <v>451</v>
      </c>
      <c r="D438" s="1220">
        <v>0.17</v>
      </c>
      <c r="E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>
      <c r="A439" s="3"/>
      <c r="D439" s="850"/>
      <c r="E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>
      <c r="A440" s="3" t="s">
        <v>475</v>
      </c>
      <c r="D440" s="1220">
        <v>0</v>
      </c>
      <c r="E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>
      <c r="E441" s="38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>
      <c r="A442" s="54" t="s">
        <v>476</v>
      </c>
      <c r="B442" s="151"/>
      <c r="C442" s="55"/>
      <c r="D442" s="55"/>
      <c r="E442" s="55"/>
      <c r="F442" s="55"/>
      <c r="G442" s="55"/>
      <c r="H442" s="55"/>
      <c r="I442" s="55"/>
      <c r="J442" s="55"/>
      <c r="K442" s="220"/>
      <c r="L442" s="55"/>
      <c r="M442" s="55"/>
      <c r="N442" s="55"/>
      <c r="O442" s="55"/>
      <c r="P442" s="55"/>
      <c r="Q442" s="55"/>
      <c r="R442" s="55"/>
      <c r="S442" s="55"/>
      <c r="T442" s="55"/>
      <c r="U442" s="59"/>
      <c r="V442" s="59"/>
      <c r="W442" s="59"/>
      <c r="X442" s="59"/>
      <c r="Y442" s="59"/>
      <c r="Z442" s="221"/>
      <c r="AA442" s="60"/>
      <c r="AB442" s="221"/>
      <c r="AC442" s="60"/>
      <c r="AD442" s="60"/>
      <c r="AE442" s="60"/>
      <c r="AF442" s="60"/>
      <c r="AG442" s="60"/>
      <c r="AH442" s="221"/>
      <c r="AI442" s="4"/>
      <c r="AJ442" s="4"/>
      <c r="AK442" s="4"/>
      <c r="AL442" s="4"/>
      <c r="AM442" s="4"/>
      <c r="AN442" s="4"/>
      <c r="AO442" s="4"/>
      <c r="AP442" s="4"/>
    </row>
    <row r="443" spans="1:42">
      <c r="A443" s="240"/>
      <c r="B443" s="6"/>
      <c r="D443" s="55"/>
      <c r="K443" s="66"/>
      <c r="U443" s="3"/>
      <c r="V443" s="3"/>
      <c r="W443" s="3"/>
      <c r="X443" s="3"/>
      <c r="Y443" s="3"/>
      <c r="Z443" s="24"/>
      <c r="AA443" s="4"/>
      <c r="AB443" s="24"/>
      <c r="AC443" s="4"/>
      <c r="AD443" s="4"/>
      <c r="AE443" s="4"/>
      <c r="AF443" s="4"/>
      <c r="AG443" s="4"/>
      <c r="AH443" s="24"/>
      <c r="AI443" s="4"/>
      <c r="AJ443" s="4"/>
      <c r="AK443" s="4"/>
      <c r="AL443" s="4"/>
      <c r="AM443" s="4"/>
      <c r="AN443" s="4"/>
      <c r="AO443" s="4"/>
      <c r="AP443" s="4"/>
    </row>
    <row r="444" spans="1:42">
      <c r="A444" s="6" t="s">
        <v>451</v>
      </c>
      <c r="C444" s="657"/>
      <c r="D444" s="1220">
        <v>0</v>
      </c>
      <c r="E444" s="1" t="s">
        <v>477</v>
      </c>
      <c r="F444" s="38"/>
      <c r="G444" s="38"/>
      <c r="L444" s="263"/>
      <c r="M444" s="26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>
      <c r="E445" s="38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>
      <c r="A446" s="5" t="s">
        <v>478</v>
      </c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"/>
      <c r="AJ446" s="4"/>
      <c r="AK446" s="4"/>
      <c r="AL446" s="4"/>
      <c r="AM446" s="4"/>
      <c r="AN446" s="4"/>
      <c r="AO446" s="4"/>
      <c r="AP446" s="4"/>
    </row>
    <row r="447" spans="1:42">
      <c r="A447" s="6"/>
      <c r="B447" s="6"/>
      <c r="C447" s="6"/>
      <c r="D447" s="6"/>
      <c r="E447" s="269"/>
      <c r="F447" s="6"/>
      <c r="G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42">
      <c r="A448" s="3" t="s">
        <v>479</v>
      </c>
      <c r="D448" s="1183" t="s">
        <v>107</v>
      </c>
      <c r="L448" s="270"/>
      <c r="M448" s="270"/>
      <c r="N448" s="270"/>
      <c r="O448" s="270"/>
      <c r="P448" s="270"/>
      <c r="Q448" s="270"/>
      <c r="R448" s="270"/>
      <c r="S448" s="270"/>
      <c r="T448" s="3"/>
      <c r="U448" s="3"/>
      <c r="V448" s="3"/>
      <c r="W448" s="3"/>
      <c r="X448" s="3"/>
      <c r="Y448" s="3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 16384:16384">
      <c r="A449" s="51"/>
      <c r="D449" s="107"/>
      <c r="E449" s="272"/>
      <c r="F449" s="272"/>
      <c r="G449" s="272"/>
      <c r="H449" s="272"/>
      <c r="I449" s="272"/>
      <c r="J449" s="272"/>
      <c r="K449" s="272"/>
      <c r="L449" s="272"/>
      <c r="M449" s="272"/>
      <c r="N449" s="272"/>
      <c r="O449" s="272"/>
      <c r="P449" s="272"/>
      <c r="Q449" s="272"/>
      <c r="R449" s="272"/>
      <c r="S449" s="272"/>
      <c r="T449" s="272"/>
      <c r="U449" s="272"/>
      <c r="V449" s="272"/>
      <c r="W449" s="272"/>
      <c r="X449" s="272"/>
      <c r="Y449" s="272"/>
      <c r="Z449" s="272"/>
      <c r="AA449" s="272"/>
      <c r="AB449" s="272"/>
      <c r="AC449" s="272"/>
      <c r="AD449" s="272"/>
      <c r="AE449" s="272"/>
      <c r="AF449" s="272"/>
      <c r="AG449" s="272"/>
      <c r="AH449" s="272"/>
    </row>
    <row r="450" spans="1:42 16384:16384">
      <c r="A450" s="54" t="s">
        <v>480</v>
      </c>
      <c r="B450" s="55"/>
      <c r="C450" s="55"/>
      <c r="D450" s="107"/>
      <c r="E450" s="272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</row>
    <row r="451" spans="1:42 16384:16384">
      <c r="A451" s="61" t="s">
        <v>481</v>
      </c>
      <c r="D451" s="97">
        <v>0.02</v>
      </c>
      <c r="E451" s="272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  <c r="AC451" s="273"/>
      <c r="AD451" s="273"/>
      <c r="AE451" s="273"/>
      <c r="AF451" s="273"/>
      <c r="AG451" s="273"/>
      <c r="AH451" s="273"/>
    </row>
    <row r="452" spans="1:42 16384:16384">
      <c r="A452" s="6"/>
      <c r="L452" s="270"/>
      <c r="M452" s="270"/>
      <c r="N452" s="270"/>
      <c r="O452" s="270"/>
      <c r="P452" s="270"/>
      <c r="Q452" s="270"/>
      <c r="R452" s="270"/>
      <c r="S452" s="270"/>
      <c r="T452" s="6"/>
      <c r="U452" s="6"/>
      <c r="V452" s="6"/>
      <c r="W452" s="6"/>
      <c r="X452" s="6"/>
      <c r="Y452" s="6"/>
    </row>
    <row r="453" spans="1:42 16384:16384">
      <c r="A453" s="5" t="s">
        <v>482</v>
      </c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"/>
      <c r="AJ453" s="4"/>
      <c r="AK453" s="4"/>
      <c r="AL453" s="4"/>
      <c r="AM453" s="4"/>
      <c r="AN453" s="4"/>
      <c r="AO453" s="4"/>
      <c r="AP453" s="4"/>
    </row>
    <row r="454" spans="1:42 16384:16384">
      <c r="A454" s="6"/>
      <c r="L454" s="270"/>
      <c r="M454" s="270"/>
      <c r="N454" s="270"/>
      <c r="O454" s="270"/>
      <c r="P454" s="270"/>
      <c r="Q454" s="270"/>
      <c r="R454" s="270"/>
      <c r="S454" s="270"/>
      <c r="T454" s="6"/>
      <c r="U454" s="6"/>
      <c r="V454" s="6"/>
      <c r="W454" s="6"/>
      <c r="X454" s="6"/>
      <c r="Y454" s="6"/>
    </row>
    <row r="455" spans="1:42 16384:16384">
      <c r="A455" s="66" t="s">
        <v>483</v>
      </c>
      <c r="B455" s="3"/>
      <c r="D455" s="1202">
        <v>0.01</v>
      </c>
      <c r="L455" s="274"/>
      <c r="M455" s="274"/>
      <c r="N455" s="274"/>
      <c r="O455" s="274"/>
      <c r="P455" s="274"/>
      <c r="Q455" s="274"/>
      <c r="R455" s="274"/>
      <c r="S455" s="274"/>
      <c r="T455" s="3"/>
      <c r="U455" s="3"/>
      <c r="V455" s="3"/>
      <c r="W455" s="3"/>
      <c r="X455" s="3"/>
      <c r="Y455" s="3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XFD455" s="3"/>
    </row>
    <row r="456" spans="1:42 16384:16384">
      <c r="A456" s="6" t="s">
        <v>484</v>
      </c>
      <c r="B456" s="269"/>
      <c r="D456" s="1203">
        <v>0.02</v>
      </c>
      <c r="L456" s="274"/>
      <c r="M456" s="274"/>
      <c r="N456" s="274"/>
      <c r="O456" s="274"/>
      <c r="P456" s="274"/>
      <c r="Q456" s="274"/>
      <c r="R456" s="274"/>
      <c r="S456" s="274"/>
      <c r="T456" s="3"/>
      <c r="U456" s="3"/>
      <c r="V456" s="3"/>
      <c r="W456" s="3"/>
      <c r="X456" s="3"/>
      <c r="Y456" s="3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XFD456" s="3"/>
    </row>
    <row r="457" spans="1:42 16384:16384">
      <c r="A457" s="66"/>
      <c r="B457" s="3"/>
      <c r="D457" s="3"/>
      <c r="L457" s="274"/>
      <c r="M457" s="274"/>
      <c r="N457" s="274"/>
      <c r="O457" s="274"/>
      <c r="P457" s="274"/>
      <c r="Q457" s="274"/>
      <c r="R457" s="274"/>
      <c r="S457" s="274"/>
      <c r="T457" s="3"/>
      <c r="U457" s="3"/>
      <c r="V457" s="3"/>
      <c r="W457" s="3"/>
      <c r="X457" s="3"/>
      <c r="Y457" s="3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XFD457" s="3"/>
    </row>
    <row r="458" spans="1:42 16384:16384">
      <c r="A458" s="6" t="s">
        <v>485</v>
      </c>
      <c r="B458" s="269"/>
      <c r="D458" s="1896">
        <f>XNPV('Discount rate NPV'!U19,CF!G24:BO24,CF!G2:BO2)+XNPV('Discount rate NPV'!U19,CF!G32:BO32,CF!G2:BO2)</f>
        <v>56730.393705165632</v>
      </c>
      <c r="E458" s="1719">
        <f>D458/SUM($D$458:$D$460)</f>
        <v>0.58731311986889867</v>
      </c>
      <c r="L458" s="274"/>
      <c r="M458" s="274"/>
      <c r="N458" s="274"/>
      <c r="O458" s="274"/>
      <c r="P458" s="274"/>
      <c r="Q458" s="274"/>
      <c r="R458" s="274"/>
      <c r="S458" s="274"/>
      <c r="T458" s="3"/>
      <c r="U458" s="3"/>
      <c r="V458" s="3"/>
      <c r="W458" s="3"/>
      <c r="X458" s="3"/>
      <c r="Y458" s="3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42 16384:16384">
      <c r="A459" s="6" t="s">
        <v>486</v>
      </c>
      <c r="B459" s="269"/>
      <c r="D459" s="931"/>
      <c r="E459" s="1719">
        <f>D459/SUM($D$458:$D$460)</f>
        <v>0</v>
      </c>
      <c r="L459" s="274"/>
      <c r="M459" s="274"/>
      <c r="N459" s="274"/>
      <c r="O459" s="274"/>
      <c r="P459" s="274"/>
      <c r="Q459" s="274"/>
      <c r="R459" s="274"/>
      <c r="S459" s="274"/>
      <c r="T459" s="3"/>
      <c r="U459" s="3"/>
      <c r="V459" s="3"/>
      <c r="W459" s="3"/>
      <c r="X459" s="3"/>
      <c r="Y459" s="3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spans="1:42 16384:16384">
      <c r="A460" s="6" t="s">
        <v>487</v>
      </c>
      <c r="B460" s="269"/>
      <c r="D460" s="931">
        <f>XNPV('Discount rate NPV'!W19,CF!G28:BO28,CF!G2:BO2)+XNPV('Discount rate NPV'!W19,CF!G36:BO36,CF!G2:BO2)</f>
        <v>39862.704228401941</v>
      </c>
      <c r="E460" s="1719">
        <f>D460/SUM($D$458:$D$460)</f>
        <v>0.41268688013110144</v>
      </c>
      <c r="L460" s="274"/>
      <c r="M460" s="274"/>
      <c r="N460" s="274"/>
      <c r="O460" s="274"/>
      <c r="P460" s="274"/>
      <c r="Q460" s="274"/>
      <c r="R460" s="274"/>
      <c r="S460" s="274"/>
      <c r="T460" s="3"/>
      <c r="U460" s="3"/>
      <c r="V460" s="3"/>
      <c r="W460" s="3"/>
      <c r="X460" s="3"/>
      <c r="Y460" s="3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42 16384:16384">
      <c r="A461" s="6"/>
      <c r="B461" s="269"/>
      <c r="L461" s="274"/>
      <c r="M461" s="274"/>
      <c r="N461" s="274"/>
      <c r="O461" s="274"/>
      <c r="P461" s="274"/>
      <c r="Q461" s="274"/>
      <c r="R461" s="274"/>
      <c r="S461" s="274"/>
      <c r="T461" s="3"/>
      <c r="U461" s="3"/>
      <c r="V461" s="3"/>
      <c r="W461" s="3"/>
      <c r="X461" s="3"/>
      <c r="Y461" s="3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spans="1:42 16384:16384">
      <c r="A462" s="6" t="s">
        <v>488</v>
      </c>
      <c r="B462" s="269"/>
      <c r="D462" s="1897">
        <f>E458*'Discount rate NPV'!U19+'Discount rate NPV'!V19*Inputs!E459+Inputs!E460*'Discount rate NPV'!W19</f>
        <v>6.4104306647295467E-2</v>
      </c>
      <c r="E462" s="1897">
        <f>D462*(1+'Discount rate NPV'!X19)</f>
        <v>7.3719952644389783E-2</v>
      </c>
      <c r="L462" s="274"/>
      <c r="M462" s="274"/>
      <c r="N462" s="274"/>
      <c r="O462" s="274"/>
      <c r="P462" s="274"/>
      <c r="Q462" s="274"/>
      <c r="R462" s="274"/>
      <c r="S462" s="274"/>
      <c r="T462" s="3"/>
      <c r="U462" s="3"/>
      <c r="V462" s="3"/>
      <c r="W462" s="3"/>
      <c r="X462" s="3"/>
      <c r="Y462" s="3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42 16384:16384">
      <c r="A463" s="6"/>
      <c r="B463" s="269"/>
      <c r="L463" s="274"/>
      <c r="M463" s="274"/>
      <c r="N463" s="274"/>
      <c r="O463" s="274"/>
      <c r="P463" s="274"/>
      <c r="Q463" s="274"/>
      <c r="R463" s="274"/>
      <c r="S463" s="274"/>
      <c r="T463" s="3"/>
      <c r="U463" s="3"/>
      <c r="V463" s="3"/>
      <c r="W463" s="3"/>
      <c r="X463" s="3"/>
      <c r="Y463" s="3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spans="1:42 16384:16384">
      <c r="A464" s="6" t="s">
        <v>489</v>
      </c>
      <c r="B464" s="270"/>
      <c r="D464" s="1898">
        <f ca="1">BS!D26</f>
        <v>520790.41561546514</v>
      </c>
      <c r="E464" s="1897">
        <f ca="1">D464/SUM(D464:D465)</f>
        <v>0.63384233918691724</v>
      </c>
      <c r="L464" s="274"/>
      <c r="M464" s="274"/>
      <c r="N464" s="274"/>
      <c r="O464" s="274"/>
      <c r="P464" s="274"/>
      <c r="Q464" s="274"/>
      <c r="R464" s="274"/>
      <c r="S464" s="274"/>
      <c r="T464" s="3"/>
      <c r="U464" s="3"/>
      <c r="V464" s="3"/>
      <c r="W464" s="3"/>
      <c r="X464" s="3"/>
      <c r="Y464" s="3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42">
      <c r="A465" s="6" t="s">
        <v>490</v>
      </c>
      <c r="B465" s="270"/>
      <c r="D465" s="1898">
        <f ca="1">BS!D24</f>
        <v>300849.89368215401</v>
      </c>
      <c r="L465" s="274"/>
      <c r="M465" s="274"/>
      <c r="N465" s="274"/>
      <c r="O465" s="274"/>
      <c r="P465" s="274"/>
      <c r="Q465" s="274"/>
      <c r="R465" s="274"/>
      <c r="S465" s="274"/>
      <c r="T465" s="3"/>
      <c r="U465" s="3"/>
      <c r="V465" s="3"/>
      <c r="W465" s="3"/>
      <c r="X465" s="3"/>
      <c r="Y465" s="3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spans="1:42">
      <c r="A466" s="6" t="s">
        <v>491</v>
      </c>
      <c r="B466" s="270"/>
      <c r="D466" s="1932">
        <f ca="1">D464/D465</f>
        <v>1.7310639842395188</v>
      </c>
      <c r="L466" s="274"/>
      <c r="M466" s="274"/>
      <c r="N466" s="274"/>
      <c r="O466" s="274"/>
      <c r="P466" s="274"/>
      <c r="Q466" s="274"/>
      <c r="R466" s="274"/>
      <c r="S466" s="274"/>
      <c r="T466" s="3"/>
      <c r="U466" s="3"/>
      <c r="V466" s="3"/>
      <c r="W466" s="3"/>
      <c r="X466" s="3"/>
      <c r="Y466" s="3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42">
      <c r="A467" s="3"/>
      <c r="B467" s="3"/>
      <c r="C467" s="3"/>
      <c r="D467" s="3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42">
      <c r="A468" s="3" t="s">
        <v>492</v>
      </c>
      <c r="B468" s="3"/>
      <c r="C468" s="3"/>
      <c r="D468" s="1897">
        <f ca="1">E458*'Discount rate NPV'!U42+'Discount rate NPV'!V42*Inputs!E459+Inputs!E460*'Discount rate NPV'!W42</f>
        <v>9.4812319849730708E-2</v>
      </c>
      <c r="E468" s="1897">
        <f ca="1">D468*(1+'Discount rate NPV'!X42)</f>
        <v>0.1090341678271903</v>
      </c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42">
      <c r="A469" s="3"/>
      <c r="B469" s="3"/>
      <c r="C469" s="3"/>
      <c r="D469" s="3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s="24" customFormat="1">
      <c r="A470" s="5" t="s">
        <v>493</v>
      </c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</row>
    <row r="471" spans="1:42" s="24" customForma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spans="1:42" s="24" customFormat="1">
      <c r="A472" s="277" t="s">
        <v>494</v>
      </c>
      <c r="B472" s="278"/>
      <c r="D472" s="279" t="s">
        <v>495</v>
      </c>
      <c r="E472" s="280"/>
      <c r="F472" s="280" t="s">
        <v>496</v>
      </c>
      <c r="G472" s="280"/>
      <c r="H472" s="280"/>
      <c r="I472" s="281" t="s">
        <v>497</v>
      </c>
      <c r="J472" s="281" t="s">
        <v>150</v>
      </c>
      <c r="K472" s="280"/>
      <c r="L472" s="279" t="s">
        <v>498</v>
      </c>
      <c r="M472" s="68"/>
      <c r="N472" s="68"/>
      <c r="O472" s="68"/>
    </row>
    <row r="473" spans="1:42" s="24" customFormat="1">
      <c r="A473" s="66" t="s">
        <v>164</v>
      </c>
      <c r="B473" s="66"/>
      <c r="D473" s="282" t="s">
        <v>499</v>
      </c>
      <c r="E473" s="283">
        <v>41906</v>
      </c>
      <c r="F473" s="66" t="s">
        <v>500</v>
      </c>
      <c r="G473" s="66"/>
      <c r="H473" s="827">
        <v>0</v>
      </c>
      <c r="I473" s="828">
        <f>H473*D$51</f>
        <v>0</v>
      </c>
      <c r="J473" s="284">
        <f>D9-E473</f>
        <v>5392</v>
      </c>
      <c r="K473" s="285">
        <f>1.25%+0.5%</f>
        <v>1.7500000000000002E-2</v>
      </c>
      <c r="L473" s="1014">
        <f>+I473*K473*J473/bank_year</f>
        <v>0</v>
      </c>
      <c r="M473" s="68"/>
      <c r="N473" s="68"/>
      <c r="O473" s="68"/>
    </row>
    <row r="474" spans="1:42" s="24" customFormat="1">
      <c r="A474" s="66" t="s">
        <v>501</v>
      </c>
      <c r="B474" s="66"/>
      <c r="D474" s="285">
        <v>0</v>
      </c>
      <c r="E474" s="66"/>
      <c r="F474" s="66" t="s">
        <v>502</v>
      </c>
      <c r="G474" s="66"/>
      <c r="H474" s="827">
        <v>0</v>
      </c>
      <c r="I474" s="828">
        <f>H474*D$51</f>
        <v>0</v>
      </c>
      <c r="J474" s="286">
        <v>2</v>
      </c>
      <c r="K474" s="285">
        <f>1.25%+0.5%</f>
        <v>1.7500000000000002E-2</v>
      </c>
      <c r="L474" s="1015">
        <f>+I474*K474*J474</f>
        <v>0</v>
      </c>
      <c r="M474" s="287"/>
      <c r="N474" s="68"/>
      <c r="O474" s="68"/>
    </row>
    <row r="475" spans="1:42" s="24" customFormat="1">
      <c r="A475" s="66" t="s">
        <v>503</v>
      </c>
      <c r="D475" s="285">
        <v>0</v>
      </c>
      <c r="F475" s="66" t="s">
        <v>504</v>
      </c>
      <c r="I475" s="821">
        <v>0</v>
      </c>
      <c r="J475" s="288">
        <f>D81</f>
        <v>12</v>
      </c>
      <c r="K475" s="289"/>
      <c r="L475" s="1015">
        <f>+I475*$D$291</f>
        <v>0</v>
      </c>
      <c r="M475" s="68"/>
      <c r="N475" s="68"/>
      <c r="O475" s="68"/>
    </row>
    <row r="476" spans="1:42">
      <c r="A476" s="6"/>
      <c r="B476" s="98"/>
      <c r="C476" s="290"/>
      <c r="D476" s="291"/>
      <c r="E476" s="291"/>
      <c r="F476" s="291"/>
      <c r="G476" s="291"/>
      <c r="H476" s="291"/>
      <c r="I476" s="291"/>
      <c r="J476" s="291"/>
      <c r="K476" s="291"/>
      <c r="L476" s="291"/>
      <c r="M476" s="291"/>
      <c r="N476" s="291"/>
      <c r="O476" s="291"/>
      <c r="P476" s="291"/>
      <c r="Q476" s="291"/>
      <c r="R476" s="291"/>
      <c r="S476" s="291"/>
      <c r="T476" s="291"/>
      <c r="U476" s="291"/>
      <c r="V476" s="291"/>
      <c r="W476" s="291"/>
      <c r="X476" s="291"/>
      <c r="Y476" s="291"/>
      <c r="Z476" s="291"/>
      <c r="AA476" s="291"/>
      <c r="AB476" s="291"/>
      <c r="AC476" s="291"/>
      <c r="AD476" s="291"/>
      <c r="AE476" s="291"/>
      <c r="AF476" s="291"/>
      <c r="AG476" s="291"/>
      <c r="AH476" s="291"/>
    </row>
    <row r="477" spans="1:42">
      <c r="A477" s="5" t="s">
        <v>505</v>
      </c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"/>
      <c r="AJ477" s="4"/>
      <c r="AK477" s="4"/>
      <c r="AL477" s="4"/>
      <c r="AM477" s="4"/>
      <c r="AN477" s="4"/>
      <c r="AO477" s="4"/>
      <c r="AP477" s="4"/>
    </row>
    <row r="478" spans="1:42">
      <c r="A478" s="6"/>
      <c r="B478" s="6"/>
      <c r="C478" s="6"/>
      <c r="D478" s="6"/>
      <c r="E478" s="6"/>
      <c r="F478" s="6"/>
      <c r="G478" s="6"/>
      <c r="H478" s="6"/>
      <c r="I478" s="6"/>
      <c r="J478" s="292"/>
      <c r="L478" s="293"/>
      <c r="M478" s="293"/>
    </row>
    <row r="479" spans="1:42">
      <c r="A479" s="85" t="s">
        <v>506</v>
      </c>
      <c r="B479" s="6"/>
      <c r="C479" s="6"/>
      <c r="D479" s="6"/>
      <c r="E479" s="6"/>
      <c r="F479" s="6"/>
      <c r="G479" s="6"/>
      <c r="H479" s="6"/>
      <c r="I479" s="6"/>
      <c r="J479" s="292"/>
      <c r="L479" s="293"/>
      <c r="M479" s="293"/>
    </row>
    <row r="480" spans="1:42">
      <c r="A480" s="162" t="b">
        <v>1</v>
      </c>
      <c r="B480" s="6" t="s">
        <v>507</v>
      </c>
      <c r="C480" s="6">
        <v>1</v>
      </c>
      <c r="D480" s="6" t="s">
        <v>508</v>
      </c>
      <c r="E480" s="6" t="s">
        <v>509</v>
      </c>
      <c r="F480" s="6" t="s">
        <v>510</v>
      </c>
      <c r="G480" s="6" t="s">
        <v>265</v>
      </c>
      <c r="H480" s="6" t="s">
        <v>511</v>
      </c>
      <c r="I480" s="6" t="s">
        <v>512</v>
      </c>
      <c r="J480" s="292">
        <v>2</v>
      </c>
      <c r="K480" s="1" t="s">
        <v>513</v>
      </c>
      <c r="L480" s="294">
        <v>0.01</v>
      </c>
      <c r="M480" s="293">
        <v>30</v>
      </c>
      <c r="N480" s="1" t="s">
        <v>278</v>
      </c>
      <c r="O480" s="1138">
        <v>0</v>
      </c>
    </row>
    <row r="481" spans="1:15">
      <c r="A481" s="162" t="b">
        <v>0</v>
      </c>
      <c r="B481" s="6" t="s">
        <v>245</v>
      </c>
      <c r="C481" s="6">
        <v>2</v>
      </c>
      <c r="D481" s="6" t="s">
        <v>514</v>
      </c>
      <c r="E481" s="6" t="s">
        <v>515</v>
      </c>
      <c r="F481" s="6" t="s">
        <v>289</v>
      </c>
      <c r="G481" s="6" t="s">
        <v>516</v>
      </c>
      <c r="H481" s="6" t="s">
        <v>517</v>
      </c>
      <c r="I481" s="6" t="s">
        <v>518</v>
      </c>
      <c r="J481" s="292">
        <v>2.4</v>
      </c>
      <c r="K481" s="1" t="s">
        <v>519</v>
      </c>
      <c r="M481" s="293">
        <v>360</v>
      </c>
      <c r="N481" s="1" t="s">
        <v>520</v>
      </c>
      <c r="O481" s="950">
        <v>3</v>
      </c>
    </row>
    <row r="482" spans="1:15">
      <c r="B482" s="6" t="s">
        <v>521</v>
      </c>
      <c r="C482" s="6">
        <v>4</v>
      </c>
      <c r="D482" s="6"/>
      <c r="E482" s="295"/>
      <c r="F482" s="6" t="s">
        <v>522</v>
      </c>
      <c r="G482" s="296"/>
      <c r="H482" s="1" t="s">
        <v>523</v>
      </c>
      <c r="I482" s="6" t="s">
        <v>524</v>
      </c>
      <c r="J482" s="292">
        <v>3.3</v>
      </c>
      <c r="M482" s="293">
        <v>365</v>
      </c>
      <c r="O482" s="950">
        <v>6</v>
      </c>
    </row>
    <row r="483" spans="1:15">
      <c r="A483" s="1" t="s">
        <v>525</v>
      </c>
      <c r="B483" s="6" t="s">
        <v>526</v>
      </c>
      <c r="C483" s="6">
        <v>12</v>
      </c>
      <c r="F483" s="6" t="s">
        <v>527</v>
      </c>
      <c r="H483" s="1" t="s">
        <v>528</v>
      </c>
      <c r="I483" s="6" t="s">
        <v>529</v>
      </c>
      <c r="M483" s="293">
        <v>365</v>
      </c>
      <c r="O483" s="950">
        <v>12</v>
      </c>
    </row>
    <row r="484" spans="1:15">
      <c r="A484" s="1" t="s">
        <v>221</v>
      </c>
      <c r="B484" s="6" t="s">
        <v>530</v>
      </c>
      <c r="C484" s="6">
        <f>365.2425*24</f>
        <v>8765.82</v>
      </c>
      <c r="D484" s="291"/>
      <c r="E484" s="295"/>
      <c r="G484" s="296"/>
      <c r="I484" s="6" t="s">
        <v>531</v>
      </c>
    </row>
    <row r="485" spans="1:15">
      <c r="B485" s="98"/>
      <c r="D485" s="291"/>
      <c r="E485" s="291"/>
      <c r="F485" s="295"/>
      <c r="G485" s="296"/>
      <c r="H485" s="296"/>
      <c r="I485" s="6" t="s">
        <v>532</v>
      </c>
    </row>
    <row r="486" spans="1:15">
      <c r="A486" s="85" t="s">
        <v>533</v>
      </c>
      <c r="B486" s="98"/>
      <c r="D486" s="291"/>
      <c r="E486" s="291"/>
      <c r="F486" s="295"/>
      <c r="G486" s="296"/>
      <c r="H486" s="296"/>
      <c r="I486" s="6" t="s">
        <v>534</v>
      </c>
    </row>
    <row r="487" spans="1:15">
      <c r="A487" s="1" t="s">
        <v>535</v>
      </c>
      <c r="C487" s="297" t="s">
        <v>536</v>
      </c>
      <c r="D487" s="291"/>
      <c r="E487" s="291"/>
      <c r="F487" s="295"/>
      <c r="I487" s="1" t="s">
        <v>537</v>
      </c>
    </row>
    <row r="488" spans="1:15">
      <c r="A488" s="1" t="s">
        <v>538</v>
      </c>
      <c r="C488" s="298" t="s">
        <v>536</v>
      </c>
    </row>
    <row r="489" spans="1:15">
      <c r="A489" s="1" t="s">
        <v>204</v>
      </c>
      <c r="C489" s="999" t="s">
        <v>536</v>
      </c>
    </row>
    <row r="490" spans="1:15">
      <c r="A490" s="1" t="s">
        <v>539</v>
      </c>
      <c r="C490" s="719" t="s">
        <v>536</v>
      </c>
    </row>
    <row r="491" spans="1:15">
      <c r="A491" s="1" t="s">
        <v>540</v>
      </c>
      <c r="C491" s="271" t="s">
        <v>536</v>
      </c>
      <c r="F491" s="299"/>
      <c r="G491" s="299"/>
      <c r="H491" s="276"/>
    </row>
    <row r="492" spans="1:15">
      <c r="A492" s="1" t="s">
        <v>541</v>
      </c>
      <c r="C492" s="300" t="s">
        <v>536</v>
      </c>
      <c r="F492" s="299"/>
      <c r="G492" s="299"/>
      <c r="H492" s="276"/>
    </row>
    <row r="493" spans="1:15">
      <c r="A493" s="1" t="s">
        <v>542</v>
      </c>
      <c r="C493" s="301" t="s">
        <v>536</v>
      </c>
      <c r="F493" s="299"/>
      <c r="G493" s="299"/>
      <c r="H493" s="276"/>
    </row>
    <row r="494" spans="1:15">
      <c r="A494" s="1" t="s">
        <v>543</v>
      </c>
      <c r="C494" s="302" t="s">
        <v>536</v>
      </c>
      <c r="F494" s="299"/>
      <c r="G494" s="299"/>
      <c r="H494" s="276"/>
    </row>
    <row r="495" spans="1:15">
      <c r="A495" s="1" t="s">
        <v>544</v>
      </c>
      <c r="C495" s="303"/>
      <c r="F495" s="299"/>
      <c r="G495" s="299"/>
      <c r="H495" s="276"/>
    </row>
    <row r="497" s="1" customFormat="1"/>
  </sheetData>
  <phoneticPr fontId="0" type="noConversion"/>
  <conditionalFormatting sqref="B1:L1">
    <cfRule type="cellIs" dxfId="213" priority="35" stopIfTrue="1" operator="equal">
      <formula>"OK"</formula>
    </cfRule>
    <cfRule type="cellIs" dxfId="212" priority="36" stopIfTrue="1" operator="equal">
      <formula>"WRONG"</formula>
    </cfRule>
  </conditionalFormatting>
  <dataValidations count="9">
    <dataValidation type="list" allowBlank="1" showInputMessage="1" showErrorMessage="1" sqref="D89" xr:uid="{00000000-0002-0000-0400-000000000000}">
      <formula1>$F$481:$F$482</formula1>
    </dataValidation>
    <dataValidation type="list" allowBlank="1" showInputMessage="1" showErrorMessage="1" sqref="D52" xr:uid="{00000000-0002-0000-0400-000001000000}">
      <formula1>$A$64:$A$71</formula1>
    </dataValidation>
    <dataValidation type="list" allowBlank="1" showInputMessage="1" showErrorMessage="1" sqref="A177" xr:uid="{00000000-0002-0000-0400-000002000000}">
      <formula1>$A$67:$A$71</formula1>
    </dataValidation>
    <dataValidation type="list" allowBlank="1" showInputMessage="1" showErrorMessage="1" sqref="D53" xr:uid="{00000000-0002-0000-0400-000003000000}">
      <formula1>$D$63:$I$63</formula1>
    </dataValidation>
    <dataValidation type="list" allowBlank="1" showInputMessage="1" showErrorMessage="1" sqref="D18" xr:uid="{00000000-0002-0000-0400-000004000000}">
      <formula1>$B$480:$B$482</formula1>
    </dataValidation>
    <dataValidation type="list" allowBlank="1" showInputMessage="1" showErrorMessage="1" sqref="C238 D287 D436 C255 C192 D139 D414 D412" xr:uid="{00000000-0002-0000-0400-000005000000}">
      <formula1>$A$480:$A$481</formula1>
    </dataValidation>
    <dataValidation type="list" allowBlank="1" showInputMessage="1" showErrorMessage="1" sqref="I354:I355 I347:I348" xr:uid="{00000000-0002-0000-0400-000006000000}">
      <formula1>$O$480:$O$483</formula1>
    </dataValidation>
    <dataValidation type="list" allowBlank="1" showInputMessage="1" showErrorMessage="1" sqref="A98" xr:uid="{FCBAA575-C2B9-447D-885C-2DD7559A7C63}">
      <formula1>$A$99:$A$100</formula1>
    </dataValidation>
    <dataValidation type="list" allowBlank="1" showInputMessage="1" showErrorMessage="1" sqref="C106" xr:uid="{78A59347-FA91-4D9A-8F43-4432439C4537}">
      <formula1>$C$107:$C$112</formula1>
    </dataValidation>
  </dataValidations>
  <hyperlinks>
    <hyperlink ref="A1" location="Sensitivity!D43" display="Sensitivity!D43" xr:uid="{00000000-0004-0000-0400-000000000000}"/>
  </hyperlinks>
  <pageMargins left="0.34" right="0.23622047244094491" top="0.43" bottom="0.23622047244094491" header="0.27559055118110237" footer="0.23622047244094491"/>
  <pageSetup paperSize="9" scale="10" orientation="landscape" r:id="rId1"/>
  <headerFooter alignWithMargins="0">
    <oddFooter>&amp;L&amp;F
&amp;D &amp;T</oddFooter>
  </headerFooter>
  <colBreaks count="1" manualBreakCount="1">
    <brk id="16285" max="285" man="1"/>
  </colBreaks>
  <ignoredErrors>
    <ignoredError sqref="A157:A158 D245:D246 D241 D81" unlockedFormula="1"/>
    <ignoredError sqref="E43 AC43:AH43 G43:AB43" formula="1"/>
    <ignoredError sqref="F386 F388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10" r:id="rId4" name="Button 2">
              <controlPr defaultSize="0" print="0" autoFill="0" autoPict="0" macro="[0]!Model_sizing">
                <anchor moveWithCells="1" sizeWithCells="1">
                  <from>
                    <xdr:col>3</xdr:col>
                    <xdr:colOff>219075</xdr:colOff>
                    <xdr:row>175</xdr:row>
                    <xdr:rowOff>104775</xdr:rowOff>
                  </from>
                  <to>
                    <xdr:col>3</xdr:col>
                    <xdr:colOff>752475</xdr:colOff>
                    <xdr:row>177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129" id="{37ED6439-729B-47E8-B69D-60D55B247EFB}">
            <x14:iconSet showValue="0" custom="1">
              <x14:cfvo type="percent">
                <xm:f>0</xm:f>
              </x14:cfvo>
              <x14:cfvo type="num">
                <xm:f>-$L$480</xm:f>
              </x14:cfvo>
              <x14:cfvo type="num" gte="0">
                <xm:f>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F225</xm:sqref>
        </x14:conditionalFormatting>
        <x14:conditionalFormatting xmlns:xm="http://schemas.microsoft.com/office/excel/2006/main">
          <x14:cfRule type="iconSet" priority="5130" id="{7981BD89-FF32-4F8D-A287-3121001ACD7C}">
            <x14:iconSet showValue="0" custom="1">
              <x14:cfvo type="percent">
                <xm:f>0</xm:f>
              </x14:cfvo>
              <x14:cfvo type="num">
                <xm:f>-$L$480</xm:f>
              </x14:cfvo>
              <x14:cfvo type="num" gte="0">
                <xm:f>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E195</xm:sqref>
        </x14:conditionalFormatting>
        <x14:conditionalFormatting xmlns:xm="http://schemas.microsoft.com/office/excel/2006/main">
          <x14:cfRule type="iconSet" priority="5131" id="{BED75191-86B8-4AC5-B0BB-CD9BBB0BAD8D}">
            <x14:iconSet showValue="0" custom="1">
              <x14:cfvo type="percent">
                <xm:f>0</xm:f>
              </x14:cfvo>
              <x14:cfvo type="num">
                <xm:f>-$L$480</xm:f>
              </x14:cfvo>
              <x14:cfvo type="num" gte="0">
                <xm:f>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5132" id="{5773BEC6-7A62-422F-822E-2FA6F875AFC8}">
            <x14:iconSet showValue="0" custom="1">
              <x14:cfvo type="percent">
                <xm:f>0</xm:f>
              </x14:cfvo>
              <x14:cfvo type="num">
                <xm:f>-$L$480</xm:f>
              </x14:cfvo>
              <x14:cfvo type="num" gte="0">
                <xm:f>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N174 G11:G12 O8:O9 O2:O5 O13:O17 O19</xm:sqref>
        </x14:conditionalFormatting>
        <x14:conditionalFormatting xmlns:xm="http://schemas.microsoft.com/office/excel/2006/main">
          <x14:cfRule type="iconSet" priority="5138" id="{FB154788-7C15-4898-BBAB-17A2AA2EE414}">
            <x14:iconSet showValue="0" custom="1">
              <x14:cfvo type="percent">
                <xm:f>0</xm:f>
              </x14:cfvo>
              <x14:cfvo type="num">
                <xm:f>-$L$480</xm:f>
              </x14:cfvo>
              <x14:cfvo type="num" gte="0">
                <xm:f>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E52</xm:sqref>
        </x14:conditionalFormatting>
        <x14:conditionalFormatting xmlns:xm="http://schemas.microsoft.com/office/excel/2006/main">
          <x14:cfRule type="iconSet" priority="5139" id="{4F135CDA-C7CB-419B-A3A1-731BEA5C4A59}">
            <x14:iconSet showValue="0" custom="1">
              <x14:cfvo type="percent">
                <xm:f>0</xm:f>
              </x14:cfvo>
              <x14:cfvo type="num">
                <xm:f>-$L$480</xm:f>
              </x14:cfvo>
              <x14:cfvo type="num" gte="0">
                <xm:f>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A1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1215-101A-4EA0-AE4B-10B6A9687BDF}">
  <sheetPr codeName="Feuil2">
    <tabColor rgb="FF00B0F0"/>
  </sheetPr>
  <dimension ref="A1:V405"/>
  <sheetViews>
    <sheetView showGridLines="0" tabSelected="1" zoomScaleNormal="100" workbookViewId="0">
      <pane xSplit="6" ySplit="4" topLeftCell="G289" activePane="bottomRight" state="frozen"/>
      <selection pane="bottomRight" activeCell="J321" sqref="J321"/>
      <selection pane="bottomLeft" activeCell="H373" sqref="H373"/>
      <selection pane="topRight" activeCell="H373" sqref="H373"/>
    </sheetView>
  </sheetViews>
  <sheetFormatPr defaultColWidth="9.140625" defaultRowHeight="15"/>
  <cols>
    <col min="1" max="1" width="13.42578125" style="1518" customWidth="1"/>
    <col min="2" max="2" width="6.85546875" style="652" customWidth="1"/>
    <col min="3" max="3" width="36" style="652" customWidth="1"/>
    <col min="4" max="4" width="8.140625" style="652" customWidth="1"/>
    <col min="5" max="5" width="14.140625" style="652" customWidth="1"/>
    <col min="6" max="6" width="11.5703125" style="652" customWidth="1"/>
    <col min="7" max="7" width="3.85546875" style="652" customWidth="1"/>
    <col min="8" max="11" width="16.85546875" style="652" customWidth="1"/>
    <col min="12" max="13" width="7.42578125" style="1398" customWidth="1"/>
    <col min="14" max="14" width="9.85546875" style="1398" customWidth="1"/>
    <col min="15" max="15" width="9.140625" style="652"/>
    <col min="16" max="16" width="11.85546875" style="652" customWidth="1"/>
    <col min="17" max="16384" width="9.140625" style="652"/>
  </cols>
  <sheetData>
    <row r="1" spans="1:19">
      <c r="A1" s="387"/>
      <c r="B1" s="1497" t="s">
        <v>545</v>
      </c>
      <c r="C1" s="1488" t="s">
        <v>546</v>
      </c>
      <c r="H1"/>
      <c r="I1"/>
      <c r="J1" s="1640"/>
      <c r="K1"/>
    </row>
    <row r="2" spans="1:19" ht="15.75" thickBot="1">
      <c r="B2" s="1484"/>
      <c r="C2" s="1485" t="s">
        <v>547</v>
      </c>
      <c r="H2" s="1494"/>
      <c r="I2" s="1494">
        <v>46048</v>
      </c>
      <c r="J2" s="1639">
        <v>46057</v>
      </c>
      <c r="K2" s="1494"/>
    </row>
    <row r="3" spans="1:19" s="1400" customFormat="1" ht="51.6" customHeight="1">
      <c r="A3" s="1519"/>
      <c r="B3" s="1399"/>
      <c r="C3" s="1399"/>
      <c r="D3" s="1399"/>
      <c r="E3" s="1399"/>
      <c r="F3" s="1399"/>
      <c r="H3" s="1918" t="s">
        <v>548</v>
      </c>
      <c r="I3" s="1642" t="s">
        <v>549</v>
      </c>
      <c r="J3" s="1642" t="s">
        <v>550</v>
      </c>
      <c r="K3" s="1642" t="s">
        <v>551</v>
      </c>
      <c r="L3" s="1401"/>
      <c r="M3" s="1401"/>
      <c r="N3" s="1401"/>
    </row>
    <row r="4" spans="1:19">
      <c r="A4" s="1520" t="s">
        <v>552</v>
      </c>
      <c r="B4" s="1516"/>
      <c r="C4" s="1517" t="s">
        <v>553</v>
      </c>
      <c r="D4" s="1402"/>
      <c r="E4" s="1403">
        <v>4</v>
      </c>
      <c r="F4" s="1164"/>
      <c r="H4" s="1404" cm="1">
        <f t="array" ref="H4">COLUMN(H:H)-7</f>
        <v>1</v>
      </c>
      <c r="I4" s="1404">
        <f>H4+1</f>
        <v>2</v>
      </c>
      <c r="J4" s="1404">
        <f t="shared" ref="J4:K4" si="0">I4+1</f>
        <v>3</v>
      </c>
      <c r="K4" s="1404">
        <f t="shared" si="0"/>
        <v>4</v>
      </c>
      <c r="L4" s="1404">
        <f t="shared" ref="L4" si="1">K4+1</f>
        <v>5</v>
      </c>
      <c r="M4" s="1404">
        <f t="shared" ref="M4" si="2">L4+1</f>
        <v>6</v>
      </c>
    </row>
    <row r="5" spans="1:19" s="1164" customFormat="1" ht="11.25">
      <c r="A5" s="1521"/>
      <c r="B5" s="1217"/>
      <c r="C5" s="1217"/>
      <c r="D5" s="1217"/>
      <c r="E5" s="1405"/>
      <c r="G5" s="652"/>
      <c r="H5" s="1405"/>
      <c r="I5" s="1405"/>
      <c r="J5" s="1405"/>
      <c r="K5" s="1405"/>
      <c r="L5" s="1165"/>
      <c r="M5" s="1165"/>
      <c r="N5" s="1165"/>
    </row>
    <row r="6" spans="1:19">
      <c r="A6" s="1546"/>
      <c r="B6" s="1546"/>
      <c r="C6" s="1556" t="s">
        <v>554</v>
      </c>
      <c r="D6" s="1557"/>
      <c r="E6" s="1546"/>
      <c r="F6" s="1557"/>
      <c r="H6" s="1546"/>
      <c r="I6" s="1546"/>
      <c r="J6" s="1546"/>
      <c r="K6" s="1546"/>
      <c r="L6" s="1546"/>
      <c r="N6"/>
    </row>
    <row r="7" spans="1:19" s="1164" customFormat="1" ht="11.25">
      <c r="A7" s="1521"/>
      <c r="B7" s="1217"/>
      <c r="C7" s="1217"/>
      <c r="D7" s="1217"/>
      <c r="E7" s="1405"/>
      <c r="G7" s="652"/>
      <c r="H7" s="1405"/>
      <c r="I7" s="1405"/>
      <c r="J7" s="1405"/>
      <c r="K7" s="1405"/>
      <c r="L7" s="1165"/>
      <c r="M7" s="1165"/>
      <c r="N7" s="1165"/>
    </row>
    <row r="8" spans="1:19" ht="13.5">
      <c r="A8" s="1515" t="s">
        <v>555</v>
      </c>
      <c r="B8" s="1217"/>
      <c r="C8" s="1513" t="s">
        <v>556</v>
      </c>
      <c r="D8" s="1514"/>
      <c r="E8" s="1483" cm="1">
        <f t="array" ref="E8">INDEX(H8:K8,0,MATCH($E$4,$H$4:$K$4,0))</f>
        <v>75.260000000000005</v>
      </c>
      <c r="F8" s="1478"/>
      <c r="H8" s="1489">
        <v>75.260000000000005</v>
      </c>
      <c r="I8" s="1489">
        <v>81</v>
      </c>
      <c r="J8" s="1489">
        <v>75.260000000000005</v>
      </c>
      <c r="K8" s="1489">
        <v>75.260000000000005</v>
      </c>
      <c r="L8" s="1406"/>
      <c r="M8" s="1406"/>
      <c r="N8" s="1406"/>
    </row>
    <row r="9" spans="1:19" ht="13.5">
      <c r="A9" s="1515" t="s">
        <v>555</v>
      </c>
      <c r="B9" s="1217"/>
      <c r="C9" s="1478" t="s">
        <v>557</v>
      </c>
      <c r="D9" s="1164"/>
      <c r="E9" s="1474" cm="1">
        <f t="array" ref="E9">INDEX(H9:K9,0,MATCH($E$4,$H$4:$K$4,0))</f>
        <v>62.4</v>
      </c>
      <c r="F9" s="1478"/>
      <c r="H9" s="1490">
        <v>62.4</v>
      </c>
      <c r="I9" s="1490">
        <v>62.4</v>
      </c>
      <c r="J9" s="1490">
        <v>62.4</v>
      </c>
      <c r="K9" s="1490">
        <v>62.4</v>
      </c>
      <c r="L9" s="1406"/>
      <c r="M9" s="1406"/>
      <c r="N9" s="1406"/>
      <c r="S9" s="1547"/>
    </row>
    <row r="10" spans="1:19" ht="13.5">
      <c r="A10" s="1515" t="s">
        <v>555</v>
      </c>
      <c r="B10" s="1217"/>
      <c r="C10" s="1478" t="s">
        <v>558</v>
      </c>
      <c r="D10" s="1164"/>
      <c r="E10" s="1407" cm="1">
        <f t="array" ref="E10">INDEX(H10:K10,0,MATCH($E$4,$H$4:$K$4,0))</f>
        <v>1494</v>
      </c>
      <c r="F10" s="1478"/>
      <c r="H10" s="1408">
        <v>1494</v>
      </c>
      <c r="I10" s="1408">
        <v>1288</v>
      </c>
      <c r="J10" s="1408">
        <v>1494</v>
      </c>
      <c r="K10" s="1408">
        <v>1494</v>
      </c>
      <c r="L10" s="1406"/>
      <c r="M10" s="1406"/>
      <c r="N10" s="1406"/>
    </row>
    <row r="11" spans="1:19" ht="13.5">
      <c r="A11" s="1515" t="s">
        <v>555</v>
      </c>
      <c r="B11" s="1217"/>
      <c r="C11" s="1478" t="s">
        <v>559</v>
      </c>
      <c r="D11" s="1164"/>
      <c r="E11" s="1407" cm="1">
        <f t="array" ref="E11">INDEX(H11:K11,0,MATCH($E$4,$H$4:$K$4,0))</f>
        <v>1410</v>
      </c>
      <c r="F11" s="1478"/>
      <c r="H11" s="1408">
        <v>1410</v>
      </c>
      <c r="I11" s="1408">
        <v>1213</v>
      </c>
      <c r="J11" s="1408">
        <v>1410</v>
      </c>
      <c r="K11" s="1408">
        <v>1410</v>
      </c>
      <c r="L11" s="1406"/>
      <c r="M11" s="1406"/>
      <c r="N11" s="1406"/>
    </row>
    <row r="12" spans="1:19" ht="13.5">
      <c r="A12" s="1515" t="s">
        <v>555</v>
      </c>
      <c r="B12" s="1217"/>
      <c r="C12" s="1562" t="s">
        <v>560</v>
      </c>
      <c r="D12" s="1564"/>
      <c r="E12" s="1563" cm="1">
        <f t="array" ref="E12">INDEX(H12:K12,0,MATCH($E$4,$H$4:$K$4,0))</f>
        <v>0.94377510040160639</v>
      </c>
      <c r="F12" s="1478"/>
      <c r="H12" s="1409">
        <f>H11/H10</f>
        <v>0.94377510040160639</v>
      </c>
      <c r="I12" s="1665">
        <f>I11/I10</f>
        <v>0.94177018633540377</v>
      </c>
      <c r="J12" s="1665">
        <f t="shared" ref="J12:K12" si="3">J11/J10</f>
        <v>0.94377510040160639</v>
      </c>
      <c r="K12" s="1409">
        <f t="shared" si="3"/>
        <v>0.94377510040160639</v>
      </c>
      <c r="L12" s="1406"/>
      <c r="M12" s="1406"/>
      <c r="N12" s="1406"/>
    </row>
    <row r="13" spans="1:19">
      <c r="A13" s="1515"/>
      <c r="B13" s="136"/>
      <c r="D13" s="1565"/>
      <c r="E13" s="1566"/>
      <c r="H13" s="1410"/>
      <c r="I13" s="1410"/>
      <c r="J13" s="1410"/>
      <c r="K13" s="1410"/>
    </row>
    <row r="14" spans="1:19">
      <c r="A14" s="1515"/>
      <c r="B14" s="136"/>
      <c r="C14" s="1592" t="s">
        <v>561</v>
      </c>
      <c r="D14" s="1565"/>
      <c r="E14" s="1690" cm="1">
        <f t="array" ref="E14">INDEX(H14:K14,0,MATCH($E$4,$H$4:$K$4,0))</f>
        <v>1</v>
      </c>
      <c r="H14" s="1671">
        <v>1</v>
      </c>
      <c r="I14" s="1681">
        <v>1</v>
      </c>
      <c r="J14" s="1681">
        <v>1</v>
      </c>
      <c r="K14" s="1676">
        <v>1</v>
      </c>
    </row>
    <row r="15" spans="1:19">
      <c r="A15" s="1515"/>
      <c r="B15" s="136"/>
      <c r="C15" s="1479" t="s">
        <v>562</v>
      </c>
      <c r="E15" s="1691" cm="1">
        <f t="array" ref="E15">INDEX(H15:K15,0,MATCH($E$4,$H$4:$K$4,0))</f>
        <v>25</v>
      </c>
      <c r="H15" s="1672">
        <v>25</v>
      </c>
      <c r="I15" s="1682">
        <v>25</v>
      </c>
      <c r="J15" s="1682">
        <v>25</v>
      </c>
      <c r="K15" s="1677">
        <v>25</v>
      </c>
    </row>
    <row r="16" spans="1:19">
      <c r="A16" s="1515"/>
      <c r="B16" s="136"/>
      <c r="C16" s="1479" t="s">
        <v>563</v>
      </c>
      <c r="E16" s="1692" cm="1">
        <f t="array" ref="E16">INDEX(H16:K16,0,MATCH($E$4,$H$4:$K$4,0))</f>
        <v>0</v>
      </c>
      <c r="H16" s="1686">
        <v>40</v>
      </c>
      <c r="I16" s="1687">
        <v>0</v>
      </c>
      <c r="J16" s="1687">
        <v>0</v>
      </c>
      <c r="K16" s="1688">
        <v>0</v>
      </c>
    </row>
    <row r="17" spans="1:14">
      <c r="A17" s="1515"/>
      <c r="B17" s="136"/>
      <c r="C17" s="1479" t="s">
        <v>564</v>
      </c>
      <c r="E17" s="1692" cm="1">
        <f t="array" ref="E17">INDEX(H17:K17,0,MATCH($E$4,$H$4:$K$4,0))</f>
        <v>0</v>
      </c>
      <c r="H17" s="1686">
        <v>14</v>
      </c>
      <c r="I17" s="1687">
        <v>0</v>
      </c>
      <c r="J17" s="1687">
        <v>0</v>
      </c>
      <c r="K17" s="1688">
        <v>0</v>
      </c>
    </row>
    <row r="18" spans="1:14">
      <c r="A18" s="1515"/>
      <c r="B18" s="136"/>
      <c r="C18" s="1479" t="s">
        <v>565</v>
      </c>
      <c r="E18" s="1693" cm="1">
        <f t="array" ref="E18">INDEX(H18:K18,0,MATCH($E$4,$H$4:$K$4,0))</f>
        <v>6.25</v>
      </c>
      <c r="H18" s="1673">
        <v>6.25</v>
      </c>
      <c r="I18" s="1683">
        <v>6.25</v>
      </c>
      <c r="J18" s="1683">
        <v>6.25</v>
      </c>
      <c r="K18" s="1678">
        <v>6.25</v>
      </c>
    </row>
    <row r="19" spans="1:14">
      <c r="A19" s="1515"/>
      <c r="B19" s="136"/>
      <c r="C19" s="1479" t="s">
        <v>566</v>
      </c>
      <c r="E19" s="1694" cm="1">
        <f t="array" ref="E19">INDEX(H19:K19,0,MATCH($E$4,$H$4:$K$4,0))</f>
        <v>4.5999999999999996</v>
      </c>
      <c r="H19" s="1674">
        <v>4.5999999999999996</v>
      </c>
      <c r="I19" s="1684">
        <v>4.5999999999999996</v>
      </c>
      <c r="J19" s="1684">
        <v>4.5999999999999996</v>
      </c>
      <c r="K19" s="1679">
        <v>4.5999999999999996</v>
      </c>
    </row>
    <row r="20" spans="1:14">
      <c r="A20" s="1515"/>
      <c r="B20" s="136"/>
      <c r="C20" s="1479" t="s">
        <v>567</v>
      </c>
      <c r="E20" s="1693" cm="1">
        <f t="array" ref="E20">INDEX(H20:K20,0,MATCH($E$4,$H$4:$K$4,0))</f>
        <v>0</v>
      </c>
      <c r="H20" s="1673">
        <f t="shared" ref="H20:K20" si="4">H18*H16</f>
        <v>250</v>
      </c>
      <c r="I20" s="1683">
        <f t="shared" si="4"/>
        <v>0</v>
      </c>
      <c r="J20" s="1683">
        <f t="shared" si="4"/>
        <v>0</v>
      </c>
      <c r="K20" s="1678">
        <f t="shared" si="4"/>
        <v>0</v>
      </c>
    </row>
    <row r="21" spans="1:14">
      <c r="A21" s="1515"/>
      <c r="B21" s="136"/>
      <c r="C21" s="1479" t="s">
        <v>568</v>
      </c>
      <c r="E21" s="1694" cm="1">
        <f t="array" ref="E21">INDEX(H21:K21,0,MATCH($E$4,$H$4:$K$4,0))</f>
        <v>0</v>
      </c>
      <c r="H21" s="1674">
        <f>H19*H17</f>
        <v>64.399999999999991</v>
      </c>
      <c r="I21" s="1684">
        <f t="shared" ref="I21:K21" si="5">I19*I17</f>
        <v>0</v>
      </c>
      <c r="J21" s="1684">
        <f t="shared" si="5"/>
        <v>0</v>
      </c>
      <c r="K21" s="1679">
        <f t="shared" si="5"/>
        <v>0</v>
      </c>
    </row>
    <row r="22" spans="1:14">
      <c r="A22" s="1515"/>
      <c r="B22" s="136"/>
      <c r="C22" s="1479" t="s">
        <v>569</v>
      </c>
      <c r="E22" s="1693" cm="1">
        <f t="array" ref="E22">INDEX(H22:K22,0,MATCH($E$4,$H$4:$K$4,0))</f>
        <v>0</v>
      </c>
      <c r="H22" s="1673">
        <f t="shared" ref="H22:K22" si="6">H23*4</f>
        <v>240</v>
      </c>
      <c r="I22" s="1683">
        <f>I23*0</f>
        <v>0</v>
      </c>
      <c r="J22" s="1683">
        <f>J23*0</f>
        <v>0</v>
      </c>
      <c r="K22" s="1678">
        <f t="shared" si="6"/>
        <v>0</v>
      </c>
    </row>
    <row r="23" spans="1:14">
      <c r="A23" s="1515"/>
      <c r="B23" s="136"/>
      <c r="C23" s="1591" t="s">
        <v>570</v>
      </c>
      <c r="D23" s="1689"/>
      <c r="E23" s="1695" cm="1">
        <f t="array" ref="E23">INDEX(H23:K23,0,MATCH($E$4,$H$4:$K$4,0))</f>
        <v>0</v>
      </c>
      <c r="H23" s="1675">
        <v>60</v>
      </c>
      <c r="I23" s="1685">
        <v>0</v>
      </c>
      <c r="J23" s="1685">
        <v>0</v>
      </c>
      <c r="K23" s="1680">
        <v>0</v>
      </c>
    </row>
    <row r="24" spans="1:14">
      <c r="A24" s="1515"/>
      <c r="B24" s="136"/>
      <c r="E24" s="1410"/>
      <c r="H24" s="1410"/>
      <c r="I24" s="1410"/>
      <c r="J24" s="1410"/>
      <c r="K24" s="1410"/>
    </row>
    <row r="25" spans="1:14">
      <c r="A25" s="1546"/>
      <c r="B25" s="1546"/>
      <c r="C25" s="1556" t="s">
        <v>337</v>
      </c>
      <c r="D25" s="1557"/>
      <c r="E25" s="1546"/>
      <c r="F25" s="1557"/>
      <c r="H25" s="1546"/>
      <c r="I25" s="1546"/>
      <c r="J25" s="1546"/>
      <c r="K25" s="1546"/>
      <c r="N25"/>
    </row>
    <row r="26" spans="1:14">
      <c r="A26" s="1544"/>
      <c r="B26" s="1544"/>
      <c r="C26" s="1593"/>
      <c r="E26" s="1544"/>
      <c r="H26" s="1544"/>
      <c r="I26" s="1544"/>
      <c r="J26" s="1544"/>
      <c r="K26" s="1544"/>
      <c r="N26"/>
    </row>
    <row r="27" spans="1:14" s="1469" customFormat="1" ht="13.5">
      <c r="A27" s="1515"/>
      <c r="B27" s="1470"/>
      <c r="C27" s="1507" t="s">
        <v>571</v>
      </c>
      <c r="D27" s="1475"/>
      <c r="E27" s="1481" cm="1">
        <f t="array" ref="E27">INDEX(H27:K27,0,MATCH($E$4,$H$4:$K$4,0))</f>
        <v>10912.7</v>
      </c>
      <c r="F27" s="1501">
        <f>E27/$E$8</f>
        <v>145</v>
      </c>
      <c r="G27" s="1480"/>
      <c r="H27" s="1482">
        <f>H29</f>
        <v>10912.7</v>
      </c>
      <c r="I27" s="1482">
        <f>I29</f>
        <v>11745</v>
      </c>
      <c r="J27" s="1482">
        <f>J29</f>
        <v>10912.7</v>
      </c>
      <c r="K27" s="1482">
        <f>K29</f>
        <v>10912.7</v>
      </c>
      <c r="L27" s="1471"/>
      <c r="M27" s="1471"/>
      <c r="N27" s="1471"/>
    </row>
    <row r="28" spans="1:14" ht="13.5">
      <c r="A28" s="1515" t="s">
        <v>572</v>
      </c>
      <c r="B28" s="1217"/>
      <c r="C28" s="1478" t="s">
        <v>573</v>
      </c>
      <c r="D28" s="1164"/>
      <c r="E28" s="1466" cm="1">
        <f t="array" ref="E28">INDEX(H28:K28,0,MATCH($E$4,$H$4:$K$4,0))</f>
        <v>14.5</v>
      </c>
      <c r="F28" s="1477"/>
      <c r="G28" s="1480"/>
      <c r="H28" s="1491">
        <v>14.5</v>
      </c>
      <c r="I28" s="1491">
        <v>14.5</v>
      </c>
      <c r="J28" s="1491">
        <v>14.5</v>
      </c>
      <c r="K28" s="1491">
        <v>14.5</v>
      </c>
      <c r="L28" s="1411"/>
      <c r="M28" s="1411"/>
      <c r="N28" s="1411"/>
    </row>
    <row r="29" spans="1:14" ht="13.5">
      <c r="A29" s="1515" t="s">
        <v>572</v>
      </c>
      <c r="B29" s="1217"/>
      <c r="C29" s="1478" t="s">
        <v>574</v>
      </c>
      <c r="D29" s="1164"/>
      <c r="E29" s="1412" cm="1">
        <f t="array" ref="E29">INDEX(H29:K29,0,MATCH($E$4,$H$4:$K$4,0))</f>
        <v>10912.7</v>
      </c>
      <c r="F29" s="1498">
        <f>E29/$E$8</f>
        <v>145</v>
      </c>
      <c r="G29" s="1480"/>
      <c r="H29" s="1413">
        <f>H28/100*1000*H8</f>
        <v>10912.7</v>
      </c>
      <c r="I29" s="1413">
        <f>I28/100*1000*I8</f>
        <v>11745</v>
      </c>
      <c r="J29" s="1413">
        <f>J28/100*1000*J8</f>
        <v>10912.7</v>
      </c>
      <c r="K29" s="1413">
        <f>K28/100*1000*K8</f>
        <v>10912.7</v>
      </c>
      <c r="L29" s="1411"/>
      <c r="M29" s="1411"/>
      <c r="N29" s="1411"/>
    </row>
    <row r="30" spans="1:14" s="1469" customFormat="1" ht="13.5">
      <c r="A30" s="1515"/>
      <c r="B30" s="1470"/>
      <c r="C30" s="1507" t="s">
        <v>162</v>
      </c>
      <c r="D30" s="1475"/>
      <c r="E30" s="1481" cm="1">
        <f t="array" ref="E30">INDEX(H30:K30,0,MATCH($E$4,$H$4:$K$4,0))</f>
        <v>26430</v>
      </c>
      <c r="F30" s="1501">
        <f>E30/$E$8</f>
        <v>351.18256710071751</v>
      </c>
      <c r="G30" s="1480"/>
      <c r="H30" s="1482">
        <f t="shared" ref="H30:I30" si="7">H31+H39</f>
        <v>26430</v>
      </c>
      <c r="I30" s="1482">
        <f t="shared" si="7"/>
        <v>24771</v>
      </c>
      <c r="J30" s="1482">
        <f>J31+J39</f>
        <v>26430</v>
      </c>
      <c r="K30" s="1482">
        <f>K31+K39</f>
        <v>26430</v>
      </c>
      <c r="L30" s="1471"/>
      <c r="M30" s="1471"/>
      <c r="N30" s="1471"/>
    </row>
    <row r="31" spans="1:14" ht="13.5">
      <c r="A31" s="1515"/>
      <c r="B31" s="1217"/>
      <c r="C31" s="1508" t="s">
        <v>575</v>
      </c>
      <c r="D31" s="1472"/>
      <c r="E31" s="1486" cm="1">
        <f t="array" ref="E31">INDEX(H31:K31,0,MATCH($E$4,$H$4:$K$4,0))</f>
        <v>17118</v>
      </c>
      <c r="F31" s="1499">
        <f t="shared" ref="F31:F99" si="8">E31/$E$8</f>
        <v>227.45150146159978</v>
      </c>
      <c r="G31" s="1480"/>
      <c r="H31" s="1468">
        <f t="shared" ref="H31:I31" si="9">SUM(H32:H38)</f>
        <v>17118</v>
      </c>
      <c r="I31" s="1468">
        <f t="shared" si="9"/>
        <v>15673</v>
      </c>
      <c r="J31" s="1468">
        <f>SUM(J32:J38)</f>
        <v>17118</v>
      </c>
      <c r="K31" s="1468">
        <f>SUM(K32:K38)</f>
        <v>17118</v>
      </c>
      <c r="L31" s="1471"/>
      <c r="M31" s="1487"/>
      <c r="N31" s="1487"/>
    </row>
    <row r="32" spans="1:14" ht="13.5">
      <c r="A32" s="1515" t="s">
        <v>572</v>
      </c>
      <c r="B32" s="1217"/>
      <c r="C32" s="1509" t="s">
        <v>576</v>
      </c>
      <c r="D32" s="1164"/>
      <c r="E32" s="1412" cm="1">
        <f t="array" ref="E32">INDEX(H32:K32,0,MATCH($E$4,$H$4:$K$4,0))</f>
        <v>3245</v>
      </c>
      <c r="F32" s="1498">
        <f t="shared" si="8"/>
        <v>43.117193728408182</v>
      </c>
      <c r="G32" s="1480"/>
      <c r="H32" s="1492">
        <v>3245</v>
      </c>
      <c r="I32" s="1492">
        <v>3245</v>
      </c>
      <c r="J32" s="1492">
        <v>3245</v>
      </c>
      <c r="K32" s="1492">
        <v>3245</v>
      </c>
      <c r="L32" s="1487"/>
      <c r="M32" s="1411"/>
      <c r="N32" s="1411"/>
    </row>
    <row r="33" spans="1:14" ht="13.5">
      <c r="A33" s="1515" t="s">
        <v>572</v>
      </c>
      <c r="B33" s="1217"/>
      <c r="C33" s="1509" t="s">
        <v>577</v>
      </c>
      <c r="D33" s="1164"/>
      <c r="E33" s="1412" cm="1">
        <f t="array" ref="E33">INDEX(H33:K33,0,MATCH($E$4,$H$4:$K$4,0))</f>
        <v>7498</v>
      </c>
      <c r="F33" s="1498">
        <f t="shared" si="8"/>
        <v>99.62795641775179</v>
      </c>
      <c r="G33" s="1480"/>
      <c r="H33" s="1492">
        <v>7498</v>
      </c>
      <c r="I33" s="1492">
        <v>5748</v>
      </c>
      <c r="J33" s="1492">
        <v>7498</v>
      </c>
      <c r="K33" s="1492">
        <v>7498</v>
      </c>
      <c r="L33" s="1411"/>
      <c r="M33" s="1411"/>
      <c r="N33" s="1411"/>
    </row>
    <row r="34" spans="1:14" ht="13.5">
      <c r="A34" s="1515" t="s">
        <v>572</v>
      </c>
      <c r="B34" s="1217"/>
      <c r="C34" s="1509" t="s">
        <v>578</v>
      </c>
      <c r="D34" s="1164"/>
      <c r="E34" s="1412" cm="1">
        <f t="array" ref="E34">INDEX(H34:K34,0,MATCH($E$4,$H$4:$K$4,0))</f>
        <v>3070</v>
      </c>
      <c r="F34" s="1498">
        <f t="shared" si="8"/>
        <v>40.791921339356897</v>
      </c>
      <c r="G34" s="1480"/>
      <c r="H34" s="1492">
        <v>3070</v>
      </c>
      <c r="I34" s="1492">
        <v>3304</v>
      </c>
      <c r="J34" s="1492">
        <v>3070</v>
      </c>
      <c r="K34" s="1492">
        <v>3070</v>
      </c>
      <c r="L34" s="1411"/>
      <c r="M34" s="1411"/>
      <c r="N34" s="1411"/>
    </row>
    <row r="35" spans="1:14" ht="13.5">
      <c r="A35" s="1515" t="s">
        <v>572</v>
      </c>
      <c r="B35" s="1217"/>
      <c r="C35" s="1509" t="s">
        <v>579</v>
      </c>
      <c r="D35" s="1164"/>
      <c r="E35" s="1412" cm="1">
        <f t="array" ref="E35">INDEX(H35:K35,0,MATCH($E$4,$H$4:$K$4,0))</f>
        <v>585</v>
      </c>
      <c r="F35" s="1498">
        <f t="shared" si="8"/>
        <v>7.7730534148285937</v>
      </c>
      <c r="G35" s="1480"/>
      <c r="H35" s="1492">
        <v>585</v>
      </c>
      <c r="I35" s="1492">
        <v>630</v>
      </c>
      <c r="J35" s="1492">
        <v>585</v>
      </c>
      <c r="K35" s="1492">
        <v>585</v>
      </c>
      <c r="L35" s="1411"/>
      <c r="M35" s="1411"/>
      <c r="N35" s="1411"/>
    </row>
    <row r="36" spans="1:14" ht="13.5">
      <c r="A36" s="1515" t="s">
        <v>572</v>
      </c>
      <c r="B36" s="1217"/>
      <c r="C36" s="1509" t="s">
        <v>580</v>
      </c>
      <c r="D36" s="1164"/>
      <c r="E36" s="1412" cm="1">
        <f t="array" ref="E36">INDEX(H36:K36,0,MATCH($E$4,$H$4:$K$4,0))</f>
        <v>2720</v>
      </c>
      <c r="F36" s="1498">
        <f t="shared" si="8"/>
        <v>36.141376561254319</v>
      </c>
      <c r="G36" s="1480"/>
      <c r="H36" s="1492">
        <v>2720</v>
      </c>
      <c r="I36" s="1492">
        <v>2746</v>
      </c>
      <c r="J36" s="1492">
        <v>2720</v>
      </c>
      <c r="K36" s="1492">
        <v>2720</v>
      </c>
      <c r="L36" s="1471"/>
      <c r="M36" s="1411"/>
      <c r="N36" s="1411"/>
    </row>
    <row r="37" spans="1:14" ht="13.5">
      <c r="A37" s="1515" t="s">
        <v>572</v>
      </c>
      <c r="B37" s="1217"/>
      <c r="C37" s="1509" t="s">
        <v>581</v>
      </c>
      <c r="D37" s="1164"/>
      <c r="E37" s="1412" cm="1">
        <f t="array" ref="E37">INDEX(H37:K37,0,MATCH($E$4,$H$4:$K$4,0))</f>
        <v>0</v>
      </c>
      <c r="F37" s="1498">
        <f t="shared" si="8"/>
        <v>0</v>
      </c>
      <c r="G37" s="1480"/>
      <c r="H37" s="1492">
        <v>0</v>
      </c>
      <c r="I37" s="1492">
        <v>0</v>
      </c>
      <c r="J37" s="1492">
        <v>0</v>
      </c>
      <c r="K37" s="1492">
        <v>0</v>
      </c>
      <c r="L37" s="1487"/>
      <c r="M37" s="1411"/>
      <c r="N37" s="1411"/>
    </row>
    <row r="38" spans="1:14" ht="13.5">
      <c r="A38" s="1515" t="s">
        <v>572</v>
      </c>
      <c r="B38" s="1217"/>
      <c r="C38" s="1509" t="s">
        <v>482</v>
      </c>
      <c r="D38" s="1164"/>
      <c r="E38" s="1412" cm="1">
        <f t="array" ref="E38">INDEX(H38:K38,0,MATCH($E$4,$H$4:$K$4,0))</f>
        <v>0</v>
      </c>
      <c r="F38" s="1498">
        <f t="shared" si="8"/>
        <v>0</v>
      </c>
      <c r="G38" s="1480"/>
      <c r="H38" s="1492">
        <v>0</v>
      </c>
      <c r="I38" s="1492">
        <v>0</v>
      </c>
      <c r="J38" s="1492">
        <v>0</v>
      </c>
      <c r="K38" s="1492">
        <v>0</v>
      </c>
      <c r="L38" s="1411"/>
      <c r="M38" s="1411"/>
      <c r="N38" s="1411"/>
    </row>
    <row r="39" spans="1:14" ht="13.5">
      <c r="A39" s="1515"/>
      <c r="B39" s="1217"/>
      <c r="C39" s="1508" t="s">
        <v>582</v>
      </c>
      <c r="D39" s="1472"/>
      <c r="E39" s="1486" cm="1">
        <f t="array" ref="E39">INDEX(H39:K39,0,MATCH($E$4,$H$4:$K$4,0))</f>
        <v>9312</v>
      </c>
      <c r="F39" s="1499">
        <f t="shared" si="8"/>
        <v>123.73106563911772</v>
      </c>
      <c r="G39" s="1480"/>
      <c r="H39" s="1468">
        <f t="shared" ref="H39:I39" si="10">SUM(H40:H49)</f>
        <v>9312</v>
      </c>
      <c r="I39" s="1468">
        <f t="shared" si="10"/>
        <v>9098</v>
      </c>
      <c r="J39" s="1468">
        <f>SUM(J40:J49)</f>
        <v>9312</v>
      </c>
      <c r="K39" s="1468">
        <f>SUM(K40:K49)</f>
        <v>9312</v>
      </c>
      <c r="L39" s="1411"/>
      <c r="M39" s="1487"/>
      <c r="N39" s="1487"/>
    </row>
    <row r="40" spans="1:14" ht="13.5">
      <c r="A40" s="1515" t="s">
        <v>572</v>
      </c>
      <c r="B40" s="1217"/>
      <c r="C40" s="1509" t="s">
        <v>583</v>
      </c>
      <c r="D40" s="1164"/>
      <c r="E40" s="1412" cm="1">
        <f t="array" ref="E40">INDEX(H40:K40,0,MATCH($E$4,$H$4:$K$4,0))</f>
        <v>532</v>
      </c>
      <c r="F40" s="1498">
        <f t="shared" si="8"/>
        <v>7.0688280627159177</v>
      </c>
      <c r="G40" s="1480"/>
      <c r="H40" s="1492">
        <v>532</v>
      </c>
      <c r="I40" s="1492">
        <v>572</v>
      </c>
      <c r="J40" s="1492">
        <v>532</v>
      </c>
      <c r="K40" s="1492">
        <v>532</v>
      </c>
      <c r="L40" s="1411"/>
      <c r="M40" s="1411"/>
      <c r="N40" s="1411"/>
    </row>
    <row r="41" spans="1:14" ht="13.5">
      <c r="A41" s="1515" t="s">
        <v>572</v>
      </c>
      <c r="B41" s="1217"/>
      <c r="C41" s="1509" t="s">
        <v>584</v>
      </c>
      <c r="D41" s="1164"/>
      <c r="E41" s="1412" cm="1">
        <f t="array" ref="E41">INDEX(H41:K41,0,MATCH($E$4,$H$4:$K$4,0))</f>
        <v>480</v>
      </c>
      <c r="F41" s="1498">
        <f t="shared" si="8"/>
        <v>6.3778899813978205</v>
      </c>
      <c r="G41" s="1480"/>
      <c r="H41" s="1492">
        <v>480</v>
      </c>
      <c r="I41" s="1492">
        <v>518</v>
      </c>
      <c r="J41" s="1492">
        <v>480</v>
      </c>
      <c r="K41" s="1492">
        <v>480</v>
      </c>
      <c r="L41" s="1411"/>
      <c r="M41" s="1411"/>
      <c r="N41" s="1411"/>
    </row>
    <row r="42" spans="1:14" ht="13.5">
      <c r="A42" s="1515" t="s">
        <v>572</v>
      </c>
      <c r="B42" s="1217"/>
      <c r="C42" s="1509" t="s">
        <v>585</v>
      </c>
      <c r="D42" s="1164"/>
      <c r="E42" s="1412" cm="1">
        <f t="array" ref="E42">INDEX(H42:K42,0,MATCH($E$4,$H$4:$K$4,0))</f>
        <v>1165</v>
      </c>
      <c r="F42" s="1498">
        <f t="shared" si="8"/>
        <v>15.479670475684294</v>
      </c>
      <c r="G42" s="1480"/>
      <c r="H42" s="1492">
        <v>1165</v>
      </c>
      <c r="I42" s="1492">
        <v>1253</v>
      </c>
      <c r="J42" s="1492">
        <v>1165</v>
      </c>
      <c r="K42" s="1492">
        <v>1165</v>
      </c>
      <c r="L42" s="1471"/>
      <c r="M42" s="1411"/>
      <c r="N42" s="1411"/>
    </row>
    <row r="43" spans="1:14" ht="13.5">
      <c r="A43" s="1515"/>
      <c r="B43" s="1217"/>
      <c r="C43" s="1509" t="s">
        <v>586</v>
      </c>
      <c r="D43" s="1164"/>
      <c r="E43" s="1412" cm="1">
        <f t="array" ref="E43">INDEX(H43:K43,0,MATCH($E$4,$H$4:$K$4,0))</f>
        <v>595</v>
      </c>
      <c r="F43" s="1498">
        <f t="shared" ref="F43:F48" si="11">E43/$E$8</f>
        <v>7.9059261227743818</v>
      </c>
      <c r="G43" s="1480"/>
      <c r="H43" s="1492">
        <v>595</v>
      </c>
      <c r="I43" s="1492">
        <v>641</v>
      </c>
      <c r="J43" s="1492">
        <v>595</v>
      </c>
      <c r="K43" s="1492">
        <v>595</v>
      </c>
      <c r="L43" s="1471"/>
      <c r="M43" s="1411"/>
      <c r="N43" s="1411"/>
    </row>
    <row r="44" spans="1:14" ht="13.5">
      <c r="A44" s="1515"/>
      <c r="B44" s="1217"/>
      <c r="C44" s="1509" t="s">
        <v>587</v>
      </c>
      <c r="D44" s="1164"/>
      <c r="E44" s="1412" cm="1">
        <f t="array" ref="E44">INDEX(H44:K44,0,MATCH($E$4,$H$4:$K$4,0))</f>
        <v>1685</v>
      </c>
      <c r="F44" s="1498">
        <f t="shared" si="11"/>
        <v>22.389051288865264</v>
      </c>
      <c r="G44" s="1480"/>
      <c r="H44" s="1492">
        <v>1685</v>
      </c>
      <c r="I44" s="1492">
        <v>1814</v>
      </c>
      <c r="J44" s="1492">
        <v>1685</v>
      </c>
      <c r="K44" s="1492">
        <v>1685</v>
      </c>
      <c r="L44" s="1471"/>
      <c r="M44" s="1411"/>
      <c r="N44" s="1411"/>
    </row>
    <row r="45" spans="1:14" ht="13.5">
      <c r="A45" s="1515"/>
      <c r="B45" s="1217"/>
      <c r="C45" s="1509" t="s">
        <v>588</v>
      </c>
      <c r="D45" s="1164"/>
      <c r="E45" s="1412" cm="1">
        <f t="array" ref="E45">INDEX(H45:K45,0,MATCH($E$4,$H$4:$K$4,0))</f>
        <v>1366</v>
      </c>
      <c r="F45" s="1498">
        <f t="shared" si="11"/>
        <v>18.15041190539463</v>
      </c>
      <c r="G45" s="1480"/>
      <c r="H45" s="1492">
        <v>1366</v>
      </c>
      <c r="I45" s="1492">
        <v>1138</v>
      </c>
      <c r="J45" s="1492">
        <v>1366</v>
      </c>
      <c r="K45" s="1492">
        <v>1366</v>
      </c>
      <c r="L45" s="1471"/>
      <c r="M45" s="1411"/>
      <c r="N45" s="1411"/>
    </row>
    <row r="46" spans="1:14" ht="13.5">
      <c r="A46" s="1515"/>
      <c r="B46" s="1217"/>
      <c r="C46" s="1509" t="s">
        <v>589</v>
      </c>
      <c r="D46" s="1164"/>
      <c r="E46" s="1412" cm="1">
        <f t="array" ref="E46">INDEX(H46:K46,0,MATCH($E$4,$H$4:$K$4,0))</f>
        <v>0</v>
      </c>
      <c r="F46" s="1498">
        <f t="shared" si="11"/>
        <v>0</v>
      </c>
      <c r="G46" s="1480"/>
      <c r="H46" s="1492">
        <v>0</v>
      </c>
      <c r="I46" s="1492">
        <v>0</v>
      </c>
      <c r="J46" s="1492">
        <v>0</v>
      </c>
      <c r="K46" s="1492">
        <v>0</v>
      </c>
      <c r="L46" s="1471"/>
      <c r="M46" s="1411"/>
      <c r="N46" s="1411"/>
    </row>
    <row r="47" spans="1:14" ht="13.5">
      <c r="A47" s="1515"/>
      <c r="B47" s="1217"/>
      <c r="C47" s="1509" t="s">
        <v>590</v>
      </c>
      <c r="D47" s="1164"/>
      <c r="E47" s="1412" cm="1">
        <f t="array" ref="E47">INDEX(H47:K47,0,MATCH($E$4,$H$4:$K$4,0))</f>
        <v>3342</v>
      </c>
      <c r="F47" s="1498">
        <f t="shared" si="11"/>
        <v>44.406058995482326</v>
      </c>
      <c r="G47" s="1480"/>
      <c r="H47" s="1492">
        <v>3342</v>
      </c>
      <c r="I47" s="1492">
        <v>3003</v>
      </c>
      <c r="J47" s="1492">
        <v>3342</v>
      </c>
      <c r="K47" s="1492">
        <v>3342</v>
      </c>
      <c r="L47" s="1471"/>
      <c r="M47" s="1411"/>
      <c r="N47" s="1411"/>
    </row>
    <row r="48" spans="1:14" ht="13.5">
      <c r="A48" s="1515"/>
      <c r="B48" s="1217"/>
      <c r="C48" s="1509" t="s">
        <v>591</v>
      </c>
      <c r="D48" s="1164"/>
      <c r="E48" s="1412" cm="1">
        <f t="array" ref="E48">INDEX(H48:K48,0,MATCH($E$4,$H$4:$K$4,0))</f>
        <v>147</v>
      </c>
      <c r="F48" s="1498">
        <f t="shared" si="11"/>
        <v>1.9532288068030825</v>
      </c>
      <c r="G48" s="1480"/>
      <c r="H48" s="1492">
        <v>147</v>
      </c>
      <c r="I48" s="1492">
        <v>159</v>
      </c>
      <c r="J48" s="1492">
        <v>147</v>
      </c>
      <c r="K48" s="1492">
        <v>147</v>
      </c>
      <c r="L48" s="1471"/>
      <c r="M48" s="1411"/>
      <c r="N48" s="1411"/>
    </row>
    <row r="49" spans="1:14" ht="13.5">
      <c r="A49" s="1515" t="s">
        <v>572</v>
      </c>
      <c r="B49" s="1217"/>
      <c r="C49" s="1509" t="s">
        <v>482</v>
      </c>
      <c r="D49" s="1164"/>
      <c r="E49" s="1412" cm="1">
        <f t="array" ref="E49">INDEX(H49:K49,0,MATCH($E$4,$H$4:$K$4,0))</f>
        <v>0</v>
      </c>
      <c r="F49" s="1498">
        <f t="shared" si="8"/>
        <v>0</v>
      </c>
      <c r="G49" s="1480"/>
      <c r="H49" s="1492">
        <v>0</v>
      </c>
      <c r="I49" s="1492">
        <v>0</v>
      </c>
      <c r="J49" s="1492">
        <v>0</v>
      </c>
      <c r="K49" s="1492">
        <v>0</v>
      </c>
      <c r="L49" s="1487"/>
      <c r="M49" s="1411"/>
      <c r="N49" s="1411"/>
    </row>
    <row r="50" spans="1:14" ht="13.5">
      <c r="A50" s="1515"/>
      <c r="B50" s="1217"/>
      <c r="C50" s="1508" t="s">
        <v>592</v>
      </c>
      <c r="D50" s="1472"/>
      <c r="E50" s="1486" cm="1">
        <f t="array" ref="E50">INDEX(H50:K50,0,MATCH($E$4,$H$4:$K$4,0))</f>
        <v>0</v>
      </c>
      <c r="F50" s="1499">
        <f t="shared" ref="F50" si="12">E50/$E$8</f>
        <v>0</v>
      </c>
      <c r="G50" s="1480"/>
      <c r="H50" s="1468">
        <f>SUM(H52:H54)</f>
        <v>30768</v>
      </c>
      <c r="I50" s="1468">
        <f t="shared" ref="I50:K50" si="13">SUM(I52:I54)</f>
        <v>0</v>
      </c>
      <c r="J50" s="1468">
        <f t="shared" si="13"/>
        <v>0</v>
      </c>
      <c r="K50" s="1468">
        <f t="shared" si="13"/>
        <v>0</v>
      </c>
      <c r="L50" s="1487"/>
      <c r="M50" s="1411"/>
      <c r="N50" s="1411"/>
    </row>
    <row r="51" spans="1:14" ht="13.5">
      <c r="A51" s="1515"/>
      <c r="B51" s="1217"/>
      <c r="C51" s="1509" t="s">
        <v>593</v>
      </c>
      <c r="D51" s="1164"/>
      <c r="E51" s="1696" cm="1">
        <f t="array" ref="E51">INDEX(H51:K51,0,MATCH($E$4,$H$4:$K$4,0))</f>
        <v>0.86</v>
      </c>
      <c r="F51" s="1499" t="s">
        <v>594</v>
      </c>
      <c r="G51" s="1697"/>
      <c r="H51" s="1698">
        <v>0.86</v>
      </c>
      <c r="I51" s="1698">
        <v>0.86</v>
      </c>
      <c r="J51" s="1698">
        <v>0.86</v>
      </c>
      <c r="K51" s="1698">
        <v>0.86</v>
      </c>
      <c r="L51" s="1487"/>
      <c r="M51" s="1411"/>
      <c r="N51" s="1411"/>
    </row>
    <row r="52" spans="1:14" ht="13.5">
      <c r="A52" s="1515"/>
      <c r="B52" s="1217"/>
      <c r="C52" s="1509" t="s">
        <v>595</v>
      </c>
      <c r="D52" s="1164"/>
      <c r="E52" s="1412" cm="1">
        <f t="array" ref="E52">INDEX(H52:K52,0,MATCH($E$4,$H$4:$K$4,0))</f>
        <v>0</v>
      </c>
      <c r="F52" s="1499">
        <f>E52/$E$8</f>
        <v>0</v>
      </c>
      <c r="G52" s="1480"/>
      <c r="H52" s="1492">
        <f t="shared" ref="H52:I52" si="14">IF(AND(H16&gt;0,H20&gt;0),((78*H20+55*H16)*H51+100),0)</f>
        <v>18762</v>
      </c>
      <c r="I52" s="1492">
        <f t="shared" si="14"/>
        <v>0</v>
      </c>
      <c r="J52" s="1492">
        <f>IF(AND(J16&gt;0,J20&gt;0),((78*J20+55*J16)*J51+100),0)</f>
        <v>0</v>
      </c>
      <c r="K52" s="1492">
        <f>IF(AND(K16&gt;0,K20&gt;0),((78*K20+55*K16)*K51+100),0)</f>
        <v>0</v>
      </c>
      <c r="L52" s="1487"/>
      <c r="M52" s="1411"/>
      <c r="N52" s="1411"/>
    </row>
    <row r="53" spans="1:14" ht="13.5">
      <c r="A53" s="1515"/>
      <c r="B53" s="1217"/>
      <c r="C53" s="1509" t="s">
        <v>596</v>
      </c>
      <c r="D53" s="1164"/>
      <c r="E53" s="1412" cm="1">
        <f t="array" ref="E53">INDEX(H53:K53,0,MATCH($E$4,$H$4:$K$4,0))</f>
        <v>0</v>
      </c>
      <c r="F53" s="1499">
        <f>E53/$E$8</f>
        <v>0</v>
      </c>
      <c r="G53" s="1480"/>
      <c r="H53" s="1492">
        <f t="shared" ref="H53:I53" si="15">IF(AND(H16&gt;0,H20&gt;0),360*(H17+1)*(1+15%),0)</f>
        <v>6209.9999999999991</v>
      </c>
      <c r="I53" s="1492">
        <f t="shared" si="15"/>
        <v>0</v>
      </c>
      <c r="J53" s="1492">
        <f>IF(AND(J16&gt;0,J20&gt;0),360*(J17+1)*(1+15%),0)</f>
        <v>0</v>
      </c>
      <c r="K53" s="1492">
        <f>IF(AND(K16&gt;0,K20&gt;0),360*(K17+1)*(1+15%),0)</f>
        <v>0</v>
      </c>
      <c r="L53" s="1487"/>
      <c r="M53" s="1411"/>
      <c r="N53" s="1411"/>
    </row>
    <row r="54" spans="1:14" ht="13.5">
      <c r="A54" s="1515"/>
      <c r="B54" s="1217"/>
      <c r="C54" s="1509" t="s">
        <v>597</v>
      </c>
      <c r="D54" s="1164"/>
      <c r="E54" s="1412" cm="1">
        <f t="array" ref="E54">INDEX(H54:K54,0,MATCH($E$4,$H$4:$K$4,0))</f>
        <v>0</v>
      </c>
      <c r="F54" s="1499">
        <f>E54/$E$8</f>
        <v>0</v>
      </c>
      <c r="G54" s="1480"/>
      <c r="H54" s="1492">
        <f t="shared" ref="H54:I54" si="16">IF(AND(H16&gt;0,H20&gt;0),90*H21,0)</f>
        <v>5795.9999999999991</v>
      </c>
      <c r="I54" s="1492">
        <f t="shared" si="16"/>
        <v>0</v>
      </c>
      <c r="J54" s="1492">
        <f>IF(AND(J16&gt;0,J20&gt;0),90*J21,0)</f>
        <v>0</v>
      </c>
      <c r="K54" s="1492">
        <f>IF(AND(K16&gt;0,K20&gt;0),90*K21,0)</f>
        <v>0</v>
      </c>
      <c r="L54" s="1487"/>
      <c r="M54" s="1411"/>
      <c r="N54" s="1411"/>
    </row>
    <row r="55" spans="1:14" ht="13.5">
      <c r="A55" s="1515"/>
      <c r="B55" s="1217"/>
      <c r="C55" s="1509" t="s">
        <v>598</v>
      </c>
      <c r="D55" s="1164"/>
      <c r="E55" s="1421" cm="1">
        <f t="array" ref="E55">INDEX(H55:K55,0,MATCH($E$4,$H$4:$K$4,0))</f>
        <v>0.06</v>
      </c>
      <c r="F55" s="1499" t="s">
        <v>594</v>
      </c>
      <c r="G55" s="1480"/>
      <c r="H55" s="1670">
        <v>0.06</v>
      </c>
      <c r="I55" s="1670">
        <v>0.06</v>
      </c>
      <c r="J55" s="1670">
        <v>0.06</v>
      </c>
      <c r="K55" s="1670">
        <v>0.06</v>
      </c>
      <c r="L55" s="1487"/>
      <c r="M55" s="1411"/>
      <c r="N55" s="1411"/>
    </row>
    <row r="56" spans="1:14" s="1469" customFormat="1" ht="13.5">
      <c r="A56" s="1515"/>
      <c r="B56" s="1217"/>
      <c r="C56" s="1507" t="s">
        <v>599</v>
      </c>
      <c r="D56" s="1475"/>
      <c r="E56" s="1481" cm="1">
        <f t="array" ref="E56">INDEX(H56:K56,0,MATCH($E$4,$H$4:$K$4,0))</f>
        <v>2014</v>
      </c>
      <c r="F56" s="1501">
        <f>E56/$E$8</f>
        <v>26.760563380281688</v>
      </c>
      <c r="G56" s="1480"/>
      <c r="H56" s="1482">
        <f>H57+H66+H67+H69</f>
        <v>2014</v>
      </c>
      <c r="I56" s="1482">
        <f>I57+I66+I67+I69</f>
        <v>1635</v>
      </c>
      <c r="J56" s="1482">
        <f>J57+J66+J67+J69</f>
        <v>2014</v>
      </c>
      <c r="K56" s="1482">
        <f>K57+K66+K67+K69</f>
        <v>2014</v>
      </c>
      <c r="L56" s="1411"/>
      <c r="M56" s="1471"/>
      <c r="N56" s="1471"/>
    </row>
    <row r="57" spans="1:14" ht="13.5">
      <c r="A57" s="1515"/>
      <c r="B57" s="1217"/>
      <c r="C57" s="1508" t="s">
        <v>600</v>
      </c>
      <c r="D57" s="1472"/>
      <c r="E57" s="1486" cm="1">
        <f t="array" ref="E57">INDEX(H57:K57,0,MATCH($E$4,$H$4:$K$4,0))</f>
        <v>1543</v>
      </c>
      <c r="F57" s="1499">
        <f t="shared" si="8"/>
        <v>20.502258836035075</v>
      </c>
      <c r="G57" s="1480"/>
      <c r="H57" s="1468">
        <f>SUM(H58:H65)</f>
        <v>1543</v>
      </c>
      <c r="I57" s="1468">
        <f>SUM(I58:I65)</f>
        <v>1126</v>
      </c>
      <c r="J57" s="1468">
        <f>SUM(J58:J65)</f>
        <v>1543</v>
      </c>
      <c r="K57" s="1468">
        <f>SUM(K58:K65)</f>
        <v>1543</v>
      </c>
      <c r="L57" s="1411"/>
      <c r="M57" s="1487"/>
      <c r="N57" s="1487"/>
    </row>
    <row r="58" spans="1:14" ht="13.5">
      <c r="A58" s="1515" t="s">
        <v>572</v>
      </c>
      <c r="B58" s="1217"/>
      <c r="C58" s="1509" t="s">
        <v>601</v>
      </c>
      <c r="D58" s="1164"/>
      <c r="E58" s="1412" cm="1">
        <f t="array" ref="E58">INDEX(H58:K58,0,MATCH($E$4,$H$4:$K$4,0))</f>
        <v>713</v>
      </c>
      <c r="F58" s="1498">
        <f t="shared" si="8"/>
        <v>9.4738240765346795</v>
      </c>
      <c r="G58" s="1480"/>
      <c r="H58" s="1492">
        <v>713</v>
      </c>
      <c r="I58" s="1492">
        <v>553</v>
      </c>
      <c r="J58" s="1492">
        <v>713</v>
      </c>
      <c r="K58" s="1492">
        <v>713</v>
      </c>
      <c r="L58" s="1411"/>
      <c r="M58" s="1411"/>
      <c r="N58" s="1411"/>
    </row>
    <row r="59" spans="1:14" ht="13.5">
      <c r="A59" s="1515" t="s">
        <v>572</v>
      </c>
      <c r="B59" s="1217"/>
      <c r="C59" s="1509" t="s">
        <v>602</v>
      </c>
      <c r="D59" s="1164"/>
      <c r="E59" s="1412" cm="1">
        <f t="array" ref="E59">INDEX(H59:K59,0,MATCH($E$4,$H$4:$K$4,0))</f>
        <v>255</v>
      </c>
      <c r="F59" s="1498">
        <f t="shared" si="8"/>
        <v>3.3882540526175919</v>
      </c>
      <c r="G59" s="1480"/>
      <c r="H59" s="1492">
        <v>255</v>
      </c>
      <c r="I59" s="1492">
        <v>221</v>
      </c>
      <c r="J59" s="1492">
        <v>255</v>
      </c>
      <c r="K59" s="1492">
        <v>255</v>
      </c>
      <c r="L59" s="1471"/>
      <c r="M59" s="1411"/>
      <c r="N59" s="1411"/>
    </row>
    <row r="60" spans="1:14" ht="13.5">
      <c r="A60" s="1515" t="s">
        <v>572</v>
      </c>
      <c r="B60" s="1217"/>
      <c r="C60" s="1509" t="s">
        <v>603</v>
      </c>
      <c r="D60" s="1164"/>
      <c r="E60" s="1412" cm="1">
        <f t="array" ref="E60">INDEX(H60:K60,0,MATCH($E$4,$H$4:$K$4,0))</f>
        <v>118</v>
      </c>
      <c r="F60" s="1498">
        <f t="shared" si="8"/>
        <v>1.5678979537602975</v>
      </c>
      <c r="G60" s="1480"/>
      <c r="H60" s="1492">
        <v>118</v>
      </c>
      <c r="I60" s="1492">
        <v>74</v>
      </c>
      <c r="J60" s="1492">
        <v>118</v>
      </c>
      <c r="K60" s="1492">
        <v>118</v>
      </c>
      <c r="L60" s="1487"/>
      <c r="M60" s="1411"/>
      <c r="N60" s="1411"/>
    </row>
    <row r="61" spans="1:14" ht="13.5">
      <c r="A61" s="1515"/>
      <c r="B61" s="1217"/>
      <c r="C61" s="1509" t="s">
        <v>604</v>
      </c>
      <c r="D61" s="1164"/>
      <c r="E61" s="1412" cm="1">
        <f t="array" ref="E61">INDEX(H61:K61,0,MATCH($E$4,$H$4:$K$4,0))</f>
        <v>0</v>
      </c>
      <c r="F61" s="1499">
        <f t="shared" si="8"/>
        <v>0</v>
      </c>
      <c r="G61" s="1480"/>
      <c r="H61" s="1492">
        <v>0</v>
      </c>
      <c r="I61" s="1492">
        <v>0</v>
      </c>
      <c r="J61" s="1492">
        <v>0</v>
      </c>
      <c r="K61" s="1492">
        <v>0</v>
      </c>
      <c r="L61" s="1487"/>
      <c r="M61" s="1411"/>
      <c r="N61" s="1411"/>
    </row>
    <row r="62" spans="1:14" ht="13.5">
      <c r="A62" s="1515"/>
      <c r="B62" s="1217"/>
      <c r="C62" s="1509" t="s">
        <v>605</v>
      </c>
      <c r="D62" s="1164"/>
      <c r="E62" s="1412" cm="1">
        <f t="array" ref="E62">INDEX(H62:K62,0,MATCH($E$4,$H$4:$K$4,0))</f>
        <v>82</v>
      </c>
      <c r="F62" s="1498">
        <f t="shared" si="8"/>
        <v>1.089556205155461</v>
      </c>
      <c r="G62" s="1480"/>
      <c r="H62" s="1492">
        <v>82</v>
      </c>
      <c r="I62" s="1492">
        <v>88</v>
      </c>
      <c r="J62" s="1492">
        <v>82</v>
      </c>
      <c r="K62" s="1492">
        <v>82</v>
      </c>
      <c r="L62" s="1487"/>
      <c r="M62" s="1411"/>
      <c r="N62" s="1411"/>
    </row>
    <row r="63" spans="1:14" ht="13.5">
      <c r="A63" s="1515"/>
      <c r="B63" s="1217"/>
      <c r="C63" s="1509" t="s">
        <v>606</v>
      </c>
      <c r="D63" s="1164"/>
      <c r="E63" s="1412" cm="1">
        <f t="array" ref="E63">INDEX(H63:K63,0,MATCH($E$4,$H$4:$K$4,0))</f>
        <v>50</v>
      </c>
      <c r="F63" s="1498">
        <f t="shared" si="8"/>
        <v>0.66436353972893958</v>
      </c>
      <c r="G63" s="1480"/>
      <c r="H63" s="1492">
        <v>50</v>
      </c>
      <c r="I63" s="1492">
        <v>55</v>
      </c>
      <c r="J63" s="1492">
        <v>50</v>
      </c>
      <c r="K63" s="1492">
        <v>50</v>
      </c>
      <c r="L63" s="1487"/>
      <c r="M63" s="1411"/>
      <c r="N63" s="1411"/>
    </row>
    <row r="64" spans="1:14" ht="13.5">
      <c r="A64" s="1515"/>
      <c r="B64" s="1217"/>
      <c r="C64" s="1509" t="s">
        <v>607</v>
      </c>
      <c r="D64" s="1164"/>
      <c r="E64" s="1412" cm="1">
        <f t="array" ref="E64">INDEX(H64:K64,0,MATCH($E$4,$H$4:$K$4,0))</f>
        <v>325</v>
      </c>
      <c r="F64" s="1498">
        <f t="shared" si="8"/>
        <v>4.3183630082381077</v>
      </c>
      <c r="G64" s="1480"/>
      <c r="H64" s="1492">
        <v>325</v>
      </c>
      <c r="I64" s="1492">
        <v>135</v>
      </c>
      <c r="J64" s="1492">
        <v>325</v>
      </c>
      <c r="K64" s="1492">
        <v>325</v>
      </c>
      <c r="L64" s="1487"/>
      <c r="M64" s="1411"/>
      <c r="N64" s="1411"/>
    </row>
    <row r="65" spans="1:21" ht="13.5">
      <c r="A65" s="1515" t="s">
        <v>572</v>
      </c>
      <c r="B65" s="1217"/>
      <c r="C65" s="1509" t="s">
        <v>608</v>
      </c>
      <c r="D65" s="1164"/>
      <c r="E65" s="1412" cm="1">
        <f t="array" ref="E65">INDEX(H65:K65,0,MATCH($E$4,$H$4:$K$4,0))</f>
        <v>0</v>
      </c>
      <c r="F65" s="1498">
        <f t="shared" si="8"/>
        <v>0</v>
      </c>
      <c r="G65" s="1480"/>
      <c r="H65" s="1492">
        <v>0</v>
      </c>
      <c r="I65" s="1492">
        <v>0</v>
      </c>
      <c r="J65" s="1492">
        <v>0</v>
      </c>
      <c r="K65" s="1492">
        <v>0</v>
      </c>
      <c r="L65" s="1411"/>
      <c r="M65" s="1411"/>
      <c r="N65" s="1411"/>
    </row>
    <row r="66" spans="1:21" ht="13.5">
      <c r="A66" s="1515" t="s">
        <v>572</v>
      </c>
      <c r="B66" s="1217"/>
      <c r="C66" s="1508" t="s">
        <v>609</v>
      </c>
      <c r="D66" s="1472"/>
      <c r="E66" s="1486" cm="1">
        <f t="array" ref="E66">INDEX(H66:K66,0,MATCH($E$4,$H$4:$K$4,0))</f>
        <v>129</v>
      </c>
      <c r="F66" s="1499">
        <f t="shared" si="8"/>
        <v>1.7140579325006642</v>
      </c>
      <c r="G66" s="1480"/>
      <c r="H66" s="1493">
        <v>129</v>
      </c>
      <c r="I66" s="1493">
        <v>140</v>
      </c>
      <c r="J66" s="1493">
        <v>129</v>
      </c>
      <c r="K66" s="1493">
        <v>129</v>
      </c>
      <c r="L66" s="1471"/>
      <c r="M66" s="1487"/>
      <c r="N66" s="1487"/>
    </row>
    <row r="67" spans="1:21" ht="13.5">
      <c r="A67" s="1515"/>
      <c r="B67" s="1217"/>
      <c r="C67" s="1508" t="s">
        <v>610</v>
      </c>
      <c r="D67" s="1472"/>
      <c r="E67" s="1486" cm="1">
        <f t="array" ref="E67">INDEX(H67:K67,0,MATCH($E$4,$H$4:$K$4,0))</f>
        <v>342</v>
      </c>
      <c r="F67" s="1499">
        <f t="shared" si="8"/>
        <v>4.5442466117459475</v>
      </c>
      <c r="G67" s="1480"/>
      <c r="H67" s="1468">
        <v>342</v>
      </c>
      <c r="I67" s="1468">
        <v>369</v>
      </c>
      <c r="J67" s="1468">
        <v>342</v>
      </c>
      <c r="K67" s="1468">
        <v>342</v>
      </c>
      <c r="L67" s="652"/>
      <c r="M67" s="652"/>
      <c r="N67" s="652"/>
    </row>
    <row r="68" spans="1:21" ht="13.5">
      <c r="A68" s="1515" t="s">
        <v>572</v>
      </c>
      <c r="B68" s="1217"/>
      <c r="C68" s="1509" t="s">
        <v>611</v>
      </c>
      <c r="D68" s="1164"/>
      <c r="E68" s="1414" cm="1">
        <f t="array" ref="E68">INDEX(H68:K68,0,MATCH($E$4,$H$4:$K$4,0))</f>
        <v>0.02</v>
      </c>
      <c r="F68" s="1498"/>
      <c r="G68" s="1480"/>
      <c r="H68" s="1502">
        <v>0.02</v>
      </c>
      <c r="I68" s="1502">
        <v>0.02</v>
      </c>
      <c r="J68" s="1502">
        <v>0.02</v>
      </c>
      <c r="K68" s="1502">
        <v>0.02</v>
      </c>
      <c r="L68" s="652"/>
      <c r="M68" s="652"/>
      <c r="N68" s="652"/>
    </row>
    <row r="69" spans="1:21" ht="13.5">
      <c r="A69" s="1515" t="s">
        <v>572</v>
      </c>
      <c r="B69" s="1217"/>
      <c r="C69" s="1508" t="s">
        <v>612</v>
      </c>
      <c r="D69" s="1472"/>
      <c r="E69" s="1486" cm="1">
        <f t="array" ref="E69">INDEX(H69:K69,0,MATCH($E$4,$H$4:$K$4,0))</f>
        <v>0</v>
      </c>
      <c r="F69" s="1499">
        <f t="shared" si="8"/>
        <v>0</v>
      </c>
      <c r="G69" s="1480"/>
      <c r="H69" s="1493">
        <v>0</v>
      </c>
      <c r="I69" s="1493">
        <v>0</v>
      </c>
      <c r="J69" s="1493">
        <v>0</v>
      </c>
      <c r="K69" s="1493">
        <v>0</v>
      </c>
      <c r="L69" s="652" t="s">
        <v>613</v>
      </c>
      <c r="M69" s="652"/>
      <c r="N69" s="652"/>
    </row>
    <row r="70" spans="1:21" s="1469" customFormat="1" ht="13.5">
      <c r="A70" s="1515"/>
      <c r="B70" s="1217"/>
      <c r="C70" s="1507" t="s">
        <v>614</v>
      </c>
      <c r="D70" s="1475"/>
      <c r="E70" s="1481" cm="1">
        <f t="array" ref="E70">INDEX(H70:K70,0,MATCH($E$4,$H$4:$K$4,0))</f>
        <v>4050</v>
      </c>
      <c r="F70" s="1501">
        <f>E70/$E$8</f>
        <v>53.813446718044112</v>
      </c>
      <c r="G70" s="1480"/>
      <c r="H70" s="1482">
        <f>H71+H72+H73+H77+H78</f>
        <v>2650</v>
      </c>
      <c r="I70" s="1482">
        <f>I71+I72+I73+I77+I78</f>
        <v>4050</v>
      </c>
      <c r="J70" s="1482">
        <f>J71+J72+J73+J77+J78</f>
        <v>4050</v>
      </c>
      <c r="K70" s="1482">
        <f>K71+K72+K73+K77+K78</f>
        <v>4050</v>
      </c>
      <c r="L70" s="652"/>
      <c r="M70" s="652"/>
      <c r="N70" s="652"/>
      <c r="O70" s="652"/>
      <c r="P70" s="652"/>
      <c r="Q70" s="652"/>
      <c r="R70" s="652"/>
    </row>
    <row r="71" spans="1:21" ht="13.5">
      <c r="A71" s="1515" t="s">
        <v>615</v>
      </c>
      <c r="B71" s="1217"/>
      <c r="C71" s="1510" t="s">
        <v>616</v>
      </c>
      <c r="D71" s="1125"/>
      <c r="E71" s="1486" cm="1">
        <f t="array" ref="E71">INDEX(H71:K71,0,MATCH($E$4,$H$4:$K$4,0))</f>
        <v>0</v>
      </c>
      <c r="F71" s="1499">
        <f t="shared" si="8"/>
        <v>0</v>
      </c>
      <c r="G71" s="1480"/>
      <c r="H71" s="1493">
        <v>0</v>
      </c>
      <c r="I71" s="1493">
        <v>0</v>
      </c>
      <c r="J71" s="1493">
        <v>0</v>
      </c>
      <c r="K71" s="1493">
        <v>0</v>
      </c>
      <c r="L71" s="652"/>
      <c r="M71" s="652"/>
      <c r="N71" s="652"/>
    </row>
    <row r="72" spans="1:21" ht="13.5">
      <c r="A72" s="1515" t="s">
        <v>615</v>
      </c>
      <c r="B72" s="1217"/>
      <c r="C72" s="1510" t="s">
        <v>617</v>
      </c>
      <c r="D72" s="1125"/>
      <c r="E72" s="1486" cm="1">
        <f t="array" ref="E72">INDEX(H72:K72,0,MATCH($E$4,$H$4:$K$4,0))</f>
        <v>0</v>
      </c>
      <c r="F72" s="1499">
        <f t="shared" si="8"/>
        <v>0</v>
      </c>
      <c r="G72" s="1480"/>
      <c r="H72" s="1500">
        <v>0</v>
      </c>
      <c r="I72" s="1500">
        <v>0</v>
      </c>
      <c r="J72" s="1500">
        <v>0</v>
      </c>
      <c r="K72" s="1500">
        <v>0</v>
      </c>
      <c r="L72" s="652"/>
      <c r="M72" s="652"/>
      <c r="N72" s="652"/>
    </row>
    <row r="73" spans="1:21" ht="13.5">
      <c r="A73" s="1515"/>
      <c r="B73" s="1217"/>
      <c r="C73" s="1508" t="s">
        <v>618</v>
      </c>
      <c r="D73" s="1472"/>
      <c r="E73" s="1486" cm="1">
        <f t="array" ref="E73">INDEX(H73:K73,0,MATCH($E$4,$H$4:$K$4,0))</f>
        <v>150</v>
      </c>
      <c r="F73" s="1499">
        <f t="shared" si="8"/>
        <v>1.993090619186819</v>
      </c>
      <c r="G73" s="1480"/>
      <c r="H73" s="1468">
        <v>150</v>
      </c>
      <c r="I73" s="1468">
        <v>150</v>
      </c>
      <c r="J73" s="1468">
        <f>SUM(J74:J76)</f>
        <v>150</v>
      </c>
      <c r="K73" s="1468">
        <f>SUM(K74:K76)</f>
        <v>150</v>
      </c>
      <c r="L73" s="1487"/>
      <c r="M73" s="1487"/>
      <c r="N73" s="1487"/>
    </row>
    <row r="74" spans="1:21" ht="13.5">
      <c r="A74" s="1515" t="s">
        <v>572</v>
      </c>
      <c r="B74" s="1217"/>
      <c r="C74" s="1509" t="s">
        <v>619</v>
      </c>
      <c r="D74" s="1164"/>
      <c r="E74" s="1412" cm="1">
        <f t="array" ref="E74">INDEX(H74:K74,0,MATCH($E$4,$H$4:$K$4,0))</f>
        <v>150</v>
      </c>
      <c r="F74" s="1498">
        <f t="shared" si="8"/>
        <v>1.993090619186819</v>
      </c>
      <c r="G74" s="1480"/>
      <c r="H74" s="1492">
        <v>150</v>
      </c>
      <c r="I74" s="1492">
        <v>150</v>
      </c>
      <c r="J74" s="1492">
        <v>150</v>
      </c>
      <c r="K74" s="1492">
        <v>150</v>
      </c>
      <c r="L74" s="1411"/>
      <c r="M74" s="1411"/>
      <c r="N74" s="1411"/>
    </row>
    <row r="75" spans="1:21" ht="13.5">
      <c r="A75" s="1515" t="s">
        <v>572</v>
      </c>
      <c r="B75" s="1217"/>
      <c r="C75" s="1509" t="s">
        <v>620</v>
      </c>
      <c r="D75" s="1164"/>
      <c r="E75" s="1412" cm="1">
        <f t="array" ref="E75">INDEX(H75:K75,0,MATCH($E$4,$H$4:$K$4,0))</f>
        <v>0</v>
      </c>
      <c r="F75" s="1498">
        <f t="shared" si="8"/>
        <v>0</v>
      </c>
      <c r="G75" s="1480"/>
      <c r="H75" s="1492">
        <v>0</v>
      </c>
      <c r="I75" s="1492">
        <v>0</v>
      </c>
      <c r="J75" s="1492">
        <v>0</v>
      </c>
      <c r="K75" s="1492">
        <v>0</v>
      </c>
      <c r="L75" s="1411"/>
      <c r="M75" s="1411"/>
      <c r="N75" s="1411"/>
    </row>
    <row r="76" spans="1:21" ht="13.5">
      <c r="A76" s="1515" t="s">
        <v>572</v>
      </c>
      <c r="B76" s="1217"/>
      <c r="C76" s="1509" t="s">
        <v>608</v>
      </c>
      <c r="D76" s="1164"/>
      <c r="E76" s="1412" cm="1">
        <f t="array" ref="E76">INDEX(H76:K76,0,MATCH($E$4,$H$4:$K$4,0))</f>
        <v>0</v>
      </c>
      <c r="F76" s="1498">
        <f t="shared" si="8"/>
        <v>0</v>
      </c>
      <c r="G76" s="1480"/>
      <c r="H76" s="1492">
        <v>0</v>
      </c>
      <c r="I76" s="1492">
        <v>0</v>
      </c>
      <c r="J76" s="1492">
        <v>0</v>
      </c>
      <c r="K76" s="1492">
        <v>0</v>
      </c>
      <c r="L76" s="1411"/>
      <c r="M76" s="1411"/>
      <c r="N76" s="1411"/>
    </row>
    <row r="77" spans="1:21" ht="13.5">
      <c r="A77" s="1515" t="s">
        <v>572</v>
      </c>
      <c r="B77" s="1217"/>
      <c r="C77" s="1508" t="s">
        <v>621</v>
      </c>
      <c r="D77" s="1472"/>
      <c r="E77" s="1486" cm="1">
        <f t="array" ref="E77">INDEX(H77:K77,0,MATCH($E$4,$H$4:$K$4,0))</f>
        <v>3900</v>
      </c>
      <c r="F77" s="1499">
        <f t="shared" si="8"/>
        <v>51.820356098857289</v>
      </c>
      <c r="G77" s="1480"/>
      <c r="H77" s="1654">
        <v>2500</v>
      </c>
      <c r="I77" s="1654">
        <v>3900</v>
      </c>
      <c r="J77" s="1654">
        <v>3900</v>
      </c>
      <c r="K77" s="1654">
        <v>3900</v>
      </c>
      <c r="L77" s="1411" t="s">
        <v>622</v>
      </c>
      <c r="M77" s="1487"/>
      <c r="N77" s="1487"/>
    </row>
    <row r="78" spans="1:21" ht="13.5">
      <c r="A78" s="1515" t="s">
        <v>572</v>
      </c>
      <c r="B78" s="136"/>
      <c r="C78" s="1510" t="s">
        <v>623</v>
      </c>
      <c r="D78" s="1125"/>
      <c r="E78" s="1486" cm="1">
        <f t="array" ref="E78">INDEX(H78:K78,0,MATCH($E$4,$H$4:$K$4,0))</f>
        <v>0</v>
      </c>
      <c r="F78" s="1499">
        <f t="shared" si="8"/>
        <v>0</v>
      </c>
      <c r="G78" s="1480"/>
      <c r="H78" s="1500">
        <v>0</v>
      </c>
      <c r="I78" s="1500">
        <v>0</v>
      </c>
      <c r="J78" s="1500">
        <v>0</v>
      </c>
      <c r="K78" s="1500">
        <v>0</v>
      </c>
      <c r="L78" s="1471"/>
      <c r="M78" s="1487"/>
      <c r="N78" s="1487"/>
    </row>
    <row r="79" spans="1:21" s="1469" customFormat="1" ht="13.5">
      <c r="A79" s="1515"/>
      <c r="B79" s="1470"/>
      <c r="C79" s="1507" t="s">
        <v>624</v>
      </c>
      <c r="D79" s="1475"/>
      <c r="E79" s="1481" cm="1">
        <f t="array" ref="E79">INDEX(H79:K79,0,MATCH($E$4,$H$4:$K$4,0))</f>
        <v>70</v>
      </c>
      <c r="F79" s="1501">
        <f>E79/$E$8</f>
        <v>0.93010895562051543</v>
      </c>
      <c r="G79" s="1480"/>
      <c r="H79" s="1482">
        <f>SUM(H80:H83)</f>
        <v>70</v>
      </c>
      <c r="I79" s="1482">
        <f>SUM(I80:I83)</f>
        <v>70</v>
      </c>
      <c r="J79" s="1482">
        <f>SUM(J80:J83)</f>
        <v>70</v>
      </c>
      <c r="K79" s="1482">
        <f>SUM(K80:K83)</f>
        <v>70</v>
      </c>
      <c r="L79" s="1487"/>
      <c r="M79" s="1471"/>
      <c r="N79" s="1471"/>
      <c r="P79" s="652"/>
      <c r="Q79" s="652"/>
      <c r="R79" s="652"/>
      <c r="S79" s="652"/>
      <c r="T79" s="652"/>
      <c r="U79" s="652"/>
    </row>
    <row r="80" spans="1:21" ht="13.5">
      <c r="A80" s="1515" t="s">
        <v>572</v>
      </c>
      <c r="B80" s="1217"/>
      <c r="C80" s="1478" t="s">
        <v>625</v>
      </c>
      <c r="D80" s="1164"/>
      <c r="E80" s="1412" cm="1">
        <f t="array" ref="E80">INDEX(H80:K80,0,MATCH($E$4,$H$4:$K$4,0))</f>
        <v>40</v>
      </c>
      <c r="F80" s="1498">
        <f t="shared" si="8"/>
        <v>0.53149083178315171</v>
      </c>
      <c r="G80" s="1480"/>
      <c r="H80" s="1492">
        <v>40</v>
      </c>
      <c r="I80" s="1492">
        <v>40</v>
      </c>
      <c r="J80" s="1492">
        <v>40</v>
      </c>
      <c r="K80" s="1492">
        <v>40</v>
      </c>
      <c r="L80" s="1411"/>
      <c r="M80" s="1411"/>
      <c r="N80" s="1411"/>
    </row>
    <row r="81" spans="1:14" ht="13.5">
      <c r="A81" s="1515" t="s">
        <v>572</v>
      </c>
      <c r="B81" s="1217"/>
      <c r="C81" s="1478" t="s">
        <v>626</v>
      </c>
      <c r="D81" s="1164"/>
      <c r="E81" s="1412" cm="1">
        <f t="array" ref="E81">INDEX(H81:K81,0,MATCH($E$4,$H$4:$K$4,0))</f>
        <v>0</v>
      </c>
      <c r="F81" s="1498">
        <f t="shared" si="8"/>
        <v>0</v>
      </c>
      <c r="G81" s="1480"/>
      <c r="H81" s="1492">
        <v>0</v>
      </c>
      <c r="I81" s="1492">
        <v>0</v>
      </c>
      <c r="J81" s="1492">
        <v>0</v>
      </c>
      <c r="K81" s="1492">
        <v>0</v>
      </c>
      <c r="L81" s="1411"/>
      <c r="M81" s="1411"/>
      <c r="N81" s="1411"/>
    </row>
    <row r="82" spans="1:14" ht="13.5">
      <c r="A82" s="1515" t="s">
        <v>572</v>
      </c>
      <c r="B82" s="1217"/>
      <c r="C82" s="1478" t="s">
        <v>627</v>
      </c>
      <c r="D82" s="1164"/>
      <c r="E82" s="1412" cm="1">
        <f t="array" ref="E82">INDEX(H82:K82,0,MATCH($E$4,$H$4:$K$4,0))</f>
        <v>30</v>
      </c>
      <c r="F82" s="1498">
        <f t="shared" si="8"/>
        <v>0.39861812383736378</v>
      </c>
      <c r="G82" s="1480"/>
      <c r="H82" s="1492">
        <v>30</v>
      </c>
      <c r="I82" s="1492">
        <v>30</v>
      </c>
      <c r="J82" s="1492">
        <v>30</v>
      </c>
      <c r="K82" s="1492">
        <v>30</v>
      </c>
      <c r="L82" s="1411"/>
      <c r="M82" s="1411"/>
      <c r="N82" s="1411"/>
    </row>
    <row r="83" spans="1:14" ht="13.5">
      <c r="A83" s="1515" t="s">
        <v>572</v>
      </c>
      <c r="B83" s="1217"/>
      <c r="C83" s="1478" t="s">
        <v>628</v>
      </c>
      <c r="D83" s="1164"/>
      <c r="E83" s="1412" cm="1">
        <f t="array" ref="E83">INDEX(H83:K83,0,MATCH($E$4,$H$4:$K$4,0))</f>
        <v>0</v>
      </c>
      <c r="F83" s="1498">
        <f t="shared" si="8"/>
        <v>0</v>
      </c>
      <c r="G83" s="1480"/>
      <c r="H83" s="1492">
        <v>0</v>
      </c>
      <c r="I83" s="1492">
        <v>0</v>
      </c>
      <c r="J83" s="1492">
        <v>0</v>
      </c>
      <c r="K83" s="1492">
        <v>0</v>
      </c>
      <c r="L83" s="1411"/>
      <c r="M83" s="1411"/>
      <c r="N83" s="1411"/>
    </row>
    <row r="84" spans="1:14" s="1469" customFormat="1" ht="13.5">
      <c r="A84" s="1515"/>
      <c r="B84" s="1470"/>
      <c r="C84" s="1507" t="s">
        <v>629</v>
      </c>
      <c r="D84" s="1475"/>
      <c r="E84" s="1481" cm="1">
        <f t="array" ref="E84">INDEX(H84:K84,0,MATCH($E$4,$H$4:$K$4,0))</f>
        <v>80</v>
      </c>
      <c r="F84" s="1501">
        <f>E84/$E$8</f>
        <v>1.0629816635663034</v>
      </c>
      <c r="G84" s="1480"/>
      <c r="H84" s="1482">
        <f>SUM(H85:H90)</f>
        <v>80</v>
      </c>
      <c r="I84" s="1482">
        <f>SUM(I85:I90)</f>
        <v>80</v>
      </c>
      <c r="J84" s="1482">
        <f>SUM(J85:J90)</f>
        <v>80</v>
      </c>
      <c r="K84" s="1482">
        <f>SUM(K85:K90)</f>
        <v>80</v>
      </c>
      <c r="L84" s="1471"/>
      <c r="M84" s="1471"/>
      <c r="N84" s="1471"/>
    </row>
    <row r="85" spans="1:14" ht="13.5">
      <c r="A85" s="1515" t="s">
        <v>572</v>
      </c>
      <c r="B85" s="1217"/>
      <c r="C85" s="1478" t="s">
        <v>630</v>
      </c>
      <c r="D85" s="1164"/>
      <c r="E85" s="1412" cm="1">
        <f t="array" ref="E85">INDEX(H85:K85,0,MATCH($E$4,$H$4:$K$4,0))</f>
        <v>10</v>
      </c>
      <c r="F85" s="1498">
        <f t="shared" si="8"/>
        <v>0.13287270794578793</v>
      </c>
      <c r="G85" s="1480"/>
      <c r="H85" s="1492">
        <v>10</v>
      </c>
      <c r="I85" s="1492">
        <v>10</v>
      </c>
      <c r="J85" s="1492">
        <v>10</v>
      </c>
      <c r="K85" s="1492">
        <v>10</v>
      </c>
      <c r="L85" s="1487"/>
      <c r="M85" s="1411"/>
      <c r="N85" s="1411"/>
    </row>
    <row r="86" spans="1:14" ht="13.5">
      <c r="A86" s="1515" t="s">
        <v>572</v>
      </c>
      <c r="B86" s="1217"/>
      <c r="C86" s="1478" t="s">
        <v>631</v>
      </c>
      <c r="D86" s="1164"/>
      <c r="E86" s="1412" cm="1">
        <f t="array" ref="E86">INDEX(H86:K86,0,MATCH($E$4,$H$4:$K$4,0))</f>
        <v>5</v>
      </c>
      <c r="F86" s="1498">
        <f t="shared" si="8"/>
        <v>6.6436353972893963E-2</v>
      </c>
      <c r="G86" s="1480"/>
      <c r="H86" s="1492">
        <v>5</v>
      </c>
      <c r="I86" s="1492">
        <v>5</v>
      </c>
      <c r="J86" s="1492">
        <v>5</v>
      </c>
      <c r="K86" s="1492">
        <v>5</v>
      </c>
      <c r="L86" s="1411"/>
      <c r="M86" s="1411"/>
      <c r="N86" s="1411"/>
    </row>
    <row r="87" spans="1:14" ht="13.5">
      <c r="A87" s="1515" t="s">
        <v>572</v>
      </c>
      <c r="B87" s="1217"/>
      <c r="C87" s="1478" t="s">
        <v>632</v>
      </c>
      <c r="D87" s="1164"/>
      <c r="E87" s="1412" cm="1">
        <f t="array" ref="E87">INDEX(H87:K87,0,MATCH($E$4,$H$4:$K$4,0))</f>
        <v>0</v>
      </c>
      <c r="F87" s="1498">
        <f t="shared" si="8"/>
        <v>0</v>
      </c>
      <c r="G87" s="1480"/>
      <c r="H87" s="1492">
        <v>0</v>
      </c>
      <c r="I87" s="1492">
        <v>0</v>
      </c>
      <c r="J87" s="1492">
        <v>0</v>
      </c>
      <c r="K87" s="1492">
        <v>0</v>
      </c>
      <c r="L87" s="1411"/>
      <c r="M87" s="1411"/>
      <c r="N87" s="1411"/>
    </row>
    <row r="88" spans="1:14" ht="13.5">
      <c r="A88" s="1515" t="s">
        <v>572</v>
      </c>
      <c r="B88" s="1217"/>
      <c r="C88" s="1478" t="s">
        <v>633</v>
      </c>
      <c r="D88" s="1164"/>
      <c r="E88" s="1412" cm="1">
        <f t="array" ref="E88">INDEX(H88:K88,0,MATCH($E$4,$H$4:$K$4,0))</f>
        <v>30</v>
      </c>
      <c r="F88" s="1498">
        <f t="shared" si="8"/>
        <v>0.39861812383736378</v>
      </c>
      <c r="G88" s="1480"/>
      <c r="H88" s="1492">
        <v>30</v>
      </c>
      <c r="I88" s="1492">
        <v>30</v>
      </c>
      <c r="J88" s="1492">
        <v>30</v>
      </c>
      <c r="K88" s="1492">
        <v>30</v>
      </c>
      <c r="L88" s="1411"/>
      <c r="M88" s="1411"/>
      <c r="N88" s="1411"/>
    </row>
    <row r="89" spans="1:14" ht="13.5">
      <c r="A89" s="1515" t="s">
        <v>572</v>
      </c>
      <c r="B89" s="1217"/>
      <c r="C89" s="1478" t="s">
        <v>634</v>
      </c>
      <c r="D89" s="1164"/>
      <c r="E89" s="1412" cm="1">
        <f t="array" ref="E89">INDEX(H89:K89,0,MATCH($E$4,$H$4:$K$4,0))</f>
        <v>20</v>
      </c>
      <c r="F89" s="1498">
        <f t="shared" si="8"/>
        <v>0.26574541589157585</v>
      </c>
      <c r="G89" s="1480"/>
      <c r="H89" s="1492">
        <v>20</v>
      </c>
      <c r="I89" s="1492">
        <v>20</v>
      </c>
      <c r="J89" s="1492">
        <v>20</v>
      </c>
      <c r="K89" s="1492">
        <v>20</v>
      </c>
      <c r="L89" s="1411"/>
      <c r="M89" s="1411"/>
      <c r="N89" s="1411"/>
    </row>
    <row r="90" spans="1:14" ht="13.5">
      <c r="A90" s="1515" t="s">
        <v>572</v>
      </c>
      <c r="B90" s="1217"/>
      <c r="C90" s="1478" t="s">
        <v>635</v>
      </c>
      <c r="D90" s="1164"/>
      <c r="E90" s="1412" cm="1">
        <f t="array" ref="E90">INDEX(H90:K90,0,MATCH($E$4,$H$4:$K$4,0))</f>
        <v>15</v>
      </c>
      <c r="F90" s="1498">
        <f t="shared" si="8"/>
        <v>0.19930906191868189</v>
      </c>
      <c r="G90" s="1480"/>
      <c r="H90" s="1492">
        <v>15</v>
      </c>
      <c r="I90" s="1492">
        <v>15</v>
      </c>
      <c r="J90" s="1492">
        <v>15</v>
      </c>
      <c r="K90" s="1492">
        <v>15</v>
      </c>
      <c r="L90" s="1471"/>
      <c r="M90" s="1411"/>
      <c r="N90" s="1411"/>
    </row>
    <row r="91" spans="1:14" s="1469" customFormat="1" ht="13.5">
      <c r="A91" s="1515"/>
      <c r="B91" s="1470"/>
      <c r="C91" s="1507" t="s">
        <v>636</v>
      </c>
      <c r="D91" s="1475"/>
      <c r="E91" s="1481" cm="1">
        <f t="array" ref="E91">INDEX(H91:K91,0,MATCH($E$4,$H$4:$K$4,0))</f>
        <v>320</v>
      </c>
      <c r="F91" s="1501">
        <f>E91/$E$8</f>
        <v>4.2519266542652137</v>
      </c>
      <c r="G91" s="1480"/>
      <c r="H91" s="1482">
        <f>SUM(H92:H94)</f>
        <v>320</v>
      </c>
      <c r="I91" s="1482">
        <f>SUM(I92:I94)</f>
        <v>320</v>
      </c>
      <c r="J91" s="1482">
        <f>SUM(J92:J94)</f>
        <v>320</v>
      </c>
      <c r="K91" s="1482">
        <f>SUM(K92:K94)</f>
        <v>320</v>
      </c>
      <c r="L91" s="1487"/>
      <c r="M91" s="1471"/>
      <c r="N91" s="1471"/>
    </row>
    <row r="92" spans="1:14">
      <c r="A92" s="1515" t="s">
        <v>637</v>
      </c>
      <c r="B92" s="1217"/>
      <c r="C92" s="1478" t="s">
        <v>638</v>
      </c>
      <c r="D92" s="1164"/>
      <c r="E92" s="1412" cm="1">
        <f t="array" ref="E92">INDEX(H92:K92,0,MATCH($E$4,$H$4:$K$4,0))</f>
        <v>320</v>
      </c>
      <c r="F92" s="1498">
        <f t="shared" si="8"/>
        <v>4.2519266542652137</v>
      </c>
      <c r="G92" s="1480"/>
      <c r="H92" s="1492">
        <v>320</v>
      </c>
      <c r="I92" s="1492">
        <v>320</v>
      </c>
      <c r="J92" s="1492">
        <v>320</v>
      </c>
      <c r="K92" s="1492">
        <v>320</v>
      </c>
      <c r="L92" s="1411"/>
      <c r="M92" s="1149"/>
      <c r="N92" s="1411"/>
    </row>
    <row r="93" spans="1:14" ht="13.5">
      <c r="A93" s="1515" t="s">
        <v>637</v>
      </c>
      <c r="B93" s="1217"/>
      <c r="C93" s="1478" t="s">
        <v>639</v>
      </c>
      <c r="D93" s="1164"/>
      <c r="E93" s="1412" cm="1">
        <f t="array" ref="E93">INDEX(H93:K93,0,MATCH($E$4,$H$4:$K$4,0))</f>
        <v>0</v>
      </c>
      <c r="F93" s="1498">
        <f t="shared" si="8"/>
        <v>0</v>
      </c>
      <c r="G93" s="1480"/>
      <c r="H93" s="1473">
        <v>0</v>
      </c>
      <c r="I93" s="1473">
        <v>0</v>
      </c>
      <c r="J93" s="1473">
        <v>0</v>
      </c>
      <c r="K93" s="1473">
        <v>0</v>
      </c>
      <c r="L93" s="1411"/>
      <c r="M93" s="1411"/>
      <c r="N93" s="1411"/>
    </row>
    <row r="94" spans="1:14" ht="13.5">
      <c r="A94" s="1515" t="s">
        <v>637</v>
      </c>
      <c r="B94" s="1217"/>
      <c r="C94" s="1478" t="s">
        <v>640</v>
      </c>
      <c r="D94" s="1164"/>
      <c r="E94" s="1412" cm="1">
        <f t="array" ref="E94">INDEX(H94:K94,0,MATCH($E$4,$H$4:$K$4,0))</f>
        <v>0</v>
      </c>
      <c r="F94" s="1498">
        <f t="shared" si="8"/>
        <v>0</v>
      </c>
      <c r="G94" s="1480"/>
      <c r="H94" s="1473">
        <v>0</v>
      </c>
      <c r="I94" s="1473">
        <v>0</v>
      </c>
      <c r="J94" s="1473">
        <v>0</v>
      </c>
      <c r="K94" s="1473">
        <v>0</v>
      </c>
      <c r="L94" s="1411"/>
      <c r="M94" s="1411"/>
      <c r="N94" s="1411"/>
    </row>
    <row r="95" spans="1:14" s="1469" customFormat="1" ht="13.5">
      <c r="A95" s="1515"/>
      <c r="B95" s="1470"/>
      <c r="C95" s="1507" t="s">
        <v>641</v>
      </c>
      <c r="D95" s="1475"/>
      <c r="E95" s="1481" cm="1">
        <f t="array" ref="E95">INDEX(H95:K95,0,MATCH($E$4,$H$4:$K$4,0))</f>
        <v>0</v>
      </c>
      <c r="F95" s="1501">
        <f>E95/$E$8</f>
        <v>0</v>
      </c>
      <c r="G95" s="1480"/>
      <c r="H95" s="1482">
        <f>SUM(H96:H97)</f>
        <v>0</v>
      </c>
      <c r="I95" s="1482">
        <f>SUM(I96:I97)</f>
        <v>0</v>
      </c>
      <c r="J95" s="1482">
        <f>SUM(J96:J97)</f>
        <v>0</v>
      </c>
      <c r="K95" s="1482">
        <f>SUM(K96:K97)</f>
        <v>0</v>
      </c>
      <c r="L95" s="1411"/>
      <c r="M95" s="1471"/>
      <c r="N95" s="1471"/>
    </row>
    <row r="96" spans="1:14" ht="13.5">
      <c r="A96" s="1515" t="s">
        <v>615</v>
      </c>
      <c r="B96" s="1217"/>
      <c r="C96" s="1478" t="s">
        <v>642</v>
      </c>
      <c r="D96" s="1164"/>
      <c r="E96" s="1412" cm="1">
        <f t="array" ref="E96">INDEX(H96:K96,0,MATCH($E$4,$H$4:$K$4,0))</f>
        <v>0</v>
      </c>
      <c r="F96" s="1498">
        <f t="shared" si="8"/>
        <v>0</v>
      </c>
      <c r="G96" s="1480"/>
      <c r="H96" s="1473">
        <v>0</v>
      </c>
      <c r="I96" s="1473">
        <v>0</v>
      </c>
      <c r="J96" s="1473">
        <v>0</v>
      </c>
      <c r="K96" s="1473">
        <v>0</v>
      </c>
      <c r="L96" s="1471"/>
      <c r="M96" s="1411"/>
      <c r="N96" s="1411"/>
    </row>
    <row r="97" spans="1:14" ht="13.5">
      <c r="A97" s="1515" t="s">
        <v>615</v>
      </c>
      <c r="B97" s="1217"/>
      <c r="C97" s="1478" t="s">
        <v>643</v>
      </c>
      <c r="D97" s="1164"/>
      <c r="E97" s="1412" cm="1">
        <f t="array" ref="E97">INDEX(H97:K97,0,MATCH($E$4,$H$4:$K$4,0))</f>
        <v>0</v>
      </c>
      <c r="F97" s="1498">
        <f t="shared" si="8"/>
        <v>0</v>
      </c>
      <c r="G97" s="1480"/>
      <c r="H97" s="1473">
        <v>0</v>
      </c>
      <c r="I97" s="1473">
        <v>0</v>
      </c>
      <c r="J97" s="1473">
        <v>0</v>
      </c>
      <c r="K97" s="1473">
        <v>0</v>
      </c>
      <c r="L97" s="1487"/>
      <c r="M97" s="1411"/>
      <c r="N97" s="1411"/>
    </row>
    <row r="98" spans="1:14" s="1469" customFormat="1" ht="13.5">
      <c r="A98" s="1515"/>
      <c r="B98" s="1470"/>
      <c r="C98" s="1507" t="s">
        <v>644</v>
      </c>
      <c r="D98" s="1475"/>
      <c r="E98" s="1481" cm="1">
        <f t="array" ref="E98">INDEX(H98:K98,0,MATCH($E$4,$H$4:$K$4,0))</f>
        <v>355</v>
      </c>
      <c r="F98" s="1501">
        <f>E98/$E$8</f>
        <v>4.7169811320754711</v>
      </c>
      <c r="G98" s="1480"/>
      <c r="H98" s="1482">
        <f>H99+H110+H121</f>
        <v>355</v>
      </c>
      <c r="I98" s="1482">
        <f>I99+I110+I121</f>
        <v>355</v>
      </c>
      <c r="J98" s="1482">
        <f>J99+J110+J121</f>
        <v>355</v>
      </c>
      <c r="K98" s="1482">
        <f>K99+K110+K121</f>
        <v>355</v>
      </c>
      <c r="L98" s="1411"/>
      <c r="M98" s="1471"/>
      <c r="N98" s="1471"/>
    </row>
    <row r="99" spans="1:14" s="1125" customFormat="1" ht="13.5">
      <c r="A99" s="1515"/>
      <c r="B99" s="1495"/>
      <c r="C99" s="1508" t="s">
        <v>645</v>
      </c>
      <c r="D99" s="1472"/>
      <c r="E99" s="1432" cm="1">
        <f t="array" ref="E99">INDEX(H99:K99,0,MATCH($E$4,$H$4:$K$4,0))</f>
        <v>175</v>
      </c>
      <c r="F99" s="1499">
        <f t="shared" si="8"/>
        <v>2.3252723890512885</v>
      </c>
      <c r="G99" s="1480"/>
      <c r="H99" s="1468">
        <f>SUM(H100:H109)</f>
        <v>175</v>
      </c>
      <c r="I99" s="1468">
        <f>SUM(I100:I109)</f>
        <v>175</v>
      </c>
      <c r="J99" s="1468">
        <f>SUM(J100:J109)</f>
        <v>175</v>
      </c>
      <c r="K99" s="1468">
        <f>SUM(K100:K109)</f>
        <v>175</v>
      </c>
      <c r="L99" s="1411"/>
      <c r="M99" s="1496"/>
      <c r="N99" s="1496"/>
    </row>
    <row r="100" spans="1:14" ht="13.5">
      <c r="A100" s="1515" t="s">
        <v>646</v>
      </c>
      <c r="B100" s="1217"/>
      <c r="C100" s="1509" t="s">
        <v>647</v>
      </c>
      <c r="D100" s="1164"/>
      <c r="E100" s="1412" cm="1">
        <f t="array" ref="E100">INDEX(H100:K100,0,MATCH($E$4,$H$4:$K$4,0))</f>
        <v>0</v>
      </c>
      <c r="F100" s="1498">
        <f t="shared" ref="F100:F146" si="17">E100/$E$8</f>
        <v>0</v>
      </c>
      <c r="G100" s="1480"/>
      <c r="H100" s="1492">
        <v>0</v>
      </c>
      <c r="I100" s="1492">
        <v>0</v>
      </c>
      <c r="J100" s="1492">
        <v>0</v>
      </c>
      <c r="K100" s="1492">
        <v>0</v>
      </c>
      <c r="L100" s="1411"/>
      <c r="M100" s="1411"/>
      <c r="N100" s="1411"/>
    </row>
    <row r="101" spans="1:14" ht="13.5">
      <c r="A101" s="1515" t="s">
        <v>646</v>
      </c>
      <c r="B101" s="1217"/>
      <c r="C101" s="1509" t="s">
        <v>648</v>
      </c>
      <c r="D101" s="1164"/>
      <c r="E101" s="1412" cm="1">
        <f t="array" ref="E101">INDEX(H101:K101,0,MATCH($E$4,$H$4:$K$4,0))</f>
        <v>10</v>
      </c>
      <c r="F101" s="1498">
        <f t="shared" si="17"/>
        <v>0.13287270794578793</v>
      </c>
      <c r="G101" s="1480"/>
      <c r="H101" s="1492">
        <v>10</v>
      </c>
      <c r="I101" s="1492">
        <v>10</v>
      </c>
      <c r="J101" s="1492">
        <v>10</v>
      </c>
      <c r="K101" s="1492">
        <v>10</v>
      </c>
      <c r="L101" s="1411"/>
      <c r="M101" s="1411"/>
      <c r="N101" s="1411"/>
    </row>
    <row r="102" spans="1:14" ht="13.5">
      <c r="A102" s="1515" t="s">
        <v>646</v>
      </c>
      <c r="B102" s="1217"/>
      <c r="C102" s="1509" t="s">
        <v>649</v>
      </c>
      <c r="D102" s="1164"/>
      <c r="E102" s="1412" cm="1">
        <f t="array" ref="E102">INDEX(H102:K102,0,MATCH($E$4,$H$4:$K$4,0))</f>
        <v>5</v>
      </c>
      <c r="F102" s="1498">
        <f t="shared" si="17"/>
        <v>6.6436353972893963E-2</v>
      </c>
      <c r="G102" s="1480"/>
      <c r="H102" s="1492">
        <v>5</v>
      </c>
      <c r="I102" s="1492">
        <v>5</v>
      </c>
      <c r="J102" s="1492">
        <v>5</v>
      </c>
      <c r="K102" s="1492">
        <v>5</v>
      </c>
      <c r="L102" s="1471"/>
      <c r="M102" s="1411"/>
      <c r="N102" s="1411"/>
    </row>
    <row r="103" spans="1:14" ht="13.5">
      <c r="A103" s="1515" t="s">
        <v>646</v>
      </c>
      <c r="B103" s="1217"/>
      <c r="C103" s="1509" t="s">
        <v>650</v>
      </c>
      <c r="D103" s="1164"/>
      <c r="E103" s="1412" cm="1">
        <f t="array" ref="E103">INDEX(H103:K103,0,MATCH($E$4,$H$4:$K$4,0))</f>
        <v>10</v>
      </c>
      <c r="F103" s="1498">
        <f t="shared" si="17"/>
        <v>0.13287270794578793</v>
      </c>
      <c r="G103" s="1480"/>
      <c r="H103" s="1492">
        <v>10</v>
      </c>
      <c r="I103" s="1492">
        <v>10</v>
      </c>
      <c r="J103" s="1492">
        <v>10</v>
      </c>
      <c r="K103" s="1492">
        <v>10</v>
      </c>
      <c r="L103" s="1487"/>
      <c r="M103" s="1411"/>
      <c r="N103" s="1411"/>
    </row>
    <row r="104" spans="1:14" ht="13.5">
      <c r="A104" s="1515" t="s">
        <v>646</v>
      </c>
      <c r="B104" s="1217"/>
      <c r="C104" s="1509" t="s">
        <v>651</v>
      </c>
      <c r="D104" s="1164"/>
      <c r="E104" s="1412" cm="1">
        <f t="array" ref="E104">INDEX(H104:K104,0,MATCH($E$4,$H$4:$K$4,0))</f>
        <v>10</v>
      </c>
      <c r="F104" s="1498">
        <f t="shared" si="17"/>
        <v>0.13287270794578793</v>
      </c>
      <c r="G104" s="1480"/>
      <c r="H104" s="1492">
        <v>10</v>
      </c>
      <c r="I104" s="1492">
        <v>10</v>
      </c>
      <c r="J104" s="1492">
        <v>10</v>
      </c>
      <c r="K104" s="1492">
        <v>10</v>
      </c>
      <c r="L104" s="1411"/>
      <c r="M104" s="1411"/>
      <c r="N104" s="1411"/>
    </row>
    <row r="105" spans="1:14" ht="13.5">
      <c r="A105" s="1515" t="s">
        <v>646</v>
      </c>
      <c r="B105" s="1217"/>
      <c r="C105" s="1509" t="s">
        <v>652</v>
      </c>
      <c r="D105" s="1164"/>
      <c r="E105" s="1412" cm="1">
        <f t="array" ref="E105">INDEX(H105:K105,0,MATCH($E$4,$H$4:$K$4,0))</f>
        <v>10</v>
      </c>
      <c r="F105" s="1498">
        <f t="shared" si="17"/>
        <v>0.13287270794578793</v>
      </c>
      <c r="G105" s="1480"/>
      <c r="H105" s="1492">
        <v>10</v>
      </c>
      <c r="I105" s="1492">
        <v>10</v>
      </c>
      <c r="J105" s="1492">
        <v>10</v>
      </c>
      <c r="K105" s="1492">
        <v>10</v>
      </c>
      <c r="L105" s="1411"/>
      <c r="M105" s="1411"/>
      <c r="N105" s="1411"/>
    </row>
    <row r="106" spans="1:14" ht="13.5">
      <c r="A106" s="1515" t="s">
        <v>646</v>
      </c>
      <c r="B106" s="1217"/>
      <c r="C106" s="1509" t="s">
        <v>653</v>
      </c>
      <c r="D106" s="1164"/>
      <c r="E106" s="1412" cm="1">
        <f t="array" ref="E106">INDEX(H106:K106,0,MATCH($E$4,$H$4:$K$4,0))</f>
        <v>60</v>
      </c>
      <c r="F106" s="1498">
        <f t="shared" si="17"/>
        <v>0.79723624767472756</v>
      </c>
      <c r="G106" s="1480"/>
      <c r="H106" s="1492">
        <v>60</v>
      </c>
      <c r="I106" s="1492">
        <v>60</v>
      </c>
      <c r="J106" s="1492">
        <v>60</v>
      </c>
      <c r="K106" s="1492">
        <v>60</v>
      </c>
      <c r="L106" s="1411"/>
      <c r="M106" s="1411"/>
      <c r="N106" s="1411"/>
    </row>
    <row r="107" spans="1:14" ht="13.5">
      <c r="A107" s="1515" t="s">
        <v>646</v>
      </c>
      <c r="B107" s="1217"/>
      <c r="C107" s="1509" t="s">
        <v>654</v>
      </c>
      <c r="D107" s="1164"/>
      <c r="E107" s="1412" cm="1">
        <f t="array" ref="E107">INDEX(H107:K107,0,MATCH($E$4,$H$4:$K$4,0))</f>
        <v>60</v>
      </c>
      <c r="F107" s="1498">
        <f t="shared" si="17"/>
        <v>0.79723624767472756</v>
      </c>
      <c r="G107" s="1480"/>
      <c r="H107" s="1492">
        <v>60</v>
      </c>
      <c r="I107" s="1492">
        <v>60</v>
      </c>
      <c r="J107" s="1492">
        <v>60</v>
      </c>
      <c r="K107" s="1492">
        <v>60</v>
      </c>
      <c r="L107" s="1411"/>
      <c r="M107" s="1411"/>
      <c r="N107" s="1411"/>
    </row>
    <row r="108" spans="1:14" ht="13.5">
      <c r="A108" s="1515" t="s">
        <v>646</v>
      </c>
      <c r="B108" s="1217"/>
      <c r="C108" s="1509" t="s">
        <v>655</v>
      </c>
      <c r="D108" s="1164"/>
      <c r="E108" s="1412" cm="1">
        <f t="array" ref="E108">INDEX(H108:K108,0,MATCH($E$4,$H$4:$K$4,0))</f>
        <v>10</v>
      </c>
      <c r="F108" s="1498">
        <f t="shared" si="17"/>
        <v>0.13287270794578793</v>
      </c>
      <c r="G108" s="1480"/>
      <c r="H108" s="1492">
        <v>10</v>
      </c>
      <c r="I108" s="1492">
        <v>10</v>
      </c>
      <c r="J108" s="1492">
        <v>10</v>
      </c>
      <c r="K108" s="1492">
        <v>10</v>
      </c>
      <c r="L108" s="1471"/>
      <c r="M108" s="1411"/>
      <c r="N108" s="1411"/>
    </row>
    <row r="109" spans="1:14" ht="13.5">
      <c r="A109" s="1515" t="s">
        <v>646</v>
      </c>
      <c r="B109" s="1217"/>
      <c r="C109" s="1509" t="s">
        <v>656</v>
      </c>
      <c r="D109" s="1164"/>
      <c r="E109" s="1412" cm="1">
        <f t="array" ref="E109">INDEX(H109:K109,0,MATCH($E$4,$H$4:$K$4,0))</f>
        <v>0</v>
      </c>
      <c r="F109" s="1498">
        <f t="shared" si="17"/>
        <v>0</v>
      </c>
      <c r="G109" s="1480"/>
      <c r="H109" s="1492">
        <v>0</v>
      </c>
      <c r="I109" s="1492">
        <v>0</v>
      </c>
      <c r="J109" s="1492">
        <v>0</v>
      </c>
      <c r="K109" s="1492">
        <v>0</v>
      </c>
      <c r="L109" s="1487"/>
      <c r="M109" s="1411"/>
      <c r="N109" s="1411"/>
    </row>
    <row r="110" spans="1:14" ht="13.5">
      <c r="A110" s="1515"/>
      <c r="B110" s="1217"/>
      <c r="C110" s="1508" t="s">
        <v>657</v>
      </c>
      <c r="D110" s="1506"/>
      <c r="E110" s="1432" cm="1">
        <f t="array" ref="E110">INDEX(H110:K110,0,MATCH($E$4,$H$4:$K$4,0))</f>
        <v>120</v>
      </c>
      <c r="F110" s="1499">
        <f t="shared" si="17"/>
        <v>1.5944724953494551</v>
      </c>
      <c r="G110" s="1480"/>
      <c r="H110" s="1468">
        <f>SUM(H111:H120)</f>
        <v>120</v>
      </c>
      <c r="I110" s="1468">
        <f>SUM(I111:I120)</f>
        <v>120</v>
      </c>
      <c r="J110" s="1468">
        <f>SUM(J111:J120)</f>
        <v>120</v>
      </c>
      <c r="K110" s="1468">
        <f>SUM(K111:K120)</f>
        <v>120</v>
      </c>
      <c r="L110" s="1411"/>
      <c r="M110" s="1411"/>
      <c r="N110" s="1411"/>
    </row>
    <row r="111" spans="1:14" ht="13.5">
      <c r="A111" s="1515" t="s">
        <v>646</v>
      </c>
      <c r="B111" s="1217"/>
      <c r="C111" s="1509" t="s">
        <v>647</v>
      </c>
      <c r="D111" s="1164"/>
      <c r="E111" s="1412" cm="1">
        <f t="array" ref="E111">INDEX(H111:K111,0,MATCH($E$4,$H$4:$K$4,0))</f>
        <v>0</v>
      </c>
      <c r="F111" s="1498">
        <f t="shared" si="17"/>
        <v>0</v>
      </c>
      <c r="G111" s="1480"/>
      <c r="H111" s="1492">
        <v>0</v>
      </c>
      <c r="I111" s="1492">
        <v>0</v>
      </c>
      <c r="J111" s="1492">
        <v>0</v>
      </c>
      <c r="K111" s="1492">
        <v>0</v>
      </c>
      <c r="L111" s="1411"/>
      <c r="M111" s="1411"/>
      <c r="N111" s="1411"/>
    </row>
    <row r="112" spans="1:14" ht="13.5">
      <c r="A112" s="1515" t="s">
        <v>646</v>
      </c>
      <c r="B112" s="1217"/>
      <c r="C112" s="1509" t="s">
        <v>648</v>
      </c>
      <c r="D112" s="1164"/>
      <c r="E112" s="1412" cm="1">
        <f t="array" ref="E112">INDEX(H112:K112,0,MATCH($E$4,$H$4:$K$4,0))</f>
        <v>0</v>
      </c>
      <c r="F112" s="1498">
        <f t="shared" si="17"/>
        <v>0</v>
      </c>
      <c r="G112" s="1480"/>
      <c r="H112" s="1492">
        <v>0</v>
      </c>
      <c r="I112" s="1492">
        <v>0</v>
      </c>
      <c r="J112" s="1492">
        <v>0</v>
      </c>
      <c r="K112" s="1492">
        <v>0</v>
      </c>
      <c r="L112" s="1411"/>
      <c r="M112" s="1411"/>
      <c r="N112" s="1411"/>
    </row>
    <row r="113" spans="1:14" ht="13.5">
      <c r="A113" s="1515" t="s">
        <v>646</v>
      </c>
      <c r="B113" s="1217"/>
      <c r="C113" s="1509" t="s">
        <v>649</v>
      </c>
      <c r="D113" s="1164"/>
      <c r="E113" s="1412" cm="1">
        <f t="array" ref="E113">INDEX(H113:K113,0,MATCH($E$4,$H$4:$K$4,0))</f>
        <v>0</v>
      </c>
      <c r="F113" s="1498">
        <f t="shared" si="17"/>
        <v>0</v>
      </c>
      <c r="G113" s="1480"/>
      <c r="H113" s="1492">
        <v>0</v>
      </c>
      <c r="I113" s="1492">
        <v>0</v>
      </c>
      <c r="J113" s="1492">
        <v>0</v>
      </c>
      <c r="K113" s="1492">
        <v>0</v>
      </c>
      <c r="L113" s="1411"/>
      <c r="M113" s="1411"/>
      <c r="N113" s="1411"/>
    </row>
    <row r="114" spans="1:14" ht="13.5">
      <c r="A114" s="1515" t="s">
        <v>646</v>
      </c>
      <c r="B114" s="1217"/>
      <c r="C114" s="1509" t="s">
        <v>658</v>
      </c>
      <c r="D114" s="1164"/>
      <c r="E114" s="1412" cm="1">
        <f t="array" ref="E114">INDEX(H114:K114,0,MATCH($E$4,$H$4:$K$4,0))</f>
        <v>0</v>
      </c>
      <c r="F114" s="1498">
        <f t="shared" si="17"/>
        <v>0</v>
      </c>
      <c r="G114" s="1480"/>
      <c r="H114" s="1492">
        <v>0</v>
      </c>
      <c r="I114" s="1492">
        <v>0</v>
      </c>
      <c r="J114" s="1492">
        <v>0</v>
      </c>
      <c r="K114" s="1492">
        <v>0</v>
      </c>
      <c r="L114" s="1471"/>
      <c r="M114" s="1411"/>
      <c r="N114" s="1411"/>
    </row>
    <row r="115" spans="1:14" ht="13.5">
      <c r="A115" s="1515" t="s">
        <v>646</v>
      </c>
      <c r="B115" s="1217"/>
      <c r="C115" s="1509" t="s">
        <v>651</v>
      </c>
      <c r="D115" s="1164"/>
      <c r="E115" s="1412" cm="1">
        <f t="array" ref="E115">INDEX(H115:K115,0,MATCH($E$4,$H$4:$K$4,0))</f>
        <v>0</v>
      </c>
      <c r="F115" s="1498">
        <f t="shared" si="17"/>
        <v>0</v>
      </c>
      <c r="G115" s="1480"/>
      <c r="H115" s="1492">
        <v>0</v>
      </c>
      <c r="I115" s="1492">
        <v>0</v>
      </c>
      <c r="J115" s="1492">
        <v>0</v>
      </c>
      <c r="K115" s="1492">
        <v>0</v>
      </c>
      <c r="L115" s="1487"/>
      <c r="M115" s="1411"/>
      <c r="N115" s="1411"/>
    </row>
    <row r="116" spans="1:14" ht="13.5">
      <c r="A116" s="1515" t="s">
        <v>646</v>
      </c>
      <c r="B116" s="1217"/>
      <c r="C116" s="1509" t="s">
        <v>652</v>
      </c>
      <c r="D116" s="1164"/>
      <c r="E116" s="1412" cm="1">
        <f t="array" ref="E116">INDEX(H116:K116,0,MATCH($E$4,$H$4:$K$4,0))</f>
        <v>0</v>
      </c>
      <c r="F116" s="1498">
        <f t="shared" si="17"/>
        <v>0</v>
      </c>
      <c r="G116" s="1480"/>
      <c r="H116" s="1492">
        <v>0</v>
      </c>
      <c r="I116" s="1492">
        <v>0</v>
      </c>
      <c r="J116" s="1492">
        <v>0</v>
      </c>
      <c r="K116" s="1492">
        <v>0</v>
      </c>
      <c r="L116" s="1411"/>
      <c r="M116" s="1411"/>
      <c r="N116" s="1411"/>
    </row>
    <row r="117" spans="1:14" ht="13.5">
      <c r="A117" s="1515" t="s">
        <v>646</v>
      </c>
      <c r="B117" s="1217"/>
      <c r="C117" s="1509" t="s">
        <v>653</v>
      </c>
      <c r="D117" s="1164"/>
      <c r="E117" s="1412" cm="1">
        <f t="array" ref="E117">INDEX(H117:K117,0,MATCH($E$4,$H$4:$K$4,0))</f>
        <v>60</v>
      </c>
      <c r="F117" s="1498">
        <f t="shared" si="17"/>
        <v>0.79723624767472756</v>
      </c>
      <c r="G117" s="1480"/>
      <c r="H117" s="1492">
        <v>60</v>
      </c>
      <c r="I117" s="1492">
        <v>60</v>
      </c>
      <c r="J117" s="1492">
        <v>60</v>
      </c>
      <c r="K117" s="1492">
        <v>60</v>
      </c>
      <c r="L117" s="1411"/>
      <c r="M117" s="1411"/>
      <c r="N117" s="1411"/>
    </row>
    <row r="118" spans="1:14" ht="13.5">
      <c r="A118" s="1515" t="s">
        <v>646</v>
      </c>
      <c r="B118" s="1217"/>
      <c r="C118" s="1509" t="s">
        <v>654</v>
      </c>
      <c r="D118" s="1164"/>
      <c r="E118" s="1412" cm="1">
        <f t="array" ref="E118">INDEX(H118:K118,0,MATCH($E$4,$H$4:$K$4,0))</f>
        <v>60</v>
      </c>
      <c r="F118" s="1498">
        <f t="shared" si="17"/>
        <v>0.79723624767472756</v>
      </c>
      <c r="G118" s="1480"/>
      <c r="H118" s="1492">
        <v>60</v>
      </c>
      <c r="I118" s="1492">
        <v>60</v>
      </c>
      <c r="J118" s="1492">
        <v>60</v>
      </c>
      <c r="K118" s="1492">
        <v>60</v>
      </c>
      <c r="L118" s="1411"/>
      <c r="M118" s="1411"/>
      <c r="N118" s="1411"/>
    </row>
    <row r="119" spans="1:14" ht="13.5">
      <c r="A119" s="1515" t="s">
        <v>646</v>
      </c>
      <c r="B119" s="1217"/>
      <c r="C119" s="1509" t="s">
        <v>655</v>
      </c>
      <c r="D119" s="1164"/>
      <c r="E119" s="1412" cm="1">
        <f t="array" ref="E119">INDEX(H119:K119,0,MATCH($E$4,$H$4:$K$4,0))</f>
        <v>0</v>
      </c>
      <c r="F119" s="1498">
        <f t="shared" si="17"/>
        <v>0</v>
      </c>
      <c r="G119" s="1480"/>
      <c r="H119" s="1492">
        <v>0</v>
      </c>
      <c r="I119" s="1492">
        <v>0</v>
      </c>
      <c r="J119" s="1492">
        <v>0</v>
      </c>
      <c r="K119" s="1492">
        <v>0</v>
      </c>
      <c r="L119" s="1411"/>
      <c r="M119" s="1411"/>
      <c r="N119" s="1411"/>
    </row>
    <row r="120" spans="1:14" ht="13.5">
      <c r="A120" s="1515" t="s">
        <v>646</v>
      </c>
      <c r="B120" s="1217"/>
      <c r="C120" s="1509" t="s">
        <v>656</v>
      </c>
      <c r="D120" s="1164"/>
      <c r="E120" s="1412" cm="1">
        <f t="array" ref="E120">INDEX(H120:K120,0,MATCH($E$4,$H$4:$K$4,0))</f>
        <v>0</v>
      </c>
      <c r="F120" s="1498">
        <f t="shared" si="17"/>
        <v>0</v>
      </c>
      <c r="G120" s="1480"/>
      <c r="H120" s="1492">
        <v>0</v>
      </c>
      <c r="I120" s="1492">
        <v>0</v>
      </c>
      <c r="J120" s="1492">
        <v>0</v>
      </c>
      <c r="K120" s="1492">
        <v>0</v>
      </c>
      <c r="L120" s="1411"/>
      <c r="M120" s="1411"/>
      <c r="N120" s="1411"/>
    </row>
    <row r="121" spans="1:14" ht="13.5">
      <c r="A121" s="1515"/>
      <c r="B121" s="1217"/>
      <c r="C121" s="1508" t="s">
        <v>659</v>
      </c>
      <c r="D121" s="1506"/>
      <c r="E121" s="1432" cm="1">
        <f t="array" ref="E121">INDEX(H121:K121,0,MATCH($E$4,$H$4:$K$4,0))</f>
        <v>60</v>
      </c>
      <c r="F121" s="1499">
        <f t="shared" si="17"/>
        <v>0.79723624767472756</v>
      </c>
      <c r="G121" s="1480"/>
      <c r="H121" s="1468">
        <f>SUM(H122)</f>
        <v>60</v>
      </c>
      <c r="I121" s="1468">
        <f>SUM(I122)</f>
        <v>60</v>
      </c>
      <c r="J121" s="1468">
        <f>SUM(J122)</f>
        <v>60</v>
      </c>
      <c r="K121" s="1468">
        <f>SUM(K122)</f>
        <v>60</v>
      </c>
      <c r="L121" s="1411"/>
      <c r="M121" s="1411"/>
      <c r="N121" s="1411"/>
    </row>
    <row r="122" spans="1:14" ht="13.5">
      <c r="A122" s="1515" t="s">
        <v>646</v>
      </c>
      <c r="B122" s="1217"/>
      <c r="C122" s="1509" t="s">
        <v>660</v>
      </c>
      <c r="D122" s="1164"/>
      <c r="E122" s="1412" cm="1">
        <f t="array" ref="E122">INDEX(H122:K122,0,MATCH($E$4,$H$4:$K$4,0))</f>
        <v>60</v>
      </c>
      <c r="F122" s="1498">
        <f t="shared" si="17"/>
        <v>0.79723624767472756</v>
      </c>
      <c r="G122" s="1480"/>
      <c r="H122" s="1492">
        <v>60</v>
      </c>
      <c r="I122" s="1492">
        <v>60</v>
      </c>
      <c r="J122" s="1492">
        <v>60</v>
      </c>
      <c r="K122" s="1492">
        <v>60</v>
      </c>
      <c r="L122" s="1411"/>
      <c r="M122" s="1411"/>
      <c r="N122" s="1411"/>
    </row>
    <row r="123" spans="1:14" s="1469" customFormat="1" ht="13.5">
      <c r="A123" s="1515"/>
      <c r="B123" s="1470"/>
      <c r="C123" s="1507" t="s">
        <v>661</v>
      </c>
      <c r="D123" s="1475"/>
      <c r="E123" s="1481" cm="1">
        <f t="array" ref="E123">INDEX(H123:K123,0,MATCH($E$4,$H$4:$K$4,0))</f>
        <v>0</v>
      </c>
      <c r="F123" s="1501">
        <f>E123/$E$8</f>
        <v>0</v>
      </c>
      <c r="G123" s="1480"/>
      <c r="H123" s="1482">
        <f>SUM(H124:H126)</f>
        <v>0</v>
      </c>
      <c r="I123" s="1482">
        <f>SUM(I124:I126)</f>
        <v>0</v>
      </c>
      <c r="J123" s="1482">
        <f>SUM(J124:J126)</f>
        <v>0</v>
      </c>
      <c r="K123" s="1482">
        <f>SUM(K124:K126)</f>
        <v>0</v>
      </c>
      <c r="L123" s="1471"/>
      <c r="M123" s="1471"/>
      <c r="N123" s="1471"/>
    </row>
    <row r="124" spans="1:14" ht="13.5">
      <c r="A124" s="1515" t="s">
        <v>646</v>
      </c>
      <c r="B124" s="1217"/>
      <c r="C124" s="1478" t="s">
        <v>662</v>
      </c>
      <c r="D124" s="1164"/>
      <c r="E124" s="1412" cm="1">
        <f t="array" ref="E124">INDEX(H124:K124,0,MATCH($E$4,$H$4:$K$4,0))</f>
        <v>0</v>
      </c>
      <c r="F124" s="1498">
        <f t="shared" si="17"/>
        <v>0</v>
      </c>
      <c r="G124" s="1480"/>
      <c r="H124" s="1492">
        <v>0</v>
      </c>
      <c r="I124" s="1492">
        <v>0</v>
      </c>
      <c r="J124" s="1492">
        <v>0</v>
      </c>
      <c r="K124" s="1492">
        <v>0</v>
      </c>
      <c r="L124" s="1411"/>
      <c r="M124" s="1411"/>
      <c r="N124" s="1411"/>
    </row>
    <row r="125" spans="1:14" ht="13.5">
      <c r="A125" s="1515" t="s">
        <v>646</v>
      </c>
      <c r="B125" s="1217"/>
      <c r="C125" s="1478" t="s">
        <v>663</v>
      </c>
      <c r="D125" s="1164"/>
      <c r="E125" s="1412" cm="1">
        <f t="array" ref="E125">INDEX(H125:K125,0,MATCH($E$4,$H$4:$K$4,0))</f>
        <v>0</v>
      </c>
      <c r="F125" s="1498">
        <f t="shared" si="17"/>
        <v>0</v>
      </c>
      <c r="G125" s="1480"/>
      <c r="H125" s="1492">
        <v>0</v>
      </c>
      <c r="I125" s="1492">
        <v>0</v>
      </c>
      <c r="J125" s="1492">
        <v>0</v>
      </c>
      <c r="K125" s="1492">
        <v>0</v>
      </c>
      <c r="L125" s="1411"/>
      <c r="M125" s="1411"/>
      <c r="N125" s="1411"/>
    </row>
    <row r="126" spans="1:14" ht="13.5">
      <c r="A126" s="1515" t="s">
        <v>615</v>
      </c>
      <c r="B126" s="1217"/>
      <c r="C126" s="1478" t="s">
        <v>628</v>
      </c>
      <c r="D126" s="1164"/>
      <c r="E126" s="1412" cm="1">
        <f t="array" ref="E126">INDEX(H126:K126,0,MATCH($E$4,$H$4:$K$4,0))</f>
        <v>0</v>
      </c>
      <c r="F126" s="1498">
        <f t="shared" si="17"/>
        <v>0</v>
      </c>
      <c r="G126" s="1480"/>
      <c r="H126" s="1492">
        <v>0</v>
      </c>
      <c r="I126" s="1492">
        <v>0</v>
      </c>
      <c r="J126" s="1492">
        <v>0</v>
      </c>
      <c r="K126" s="1492">
        <v>0</v>
      </c>
      <c r="L126" s="1411"/>
      <c r="M126" s="1411"/>
      <c r="N126" s="1411"/>
    </row>
    <row r="127" spans="1:14" s="1469" customFormat="1" ht="13.5">
      <c r="A127" s="1515"/>
      <c r="B127" s="1470"/>
      <c r="C127" s="1507" t="s">
        <v>664</v>
      </c>
      <c r="D127" s="1475"/>
      <c r="E127" s="1481" cm="1">
        <f t="array" ref="E127">INDEX(H127:K127,0,MATCH($E$4,$H$4:$K$4,0))</f>
        <v>17</v>
      </c>
      <c r="F127" s="1504">
        <f>E127/$E$8</f>
        <v>0.22588360350783948</v>
      </c>
      <c r="G127" s="1480"/>
      <c r="H127" s="1482">
        <f>SUM(H128:H130)</f>
        <v>17</v>
      </c>
      <c r="I127" s="1482">
        <f>SUM(I128:I130)</f>
        <v>17</v>
      </c>
      <c r="J127" s="1482">
        <f>SUM(J128:J130)</f>
        <v>17</v>
      </c>
      <c r="K127" s="1482">
        <f>SUM(K128:K130)</f>
        <v>17</v>
      </c>
      <c r="L127" s="1471"/>
      <c r="M127" s="1471"/>
      <c r="N127" s="1471"/>
    </row>
    <row r="128" spans="1:14" ht="13.5">
      <c r="A128" s="1515" t="s">
        <v>665</v>
      </c>
      <c r="B128" s="1217"/>
      <c r="C128" s="1478" t="s">
        <v>666</v>
      </c>
      <c r="D128" s="1164"/>
      <c r="E128" s="1412" cm="1">
        <f t="array" ref="E128">INDEX(H128:K128,0,MATCH($E$4,$H$4:$K$4,0))</f>
        <v>10</v>
      </c>
      <c r="F128" s="1505">
        <f t="shared" si="17"/>
        <v>0.13287270794578793</v>
      </c>
      <c r="G128" s="1480"/>
      <c r="H128" s="1492">
        <v>10</v>
      </c>
      <c r="I128" s="1492">
        <v>10</v>
      </c>
      <c r="J128" s="1492">
        <v>10</v>
      </c>
      <c r="K128" s="1492">
        <v>10</v>
      </c>
      <c r="L128" s="1411"/>
      <c r="M128" s="1411"/>
      <c r="N128" s="1411"/>
    </row>
    <row r="129" spans="1:14" ht="13.5">
      <c r="A129" s="1515" t="s">
        <v>665</v>
      </c>
      <c r="B129" s="1217"/>
      <c r="C129" s="1478" t="s">
        <v>667</v>
      </c>
      <c r="D129" s="1164"/>
      <c r="E129" s="1412" cm="1">
        <f t="array" ref="E129">INDEX(H129:K129,0,MATCH($E$4,$H$4:$K$4,0))</f>
        <v>5</v>
      </c>
      <c r="F129" s="1505">
        <f t="shared" si="17"/>
        <v>6.6436353972893963E-2</v>
      </c>
      <c r="G129" s="1480"/>
      <c r="H129" s="1492">
        <v>5</v>
      </c>
      <c r="I129" s="1492">
        <v>5</v>
      </c>
      <c r="J129" s="1492">
        <v>5</v>
      </c>
      <c r="K129" s="1492">
        <v>5</v>
      </c>
      <c r="L129" s="1411"/>
      <c r="M129" s="1411"/>
      <c r="N129" s="1411"/>
    </row>
    <row r="130" spans="1:14" ht="13.5">
      <c r="A130" s="1515" t="s">
        <v>665</v>
      </c>
      <c r="B130" s="1217"/>
      <c r="C130" s="1478" t="s">
        <v>668</v>
      </c>
      <c r="D130" s="1164"/>
      <c r="E130" s="1412" cm="1">
        <f t="array" ref="E130">INDEX(H130:K130,0,MATCH($E$4,$H$4:$K$4,0))</f>
        <v>2</v>
      </c>
      <c r="F130" s="1505">
        <f t="shared" si="17"/>
        <v>2.6574541589157584E-2</v>
      </c>
      <c r="G130" s="1480"/>
      <c r="H130" s="1492">
        <v>2</v>
      </c>
      <c r="I130" s="1492">
        <v>2</v>
      </c>
      <c r="J130" s="1492">
        <v>2</v>
      </c>
      <c r="K130" s="1492">
        <v>2</v>
      </c>
      <c r="L130" s="1411"/>
      <c r="M130" s="1411"/>
      <c r="N130" s="1411"/>
    </row>
    <row r="131" spans="1:14" s="1469" customFormat="1" ht="13.5">
      <c r="A131" s="1515"/>
      <c r="B131" s="1470"/>
      <c r="C131" s="1507" t="s">
        <v>669</v>
      </c>
      <c r="D131" s="1475"/>
      <c r="E131" s="1481" cm="1">
        <f t="array" ref="E131">INDEX(H131:K131,0,MATCH($E$4,$H$4:$K$4,0))</f>
        <v>70</v>
      </c>
      <c r="F131" s="1501">
        <f>E131/$E$8</f>
        <v>0.93010895562051543</v>
      </c>
      <c r="G131" s="1480"/>
      <c r="H131" s="1482">
        <f>SUM(H132:H137)</f>
        <v>70</v>
      </c>
      <c r="I131" s="1482">
        <f>SUM(I132:I137)</f>
        <v>70</v>
      </c>
      <c r="J131" s="1482">
        <f>SUM(J132:J137)</f>
        <v>70</v>
      </c>
      <c r="K131" s="1482">
        <f>SUM(K132:K137)</f>
        <v>70</v>
      </c>
      <c r="L131" s="1471"/>
      <c r="M131" s="1471"/>
      <c r="N131" s="1471"/>
    </row>
    <row r="132" spans="1:14" ht="13.5">
      <c r="A132" s="1515" t="s">
        <v>670</v>
      </c>
      <c r="B132" s="1217"/>
      <c r="C132" s="1478" t="s">
        <v>671</v>
      </c>
      <c r="D132" s="1164"/>
      <c r="E132" s="1412" cm="1">
        <f t="array" ref="E132">INDEX(H132:K132,0,MATCH($E$4,$H$4:$K$4,0))</f>
        <v>25</v>
      </c>
      <c r="F132" s="1498">
        <f t="shared" si="17"/>
        <v>0.33218176986446979</v>
      </c>
      <c r="G132" s="1480"/>
      <c r="H132" s="1492">
        <v>25</v>
      </c>
      <c r="I132" s="1492">
        <v>25</v>
      </c>
      <c r="J132" s="1492">
        <v>25</v>
      </c>
      <c r="K132" s="1492">
        <v>25</v>
      </c>
      <c r="L132" s="1411"/>
      <c r="M132" s="1411"/>
      <c r="N132" s="1411"/>
    </row>
    <row r="133" spans="1:14" ht="13.5">
      <c r="A133" s="1515" t="s">
        <v>670</v>
      </c>
      <c r="B133" s="1217"/>
      <c r="C133" s="1478" t="s">
        <v>672</v>
      </c>
      <c r="D133" s="1164"/>
      <c r="E133" s="1412" cm="1">
        <f t="array" ref="E133">INDEX(H133:K133,0,MATCH($E$4,$H$4:$K$4,0))</f>
        <v>10</v>
      </c>
      <c r="F133" s="1498">
        <f t="shared" si="17"/>
        <v>0.13287270794578793</v>
      </c>
      <c r="G133" s="1480"/>
      <c r="H133" s="1492">
        <v>10</v>
      </c>
      <c r="I133" s="1492">
        <v>10</v>
      </c>
      <c r="J133" s="1492">
        <v>10</v>
      </c>
      <c r="K133" s="1492">
        <v>10</v>
      </c>
      <c r="L133" s="1411"/>
      <c r="M133" s="1411"/>
      <c r="N133" s="1411"/>
    </row>
    <row r="134" spans="1:14" ht="13.5">
      <c r="A134" s="1515" t="s">
        <v>673</v>
      </c>
      <c r="B134" s="1217"/>
      <c r="C134" s="1478" t="s">
        <v>674</v>
      </c>
      <c r="D134" s="1164"/>
      <c r="E134" s="1412" cm="1">
        <f t="array" ref="E134">INDEX(H134:K134,0,MATCH($E$4,$H$4:$K$4,0))</f>
        <v>20</v>
      </c>
      <c r="F134" s="1498">
        <f t="shared" si="17"/>
        <v>0.26574541589157585</v>
      </c>
      <c r="G134" s="1480"/>
      <c r="H134" s="1492">
        <v>20</v>
      </c>
      <c r="I134" s="1492">
        <v>20</v>
      </c>
      <c r="J134" s="1492">
        <v>20</v>
      </c>
      <c r="K134" s="1492">
        <v>20</v>
      </c>
      <c r="L134" s="1411"/>
      <c r="M134" s="1411"/>
      <c r="N134" s="1411"/>
    </row>
    <row r="135" spans="1:14" ht="13.5">
      <c r="A135" s="1515" t="s">
        <v>670</v>
      </c>
      <c r="B135" s="1217"/>
      <c r="C135" s="1478" t="s">
        <v>675</v>
      </c>
      <c r="D135" s="1164"/>
      <c r="E135" s="1412" cm="1">
        <f t="array" ref="E135">INDEX(H135:K135,0,MATCH($E$4,$H$4:$K$4,0))</f>
        <v>5</v>
      </c>
      <c r="F135" s="1498">
        <f t="shared" si="17"/>
        <v>6.6436353972893963E-2</v>
      </c>
      <c r="G135" s="1480"/>
      <c r="H135" s="1492">
        <v>5</v>
      </c>
      <c r="I135" s="1492">
        <v>5</v>
      </c>
      <c r="J135" s="1492">
        <v>5</v>
      </c>
      <c r="K135" s="1492">
        <v>5</v>
      </c>
      <c r="L135" s="1411"/>
      <c r="M135" s="1411"/>
      <c r="N135" s="1411"/>
    </row>
    <row r="136" spans="1:14" ht="13.5">
      <c r="A136" s="1515" t="s">
        <v>646</v>
      </c>
      <c r="B136" s="1217"/>
      <c r="C136" s="1478" t="s">
        <v>676</v>
      </c>
      <c r="D136" s="1164"/>
      <c r="E136" s="1412" cm="1">
        <f t="array" ref="E136">INDEX(H136:K136,0,MATCH($E$4,$H$4:$K$4,0))</f>
        <v>5</v>
      </c>
      <c r="F136" s="1498">
        <f t="shared" si="17"/>
        <v>6.6436353972893963E-2</v>
      </c>
      <c r="G136" s="1480"/>
      <c r="H136" s="1492">
        <v>5</v>
      </c>
      <c r="I136" s="1492">
        <v>5</v>
      </c>
      <c r="J136" s="1492">
        <v>5</v>
      </c>
      <c r="K136" s="1492">
        <v>5</v>
      </c>
      <c r="L136" s="1411"/>
      <c r="M136" s="1411"/>
      <c r="N136" s="1411"/>
    </row>
    <row r="137" spans="1:14" ht="13.5">
      <c r="A137" s="1515" t="s">
        <v>673</v>
      </c>
      <c r="B137" s="1217"/>
      <c r="C137" s="1478" t="s">
        <v>677</v>
      </c>
      <c r="D137" s="1164"/>
      <c r="E137" s="1412" cm="1">
        <f t="array" ref="E137">INDEX(H137:K137,0,MATCH($E$4,$H$4:$K$4,0))</f>
        <v>5</v>
      </c>
      <c r="F137" s="1498">
        <f t="shared" si="17"/>
        <v>6.6436353972893963E-2</v>
      </c>
      <c r="G137" s="1480"/>
      <c r="H137" s="1492">
        <v>5</v>
      </c>
      <c r="I137" s="1492">
        <v>5</v>
      </c>
      <c r="J137" s="1492">
        <v>5</v>
      </c>
      <c r="K137" s="1492">
        <v>5</v>
      </c>
      <c r="L137" s="1411"/>
      <c r="M137" s="1411"/>
      <c r="N137" s="1411"/>
    </row>
    <row r="138" spans="1:14" s="1469" customFormat="1" ht="13.5">
      <c r="A138" s="1515"/>
      <c r="B138" s="1470"/>
      <c r="C138" s="1507" t="s">
        <v>661</v>
      </c>
      <c r="D138" s="1475"/>
      <c r="E138" s="1481" cm="1">
        <f t="array" ref="E138">INDEX(H138:K138,0,MATCH($E$4,$H$4:$K$4,0))</f>
        <v>1151.134</v>
      </c>
      <c r="F138" s="1501">
        <f>E138/$E$8</f>
        <v>15.295429178846664</v>
      </c>
      <c r="G138" s="1480"/>
      <c r="H138" s="1482">
        <f>SUM(H139,H141:H146)</f>
        <v>1333.9175</v>
      </c>
      <c r="I138" s="1482">
        <f>SUM(I139,I141:I146)</f>
        <v>1338.7750000000001</v>
      </c>
      <c r="J138" s="1482">
        <f>SUM(J139,J141:J146)</f>
        <v>1368.9175</v>
      </c>
      <c r="K138" s="1482">
        <f>SUM(K139,K141:K146)</f>
        <v>1151.134</v>
      </c>
      <c r="L138" s="1471"/>
      <c r="M138" s="1471"/>
      <c r="N138" s="1471"/>
    </row>
    <row r="139" spans="1:14" ht="13.5">
      <c r="A139" s="1515"/>
      <c r="B139" s="1217"/>
      <c r="C139" s="1511" t="s">
        <v>678</v>
      </c>
      <c r="D139" s="1164"/>
      <c r="E139" s="1432" cm="1">
        <f t="array" ref="E139">INDEX(H139:K139,0,MATCH($E$4,$H$4:$K$4,0))</f>
        <v>1071.134</v>
      </c>
      <c r="F139" s="1499">
        <f t="shared" si="17"/>
        <v>14.232447515280361</v>
      </c>
      <c r="G139" s="1480"/>
      <c r="H139" s="1468">
        <f>H140*SUM(H27,H30,H56,H70,H79,H84,H95)+200</f>
        <v>1253.9175</v>
      </c>
      <c r="I139" s="1468">
        <f>I140*SUM(I27,I30,I56,I70,I79,I84,I95)+200</f>
        <v>1258.7750000000001</v>
      </c>
      <c r="J139" s="1468">
        <f>J140*SUM(J27,J30,J56,J70,J79,J84,J95)+200</f>
        <v>1288.9175</v>
      </c>
      <c r="K139" s="1468">
        <f>K140*SUM(K27,K30,K56,K70,K79,K84,K95)+200</f>
        <v>1071.134</v>
      </c>
      <c r="L139" s="1411"/>
      <c r="M139" s="1411"/>
      <c r="N139" s="1411"/>
    </row>
    <row r="140" spans="1:14" ht="13.5">
      <c r="A140" s="1515" t="s">
        <v>646</v>
      </c>
      <c r="B140" s="1217"/>
      <c r="C140" s="1512" t="s">
        <v>679</v>
      </c>
      <c r="D140" s="1164"/>
      <c r="E140" s="1414" cm="1">
        <f t="array" ref="E140">INDEX(H140:K140,0,MATCH($E$4,$H$4:$K$4,0))</f>
        <v>0.02</v>
      </c>
      <c r="F140" s="1477"/>
      <c r="G140" s="1480"/>
      <c r="H140" s="1502">
        <v>2.5000000000000001E-2</v>
      </c>
      <c r="I140" s="1502">
        <v>2.5000000000000001E-2</v>
      </c>
      <c r="J140" s="1502">
        <v>2.5000000000000001E-2</v>
      </c>
      <c r="K140" s="1502">
        <v>0.02</v>
      </c>
      <c r="L140" s="1411"/>
      <c r="M140" s="1411"/>
      <c r="N140" s="1411"/>
    </row>
    <row r="141" spans="1:14" ht="13.5">
      <c r="A141" s="1515" t="s">
        <v>680</v>
      </c>
      <c r="B141" s="1217"/>
      <c r="C141" s="1478" t="s">
        <v>681</v>
      </c>
      <c r="D141" s="1164"/>
      <c r="E141" s="1412" cm="1">
        <f t="array" ref="E141">INDEX(H141:K141,0,MATCH($E$4,$H$4:$K$4,0))</f>
        <v>0</v>
      </c>
      <c r="F141" s="1505">
        <f t="shared" si="17"/>
        <v>0</v>
      </c>
      <c r="G141" s="1480"/>
      <c r="H141" s="1492">
        <v>0</v>
      </c>
      <c r="I141" s="1492">
        <v>0</v>
      </c>
      <c r="J141" s="1492">
        <v>0</v>
      </c>
      <c r="K141" s="1492">
        <v>0</v>
      </c>
      <c r="L141" s="1411"/>
      <c r="M141" s="1411"/>
      <c r="N141" s="1411"/>
    </row>
    <row r="142" spans="1:14" ht="13.5">
      <c r="A142" s="1515" t="s">
        <v>680</v>
      </c>
      <c r="B142" s="1217"/>
      <c r="C142" s="1478" t="s">
        <v>682</v>
      </c>
      <c r="D142" s="1164"/>
      <c r="E142" s="1412" cm="1">
        <f t="array" ref="E142">INDEX(H142:K142,0,MATCH($E$4,$H$4:$K$4,0))</f>
        <v>10</v>
      </c>
      <c r="F142" s="1505">
        <f t="shared" si="17"/>
        <v>0.13287270794578793</v>
      </c>
      <c r="G142" s="1480"/>
      <c r="H142" s="1492">
        <v>10</v>
      </c>
      <c r="I142" s="1492">
        <v>10</v>
      </c>
      <c r="J142" s="1492">
        <v>10</v>
      </c>
      <c r="K142" s="1492">
        <v>10</v>
      </c>
      <c r="L142" s="1411"/>
      <c r="M142" s="1411"/>
      <c r="N142" s="1411"/>
    </row>
    <row r="143" spans="1:14" ht="13.5">
      <c r="A143" s="1515" t="s">
        <v>683</v>
      </c>
      <c r="B143" s="1217"/>
      <c r="C143" s="1478" t="s">
        <v>684</v>
      </c>
      <c r="D143" s="1164"/>
      <c r="E143" s="1412" cm="1">
        <f t="array" ref="E143">INDEX(H143:K143,0,MATCH($E$4,$H$4:$K$4,0))</f>
        <v>30</v>
      </c>
      <c r="F143" s="1505">
        <f t="shared" si="17"/>
        <v>0.39861812383736378</v>
      </c>
      <c r="G143" s="1480"/>
      <c r="H143" s="1492">
        <v>30</v>
      </c>
      <c r="I143" s="1492">
        <v>30</v>
      </c>
      <c r="J143" s="1492">
        <v>30</v>
      </c>
      <c r="K143" s="1492">
        <v>30</v>
      </c>
      <c r="L143" s="1411"/>
      <c r="M143" s="1411"/>
      <c r="N143" s="1411"/>
    </row>
    <row r="144" spans="1:14" ht="13.5">
      <c r="A144" s="1515" t="s">
        <v>683</v>
      </c>
      <c r="B144" s="1217"/>
      <c r="C144" s="1478" t="s">
        <v>685</v>
      </c>
      <c r="D144" s="1164"/>
      <c r="E144" s="1412" cm="1">
        <f t="array" ref="E144">INDEX(H144:K144,0,MATCH($E$4,$H$4:$K$4,0))</f>
        <v>30</v>
      </c>
      <c r="F144" s="1505">
        <f t="shared" si="17"/>
        <v>0.39861812383736378</v>
      </c>
      <c r="G144" s="1480"/>
      <c r="H144" s="1492">
        <v>30</v>
      </c>
      <c r="I144" s="1492">
        <v>30</v>
      </c>
      <c r="J144" s="1492">
        <v>30</v>
      </c>
      <c r="K144" s="1492">
        <v>30</v>
      </c>
      <c r="L144" s="1411"/>
      <c r="M144" s="1411"/>
      <c r="N144" s="1411"/>
    </row>
    <row r="145" spans="1:19" ht="13.5">
      <c r="A145" s="1515" t="s">
        <v>615</v>
      </c>
      <c r="B145" s="1217"/>
      <c r="C145" s="1478" t="s">
        <v>686</v>
      </c>
      <c r="D145" s="1164"/>
      <c r="E145" s="1412" cm="1">
        <f t="array" ref="E145">INDEX(H145:K145,0,MATCH($E$4,$H$4:$K$4,0))</f>
        <v>10</v>
      </c>
      <c r="F145" s="1505">
        <f t="shared" si="17"/>
        <v>0.13287270794578793</v>
      </c>
      <c r="G145" s="1480"/>
      <c r="H145" s="1492">
        <v>10</v>
      </c>
      <c r="I145" s="1492">
        <v>10</v>
      </c>
      <c r="J145" s="1492">
        <v>10</v>
      </c>
      <c r="K145" s="1492">
        <v>10</v>
      </c>
      <c r="L145" s="1411"/>
      <c r="M145" s="1411"/>
      <c r="N145" s="1411"/>
    </row>
    <row r="146" spans="1:19" ht="13.5">
      <c r="A146" s="1515" t="s">
        <v>615</v>
      </c>
      <c r="B146" s="1217"/>
      <c r="C146" s="1478" t="s">
        <v>687</v>
      </c>
      <c r="D146" s="1164"/>
      <c r="E146" s="1412" cm="1">
        <f t="array" ref="E146">INDEX(H146:K146,0,MATCH($E$4,$H$4:$K$4,0))</f>
        <v>0</v>
      </c>
      <c r="F146" s="1505">
        <f t="shared" si="17"/>
        <v>0</v>
      </c>
      <c r="G146" s="1480"/>
      <c r="H146" s="1473">
        <v>0</v>
      </c>
      <c r="I146" s="1473">
        <v>0</v>
      </c>
      <c r="J146" s="1473">
        <v>0</v>
      </c>
      <c r="K146" s="1473">
        <v>0</v>
      </c>
      <c r="L146" s="1411"/>
      <c r="M146" s="1411"/>
      <c r="N146" s="1411"/>
    </row>
    <row r="147" spans="1:19" s="1469" customFormat="1" ht="13.5">
      <c r="A147" s="1515"/>
      <c r="B147" s="1470"/>
      <c r="C147" s="1507" t="s">
        <v>688</v>
      </c>
      <c r="D147" s="1475"/>
      <c r="E147" s="1503" cm="1">
        <f t="array" ref="E147">INDEX(H147:K147,0,MATCH($E$4,$H$4:$K$4,0))</f>
        <v>0.06</v>
      </c>
      <c r="F147" s="1501"/>
      <c r="G147" s="1480"/>
      <c r="H147" s="1503">
        <f>H148</f>
        <v>0.06</v>
      </c>
      <c r="I147" s="1503">
        <f>I148</f>
        <v>0.06</v>
      </c>
      <c r="J147" s="1503">
        <f>J148</f>
        <v>0.06</v>
      </c>
      <c r="K147" s="1503">
        <f>K148</f>
        <v>0.06</v>
      </c>
      <c r="L147" s="1471"/>
      <c r="M147" s="1471"/>
      <c r="N147" s="1471"/>
    </row>
    <row r="148" spans="1:19" ht="13.5">
      <c r="A148" s="1515" t="s">
        <v>689</v>
      </c>
      <c r="B148" s="1217"/>
      <c r="C148" s="1478" t="s">
        <v>690</v>
      </c>
      <c r="D148" s="1164"/>
      <c r="E148" s="1414" cm="1">
        <f t="array" ref="E148">INDEX(H148:K148,0,MATCH($E$4,$H$4:$K$4,0))</f>
        <v>0.06</v>
      </c>
      <c r="F148" s="1477"/>
      <c r="G148" s="1480"/>
      <c r="H148" s="1415">
        <v>0.06</v>
      </c>
      <c r="I148" s="1415">
        <v>0.06</v>
      </c>
      <c r="J148" s="1415">
        <v>0.06</v>
      </c>
      <c r="K148" s="1415">
        <v>0.06</v>
      </c>
      <c r="L148" s="1411"/>
      <c r="M148" s="1411"/>
      <c r="N148" s="1411"/>
    </row>
    <row r="149" spans="1:19" s="1469" customFormat="1" ht="13.5">
      <c r="A149" s="1515"/>
      <c r="B149" s="1470"/>
      <c r="C149" s="1507" t="s">
        <v>691</v>
      </c>
      <c r="D149" s="1475"/>
      <c r="E149" s="1481" cm="1">
        <f t="array" ref="E149">INDEX(H149:K149,0,MATCH($E$4,$H$4:$K$4,0))</f>
        <v>0</v>
      </c>
      <c r="F149" s="1501">
        <f>E149/$E$8</f>
        <v>0</v>
      </c>
      <c r="G149" s="1480"/>
      <c r="H149" s="1482">
        <f>SUM(H150:H152)</f>
        <v>0</v>
      </c>
      <c r="I149" s="1482">
        <f>SUM(I150:I152)</f>
        <v>0</v>
      </c>
      <c r="J149" s="1482">
        <f>SUM(J150:J152)</f>
        <v>0</v>
      </c>
      <c r="K149" s="1482">
        <f>SUM(K150:K152)</f>
        <v>0</v>
      </c>
      <c r="L149" s="1471"/>
      <c r="M149" s="1471"/>
      <c r="N149" s="1471"/>
    </row>
    <row r="150" spans="1:19" ht="13.5">
      <c r="A150" s="1515" t="s">
        <v>692</v>
      </c>
      <c r="B150" s="1217"/>
      <c r="C150" s="1478" t="s">
        <v>693</v>
      </c>
      <c r="D150" s="1164"/>
      <c r="E150" s="1412" cm="1">
        <f t="array" ref="E150">INDEX(H150:K150,0,MATCH($E$4,$H$4:$K$4,0))</f>
        <v>0</v>
      </c>
      <c r="F150" s="1505">
        <f t="shared" ref="F150:F152" si="18">E150/$E$8</f>
        <v>0</v>
      </c>
      <c r="G150" s="1480"/>
      <c r="H150" s="1492">
        <v>0</v>
      </c>
      <c r="I150" s="1492">
        <v>0</v>
      </c>
      <c r="J150" s="1492">
        <v>0</v>
      </c>
      <c r="K150" s="1492">
        <v>0</v>
      </c>
      <c r="L150" s="1411"/>
      <c r="M150" s="1411"/>
      <c r="N150" s="1411"/>
    </row>
    <row r="151" spans="1:19" ht="13.5">
      <c r="A151" s="1515" t="s">
        <v>692</v>
      </c>
      <c r="B151" s="1217"/>
      <c r="C151" s="1478" t="s">
        <v>694</v>
      </c>
      <c r="D151" s="1164"/>
      <c r="E151" s="1412" cm="1">
        <f t="array" ref="E151">INDEX(H151:K151,0,MATCH($E$4,$H$4:$K$4,0))</f>
        <v>0</v>
      </c>
      <c r="F151" s="1505">
        <f t="shared" si="18"/>
        <v>0</v>
      </c>
      <c r="G151" s="1480"/>
      <c r="H151" s="1492">
        <v>0</v>
      </c>
      <c r="I151" s="1492">
        <v>0</v>
      </c>
      <c r="J151" s="1492">
        <v>0</v>
      </c>
      <c r="K151" s="1492">
        <v>0</v>
      </c>
      <c r="L151" s="1411"/>
      <c r="M151" s="1411"/>
      <c r="N151" s="1411"/>
    </row>
    <row r="152" spans="1:19" ht="13.5">
      <c r="A152" s="1515" t="s">
        <v>692</v>
      </c>
      <c r="B152" s="1217"/>
      <c r="C152" s="1478" t="s">
        <v>695</v>
      </c>
      <c r="D152" s="1164"/>
      <c r="E152" s="1412" cm="1">
        <f t="array" ref="E152">INDEX(H152:K152,0,MATCH($E$4,$H$4:$K$4,0))</f>
        <v>0</v>
      </c>
      <c r="F152" s="1505">
        <f t="shared" si="18"/>
        <v>0</v>
      </c>
      <c r="G152" s="1480"/>
      <c r="H152" s="1492">
        <v>0</v>
      </c>
      <c r="I152" s="1492">
        <v>0</v>
      </c>
      <c r="J152" s="1492">
        <v>0</v>
      </c>
      <c r="K152" s="1492">
        <v>0</v>
      </c>
      <c r="L152" s="1411"/>
      <c r="M152" s="1411"/>
      <c r="N152" s="1411"/>
    </row>
    <row r="153" spans="1:19" s="1469" customFormat="1" ht="13.5">
      <c r="A153" s="1515"/>
      <c r="B153" s="1470"/>
      <c r="C153" s="1507" t="s">
        <v>696</v>
      </c>
      <c r="D153" s="1475"/>
      <c r="E153" s="1481" cm="1">
        <f t="array" ref="E153">INDEX(H153:K153,0,MATCH($E$4,$H$4:$K$4,0))</f>
        <v>8524.4845000000005</v>
      </c>
      <c r="F153" s="1501">
        <f>E153/$E$8</f>
        <v>113.26713393568961</v>
      </c>
      <c r="G153" s="1480"/>
      <c r="H153" s="1482">
        <f>H154+H156+H158</f>
        <v>2975.4845</v>
      </c>
      <c r="I153" s="1482">
        <f>I154+I156+I158</f>
        <v>2982.2849999999999</v>
      </c>
      <c r="J153" s="1482">
        <f>J154+J156+J158</f>
        <v>3024.4845</v>
      </c>
      <c r="K153" s="1482">
        <f>K154+K156+K158</f>
        <v>8524.4845000000005</v>
      </c>
      <c r="L153" s="1471"/>
      <c r="M153" s="1471"/>
      <c r="N153" s="1471"/>
    </row>
    <row r="154" spans="1:19" s="1530" customFormat="1" ht="12.75">
      <c r="A154" s="1524"/>
      <c r="B154" s="1525"/>
      <c r="C154" s="1526" t="s">
        <v>697</v>
      </c>
      <c r="D154" s="1527"/>
      <c r="E154" s="1528" cm="1">
        <f t="array" ref="E154">INDEX(H154:K154,0,MATCH($E$4,$H$4:$K$4,0))</f>
        <v>2024.4845</v>
      </c>
      <c r="F154" s="1529">
        <f t="shared" ref="F154" si="19">E154/$E$8</f>
        <v>26.899873770927449</v>
      </c>
      <c r="G154" s="1480"/>
      <c r="H154" s="1531">
        <f>H155*SUM(H27,H30,H56,H70,H79,H84,H95)+500</f>
        <v>1975.4845</v>
      </c>
      <c r="I154" s="1531">
        <f>I155*SUM(I27,I30,I56,I70,I79,I84,I95)+500</f>
        <v>1982.2850000000001</v>
      </c>
      <c r="J154" s="1531">
        <f>J155*SUM(J27,J30,J56,J70,J79,J84,J95)+500</f>
        <v>2024.4845</v>
      </c>
      <c r="K154" s="1531">
        <f>K155*SUM(K27,K30,K56,K70,K79,K84,K95)+500</f>
        <v>2024.4845</v>
      </c>
      <c r="L154" s="1532"/>
      <c r="M154" s="1532"/>
      <c r="N154" s="1532"/>
    </row>
    <row r="155" spans="1:19" ht="13.5">
      <c r="A155" s="1515" t="s">
        <v>646</v>
      </c>
      <c r="B155" s="1217"/>
      <c r="C155" s="1512" t="s">
        <v>698</v>
      </c>
      <c r="D155" s="1164"/>
      <c r="E155" s="1414" cm="1">
        <f t="array" ref="E155">INDEX(H155:K155,0,MATCH($E$4,$H$4:$K$4,0))</f>
        <v>3.5000000000000003E-2</v>
      </c>
      <c r="F155" s="1477"/>
      <c r="G155" s="1480"/>
      <c r="H155" s="1502">
        <v>3.5000000000000003E-2</v>
      </c>
      <c r="I155" s="1502">
        <v>3.5000000000000003E-2</v>
      </c>
      <c r="J155" s="1502">
        <v>3.5000000000000003E-2</v>
      </c>
      <c r="K155" s="1502">
        <v>3.5000000000000003E-2</v>
      </c>
      <c r="L155" s="1411"/>
      <c r="M155" s="1411"/>
      <c r="N155" s="1411"/>
    </row>
    <row r="156" spans="1:19" s="1530" customFormat="1" ht="12.75">
      <c r="A156" s="1524"/>
      <c r="B156" s="1525"/>
      <c r="C156" s="1526" t="s">
        <v>699</v>
      </c>
      <c r="D156" s="1527"/>
      <c r="E156" s="1528" cm="1">
        <f t="array" ref="E156">INDEX(H156:K156,0,MATCH($E$4,$H$4:$K$4,0))</f>
        <v>0</v>
      </c>
      <c r="F156" s="1529">
        <f t="shared" ref="F156" si="20">E156/$E$8</f>
        <v>0</v>
      </c>
      <c r="G156" s="1480"/>
      <c r="H156" s="1531">
        <f>Scenarios!H157*(CF!$H$24+CF!$I$24)</f>
        <v>0</v>
      </c>
      <c r="I156" s="1531">
        <v>0</v>
      </c>
      <c r="J156" s="1531">
        <v>0</v>
      </c>
      <c r="K156" s="1531">
        <v>0</v>
      </c>
      <c r="L156" s="1532"/>
      <c r="M156" s="1532"/>
      <c r="N156" s="1532"/>
    </row>
    <row r="157" spans="1:19" ht="13.5">
      <c r="A157" s="1515" t="s">
        <v>646</v>
      </c>
      <c r="B157" s="1217"/>
      <c r="C157" s="1512" t="s">
        <v>700</v>
      </c>
      <c r="D157" s="1164"/>
      <c r="E157" s="1414" cm="1">
        <f t="array" ref="E157">INDEX(H157:K157,0,MATCH($E$4,$H$4:$K$4,0))</f>
        <v>0</v>
      </c>
      <c r="F157" s="1477"/>
      <c r="G157" s="1480"/>
      <c r="H157" s="1502">
        <v>0</v>
      </c>
      <c r="I157" s="1502">
        <v>0</v>
      </c>
      <c r="J157" s="1502">
        <v>0</v>
      </c>
      <c r="K157" s="1502">
        <v>0</v>
      </c>
      <c r="L157" s="1411"/>
      <c r="M157" s="1411"/>
      <c r="N157" s="1411"/>
    </row>
    <row r="158" spans="1:19" ht="13.5">
      <c r="A158" s="1515" t="s">
        <v>701</v>
      </c>
      <c r="B158" s="1217"/>
      <c r="C158" s="1511" t="s">
        <v>702</v>
      </c>
      <c r="D158" s="1164"/>
      <c r="E158" s="1412" cm="1">
        <f t="array" ref="E158">INDEX(H158:K158,0,MATCH($E$4,$H$4:$K$4,0))</f>
        <v>6500</v>
      </c>
      <c r="F158" s="1505">
        <f t="shared" ref="F158" si="21">E158/$E$8</f>
        <v>86.367260164762158</v>
      </c>
      <c r="G158" s="1480"/>
      <c r="H158" s="1473">
        <v>1000</v>
      </c>
      <c r="I158" s="1473">
        <v>1000</v>
      </c>
      <c r="J158" s="1473">
        <v>1000</v>
      </c>
      <c r="K158" s="1473">
        <v>6500</v>
      </c>
      <c r="L158" s="1658" t="s">
        <v>703</v>
      </c>
      <c r="M158" s="1656"/>
      <c r="N158" s="1411" t="s">
        <v>704</v>
      </c>
      <c r="O158" s="1657">
        <f>J158/J9</f>
        <v>16.025641025641026</v>
      </c>
      <c r="P158" s="652" t="s">
        <v>705</v>
      </c>
      <c r="Q158" s="1643"/>
      <c r="R158" s="1643">
        <f>K158/K9</f>
        <v>104.16666666666667</v>
      </c>
      <c r="S158" s="1643"/>
    </row>
    <row r="159" spans="1:19" s="1469" customFormat="1" ht="13.5">
      <c r="A159" s="1515"/>
      <c r="B159" s="1470"/>
      <c r="C159" s="1507" t="s">
        <v>706</v>
      </c>
      <c r="D159" s="1475"/>
      <c r="E159" s="1481" cm="1">
        <f t="array" ref="E159">INDEX(H159:K159,0,MATCH($E$4,$H$4:$K$4,0))</f>
        <v>18.326999999999998</v>
      </c>
      <c r="F159" s="1501">
        <f>E159/$E$8</f>
        <v>0.2435158118522455</v>
      </c>
      <c r="G159" s="1480"/>
      <c r="H159" s="1482">
        <f>H160+H165+H172+H182+H188+H192+H204+H208+H211+H217</f>
        <v>3862.9317999999998</v>
      </c>
      <c r="I159" s="1482">
        <f>I160+I165+I172+I182+I188+I192+I204+I208+I211+I217</f>
        <v>4202.9318000000003</v>
      </c>
      <c r="J159" s="1482">
        <f>J160+J165+J172+J182+J188+J192+J204+J208+J211+J217</f>
        <v>4232.9318000000003</v>
      </c>
      <c r="K159" s="1482">
        <f>K160+K165+K172+K182+K188+K192+K204+K208+K211+K217</f>
        <v>18.326999999999998</v>
      </c>
      <c r="L159" s="1471"/>
      <c r="M159" s="1471"/>
      <c r="N159" s="1471"/>
    </row>
    <row r="160" spans="1:19" ht="13.5">
      <c r="A160" s="1515"/>
      <c r="B160" s="1217"/>
      <c r="C160" s="1508" t="s">
        <v>707</v>
      </c>
      <c r="D160" s="1506"/>
      <c r="E160" s="1432" cm="1">
        <f t="array" ref="E160">INDEX(H160:K160,0,MATCH($E$4,$H$4:$K$4,0))</f>
        <v>0</v>
      </c>
      <c r="F160" s="1499">
        <f t="shared" ref="F160:F170" si="22">E160/$E$8</f>
        <v>0</v>
      </c>
      <c r="G160" s="1480"/>
      <c r="H160" s="1468">
        <f>SUM(H161:H164)</f>
        <v>0</v>
      </c>
      <c r="I160" s="1468">
        <f>SUM(I161:I164)</f>
        <v>0</v>
      </c>
      <c r="J160" s="1468">
        <f>SUM(J161:J164)</f>
        <v>0</v>
      </c>
      <c r="K160" s="1468">
        <f>SUM(K161:K164)</f>
        <v>0</v>
      </c>
      <c r="L160" s="1411"/>
      <c r="M160" s="1411"/>
      <c r="N160" s="1411"/>
    </row>
    <row r="161" spans="1:18" ht="13.5">
      <c r="A161" s="1515" t="s">
        <v>615</v>
      </c>
      <c r="B161" s="1217"/>
      <c r="C161" s="1509" t="s">
        <v>708</v>
      </c>
      <c r="D161" s="1164"/>
      <c r="E161" s="1412" cm="1">
        <f t="array" ref="E161">INDEX(H161:K161,0,MATCH($E$4,$H$4:$K$4,0))</f>
        <v>0</v>
      </c>
      <c r="F161" s="1505">
        <f t="shared" si="22"/>
        <v>0</v>
      </c>
      <c r="G161" s="1480"/>
      <c r="H161" s="1492">
        <v>0</v>
      </c>
      <c r="I161" s="1492">
        <v>0</v>
      </c>
      <c r="J161" s="1492">
        <v>0</v>
      </c>
      <c r="K161" s="1492">
        <v>0</v>
      </c>
      <c r="L161" s="1411"/>
      <c r="M161" s="1411"/>
      <c r="N161" s="1411"/>
    </row>
    <row r="162" spans="1:18" ht="13.5">
      <c r="A162" s="1515" t="s">
        <v>615</v>
      </c>
      <c r="B162" s="1217"/>
      <c r="C162" s="1509" t="s">
        <v>709</v>
      </c>
      <c r="D162" s="1164"/>
      <c r="E162" s="1412" cm="1">
        <f t="array" ref="E162">INDEX(H162:K162,0,MATCH($E$4,$H$4:$K$4,0))</f>
        <v>0</v>
      </c>
      <c r="F162" s="1505">
        <f t="shared" si="22"/>
        <v>0</v>
      </c>
      <c r="G162" s="1480"/>
      <c r="H162" s="1492">
        <v>0</v>
      </c>
      <c r="I162" s="1492">
        <v>0</v>
      </c>
      <c r="J162" s="1492">
        <v>0</v>
      </c>
      <c r="K162" s="1492">
        <v>0</v>
      </c>
      <c r="L162" s="1411"/>
      <c r="M162" s="1411"/>
      <c r="N162" s="1411"/>
    </row>
    <row r="163" spans="1:18" ht="13.5">
      <c r="A163" s="1515" t="s">
        <v>615</v>
      </c>
      <c r="B163" s="1217"/>
      <c r="C163" s="1509" t="s">
        <v>710</v>
      </c>
      <c r="D163" s="1164"/>
      <c r="E163" s="1412" cm="1">
        <f t="array" ref="E163">INDEX(H163:K163,0,MATCH($E$4,$H$4:$K$4,0))</f>
        <v>0</v>
      </c>
      <c r="F163" s="1505">
        <f t="shared" si="22"/>
        <v>0</v>
      </c>
      <c r="G163" s="1480"/>
      <c r="H163" s="1492">
        <v>0</v>
      </c>
      <c r="I163" s="1492">
        <v>0</v>
      </c>
      <c r="J163" s="1492">
        <v>0</v>
      </c>
      <c r="K163" s="1492">
        <v>0</v>
      </c>
      <c r="L163" s="1411"/>
      <c r="M163" s="1411"/>
      <c r="N163" s="1411"/>
    </row>
    <row r="164" spans="1:18" ht="13.5">
      <c r="A164" s="1515" t="s">
        <v>615</v>
      </c>
      <c r="B164" s="1217"/>
      <c r="C164" s="1509" t="s">
        <v>711</v>
      </c>
      <c r="D164" s="1164"/>
      <c r="E164" s="1412" cm="1">
        <f t="array" ref="E164">INDEX(H164:K164,0,MATCH($E$4,$H$4:$K$4,0))</f>
        <v>0</v>
      </c>
      <c r="F164" s="1498">
        <f t="shared" si="22"/>
        <v>0</v>
      </c>
      <c r="G164" s="1480"/>
      <c r="H164" s="1492">
        <v>0</v>
      </c>
      <c r="I164" s="1492">
        <v>0</v>
      </c>
      <c r="J164" s="1492">
        <v>0</v>
      </c>
      <c r="K164" s="1492">
        <v>0</v>
      </c>
      <c r="L164" s="1411"/>
      <c r="M164" s="1411"/>
      <c r="N164" s="1411"/>
    </row>
    <row r="165" spans="1:18" ht="13.5">
      <c r="A165" s="1515"/>
      <c r="B165" s="1217"/>
      <c r="C165" s="1508" t="s">
        <v>712</v>
      </c>
      <c r="D165" s="1506"/>
      <c r="E165" s="1432" cm="1">
        <f t="array" ref="E165">INDEX(H165:K165,0,MATCH($E$4,$H$4:$K$4,0))</f>
        <v>8.327</v>
      </c>
      <c r="F165" s="1499">
        <f t="shared" ref="F165" si="23">E165/$E$8</f>
        <v>0.11064310390645761</v>
      </c>
      <c r="G165" s="1480"/>
      <c r="H165" s="1468">
        <f>SUM(H166:H170)</f>
        <v>3682.9317999999998</v>
      </c>
      <c r="I165" s="1468">
        <f>SUM(I166:I170)</f>
        <v>3682.9317999999998</v>
      </c>
      <c r="J165" s="1468">
        <f>SUM(J166:J170)</f>
        <v>3687.9317999999998</v>
      </c>
      <c r="K165" s="1468">
        <f t="shared" ref="K165" si="24">SUM(K166:K170)</f>
        <v>8.327</v>
      </c>
      <c r="L165" s="1411"/>
      <c r="M165" s="1411"/>
      <c r="N165" s="1411"/>
    </row>
    <row r="166" spans="1:18" ht="13.5">
      <c r="A166" s="1515" t="s">
        <v>615</v>
      </c>
      <c r="B166" s="1217"/>
      <c r="C166" s="1509" t="s">
        <v>713</v>
      </c>
      <c r="D166" s="1164"/>
      <c r="E166" s="1412" cm="1">
        <f t="array" ref="E166">INDEX(H166:K166,0,MATCH($E$4,$H$4:$K$4,0))</f>
        <v>0</v>
      </c>
      <c r="F166" s="1505">
        <f t="shared" si="22"/>
        <v>0</v>
      </c>
      <c r="G166" s="1480"/>
      <c r="H166" s="1492">
        <v>10</v>
      </c>
      <c r="I166" s="1492">
        <v>10</v>
      </c>
      <c r="J166" s="1492">
        <v>10</v>
      </c>
      <c r="K166" s="1492">
        <v>0</v>
      </c>
      <c r="L166" s="1411"/>
      <c r="M166" s="1411"/>
      <c r="N166" s="1411"/>
    </row>
    <row r="167" spans="1:18" ht="13.5">
      <c r="A167" s="1515" t="s">
        <v>615</v>
      </c>
      <c r="B167" s="1217"/>
      <c r="C167" s="1509" t="s">
        <v>714</v>
      </c>
      <c r="D167" s="1164"/>
      <c r="E167" s="1412" cm="1">
        <f t="array" ref="E167">INDEX(H167:K167,0,MATCH($E$4,$H$4:$K$4,0))</f>
        <v>0</v>
      </c>
      <c r="F167" s="1505">
        <f t="shared" si="22"/>
        <v>0</v>
      </c>
      <c r="G167" s="1480"/>
      <c r="H167" s="1492">
        <v>25</v>
      </c>
      <c r="I167" s="1492">
        <v>25</v>
      </c>
      <c r="J167" s="1492">
        <v>30</v>
      </c>
      <c r="K167" s="1492">
        <v>0</v>
      </c>
      <c r="L167" s="1411"/>
      <c r="M167" s="1411"/>
      <c r="N167" s="1411"/>
    </row>
    <row r="168" spans="1:18" ht="13.5">
      <c r="A168" s="1515" t="s">
        <v>615</v>
      </c>
      <c r="B168" s="1217"/>
      <c r="C168" s="1538" t="s">
        <v>715</v>
      </c>
      <c r="D168" s="1539"/>
      <c r="E168" s="1432" cm="1">
        <f t="array" ref="E168">INDEX(H168:K168,0,MATCH($E$4,$H$4:$K$4,0))</f>
        <v>0</v>
      </c>
      <c r="F168" s="1499">
        <f t="shared" si="22"/>
        <v>0</v>
      </c>
      <c r="G168" s="1480"/>
      <c r="H168" s="1641">
        <f>H169*H9</f>
        <v>519.60479999999995</v>
      </c>
      <c r="I168" s="1641">
        <f>I169*I9</f>
        <v>519.60479999999995</v>
      </c>
      <c r="J168" s="1641">
        <f>J169*J9</f>
        <v>519.60479999999995</v>
      </c>
      <c r="K168" s="1641">
        <v>0</v>
      </c>
      <c r="L168" s="1411"/>
      <c r="M168" s="1411"/>
      <c r="N168" s="1411"/>
    </row>
    <row r="169" spans="1:18" ht="13.5">
      <c r="A169" s="1515" t="s">
        <v>615</v>
      </c>
      <c r="B169" s="1217"/>
      <c r="C169" s="1509" t="s">
        <v>716</v>
      </c>
      <c r="D169" s="1164"/>
      <c r="E169" s="1412" cm="1">
        <f t="array" ref="E169">INDEX(H169:K169,0,MATCH($E$4,$H$4:$K$4,0))</f>
        <v>8.327</v>
      </c>
      <c r="F169" s="1477"/>
      <c r="G169" s="1480"/>
      <c r="H169" s="1473">
        <v>8.327</v>
      </c>
      <c r="I169" s="1473">
        <v>8.327</v>
      </c>
      <c r="J169" s="1473">
        <v>8.327</v>
      </c>
      <c r="K169" s="1473">
        <v>8.327</v>
      </c>
      <c r="L169" s="1411"/>
      <c r="M169" s="1411"/>
      <c r="N169" s="1411"/>
    </row>
    <row r="170" spans="1:18" ht="13.5">
      <c r="A170" s="1515" t="s">
        <v>615</v>
      </c>
      <c r="B170" s="1217"/>
      <c r="C170" s="1538" t="s">
        <v>717</v>
      </c>
      <c r="D170" s="1539"/>
      <c r="E170" s="1432" cm="1">
        <f t="array" ref="E170">INDEX(H170:K170,0,MATCH($E$4,$H$4:$K$4,0))</f>
        <v>0</v>
      </c>
      <c r="F170" s="1499">
        <f t="shared" si="22"/>
        <v>0</v>
      </c>
      <c r="G170" s="1480"/>
      <c r="H170" s="1645">
        <f>H171*H9</f>
        <v>3120</v>
      </c>
      <c r="I170" s="1655">
        <f>I171*I9</f>
        <v>3120</v>
      </c>
      <c r="J170" s="1655">
        <f>J171*J9</f>
        <v>3120</v>
      </c>
      <c r="K170" s="1655">
        <f>K171*K9</f>
        <v>0</v>
      </c>
      <c r="L170" s="1411"/>
      <c r="M170" s="1411"/>
      <c r="N170" s="1411"/>
    </row>
    <row r="171" spans="1:18" ht="13.5">
      <c r="A171" s="1515" t="s">
        <v>615</v>
      </c>
      <c r="B171" s="1217"/>
      <c r="C171" s="1537" t="s">
        <v>718</v>
      </c>
      <c r="D171" s="1164"/>
      <c r="E171" s="1412" cm="1">
        <f t="array" ref="E171">INDEX(H171:K171,0,MATCH($E$4,$H$4:$K$4,0))</f>
        <v>0</v>
      </c>
      <c r="F171" s="1477"/>
      <c r="G171" s="1480"/>
      <c r="H171" s="1473">
        <v>50</v>
      </c>
      <c r="I171" s="1664">
        <v>50</v>
      </c>
      <c r="J171" s="1664">
        <v>50</v>
      </c>
      <c r="K171" s="1473">
        <v>0</v>
      </c>
      <c r="L171" s="1663" t="s">
        <v>719</v>
      </c>
      <c r="M171" s="1663"/>
      <c r="N171" s="1663"/>
      <c r="O171" s="1643"/>
      <c r="P171" s="1643"/>
      <c r="Q171" s="1643"/>
      <c r="R171" s="1643"/>
    </row>
    <row r="172" spans="1:18" ht="13.5">
      <c r="A172" s="1515"/>
      <c r="B172" s="1217"/>
      <c r="C172" s="1508" t="s">
        <v>720</v>
      </c>
      <c r="D172" s="1506"/>
      <c r="E172" s="1432" cm="1">
        <f t="array" ref="E172">INDEX(H172:K172,0,MATCH($E$4,$H$4:$K$4,0))</f>
        <v>0</v>
      </c>
      <c r="F172" s="1499">
        <f t="shared" ref="F172:F181" si="25">E172/$E$8</f>
        <v>0</v>
      </c>
      <c r="G172" s="1480"/>
      <c r="H172" s="1468">
        <f>SUM(H173:H181)</f>
        <v>15</v>
      </c>
      <c r="I172" s="1468">
        <f>SUM(I173:I181)</f>
        <v>15</v>
      </c>
      <c r="J172" s="1468">
        <f>SUM(J173:J181)</f>
        <v>15</v>
      </c>
      <c r="K172" s="1468">
        <f>SUM(K173:K181)</f>
        <v>0</v>
      </c>
      <c r="L172" s="1411"/>
      <c r="M172" s="1411"/>
      <c r="N172" s="1411"/>
    </row>
    <row r="173" spans="1:18" ht="13.5">
      <c r="A173" s="1515" t="s">
        <v>615</v>
      </c>
      <c r="B173" s="1217"/>
      <c r="C173" s="1509" t="s">
        <v>721</v>
      </c>
      <c r="D173" s="1164"/>
      <c r="E173" s="1412" cm="1">
        <f t="array" ref="E173">INDEX(H173:K173,0,MATCH($E$4,$H$4:$K$4,0))</f>
        <v>0</v>
      </c>
      <c r="F173" s="1505">
        <f t="shared" si="25"/>
        <v>0</v>
      </c>
      <c r="G173" s="1480"/>
      <c r="H173" s="1492">
        <v>0</v>
      </c>
      <c r="I173" s="1492">
        <v>0</v>
      </c>
      <c r="J173" s="1492">
        <v>0</v>
      </c>
      <c r="K173" s="1492">
        <v>0</v>
      </c>
      <c r="L173" s="1411"/>
      <c r="M173" s="1411"/>
      <c r="N173" s="1411"/>
    </row>
    <row r="174" spans="1:18" ht="13.5">
      <c r="A174" s="1515" t="s">
        <v>615</v>
      </c>
      <c r="B174" s="1217"/>
      <c r="C174" s="1509" t="s">
        <v>722</v>
      </c>
      <c r="D174" s="1164"/>
      <c r="E174" s="1412" cm="1">
        <f t="array" ref="E174">INDEX(H174:K174,0,MATCH($E$4,$H$4:$K$4,0))</f>
        <v>0</v>
      </c>
      <c r="F174" s="1505">
        <f t="shared" si="25"/>
        <v>0</v>
      </c>
      <c r="G174" s="1480"/>
      <c r="H174" s="1492">
        <v>0</v>
      </c>
      <c r="I174" s="1492">
        <v>0</v>
      </c>
      <c r="J174" s="1492">
        <v>0</v>
      </c>
      <c r="K174" s="1492">
        <v>0</v>
      </c>
      <c r="L174" s="1411"/>
      <c r="M174" s="1411"/>
      <c r="N174" s="1411"/>
    </row>
    <row r="175" spans="1:18" ht="13.5">
      <c r="A175" s="1515" t="s">
        <v>615</v>
      </c>
      <c r="B175" s="1217"/>
      <c r="C175" s="1509" t="s">
        <v>723</v>
      </c>
      <c r="D175" s="1164"/>
      <c r="E175" s="1412" cm="1">
        <f t="array" ref="E175">INDEX(H175:K175,0,MATCH($E$4,$H$4:$K$4,0))</f>
        <v>0</v>
      </c>
      <c r="F175" s="1505">
        <f t="shared" si="25"/>
        <v>0</v>
      </c>
      <c r="G175" s="1480"/>
      <c r="H175" s="1492">
        <v>0</v>
      </c>
      <c r="I175" s="1492">
        <v>0</v>
      </c>
      <c r="J175" s="1492">
        <v>0</v>
      </c>
      <c r="K175" s="1492">
        <v>0</v>
      </c>
      <c r="L175" s="1411"/>
      <c r="M175" s="1411"/>
      <c r="N175" s="1411"/>
    </row>
    <row r="176" spans="1:18" ht="13.5">
      <c r="A176" s="1515" t="s">
        <v>615</v>
      </c>
      <c r="B176" s="1217"/>
      <c r="C176" s="1509" t="s">
        <v>724</v>
      </c>
      <c r="D176" s="1164"/>
      <c r="E176" s="1412" cm="1">
        <f t="array" ref="E176">INDEX(H176:K176,0,MATCH($E$4,$H$4:$K$4,0))</f>
        <v>0</v>
      </c>
      <c r="F176" s="1505">
        <f t="shared" si="25"/>
        <v>0</v>
      </c>
      <c r="G176" s="1480"/>
      <c r="H176" s="1492">
        <v>0</v>
      </c>
      <c r="I176" s="1492">
        <v>0</v>
      </c>
      <c r="J176" s="1492">
        <v>0</v>
      </c>
      <c r="K176" s="1492">
        <v>0</v>
      </c>
      <c r="L176" s="1411"/>
      <c r="M176" s="1411"/>
      <c r="N176" s="1411"/>
    </row>
    <row r="177" spans="1:14" ht="13.5">
      <c r="A177" s="1515" t="s">
        <v>615</v>
      </c>
      <c r="B177" s="1217"/>
      <c r="C177" s="1509" t="s">
        <v>725</v>
      </c>
      <c r="D177" s="1164"/>
      <c r="E177" s="1412" cm="1">
        <f t="array" ref="E177">INDEX(H177:K177,0,MATCH($E$4,$H$4:$K$4,0))</f>
        <v>0</v>
      </c>
      <c r="F177" s="1505">
        <f t="shared" si="25"/>
        <v>0</v>
      </c>
      <c r="G177" s="1480"/>
      <c r="H177" s="1492">
        <v>5</v>
      </c>
      <c r="I177" s="1492">
        <v>5</v>
      </c>
      <c r="J177" s="1492">
        <v>5</v>
      </c>
      <c r="K177" s="1492">
        <v>0</v>
      </c>
      <c r="L177" s="1411"/>
      <c r="M177" s="1411"/>
      <c r="N177" s="1411"/>
    </row>
    <row r="178" spans="1:14" ht="13.5">
      <c r="A178" s="1515" t="s">
        <v>615</v>
      </c>
      <c r="B178" s="1217"/>
      <c r="C178" s="1509" t="s">
        <v>726</v>
      </c>
      <c r="D178" s="1164"/>
      <c r="E178" s="1412" cm="1">
        <f t="array" ref="E178">INDEX(H178:K178,0,MATCH($E$4,$H$4:$K$4,0))</f>
        <v>0</v>
      </c>
      <c r="F178" s="1505">
        <f t="shared" si="25"/>
        <v>0</v>
      </c>
      <c r="G178" s="1480"/>
      <c r="H178" s="1492">
        <v>5</v>
      </c>
      <c r="I178" s="1492">
        <v>5</v>
      </c>
      <c r="J178" s="1492">
        <v>5</v>
      </c>
      <c r="K178" s="1492">
        <v>0</v>
      </c>
      <c r="L178" s="1411"/>
      <c r="M178" s="1411"/>
      <c r="N178" s="1411"/>
    </row>
    <row r="179" spans="1:14" ht="13.5">
      <c r="A179" s="1515" t="s">
        <v>615</v>
      </c>
      <c r="B179" s="1217"/>
      <c r="C179" s="1509" t="s">
        <v>727</v>
      </c>
      <c r="D179" s="1164"/>
      <c r="E179" s="1412" cm="1">
        <f t="array" ref="E179">INDEX(H179:K179,0,MATCH($E$4,$H$4:$K$4,0))</f>
        <v>0</v>
      </c>
      <c r="F179" s="1505">
        <f t="shared" si="25"/>
        <v>0</v>
      </c>
      <c r="G179" s="1480"/>
      <c r="H179" s="1492">
        <v>5</v>
      </c>
      <c r="I179" s="1492">
        <v>5</v>
      </c>
      <c r="J179" s="1492">
        <v>5</v>
      </c>
      <c r="K179" s="1492">
        <v>0</v>
      </c>
      <c r="L179" s="1411"/>
      <c r="M179" s="1411"/>
      <c r="N179" s="1411"/>
    </row>
    <row r="180" spans="1:14" ht="13.5">
      <c r="A180" s="1515" t="s">
        <v>615</v>
      </c>
      <c r="B180" s="1217"/>
      <c r="C180" s="1509" t="s">
        <v>728</v>
      </c>
      <c r="D180" s="1164"/>
      <c r="E180" s="1412" cm="1">
        <f t="array" ref="E180">INDEX(H180:K180,0,MATCH($E$4,$H$4:$K$4,0))</f>
        <v>0</v>
      </c>
      <c r="F180" s="1505">
        <f t="shared" si="25"/>
        <v>0</v>
      </c>
      <c r="G180" s="1480"/>
      <c r="H180" s="1492">
        <v>0</v>
      </c>
      <c r="I180" s="1492">
        <v>0</v>
      </c>
      <c r="J180" s="1492">
        <v>0</v>
      </c>
      <c r="K180" s="1492">
        <v>0</v>
      </c>
      <c r="L180" s="1411"/>
      <c r="M180" s="1411"/>
      <c r="N180" s="1411"/>
    </row>
    <row r="181" spans="1:14" ht="13.5">
      <c r="A181" s="1515" t="s">
        <v>615</v>
      </c>
      <c r="B181" s="1217"/>
      <c r="C181" s="1509" t="s">
        <v>729</v>
      </c>
      <c r="D181" s="1164"/>
      <c r="E181" s="1412" cm="1">
        <f t="array" ref="E181">INDEX(H181:K181,0,MATCH($E$4,$H$4:$K$4,0))</f>
        <v>0</v>
      </c>
      <c r="F181" s="1505">
        <f t="shared" si="25"/>
        <v>0</v>
      </c>
      <c r="G181" s="1480"/>
      <c r="H181" s="1492">
        <v>0</v>
      </c>
      <c r="I181" s="1492">
        <v>0</v>
      </c>
      <c r="J181" s="1492">
        <v>0</v>
      </c>
      <c r="K181" s="1492">
        <v>0</v>
      </c>
      <c r="L181" s="1411"/>
      <c r="M181" s="1411"/>
      <c r="N181" s="1411"/>
    </row>
    <row r="182" spans="1:14" ht="13.5">
      <c r="A182" s="1515"/>
      <c r="B182" s="1217"/>
      <c r="C182" s="1508" t="s">
        <v>730</v>
      </c>
      <c r="D182" s="1506"/>
      <c r="E182" s="1432" cm="1">
        <f t="array" ref="E182">INDEX(H182:K182,0,MATCH($E$4,$H$4:$K$4,0))</f>
        <v>0</v>
      </c>
      <c r="F182" s="1499">
        <f t="shared" ref="F182" si="26">E182/$E$8</f>
        <v>0</v>
      </c>
      <c r="G182" s="1480"/>
      <c r="H182" s="1468">
        <f>SUM(H183:H187)</f>
        <v>70</v>
      </c>
      <c r="I182" s="1468">
        <f>SUM(I183:I187)</f>
        <v>410</v>
      </c>
      <c r="J182" s="1468">
        <f>SUM(J183:J187)</f>
        <v>435</v>
      </c>
      <c r="K182" s="1468">
        <f>SUM(K183:K187)</f>
        <v>0</v>
      </c>
      <c r="L182" s="1411"/>
      <c r="M182" s="1411"/>
      <c r="N182" s="1411"/>
    </row>
    <row r="183" spans="1:14" ht="13.5">
      <c r="A183" s="1515" t="s">
        <v>615</v>
      </c>
      <c r="B183" s="1217"/>
      <c r="C183" s="1509" t="s">
        <v>731</v>
      </c>
      <c r="D183" s="1164"/>
      <c r="E183" s="1412" cm="1">
        <f t="array" ref="E183">INDEX(H183:K183,0,MATCH($E$4,$H$4:$K$4,0))</f>
        <v>0</v>
      </c>
      <c r="F183" s="1505">
        <f t="shared" ref="F183:F188" si="27">E183/$E$8</f>
        <v>0</v>
      </c>
      <c r="G183" s="1480"/>
      <c r="H183" s="1492">
        <v>5</v>
      </c>
      <c r="I183" s="1492">
        <v>5</v>
      </c>
      <c r="J183" s="1492">
        <v>30</v>
      </c>
      <c r="K183" s="1492">
        <v>0</v>
      </c>
      <c r="L183" s="1411"/>
      <c r="M183" s="1411"/>
      <c r="N183" s="1411"/>
    </row>
    <row r="184" spans="1:14" ht="13.5">
      <c r="A184" s="1515" t="s">
        <v>615</v>
      </c>
      <c r="B184" s="1217"/>
      <c r="C184" s="1509" t="s">
        <v>732</v>
      </c>
      <c r="D184" s="1164"/>
      <c r="E184" s="1412" cm="1">
        <f t="array" ref="E184">INDEX(H184:K184,0,MATCH($E$4,$H$4:$K$4,0))</f>
        <v>0</v>
      </c>
      <c r="F184" s="1505">
        <f t="shared" si="27"/>
        <v>0</v>
      </c>
      <c r="G184" s="1480"/>
      <c r="H184" s="1492">
        <v>10</v>
      </c>
      <c r="I184" s="1492">
        <v>100</v>
      </c>
      <c r="J184" s="1492">
        <v>100</v>
      </c>
      <c r="K184" s="1492">
        <v>0</v>
      </c>
      <c r="L184" s="1411"/>
      <c r="M184" s="1411"/>
      <c r="N184" s="1411"/>
    </row>
    <row r="185" spans="1:14" ht="13.5">
      <c r="A185" s="1515" t="s">
        <v>615</v>
      </c>
      <c r="B185" s="1217"/>
      <c r="C185" s="1509" t="s">
        <v>733</v>
      </c>
      <c r="D185" s="1164"/>
      <c r="E185" s="1412" cm="1">
        <f t="array" ref="E185">INDEX(H185:K185,0,MATCH($E$4,$H$4:$K$4,0))</f>
        <v>0</v>
      </c>
      <c r="F185" s="1505">
        <f t="shared" si="27"/>
        <v>0</v>
      </c>
      <c r="G185" s="1480"/>
      <c r="H185" s="1492">
        <v>50</v>
      </c>
      <c r="I185" s="1492">
        <v>300</v>
      </c>
      <c r="J185" s="1492">
        <v>300</v>
      </c>
      <c r="K185" s="1492">
        <v>0</v>
      </c>
      <c r="L185" s="1411"/>
      <c r="M185" s="1411"/>
      <c r="N185" s="1411"/>
    </row>
    <row r="186" spans="1:14" ht="13.5">
      <c r="A186" s="1515" t="s">
        <v>615</v>
      </c>
      <c r="B186" s="1217"/>
      <c r="C186" s="1509" t="s">
        <v>734</v>
      </c>
      <c r="D186" s="1164"/>
      <c r="E186" s="1412" cm="1">
        <f t="array" ref="E186">INDEX(H186:K186,0,MATCH($E$4,$H$4:$K$4,0))</f>
        <v>0</v>
      </c>
      <c r="F186" s="1505">
        <f t="shared" si="27"/>
        <v>0</v>
      </c>
      <c r="G186" s="1480"/>
      <c r="H186" s="1492">
        <v>0</v>
      </c>
      <c r="I186" s="1492">
        <v>0</v>
      </c>
      <c r="J186" s="1492">
        <v>0</v>
      </c>
      <c r="K186" s="1492">
        <v>0</v>
      </c>
      <c r="L186" s="1411"/>
      <c r="M186" s="1411"/>
      <c r="N186" s="1411"/>
    </row>
    <row r="187" spans="1:14" ht="13.5">
      <c r="A187" s="1515" t="s">
        <v>615</v>
      </c>
      <c r="B187" s="1217"/>
      <c r="C187" s="1509" t="s">
        <v>735</v>
      </c>
      <c r="D187" s="1164"/>
      <c r="E187" s="1412" cm="1">
        <f t="array" ref="E187">INDEX(H187:K187,0,MATCH($E$4,$H$4:$K$4,0))</f>
        <v>0</v>
      </c>
      <c r="F187" s="1505">
        <f t="shared" si="27"/>
        <v>0</v>
      </c>
      <c r="G187" s="1480"/>
      <c r="H187" s="1492">
        <v>5</v>
      </c>
      <c r="I187" s="1492">
        <v>5</v>
      </c>
      <c r="J187" s="1492">
        <v>5</v>
      </c>
      <c r="K187" s="1492">
        <v>0</v>
      </c>
      <c r="L187" s="1411"/>
      <c r="M187" s="1411"/>
      <c r="N187" s="1411"/>
    </row>
    <row r="188" spans="1:14" ht="13.5">
      <c r="A188" s="1515"/>
      <c r="B188" s="1217"/>
      <c r="C188" s="1508" t="s">
        <v>736</v>
      </c>
      <c r="D188" s="1506"/>
      <c r="E188" s="1432" cm="1">
        <f t="array" ref="E188">INDEX(H188:K188,0,MATCH($E$4,$H$4:$K$4,0))</f>
        <v>0</v>
      </c>
      <c r="F188" s="1499">
        <f t="shared" si="27"/>
        <v>0</v>
      </c>
      <c r="G188" s="1480"/>
      <c r="H188" s="1468">
        <f>SUM(H189:H191)</f>
        <v>15</v>
      </c>
      <c r="I188" s="1468">
        <f>SUM(I189:I191)</f>
        <v>15</v>
      </c>
      <c r="J188" s="1468">
        <f>SUM(J189:J191)</f>
        <v>15</v>
      </c>
      <c r="K188" s="1468">
        <f>SUM(K189:K191)</f>
        <v>0</v>
      </c>
      <c r="L188" s="1411"/>
      <c r="M188" s="1411"/>
      <c r="N188" s="1411"/>
    </row>
    <row r="189" spans="1:14" ht="13.5">
      <c r="A189" s="1515" t="s">
        <v>615</v>
      </c>
      <c r="B189" s="1217"/>
      <c r="C189" s="1509" t="s">
        <v>737</v>
      </c>
      <c r="D189" s="1164"/>
      <c r="E189" s="1412" cm="1">
        <f t="array" ref="E189">INDEX(H189:K189,0,MATCH($E$4,$H$4:$K$4,0))</f>
        <v>0</v>
      </c>
      <c r="F189" s="1505">
        <f t="shared" ref="F189:F192" si="28">E189/$E$8</f>
        <v>0</v>
      </c>
      <c r="G189" s="1480"/>
      <c r="H189" s="1492">
        <v>5</v>
      </c>
      <c r="I189" s="1492">
        <v>5</v>
      </c>
      <c r="J189" s="1492">
        <v>5</v>
      </c>
      <c r="K189" s="1492">
        <v>0</v>
      </c>
      <c r="L189" s="1411"/>
      <c r="M189" s="1411"/>
      <c r="N189" s="1411"/>
    </row>
    <row r="190" spans="1:14" ht="13.5">
      <c r="A190" s="1515" t="s">
        <v>615</v>
      </c>
      <c r="B190" s="1217"/>
      <c r="C190" s="1509" t="s">
        <v>482</v>
      </c>
      <c r="D190" s="1164"/>
      <c r="E190" s="1412" cm="1">
        <f t="array" ref="E190">INDEX(H190:K190,0,MATCH($E$4,$H$4:$K$4,0))</f>
        <v>0</v>
      </c>
      <c r="F190" s="1505">
        <f t="shared" si="28"/>
        <v>0</v>
      </c>
      <c r="G190" s="1480"/>
      <c r="H190" s="1492">
        <v>5</v>
      </c>
      <c r="I190" s="1492">
        <v>5</v>
      </c>
      <c r="J190" s="1492">
        <v>5</v>
      </c>
      <c r="K190" s="1492">
        <v>0</v>
      </c>
      <c r="L190" s="1411"/>
      <c r="M190" s="1411"/>
      <c r="N190" s="1411"/>
    </row>
    <row r="191" spans="1:14" ht="13.5">
      <c r="A191" s="1515" t="s">
        <v>615</v>
      </c>
      <c r="B191" s="1217"/>
      <c r="C191" s="1509" t="s">
        <v>738</v>
      </c>
      <c r="D191" s="1164"/>
      <c r="E191" s="1412" cm="1">
        <f t="array" ref="E191">INDEX(H191:K191,0,MATCH($E$4,$H$4:$K$4,0))</f>
        <v>0</v>
      </c>
      <c r="F191" s="1505">
        <f t="shared" si="28"/>
        <v>0</v>
      </c>
      <c r="G191" s="1480"/>
      <c r="H191" s="1492">
        <v>5</v>
      </c>
      <c r="I191" s="1492">
        <v>5</v>
      </c>
      <c r="J191" s="1492">
        <v>5</v>
      </c>
      <c r="K191" s="1492">
        <v>0</v>
      </c>
      <c r="L191" s="1411"/>
      <c r="M191" s="1411"/>
      <c r="N191" s="1411"/>
    </row>
    <row r="192" spans="1:14" ht="13.5">
      <c r="A192" s="1515"/>
      <c r="B192" s="1217"/>
      <c r="C192" s="1508" t="s">
        <v>739</v>
      </c>
      <c r="D192" s="1506"/>
      <c r="E192" s="1432" cm="1">
        <f t="array" ref="E192">INDEX(H192:K192,0,MATCH($E$4,$H$4:$K$4,0))</f>
        <v>0</v>
      </c>
      <c r="F192" s="1499">
        <f t="shared" si="28"/>
        <v>0</v>
      </c>
      <c r="G192" s="1480"/>
      <c r="H192" s="1468">
        <f>SUM(H193:H203)</f>
        <v>30</v>
      </c>
      <c r="I192" s="1468">
        <f>SUM(I193:I203)</f>
        <v>30</v>
      </c>
      <c r="J192" s="1468">
        <f>SUM(J193:J203)</f>
        <v>30</v>
      </c>
      <c r="K192" s="1468">
        <f>SUM(K193:K203)</f>
        <v>0</v>
      </c>
      <c r="L192" s="1411"/>
      <c r="M192" s="1411"/>
      <c r="N192" s="1411"/>
    </row>
    <row r="193" spans="1:14" ht="13.5">
      <c r="A193" s="1515" t="s">
        <v>615</v>
      </c>
      <c r="B193" s="1217"/>
      <c r="C193" s="1509" t="s">
        <v>740</v>
      </c>
      <c r="D193" s="1164"/>
      <c r="E193" s="1412" cm="1">
        <f t="array" ref="E193">INDEX(H193:K193,0,MATCH($E$4,$H$4:$K$4,0))</f>
        <v>0</v>
      </c>
      <c r="F193" s="1505">
        <f t="shared" ref="F193:F204" si="29">E193/$E$8</f>
        <v>0</v>
      </c>
      <c r="G193" s="1480"/>
      <c r="H193" s="1492">
        <v>10</v>
      </c>
      <c r="I193" s="1492">
        <v>10</v>
      </c>
      <c r="J193" s="1492">
        <v>10</v>
      </c>
      <c r="K193" s="1492">
        <v>0</v>
      </c>
      <c r="L193" s="1411"/>
      <c r="M193" s="1411"/>
      <c r="N193" s="1411"/>
    </row>
    <row r="194" spans="1:14" ht="13.5">
      <c r="A194" s="1515" t="s">
        <v>615</v>
      </c>
      <c r="B194" s="1217"/>
      <c r="C194" s="1509" t="s">
        <v>741</v>
      </c>
      <c r="D194" s="1164"/>
      <c r="E194" s="1412" cm="1">
        <f t="array" ref="E194">INDEX(H194:K194,0,MATCH($E$4,$H$4:$K$4,0))</f>
        <v>0</v>
      </c>
      <c r="F194" s="1505">
        <f t="shared" si="29"/>
        <v>0</v>
      </c>
      <c r="G194" s="1480"/>
      <c r="H194" s="1492">
        <v>0</v>
      </c>
      <c r="I194" s="1492">
        <v>0</v>
      </c>
      <c r="J194" s="1492">
        <v>0</v>
      </c>
      <c r="K194" s="1492">
        <v>0</v>
      </c>
      <c r="L194" s="1411"/>
      <c r="M194" s="1411"/>
      <c r="N194" s="1411"/>
    </row>
    <row r="195" spans="1:14" ht="13.5">
      <c r="A195" s="1515" t="s">
        <v>615</v>
      </c>
      <c r="B195" s="1217"/>
      <c r="C195" s="1509" t="s">
        <v>742</v>
      </c>
      <c r="D195" s="1164"/>
      <c r="E195" s="1412" cm="1">
        <f t="array" ref="E195">INDEX(H195:K195,0,MATCH($E$4,$H$4:$K$4,0))</f>
        <v>0</v>
      </c>
      <c r="F195" s="1505">
        <f t="shared" si="29"/>
        <v>0</v>
      </c>
      <c r="G195" s="1480"/>
      <c r="H195" s="1492">
        <v>10</v>
      </c>
      <c r="I195" s="1492">
        <v>10</v>
      </c>
      <c r="J195" s="1492">
        <v>10</v>
      </c>
      <c r="K195" s="1492">
        <v>0</v>
      </c>
      <c r="L195" s="1411"/>
      <c r="M195" s="1411"/>
      <c r="N195" s="1411"/>
    </row>
    <row r="196" spans="1:14" ht="13.5">
      <c r="A196" s="1515" t="s">
        <v>615</v>
      </c>
      <c r="B196" s="1217"/>
      <c r="C196" s="1509" t="s">
        <v>743</v>
      </c>
      <c r="D196" s="1164"/>
      <c r="E196" s="1412" cm="1">
        <f t="array" ref="E196">INDEX(H196:K196,0,MATCH($E$4,$H$4:$K$4,0))</f>
        <v>0</v>
      </c>
      <c r="F196" s="1505">
        <f t="shared" si="29"/>
        <v>0</v>
      </c>
      <c r="G196" s="1480"/>
      <c r="H196" s="1492">
        <v>0</v>
      </c>
      <c r="I196" s="1492">
        <v>0</v>
      </c>
      <c r="J196" s="1492">
        <v>0</v>
      </c>
      <c r="K196" s="1492">
        <v>0</v>
      </c>
      <c r="L196" s="1411"/>
      <c r="M196" s="1411"/>
      <c r="N196" s="1411"/>
    </row>
    <row r="197" spans="1:14" ht="13.5">
      <c r="A197" s="1515" t="s">
        <v>615</v>
      </c>
      <c r="B197" s="1217"/>
      <c r="C197" s="1509" t="s">
        <v>744</v>
      </c>
      <c r="D197" s="1164"/>
      <c r="E197" s="1412" cm="1">
        <f t="array" ref="E197">INDEX(H197:K197,0,MATCH($E$4,$H$4:$K$4,0))</f>
        <v>0</v>
      </c>
      <c r="F197" s="1505">
        <f t="shared" si="29"/>
        <v>0</v>
      </c>
      <c r="G197" s="1480"/>
      <c r="H197" s="1492">
        <v>10</v>
      </c>
      <c r="I197" s="1492">
        <v>10</v>
      </c>
      <c r="J197" s="1492">
        <v>10</v>
      </c>
      <c r="K197" s="1492">
        <v>0</v>
      </c>
      <c r="L197" s="1411"/>
      <c r="M197" s="1411"/>
      <c r="N197" s="1411"/>
    </row>
    <row r="198" spans="1:14" ht="13.5">
      <c r="A198" s="1515" t="s">
        <v>615</v>
      </c>
      <c r="B198" s="1540" t="s">
        <v>745</v>
      </c>
      <c r="C198" s="1536" t="s">
        <v>746</v>
      </c>
      <c r="D198" s="1164"/>
      <c r="E198" s="1412" cm="1">
        <f t="array" ref="E198">INDEX(H198:K198,0,MATCH($E$4,$H$4:$K$4,0))</f>
        <v>0</v>
      </c>
      <c r="F198" s="1505">
        <f t="shared" si="29"/>
        <v>0</v>
      </c>
      <c r="G198" s="1480"/>
      <c r="H198" s="1473">
        <v>0</v>
      </c>
      <c r="I198" s="1473">
        <v>0</v>
      </c>
      <c r="J198" s="1473">
        <v>0</v>
      </c>
      <c r="K198" s="1473">
        <v>0</v>
      </c>
      <c r="L198" s="1411"/>
      <c r="M198" s="1411"/>
      <c r="N198" s="1411"/>
    </row>
    <row r="199" spans="1:14" ht="13.5">
      <c r="A199" s="1515" t="s">
        <v>615</v>
      </c>
      <c r="B199" s="1540" t="s">
        <v>745</v>
      </c>
      <c r="C199" s="1536" t="s">
        <v>747</v>
      </c>
      <c r="D199" s="1164"/>
      <c r="E199" s="1412" cm="1">
        <f t="array" ref="E199">INDEX(H199:K199,0,MATCH($E$4,$H$4:$K$4,0))</f>
        <v>0</v>
      </c>
      <c r="F199" s="1505">
        <f t="shared" si="29"/>
        <v>0</v>
      </c>
      <c r="G199" s="1480"/>
      <c r="H199" s="1473">
        <v>0</v>
      </c>
      <c r="I199" s="1473">
        <v>0</v>
      </c>
      <c r="J199" s="1473">
        <v>0</v>
      </c>
      <c r="K199" s="1473">
        <v>0</v>
      </c>
      <c r="L199" s="1411"/>
      <c r="M199" s="1411"/>
      <c r="N199" s="1411"/>
    </row>
    <row r="200" spans="1:14" ht="13.5">
      <c r="A200" s="1515" t="s">
        <v>615</v>
      </c>
      <c r="B200" s="1540" t="s">
        <v>745</v>
      </c>
      <c r="C200" s="1536" t="s">
        <v>748</v>
      </c>
      <c r="D200" s="1164"/>
      <c r="E200" s="1412" cm="1">
        <f t="array" ref="E200">INDEX(H200:K200,0,MATCH($E$4,$H$4:$K$4,0))</f>
        <v>0</v>
      </c>
      <c r="F200" s="1505">
        <f t="shared" si="29"/>
        <v>0</v>
      </c>
      <c r="G200" s="1480"/>
      <c r="H200" s="1473">
        <v>0</v>
      </c>
      <c r="I200" s="1473">
        <v>0</v>
      </c>
      <c r="J200" s="1473">
        <v>0</v>
      </c>
      <c r="K200" s="1473">
        <v>0</v>
      </c>
      <c r="L200" s="1411"/>
      <c r="M200" s="1411"/>
      <c r="N200" s="1411"/>
    </row>
    <row r="201" spans="1:14" ht="13.5">
      <c r="A201" s="1515" t="s">
        <v>615</v>
      </c>
      <c r="B201" s="1217"/>
      <c r="C201" s="1509" t="s">
        <v>749</v>
      </c>
      <c r="D201" s="1164"/>
      <c r="E201" s="1412" cm="1">
        <f t="array" ref="E201">INDEX(H201:K201,0,MATCH($E$4,$H$4:$K$4,0))</f>
        <v>0</v>
      </c>
      <c r="F201" s="1505">
        <f t="shared" si="29"/>
        <v>0</v>
      </c>
      <c r="G201" s="1480"/>
      <c r="H201" s="1492">
        <v>0</v>
      </c>
      <c r="I201" s="1492">
        <v>0</v>
      </c>
      <c r="J201" s="1492">
        <v>0</v>
      </c>
      <c r="K201" s="1492">
        <v>0</v>
      </c>
      <c r="L201" s="1411"/>
      <c r="M201" s="1411"/>
      <c r="N201" s="1411"/>
    </row>
    <row r="202" spans="1:14" ht="13.5">
      <c r="A202" s="1515" t="s">
        <v>615</v>
      </c>
      <c r="B202" s="1217"/>
      <c r="C202" s="1509" t="s">
        <v>750</v>
      </c>
      <c r="D202" s="1164"/>
      <c r="E202" s="1412" cm="1">
        <f t="array" ref="E202">INDEX(H202:K202,0,MATCH($E$4,$H$4:$K$4,0))</f>
        <v>0</v>
      </c>
      <c r="F202" s="1505">
        <f t="shared" si="29"/>
        <v>0</v>
      </c>
      <c r="G202" s="1480"/>
      <c r="H202" s="1492">
        <v>0</v>
      </c>
      <c r="I202" s="1492">
        <v>0</v>
      </c>
      <c r="J202" s="1492">
        <v>0</v>
      </c>
      <c r="K202" s="1492">
        <v>0</v>
      </c>
      <c r="L202" s="1411"/>
      <c r="M202" s="1411"/>
      <c r="N202" s="1411"/>
    </row>
    <row r="203" spans="1:14" ht="13.5">
      <c r="A203" s="1515" t="s">
        <v>615</v>
      </c>
      <c r="B203" s="1217"/>
      <c r="C203" s="1509" t="s">
        <v>751</v>
      </c>
      <c r="D203" s="1164"/>
      <c r="E203" s="1412" cm="1">
        <f t="array" ref="E203">INDEX(H203:K203,0,MATCH($E$4,$H$4:$K$4,0))</f>
        <v>0</v>
      </c>
      <c r="F203" s="1505">
        <f t="shared" si="29"/>
        <v>0</v>
      </c>
      <c r="G203" s="1480"/>
      <c r="H203" s="1492">
        <v>0</v>
      </c>
      <c r="I203" s="1492">
        <v>0</v>
      </c>
      <c r="J203" s="1492">
        <v>0</v>
      </c>
      <c r="K203" s="1492">
        <v>0</v>
      </c>
      <c r="L203" s="1411"/>
      <c r="M203" s="1411"/>
      <c r="N203" s="1411"/>
    </row>
    <row r="204" spans="1:14" ht="13.5">
      <c r="A204" s="1515"/>
      <c r="B204" s="1217"/>
      <c r="C204" s="1508" t="s">
        <v>752</v>
      </c>
      <c r="D204" s="1506"/>
      <c r="E204" s="1432" cm="1">
        <f t="array" ref="E204">INDEX(H204:K204,0,MATCH($E$4,$H$4:$K$4,0))</f>
        <v>0</v>
      </c>
      <c r="F204" s="1499">
        <f t="shared" si="29"/>
        <v>0</v>
      </c>
      <c r="G204" s="1480"/>
      <c r="H204" s="1468">
        <f>SUM(H205:H207)</f>
        <v>10</v>
      </c>
      <c r="I204" s="1468">
        <f>SUM(I205:I207)</f>
        <v>10</v>
      </c>
      <c r="J204" s="1468">
        <f>SUM(J205:J207)</f>
        <v>10</v>
      </c>
      <c r="K204" s="1468">
        <f>SUM(K205:K207)</f>
        <v>0</v>
      </c>
      <c r="L204" s="1411"/>
      <c r="M204" s="1411"/>
      <c r="N204" s="1411"/>
    </row>
    <row r="205" spans="1:14" ht="13.5">
      <c r="A205" s="1515" t="s">
        <v>615</v>
      </c>
      <c r="B205" s="1217"/>
      <c r="C205" s="1509" t="s">
        <v>753</v>
      </c>
      <c r="D205" s="1164"/>
      <c r="E205" s="1412" cm="1">
        <f t="array" ref="E205">INDEX(H205:K205,0,MATCH($E$4,$H$4:$K$4,0))</f>
        <v>0</v>
      </c>
      <c r="F205" s="1505">
        <f t="shared" ref="F205:F208" si="30">E205/$E$8</f>
        <v>0</v>
      </c>
      <c r="G205" s="1480"/>
      <c r="H205" s="1492">
        <v>0</v>
      </c>
      <c r="I205" s="1492">
        <v>0</v>
      </c>
      <c r="J205" s="1492">
        <v>0</v>
      </c>
      <c r="K205" s="1492">
        <v>0</v>
      </c>
      <c r="L205" s="1411"/>
      <c r="M205" s="1411"/>
      <c r="N205" s="1411"/>
    </row>
    <row r="206" spans="1:14" ht="13.5">
      <c r="A206" s="1515" t="s">
        <v>615</v>
      </c>
      <c r="B206" s="1217"/>
      <c r="C206" s="1509" t="s">
        <v>754</v>
      </c>
      <c r="D206" s="1164"/>
      <c r="E206" s="1412" cm="1">
        <f t="array" ref="E206">INDEX(H206:K206,0,MATCH($E$4,$H$4:$K$4,0))</f>
        <v>0</v>
      </c>
      <c r="F206" s="1505">
        <f t="shared" si="30"/>
        <v>0</v>
      </c>
      <c r="G206" s="1480"/>
      <c r="H206" s="1492">
        <v>0</v>
      </c>
      <c r="I206" s="1492">
        <v>0</v>
      </c>
      <c r="J206" s="1492">
        <v>0</v>
      </c>
      <c r="K206" s="1492">
        <v>0</v>
      </c>
      <c r="L206" s="1411"/>
      <c r="M206" s="1411"/>
      <c r="N206" s="1411"/>
    </row>
    <row r="207" spans="1:14" ht="13.5">
      <c r="A207" s="1515" t="s">
        <v>615</v>
      </c>
      <c r="B207" s="1217"/>
      <c r="C207" s="1509" t="s">
        <v>755</v>
      </c>
      <c r="D207" s="1164"/>
      <c r="E207" s="1412" cm="1">
        <f t="array" ref="E207">INDEX(H207:K207,0,MATCH($E$4,$H$4:$K$4,0))</f>
        <v>0</v>
      </c>
      <c r="F207" s="1505">
        <f t="shared" si="30"/>
        <v>0</v>
      </c>
      <c r="G207" s="1480"/>
      <c r="H207" s="1492">
        <v>10</v>
      </c>
      <c r="I207" s="1492">
        <v>10</v>
      </c>
      <c r="J207" s="1492">
        <v>10</v>
      </c>
      <c r="K207" s="1492">
        <v>0</v>
      </c>
      <c r="L207" s="1411"/>
      <c r="M207" s="1411"/>
      <c r="N207" s="1411"/>
    </row>
    <row r="208" spans="1:14" ht="13.5">
      <c r="A208" s="1515"/>
      <c r="B208" s="1217"/>
      <c r="C208" s="1508" t="s">
        <v>756</v>
      </c>
      <c r="D208" s="1506"/>
      <c r="E208" s="1432" cm="1">
        <f t="array" ref="E208">INDEX(H208:K208,0,MATCH($E$4,$H$4:$K$4,0))</f>
        <v>0</v>
      </c>
      <c r="F208" s="1499">
        <f t="shared" si="30"/>
        <v>0</v>
      </c>
      <c r="G208" s="1480"/>
      <c r="H208" s="1468">
        <f>SUM(H209:H210)</f>
        <v>0</v>
      </c>
      <c r="I208" s="1468">
        <f>SUM(I209:I210)</f>
        <v>0</v>
      </c>
      <c r="J208" s="1468">
        <f>SUM(J209:J210)</f>
        <v>0</v>
      </c>
      <c r="K208" s="1468">
        <f>SUM(K209:K210)</f>
        <v>0</v>
      </c>
      <c r="L208" s="1411"/>
      <c r="M208" s="1411"/>
      <c r="N208" s="1411"/>
    </row>
    <row r="209" spans="1:14" ht="13.5">
      <c r="A209" s="1515" t="s">
        <v>757</v>
      </c>
      <c r="B209" s="1217"/>
      <c r="C209" s="1509" t="s">
        <v>758</v>
      </c>
      <c r="D209" s="1164"/>
      <c r="E209" s="1412" cm="1">
        <f t="array" ref="E209">INDEX(H209:K209,0,MATCH($E$4,$H$4:$K$4,0))</f>
        <v>0</v>
      </c>
      <c r="F209" s="1505">
        <f t="shared" ref="F209:F211" si="31">E209/$E$8</f>
        <v>0</v>
      </c>
      <c r="G209" s="1480"/>
      <c r="H209" s="1492">
        <v>0</v>
      </c>
      <c r="I209" s="1492">
        <v>0</v>
      </c>
      <c r="J209" s="1492">
        <v>0</v>
      </c>
      <c r="K209" s="1492">
        <v>0</v>
      </c>
      <c r="L209" s="1411"/>
      <c r="M209" s="1411"/>
      <c r="N209" s="1411"/>
    </row>
    <row r="210" spans="1:14" ht="13.5">
      <c r="A210" s="1515" t="s">
        <v>673</v>
      </c>
      <c r="B210" s="1217"/>
      <c r="C210" s="1509" t="s">
        <v>759</v>
      </c>
      <c r="D210" s="1164"/>
      <c r="E210" s="1412" cm="1">
        <f t="array" ref="E210">INDEX(H210:K210,0,MATCH($E$4,$H$4:$K$4,0))</f>
        <v>0</v>
      </c>
      <c r="F210" s="1505">
        <f t="shared" si="31"/>
        <v>0</v>
      </c>
      <c r="G210" s="1480"/>
      <c r="H210" s="1492">
        <v>0</v>
      </c>
      <c r="I210" s="1492">
        <v>0</v>
      </c>
      <c r="J210" s="1492">
        <v>0</v>
      </c>
      <c r="K210" s="1492">
        <v>0</v>
      </c>
      <c r="L210" s="1411"/>
      <c r="M210" s="1411"/>
      <c r="N210" s="1411"/>
    </row>
    <row r="211" spans="1:14" ht="13.5">
      <c r="A211" s="1515"/>
      <c r="B211" s="1217"/>
      <c r="C211" s="1508" t="s">
        <v>760</v>
      </c>
      <c r="D211" s="1506"/>
      <c r="E211" s="1432" cm="1">
        <f t="array" ref="E211">INDEX(H211:K211,0,MATCH($E$4,$H$4:$K$4,0))</f>
        <v>0</v>
      </c>
      <c r="F211" s="1499">
        <f t="shared" si="31"/>
        <v>0</v>
      </c>
      <c r="G211" s="1480"/>
      <c r="H211" s="1468">
        <f>SUM(H212:H216)</f>
        <v>30</v>
      </c>
      <c r="I211" s="1468">
        <f>SUM(I212:I216)</f>
        <v>30</v>
      </c>
      <c r="J211" s="1468">
        <f>SUM(J212:J216)</f>
        <v>30</v>
      </c>
      <c r="K211" s="1468">
        <f>SUM(K212:K216)</f>
        <v>0</v>
      </c>
      <c r="L211" s="1411"/>
      <c r="M211" s="1411"/>
      <c r="N211" s="1411"/>
    </row>
    <row r="212" spans="1:14" ht="13.5">
      <c r="A212" s="1515" t="s">
        <v>670</v>
      </c>
      <c r="B212" s="1217"/>
      <c r="C212" s="1509" t="s">
        <v>761</v>
      </c>
      <c r="D212" s="1164"/>
      <c r="E212" s="1412" cm="1">
        <f t="array" ref="E212">INDEX(H212:K212,0,MATCH($E$4,$H$4:$K$4,0))</f>
        <v>0</v>
      </c>
      <c r="F212" s="1505">
        <f t="shared" ref="F212:F217" si="32">E212/$E$8</f>
        <v>0</v>
      </c>
      <c r="G212" s="1480"/>
      <c r="H212" s="1492">
        <v>15</v>
      </c>
      <c r="I212" s="1492">
        <v>15</v>
      </c>
      <c r="J212" s="1492">
        <v>15</v>
      </c>
      <c r="K212" s="1492">
        <v>0</v>
      </c>
      <c r="L212" s="1411"/>
      <c r="M212" s="1411"/>
      <c r="N212" s="1411"/>
    </row>
    <row r="213" spans="1:14" ht="13.5">
      <c r="A213" s="1515" t="s">
        <v>673</v>
      </c>
      <c r="B213" s="1217"/>
      <c r="C213" s="1509" t="s">
        <v>762</v>
      </c>
      <c r="D213" s="1164"/>
      <c r="E213" s="1412" cm="1">
        <f t="array" ref="E213">INDEX(H213:K213,0,MATCH($E$4,$H$4:$K$4,0))</f>
        <v>0</v>
      </c>
      <c r="F213" s="1505">
        <f t="shared" si="32"/>
        <v>0</v>
      </c>
      <c r="G213" s="1480"/>
      <c r="H213" s="1492">
        <v>10</v>
      </c>
      <c r="I213" s="1492">
        <v>10</v>
      </c>
      <c r="J213" s="1492">
        <v>10</v>
      </c>
      <c r="K213" s="1492">
        <v>0</v>
      </c>
      <c r="L213" s="1411"/>
      <c r="M213" s="1411"/>
      <c r="N213" s="1411"/>
    </row>
    <row r="214" spans="1:14" ht="13.5">
      <c r="A214" s="1515" t="s">
        <v>761</v>
      </c>
      <c r="B214" s="1217"/>
      <c r="C214" s="1509" t="s">
        <v>763</v>
      </c>
      <c r="D214" s="1164"/>
      <c r="E214" s="1412" cm="1">
        <f t="array" ref="E214">INDEX(H214:K214,0,MATCH($E$4,$H$4:$K$4,0))</f>
        <v>0</v>
      </c>
      <c r="F214" s="1505">
        <f t="shared" si="32"/>
        <v>0</v>
      </c>
      <c r="G214" s="1480"/>
      <c r="H214" s="1492">
        <v>5</v>
      </c>
      <c r="I214" s="1492">
        <v>5</v>
      </c>
      <c r="J214" s="1492">
        <v>5</v>
      </c>
      <c r="K214" s="1492">
        <v>0</v>
      </c>
      <c r="L214" s="1411"/>
      <c r="M214" s="1411"/>
      <c r="N214" s="1411"/>
    </row>
    <row r="215" spans="1:14" ht="13.5">
      <c r="A215" s="1515" t="s">
        <v>757</v>
      </c>
      <c r="B215" s="1217"/>
      <c r="C215" s="1509" t="s">
        <v>764</v>
      </c>
      <c r="D215" s="1164"/>
      <c r="E215" s="1412" cm="1">
        <f t="array" ref="E215">INDEX(H215:K215,0,MATCH($E$4,$H$4:$K$4,0))</f>
        <v>0</v>
      </c>
      <c r="F215" s="1505">
        <f t="shared" si="32"/>
        <v>0</v>
      </c>
      <c r="G215" s="1480"/>
      <c r="H215" s="1492">
        <v>0</v>
      </c>
      <c r="I215" s="1492">
        <v>0</v>
      </c>
      <c r="J215" s="1492">
        <v>0</v>
      </c>
      <c r="K215" s="1492">
        <v>0</v>
      </c>
      <c r="L215" s="1411"/>
      <c r="M215" s="1411"/>
      <c r="N215" s="1411"/>
    </row>
    <row r="216" spans="1:14" ht="13.5">
      <c r="A216" s="1515" t="s">
        <v>765</v>
      </c>
      <c r="B216" s="1217"/>
      <c r="C216" s="1509" t="s">
        <v>766</v>
      </c>
      <c r="D216" s="1164"/>
      <c r="E216" s="1412" cm="1">
        <f t="array" ref="E216">INDEX(H216:K216,0,MATCH($E$4,$H$4:$K$4,0))</f>
        <v>0</v>
      </c>
      <c r="F216" s="1505">
        <f t="shared" si="32"/>
        <v>0</v>
      </c>
      <c r="G216" s="1480"/>
      <c r="H216" s="1492">
        <v>0</v>
      </c>
      <c r="I216" s="1492">
        <v>0</v>
      </c>
      <c r="J216" s="1492">
        <v>0</v>
      </c>
      <c r="K216" s="1492">
        <v>0</v>
      </c>
      <c r="L216" s="1411"/>
      <c r="M216" s="1411"/>
      <c r="N216" s="1411"/>
    </row>
    <row r="217" spans="1:14" ht="13.5">
      <c r="A217" s="1515" t="s">
        <v>767</v>
      </c>
      <c r="B217" s="1217"/>
      <c r="C217" s="1508" t="s">
        <v>768</v>
      </c>
      <c r="D217" s="1506"/>
      <c r="E217" s="1432" cm="1">
        <f t="array" ref="E217">INDEX(H217:K217,0,MATCH($E$4,$H$4:$K$4,0))</f>
        <v>10</v>
      </c>
      <c r="F217" s="1541">
        <f t="shared" si="32"/>
        <v>0.13287270794578793</v>
      </c>
      <c r="G217" s="1480"/>
      <c r="H217" s="1493">
        <v>10</v>
      </c>
      <c r="I217" s="1493">
        <v>10</v>
      </c>
      <c r="J217" s="1493">
        <v>10</v>
      </c>
      <c r="K217" s="1493">
        <v>10</v>
      </c>
      <c r="L217" s="1411"/>
      <c r="M217" s="1411"/>
      <c r="N217" s="1411"/>
    </row>
    <row r="218" spans="1:14" s="1469" customFormat="1" ht="13.5">
      <c r="A218" s="1515"/>
      <c r="B218" s="1470"/>
      <c r="C218" s="1507" t="s">
        <v>769</v>
      </c>
      <c r="D218" s="1475"/>
      <c r="E218" s="1481" cm="1">
        <f t="array" ref="E218">INDEX(H218:K218,0,MATCH($E$4,$H$4:$K$4,0))</f>
        <v>100</v>
      </c>
      <c r="F218" s="1501">
        <f>E218/$E$8</f>
        <v>1.3287270794578792</v>
      </c>
      <c r="G218" s="1480"/>
      <c r="H218" s="1482">
        <f>SUM(H219,H221:H225,H232)</f>
        <v>0</v>
      </c>
      <c r="I218" s="1482">
        <f>SUM(I219,I221:I225,I232)</f>
        <v>0</v>
      </c>
      <c r="J218" s="1482">
        <f>SUM(J219,J221:J225,J232)</f>
        <v>0</v>
      </c>
      <c r="K218" s="1482">
        <f>SUM(K219,K221:K225,K232)</f>
        <v>100</v>
      </c>
      <c r="L218" s="1471"/>
      <c r="M218" s="1471"/>
      <c r="N218" s="1471"/>
    </row>
    <row r="219" spans="1:14" ht="13.5">
      <c r="A219" s="1515" t="s">
        <v>615</v>
      </c>
      <c r="B219" s="136"/>
      <c r="C219" s="1533" t="s">
        <v>770</v>
      </c>
      <c r="D219" s="1534"/>
      <c r="E219" s="1432" cm="1">
        <f t="array" ref="E219">INDEX(H219:K219,0,MATCH($E$4,$H$4:$K$4,0))</f>
        <v>0</v>
      </c>
      <c r="F219" s="1541">
        <f t="shared" ref="F219" si="33">E219/$E$8</f>
        <v>0</v>
      </c>
      <c r="G219" s="1480"/>
      <c r="H219" s="1500">
        <v>0</v>
      </c>
      <c r="I219" s="1500">
        <v>0</v>
      </c>
      <c r="J219" s="1500">
        <v>0</v>
      </c>
      <c r="K219" s="1500">
        <v>0</v>
      </c>
      <c r="L219" s="1487"/>
      <c r="M219" s="1487"/>
      <c r="N219" s="1487"/>
    </row>
    <row r="220" spans="1:14" ht="13.5">
      <c r="A220" s="1515"/>
      <c r="B220" s="1217"/>
      <c r="C220" s="1533" t="s">
        <v>771</v>
      </c>
      <c r="D220" s="1535"/>
      <c r="E220" s="1432" cm="1">
        <f t="array" ref="E220">INDEX(H220:K220,0,MATCH($E$4,$H$4:$K$4,0))</f>
        <v>0</v>
      </c>
      <c r="F220" s="1541">
        <f t="shared" ref="F220:F222" si="34">E220/$E$8</f>
        <v>0</v>
      </c>
      <c r="G220" s="1480"/>
      <c r="H220" s="1468">
        <f>SUM(H221:H222)</f>
        <v>0</v>
      </c>
      <c r="I220" s="1468">
        <f>SUM(I221:I222)</f>
        <v>0</v>
      </c>
      <c r="J220" s="1468">
        <f>SUM(J221:J222)</f>
        <v>0</v>
      </c>
      <c r="K220" s="1468">
        <f>SUM(K221:K222)</f>
        <v>0</v>
      </c>
      <c r="L220" s="1411"/>
      <c r="M220" s="1411"/>
      <c r="N220" s="1411"/>
    </row>
    <row r="221" spans="1:14" ht="13.5">
      <c r="A221" s="1515" t="s">
        <v>615</v>
      </c>
      <c r="B221" s="1217"/>
      <c r="C221" s="1536" t="s">
        <v>772</v>
      </c>
      <c r="D221" s="1535"/>
      <c r="E221" s="1412" cm="1">
        <f t="array" ref="E221">INDEX(H221:K221,0,MATCH($E$4,$H$4:$K$4,0))</f>
        <v>0</v>
      </c>
      <c r="F221" s="1505">
        <f t="shared" si="34"/>
        <v>0</v>
      </c>
      <c r="G221" s="1480"/>
      <c r="H221" s="1473">
        <v>0</v>
      </c>
      <c r="I221" s="1473">
        <v>0</v>
      </c>
      <c r="J221" s="1473">
        <v>0</v>
      </c>
      <c r="K221" s="1473">
        <v>0</v>
      </c>
      <c r="L221" s="1411"/>
      <c r="M221" s="1411"/>
      <c r="N221" s="1411"/>
    </row>
    <row r="222" spans="1:14" ht="13.5">
      <c r="A222" s="1515" t="s">
        <v>615</v>
      </c>
      <c r="B222" s="1217"/>
      <c r="C222" s="1536" t="s">
        <v>773</v>
      </c>
      <c r="D222" s="1535"/>
      <c r="E222" s="1412" cm="1">
        <f t="array" ref="E222">INDEX(H222:K222,0,MATCH($E$4,$H$4:$K$4,0))</f>
        <v>0</v>
      </c>
      <c r="F222" s="1505">
        <f t="shared" si="34"/>
        <v>0</v>
      </c>
      <c r="G222" s="1480"/>
      <c r="H222" s="1473">
        <v>0</v>
      </c>
      <c r="I222" s="1473">
        <v>0</v>
      </c>
      <c r="J222" s="1473">
        <v>0</v>
      </c>
      <c r="K222" s="1473">
        <v>0</v>
      </c>
      <c r="L222" s="1411"/>
      <c r="M222" s="1411"/>
      <c r="N222" s="1411"/>
    </row>
    <row r="223" spans="1:14" ht="13.5">
      <c r="A223" s="1515" t="s">
        <v>615</v>
      </c>
      <c r="B223" s="136"/>
      <c r="C223" s="1533" t="s">
        <v>774</v>
      </c>
      <c r="D223" s="1534"/>
      <c r="E223" s="1432" cm="1">
        <f t="array" ref="E223">INDEX(H223:K223,0,MATCH($E$4,$H$4:$K$4,0))</f>
        <v>0</v>
      </c>
      <c r="F223" s="1541">
        <f t="shared" ref="F223:F231" si="35">E223/$E$8</f>
        <v>0</v>
      </c>
      <c r="G223" s="1480"/>
      <c r="H223" s="1500">
        <v>0</v>
      </c>
      <c r="I223" s="1500">
        <v>0</v>
      </c>
      <c r="J223" s="1500">
        <v>0</v>
      </c>
      <c r="K223" s="1500">
        <v>0</v>
      </c>
      <c r="L223" s="1487"/>
      <c r="M223" s="1487"/>
      <c r="N223" s="1487"/>
    </row>
    <row r="224" spans="1:14" ht="13.5">
      <c r="A224" s="1515" t="s">
        <v>615</v>
      </c>
      <c r="B224" s="136"/>
      <c r="C224" s="1533" t="s">
        <v>775</v>
      </c>
      <c r="D224" s="1534"/>
      <c r="E224" s="1432" cm="1">
        <f t="array" ref="E224">INDEX(H224:K224,0,MATCH($E$4,$H$4:$K$4,0))</f>
        <v>0</v>
      </c>
      <c r="F224" s="1541">
        <f t="shared" si="35"/>
        <v>0</v>
      </c>
      <c r="G224" s="1480"/>
      <c r="H224" s="1500">
        <v>0</v>
      </c>
      <c r="I224" s="1500">
        <v>0</v>
      </c>
      <c r="J224" s="1500">
        <v>0</v>
      </c>
      <c r="K224" s="1500">
        <v>0</v>
      </c>
      <c r="L224" s="1487"/>
      <c r="M224" s="1487"/>
      <c r="N224" s="1487"/>
    </row>
    <row r="225" spans="1:14" ht="13.5">
      <c r="A225" s="1515"/>
      <c r="B225" s="136"/>
      <c r="C225" s="1533" t="s">
        <v>776</v>
      </c>
      <c r="D225" s="1534"/>
      <c r="E225" s="1432" cm="1">
        <f t="array" ref="E225">INDEX(H225:K225,0,MATCH($E$4,$H$4:$K$4,0))</f>
        <v>100</v>
      </c>
      <c r="F225" s="1541">
        <f t="shared" si="35"/>
        <v>1.3287270794578792</v>
      </c>
      <c r="G225" s="1480"/>
      <c r="H225" s="1500">
        <f>SUM(H226:H231)</f>
        <v>0</v>
      </c>
      <c r="I225" s="1500">
        <f>SUM(I226:I231)</f>
        <v>0</v>
      </c>
      <c r="J225" s="1500">
        <f>SUM(J226:J231)</f>
        <v>0</v>
      </c>
      <c r="K225" s="1500">
        <f>SUM(K226:K231)</f>
        <v>100</v>
      </c>
      <c r="L225" s="1487"/>
      <c r="M225" s="1487"/>
      <c r="N225" s="1487"/>
    </row>
    <row r="226" spans="1:14" ht="13.5">
      <c r="A226" s="1515" t="s">
        <v>615</v>
      </c>
      <c r="B226" s="1217"/>
      <c r="C226" s="1536" t="s">
        <v>648</v>
      </c>
      <c r="D226" s="1535"/>
      <c r="E226" s="1412" cm="1">
        <f t="array" ref="E226">INDEX(H226:K226,0,MATCH($E$4,$H$4:$K$4,0))</f>
        <v>0</v>
      </c>
      <c r="F226" s="1505">
        <f t="shared" si="35"/>
        <v>0</v>
      </c>
      <c r="G226" s="1480"/>
      <c r="H226" s="1473">
        <v>0</v>
      </c>
      <c r="I226" s="1473">
        <v>0</v>
      </c>
      <c r="J226" s="1473">
        <v>0</v>
      </c>
      <c r="K226" s="1473">
        <v>0</v>
      </c>
      <c r="L226" s="1411"/>
      <c r="M226" s="1411"/>
      <c r="N226" s="1411"/>
    </row>
    <row r="227" spans="1:14" ht="13.5">
      <c r="A227" s="1515" t="s">
        <v>615</v>
      </c>
      <c r="B227" s="1217"/>
      <c r="C227" s="1536" t="s">
        <v>649</v>
      </c>
      <c r="D227" s="1535"/>
      <c r="E227" s="1412" cm="1">
        <f t="array" ref="E227">INDEX(H227:K227,0,MATCH($E$4,$H$4:$K$4,0))</f>
        <v>0</v>
      </c>
      <c r="F227" s="1505">
        <f t="shared" si="35"/>
        <v>0</v>
      </c>
      <c r="G227" s="1480"/>
      <c r="H227" s="1473">
        <v>0</v>
      </c>
      <c r="I227" s="1473">
        <v>0</v>
      </c>
      <c r="J227" s="1473">
        <v>0</v>
      </c>
      <c r="K227" s="1473">
        <v>0</v>
      </c>
      <c r="L227" s="1411"/>
      <c r="M227" s="1411"/>
      <c r="N227" s="1411"/>
    </row>
    <row r="228" spans="1:14" ht="13.5">
      <c r="A228" s="1515" t="s">
        <v>673</v>
      </c>
      <c r="B228" s="1217"/>
      <c r="C228" s="1536" t="s">
        <v>777</v>
      </c>
      <c r="D228" s="1535"/>
      <c r="E228" s="1412" cm="1">
        <f t="array" ref="E228">INDEX(H228:K228,0,MATCH($E$4,$H$4:$K$4,0))</f>
        <v>100</v>
      </c>
      <c r="F228" s="1505">
        <f t="shared" si="35"/>
        <v>1.3287270794578792</v>
      </c>
      <c r="G228" s="1480"/>
      <c r="H228" s="1473">
        <v>0</v>
      </c>
      <c r="I228" s="1473">
        <v>0</v>
      </c>
      <c r="J228" s="1473">
        <v>0</v>
      </c>
      <c r="K228" s="1473">
        <v>100</v>
      </c>
      <c r="L228" s="1411"/>
      <c r="M228" s="1411"/>
      <c r="N228" s="1411"/>
    </row>
    <row r="229" spans="1:14" ht="13.5">
      <c r="A229" s="1543" t="s">
        <v>778</v>
      </c>
      <c r="B229" s="1217"/>
      <c r="C229" s="1536" t="s">
        <v>779</v>
      </c>
      <c r="D229" s="1535"/>
      <c r="E229" s="1412" cm="1">
        <f t="array" ref="E229">INDEX(H229:K229,0,MATCH($E$4,$H$4:$K$4,0))</f>
        <v>0</v>
      </c>
      <c r="F229" s="1505">
        <f t="shared" si="35"/>
        <v>0</v>
      </c>
      <c r="G229" s="1480"/>
      <c r="H229" s="1473">
        <v>0</v>
      </c>
      <c r="I229" s="1473">
        <v>0</v>
      </c>
      <c r="J229" s="1473">
        <v>0</v>
      </c>
      <c r="K229" s="1473">
        <v>0</v>
      </c>
      <c r="L229" s="1411"/>
      <c r="M229" s="1411"/>
      <c r="N229" s="1411"/>
    </row>
    <row r="230" spans="1:14" ht="13.5">
      <c r="A230" s="1515" t="s">
        <v>780</v>
      </c>
      <c r="B230" s="1217"/>
      <c r="C230" s="1536" t="s">
        <v>781</v>
      </c>
      <c r="D230" s="1535"/>
      <c r="E230" s="1412" cm="1">
        <f t="array" ref="E230">INDEX(H230:K230,0,MATCH($E$4,$H$4:$K$4,0))</f>
        <v>0</v>
      </c>
      <c r="F230" s="1505">
        <f t="shared" si="35"/>
        <v>0</v>
      </c>
      <c r="G230" s="1480"/>
      <c r="H230" s="1473">
        <v>0</v>
      </c>
      <c r="I230" s="1473">
        <v>0</v>
      </c>
      <c r="J230" s="1473">
        <v>0</v>
      </c>
      <c r="K230" s="1473">
        <v>0</v>
      </c>
      <c r="L230" s="1411"/>
      <c r="M230" s="1411"/>
      <c r="N230" s="1411"/>
    </row>
    <row r="231" spans="1:14" ht="13.5">
      <c r="A231" s="1515" t="s">
        <v>615</v>
      </c>
      <c r="B231" s="1217"/>
      <c r="C231" s="1536" t="s">
        <v>782</v>
      </c>
      <c r="D231" s="1535"/>
      <c r="E231" s="1412" cm="1">
        <f t="array" ref="E231">INDEX(H231:K231,0,MATCH($E$4,$H$4:$K$4,0))</f>
        <v>0</v>
      </c>
      <c r="F231" s="1505">
        <f t="shared" si="35"/>
        <v>0</v>
      </c>
      <c r="G231" s="1480"/>
      <c r="H231" s="1473">
        <v>0</v>
      </c>
      <c r="I231" s="1473">
        <v>0</v>
      </c>
      <c r="J231" s="1473">
        <v>0</v>
      </c>
      <c r="K231" s="1473">
        <v>0</v>
      </c>
      <c r="L231" s="1411"/>
      <c r="M231" s="1411"/>
      <c r="N231" s="1411"/>
    </row>
    <row r="232" spans="1:14" ht="13.5">
      <c r="A232" s="1515" t="s">
        <v>646</v>
      </c>
      <c r="B232" s="136"/>
      <c r="C232" s="1558" t="s">
        <v>783</v>
      </c>
      <c r="D232" s="1559"/>
      <c r="E232" s="1560" cm="1">
        <f t="array" ref="E232">INDEX(H232:K232,0,MATCH($E$4,$H$4:$K$4,0))</f>
        <v>0</v>
      </c>
      <c r="F232" s="1561">
        <f t="shared" ref="F232" si="36">E232/$E$8</f>
        <v>0</v>
      </c>
      <c r="G232" s="1480"/>
      <c r="H232" s="1500">
        <v>0</v>
      </c>
      <c r="I232" s="1500">
        <v>0</v>
      </c>
      <c r="J232" s="1500">
        <v>0</v>
      </c>
      <c r="K232" s="1500">
        <v>0</v>
      </c>
      <c r="L232" s="1487"/>
      <c r="M232" s="1487"/>
      <c r="N232" s="1487"/>
    </row>
    <row r="233" spans="1:14" ht="13.5">
      <c r="A233" s="1515"/>
      <c r="B233" s="136"/>
      <c r="E233" s="1555"/>
      <c r="G233" s="1480"/>
      <c r="H233" s="1554"/>
      <c r="I233" s="1554"/>
      <c r="J233" s="1554"/>
      <c r="K233" s="1554"/>
      <c r="L233" s="1487"/>
      <c r="M233" s="1487"/>
      <c r="N233" s="1487"/>
    </row>
    <row r="234" spans="1:14">
      <c r="A234" s="1546"/>
      <c r="B234" s="1546"/>
      <c r="C234" s="1556" t="s">
        <v>784</v>
      </c>
      <c r="D234" s="1557"/>
      <c r="E234" s="1546"/>
      <c r="F234" s="1557"/>
      <c r="G234" s="1480"/>
      <c r="H234" s="1546"/>
      <c r="I234" s="1546"/>
      <c r="J234" s="1546"/>
      <c r="K234" s="1546"/>
      <c r="N234"/>
    </row>
    <row r="235" spans="1:14">
      <c r="A235" s="1544"/>
      <c r="B235" s="1544"/>
      <c r="C235" s="1593"/>
      <c r="E235" s="1544"/>
      <c r="G235" s="1480"/>
      <c r="H235" s="1544"/>
      <c r="I235" s="1544"/>
      <c r="J235" s="1544"/>
      <c r="K235" s="1544"/>
      <c r="N235"/>
    </row>
    <row r="236" spans="1:14" s="1469" customFormat="1" ht="13.5">
      <c r="A236" s="1515"/>
      <c r="B236" s="1470"/>
      <c r="C236" s="1507" t="s">
        <v>785</v>
      </c>
      <c r="D236" s="1475"/>
      <c r="E236" s="1552" cm="1">
        <f t="array" ref="E236">INDEX(H236:K236,0,MATCH($E$4,$H$4:$K$4,0))</f>
        <v>198</v>
      </c>
      <c r="F236" s="1550">
        <f>E236/$E$8</f>
        <v>2.6308796173266011</v>
      </c>
      <c r="G236" s="1480"/>
      <c r="H236" s="1482">
        <f>SUM(H237:H240)</f>
        <v>198</v>
      </c>
      <c r="I236" s="1482">
        <f>SUM(I237:I240)</f>
        <v>209</v>
      </c>
      <c r="J236" s="1482">
        <f>SUM(J237:J240)</f>
        <v>198</v>
      </c>
      <c r="K236" s="1482">
        <f>SUM(K237:K240)</f>
        <v>198</v>
      </c>
      <c r="L236" s="1471"/>
      <c r="M236" s="1471"/>
      <c r="N236" s="1471"/>
    </row>
    <row r="237" spans="1:14" ht="13.5">
      <c r="A237" s="1515" t="s">
        <v>786</v>
      </c>
      <c r="B237" s="1217"/>
      <c r="C237" s="1478" t="s">
        <v>787</v>
      </c>
      <c r="D237" s="1164"/>
      <c r="E237" s="1553" cm="1">
        <f t="array" ref="E237">INDEX(H237:K237,0,MATCH($E$4,$H$4:$K$4,0))</f>
        <v>64</v>
      </c>
      <c r="F237" s="1549">
        <f t="shared" ref="F237:F240" si="37">E237/$E$8</f>
        <v>0.85038533085304269</v>
      </c>
      <c r="G237" s="1480"/>
      <c r="H237" s="1492">
        <v>64</v>
      </c>
      <c r="I237" s="1492">
        <v>68</v>
      </c>
      <c r="J237" s="1492">
        <v>64</v>
      </c>
      <c r="K237" s="1492">
        <v>64</v>
      </c>
      <c r="L237" s="1411"/>
      <c r="M237" s="1411"/>
      <c r="N237" s="1487"/>
    </row>
    <row r="238" spans="1:14" ht="13.5">
      <c r="A238" s="1515"/>
      <c r="B238" s="1217"/>
      <c r="C238" s="1478" t="s">
        <v>788</v>
      </c>
      <c r="D238" s="1164"/>
      <c r="E238" s="1553" cm="1">
        <f t="array" ref="E238">INDEX(H238:K238,0,MATCH($E$4,$H$4:$K$4,0))</f>
        <v>105</v>
      </c>
      <c r="F238" s="1549">
        <f t="shared" si="37"/>
        <v>1.3951634334307732</v>
      </c>
      <c r="G238" s="1480"/>
      <c r="H238" s="1492">
        <v>105</v>
      </c>
      <c r="I238" s="1492">
        <v>111</v>
      </c>
      <c r="J238" s="1492">
        <v>105</v>
      </c>
      <c r="K238" s="1492">
        <v>105</v>
      </c>
      <c r="L238" s="1411"/>
      <c r="M238" s="1411"/>
      <c r="N238" s="1487"/>
    </row>
    <row r="239" spans="1:14" ht="13.5">
      <c r="A239" s="1515" t="s">
        <v>786</v>
      </c>
      <c r="B239" s="1217"/>
      <c r="C239" s="1478" t="s">
        <v>789</v>
      </c>
      <c r="D239" s="1164"/>
      <c r="E239" s="1553" cm="1">
        <f t="array" ref="E239">INDEX(H239:K239,0,MATCH($E$4,$H$4:$K$4,0))</f>
        <v>29</v>
      </c>
      <c r="F239" s="1567">
        <f t="shared" si="37"/>
        <v>0.38533085304278497</v>
      </c>
      <c r="G239" s="1480"/>
      <c r="H239" s="1492">
        <v>29</v>
      </c>
      <c r="I239" s="1492">
        <v>30</v>
      </c>
      <c r="J239" s="1492">
        <v>29</v>
      </c>
      <c r="K239" s="1492">
        <v>29</v>
      </c>
      <c r="L239" s="1411"/>
      <c r="M239" s="1411"/>
      <c r="N239" s="1411"/>
    </row>
    <row r="240" spans="1:14" ht="13.5">
      <c r="A240" s="1515" t="s">
        <v>786</v>
      </c>
      <c r="B240" s="1217"/>
      <c r="C240" s="1478" t="s">
        <v>608</v>
      </c>
      <c r="D240" s="1164"/>
      <c r="E240" s="1553" cm="1">
        <f t="array" ref="E240">INDEX(H240:K240,0,MATCH($E$4,$H$4:$K$4,0))</f>
        <v>0</v>
      </c>
      <c r="F240" s="1549">
        <f t="shared" si="37"/>
        <v>0</v>
      </c>
      <c r="G240" s="1480"/>
      <c r="H240" s="1492">
        <v>0</v>
      </c>
      <c r="I240" s="1492"/>
      <c r="J240" s="1492">
        <v>0</v>
      </c>
      <c r="K240" s="1492">
        <v>0</v>
      </c>
      <c r="L240" s="1411"/>
      <c r="M240" s="1411"/>
      <c r="N240" s="1411"/>
    </row>
    <row r="241" spans="1:14" s="1469" customFormat="1" ht="13.5">
      <c r="A241" s="1515"/>
      <c r="B241" s="1653"/>
      <c r="C241" s="1507" t="s">
        <v>790</v>
      </c>
      <c r="D241" s="1475"/>
      <c r="E241" s="1552" cm="1">
        <f t="array" ref="E241">INDEX(H241:K241,0,MATCH($E$4,$H$4:$K$4,0))</f>
        <v>213</v>
      </c>
      <c r="F241" s="1550">
        <f>E241/$E$8</f>
        <v>2.8301886792452828</v>
      </c>
      <c r="G241" s="1480"/>
      <c r="H241" s="1482">
        <f>SUM(H244:H249)+AVERAGE(H242:H243)</f>
        <v>213</v>
      </c>
      <c r="I241" s="1482">
        <f>SUM(I244:I249)+AVERAGE(I242:I243)</f>
        <v>180.5</v>
      </c>
      <c r="J241" s="1482">
        <f>SUM(J244:J249)+AVERAGE(J242:J243)</f>
        <v>213</v>
      </c>
      <c r="K241" s="1482">
        <f>SUM(K244:K249)+AVERAGE(K242:K243)</f>
        <v>213</v>
      </c>
      <c r="L241" s="1471"/>
      <c r="M241" s="1471"/>
      <c r="N241" s="1471"/>
    </row>
    <row r="242" spans="1:14">
      <c r="A242" s="1515" t="s">
        <v>786</v>
      </c>
      <c r="B242" s="1217"/>
      <c r="C242" s="1478" t="s">
        <v>791</v>
      </c>
      <c r="D242" s="1416"/>
      <c r="E242" s="1553" cm="1">
        <f t="array" ref="E242">INDEX(H242:K242,0,MATCH($E$4,$H$4:$K$4,0))</f>
        <v>179</v>
      </c>
      <c r="F242" s="1549">
        <f t="shared" ref="F242:F268" si="38">E242/$E$8</f>
        <v>2.3784214722296038</v>
      </c>
      <c r="G242" s="1480"/>
      <c r="H242" s="1492">
        <f>117+62</f>
        <v>179</v>
      </c>
      <c r="I242" s="1492">
        <f>102+65</f>
        <v>167</v>
      </c>
      <c r="J242" s="1492">
        <f>117+62</f>
        <v>179</v>
      </c>
      <c r="K242" s="1492">
        <f>117+62</f>
        <v>179</v>
      </c>
      <c r="L242" s="1164" t="s">
        <v>792</v>
      </c>
    </row>
    <row r="243" spans="1:14">
      <c r="A243" s="1515" t="s">
        <v>786</v>
      </c>
      <c r="B243" s="1217"/>
      <c r="C243" s="1478" t="s">
        <v>793</v>
      </c>
      <c r="D243" s="1416"/>
      <c r="E243" s="1553" cm="1">
        <f t="array" ref="E243">INDEX(H243:K243,0,MATCH($E$4,$H$4:$K$4,0))</f>
        <v>117</v>
      </c>
      <c r="F243" s="1549">
        <f t="shared" si="38"/>
        <v>1.5546106829657187</v>
      </c>
      <c r="G243" s="1480"/>
      <c r="H243" s="1492">
        <v>117</v>
      </c>
      <c r="I243" s="1492">
        <v>102</v>
      </c>
      <c r="J243" s="1492">
        <v>117</v>
      </c>
      <c r="K243" s="1492">
        <v>117</v>
      </c>
      <c r="L243" s="1164"/>
    </row>
    <row r="244" spans="1:14">
      <c r="A244" s="1515" t="s">
        <v>794</v>
      </c>
      <c r="B244" s="1217"/>
      <c r="C244" s="1568" t="s">
        <v>795</v>
      </c>
      <c r="D244" s="1569"/>
      <c r="E244" s="1553" cm="1">
        <f t="array" ref="E244">INDEX(H244:K244,0,MATCH($E$4,$H$4:$K$4,0))</f>
        <v>0</v>
      </c>
      <c r="F244" s="1549">
        <f t="shared" si="38"/>
        <v>0</v>
      </c>
      <c r="G244" s="1480"/>
      <c r="H244" s="1492">
        <v>0</v>
      </c>
      <c r="I244" s="1492">
        <v>0</v>
      </c>
      <c r="J244" s="1492">
        <v>0</v>
      </c>
      <c r="K244" s="1492">
        <v>0</v>
      </c>
      <c r="L244" s="1164"/>
    </row>
    <row r="245" spans="1:14">
      <c r="A245" s="1515" t="s">
        <v>794</v>
      </c>
      <c r="B245" s="1217"/>
      <c r="C245" s="1568" t="s">
        <v>796</v>
      </c>
      <c r="D245" s="1569"/>
      <c r="E245" s="1553" cm="1">
        <f t="array" ref="E245">INDEX(H245:K245,0,MATCH($E$4,$H$4:$K$4,0))</f>
        <v>0</v>
      </c>
      <c r="F245" s="1549">
        <f t="shared" si="38"/>
        <v>0</v>
      </c>
      <c r="G245" s="1480"/>
      <c r="H245" s="1492">
        <v>0</v>
      </c>
      <c r="I245" s="1492">
        <v>0</v>
      </c>
      <c r="J245" s="1492">
        <v>0</v>
      </c>
      <c r="K245" s="1492">
        <v>0</v>
      </c>
      <c r="L245" s="1164"/>
    </row>
    <row r="246" spans="1:14">
      <c r="A246" s="1515" t="s">
        <v>794</v>
      </c>
      <c r="B246" s="1217"/>
      <c r="C246" s="1478" t="s">
        <v>797</v>
      </c>
      <c r="D246" s="1416"/>
      <c r="E246" s="1553" cm="1">
        <f t="array" ref="E246">INDEX(H246:K246,0,MATCH($E$4,$H$4:$K$4,0))</f>
        <v>0</v>
      </c>
      <c r="F246" s="1567">
        <f t="shared" si="38"/>
        <v>0</v>
      </c>
      <c r="G246" s="1480"/>
      <c r="H246" s="1492">
        <v>0</v>
      </c>
      <c r="I246" s="1492">
        <v>0</v>
      </c>
      <c r="J246" s="1492">
        <v>0</v>
      </c>
      <c r="K246" s="1492">
        <v>0</v>
      </c>
      <c r="L246" s="1164"/>
    </row>
    <row r="247" spans="1:14">
      <c r="A247" s="1515" t="s">
        <v>794</v>
      </c>
      <c r="B247" s="1217"/>
      <c r="C247" s="1478" t="s">
        <v>798</v>
      </c>
      <c r="D247" s="1416"/>
      <c r="E247" s="1553" cm="1">
        <f t="array" ref="E247">INDEX(H247:K247,0,MATCH($E$4,$H$4:$K$4,0))</f>
        <v>1</v>
      </c>
      <c r="F247" s="1549">
        <f t="shared" si="38"/>
        <v>1.3287270794578792E-2</v>
      </c>
      <c r="G247" s="1480"/>
      <c r="H247" s="1492">
        <v>1</v>
      </c>
      <c r="I247" s="1492">
        <v>1</v>
      </c>
      <c r="J247" s="1492">
        <v>1</v>
      </c>
      <c r="K247" s="1492">
        <v>1</v>
      </c>
      <c r="L247" s="1164"/>
    </row>
    <row r="248" spans="1:14">
      <c r="A248" s="1515" t="s">
        <v>794</v>
      </c>
      <c r="B248" s="1217"/>
      <c r="C248" s="1478" t="s">
        <v>799</v>
      </c>
      <c r="D248" s="1416"/>
      <c r="E248" s="1553" cm="1">
        <f t="array" ref="E248">INDEX(H248:K248,0,MATCH($E$4,$H$4:$K$4,0))</f>
        <v>64</v>
      </c>
      <c r="F248" s="1549">
        <f t="shared" si="38"/>
        <v>0.85038533085304269</v>
      </c>
      <c r="G248" s="1480"/>
      <c r="H248" s="1492">
        <v>64</v>
      </c>
      <c r="I248" s="1492">
        <v>45</v>
      </c>
      <c r="J248" s="1492">
        <v>64</v>
      </c>
      <c r="K248" s="1492">
        <v>64</v>
      </c>
      <c r="L248" s="1164"/>
    </row>
    <row r="249" spans="1:14">
      <c r="A249" s="1515" t="s">
        <v>794</v>
      </c>
      <c r="B249" s="1217"/>
      <c r="C249" s="1478" t="s">
        <v>608</v>
      </c>
      <c r="D249" s="1416"/>
      <c r="E249" s="1553" cm="1">
        <f t="array" ref="E249">INDEX(H249:K249,0,MATCH($E$4,$H$4:$K$4,0))</f>
        <v>0</v>
      </c>
      <c r="F249" s="1549">
        <f t="shared" si="38"/>
        <v>0</v>
      </c>
      <c r="G249" s="1480"/>
      <c r="H249" s="1492">
        <v>0</v>
      </c>
      <c r="I249" s="1492">
        <v>0</v>
      </c>
      <c r="J249" s="1492">
        <v>0</v>
      </c>
      <c r="K249" s="1492">
        <v>0</v>
      </c>
      <c r="L249" s="1164"/>
    </row>
    <row r="250" spans="1:14">
      <c r="A250" s="1515"/>
      <c r="B250" s="1217"/>
      <c r="C250" s="1507" t="s">
        <v>800</v>
      </c>
      <c r="D250" s="1475"/>
      <c r="E250" s="1552" cm="1">
        <f t="array" ref="E250">INDEX(H250:K250,0,MATCH($E$4,$H$4:$K$4,0))</f>
        <v>50</v>
      </c>
      <c r="F250" s="1550">
        <f>E250/$E$8</f>
        <v>0.66436353972893958</v>
      </c>
      <c r="G250" s="1480"/>
      <c r="H250" s="1482">
        <f>SUM(H251:H263)</f>
        <v>2118.9727272727268</v>
      </c>
      <c r="I250" s="1482">
        <f>SUM(I251:I263)</f>
        <v>50</v>
      </c>
      <c r="J250" s="1482">
        <f>SUM(J251:J263)</f>
        <v>0</v>
      </c>
      <c r="K250" s="1482">
        <f>SUM(K251:K263)</f>
        <v>50</v>
      </c>
      <c r="L250" s="1164"/>
    </row>
    <row r="251" spans="1:14">
      <c r="A251" s="1515"/>
      <c r="B251" s="1217"/>
      <c r="C251" s="1478" t="s">
        <v>801</v>
      </c>
      <c r="D251" s="1416"/>
      <c r="E251" s="1553" cm="1">
        <f t="array" ref="E251">INDEX(H251:K251,0,MATCH($E$4,$H$4:$K$4,0))</f>
        <v>0</v>
      </c>
      <c r="F251" s="1567">
        <f t="shared" si="38"/>
        <v>0</v>
      </c>
      <c r="G251" s="1480"/>
      <c r="H251" s="1492"/>
      <c r="I251" s="1492"/>
      <c r="J251" s="1492"/>
      <c r="K251" s="1492"/>
      <c r="L251" s="1164"/>
    </row>
    <row r="252" spans="1:14">
      <c r="A252" s="1515"/>
      <c r="B252" s="1217"/>
      <c r="C252" s="1478" t="s">
        <v>802</v>
      </c>
      <c r="D252" s="1416"/>
      <c r="E252" s="1553" cm="1">
        <f t="array" ref="E252">INDEX(H252:K252,0,MATCH($E$4,$H$4:$K$4,0))</f>
        <v>0</v>
      </c>
      <c r="F252" s="1567">
        <f t="shared" si="38"/>
        <v>0</v>
      </c>
      <c r="G252" s="1480"/>
      <c r="H252" s="1492">
        <f>IF(AND(H16&gt;0,H20&gt;0),5.5*H21,0)</f>
        <v>354.19999999999993</v>
      </c>
      <c r="I252" s="1492">
        <f t="shared" ref="I252:K252" si="39">5.5*I21</f>
        <v>0</v>
      </c>
      <c r="J252" s="1492">
        <f t="shared" si="39"/>
        <v>0</v>
      </c>
      <c r="K252" s="1492">
        <f t="shared" si="39"/>
        <v>0</v>
      </c>
      <c r="L252" s="1164"/>
    </row>
    <row r="253" spans="1:14">
      <c r="A253" s="1515"/>
      <c r="B253" s="1217"/>
      <c r="C253" s="1478" t="s">
        <v>803</v>
      </c>
      <c r="D253" s="1416"/>
      <c r="E253" s="1553" cm="1">
        <f t="array" ref="E253">INDEX(H253:K253,0,MATCH($E$4,$H$4:$K$4,0))</f>
        <v>0</v>
      </c>
      <c r="F253" s="1567">
        <f t="shared" si="38"/>
        <v>0</v>
      </c>
      <c r="G253" s="1480"/>
      <c r="H253" s="1492">
        <v>0</v>
      </c>
      <c r="I253" s="1492">
        <v>0</v>
      </c>
      <c r="J253" s="1492">
        <v>0</v>
      </c>
      <c r="K253" s="1492">
        <v>0</v>
      </c>
      <c r="L253" s="1164"/>
    </row>
    <row r="254" spans="1:14">
      <c r="A254" s="1515"/>
      <c r="B254" s="1217"/>
      <c r="C254" s="1478" t="s">
        <v>804</v>
      </c>
      <c r="D254" s="1416"/>
      <c r="E254" s="1553" cm="1">
        <f t="array" ref="E254">INDEX(H254:K254,0,MATCH($E$4,$H$4:$K$4,0))</f>
        <v>0</v>
      </c>
      <c r="F254" s="1567">
        <f t="shared" si="38"/>
        <v>0</v>
      </c>
      <c r="G254" s="1480"/>
      <c r="H254" s="1492">
        <v>0</v>
      </c>
      <c r="I254" s="1492">
        <v>0</v>
      </c>
      <c r="J254" s="1492">
        <v>0</v>
      </c>
      <c r="K254" s="1492">
        <v>0</v>
      </c>
      <c r="L254" s="1164"/>
    </row>
    <row r="255" spans="1:14">
      <c r="A255" s="1515"/>
      <c r="B255" s="1217"/>
      <c r="C255" s="1478" t="s">
        <v>805</v>
      </c>
      <c r="D255" s="1416"/>
      <c r="E255" s="1553" cm="1">
        <f t="array" ref="E255">INDEX(H255:K255,0,MATCH($E$4,$H$4:$K$4,0))</f>
        <v>0</v>
      </c>
      <c r="F255" s="1567">
        <f t="shared" si="38"/>
        <v>0</v>
      </c>
      <c r="G255" s="1480"/>
      <c r="H255" s="1492">
        <f>IF(AND(H16&gt;0,H20&gt;0),1.5*H16*1.125,0)</f>
        <v>67.5</v>
      </c>
      <c r="I255" s="1492">
        <f t="shared" ref="I255:K255" si="40">1.5*I16*1.125</f>
        <v>0</v>
      </c>
      <c r="J255" s="1492">
        <f t="shared" si="40"/>
        <v>0</v>
      </c>
      <c r="K255" s="1492">
        <f t="shared" si="40"/>
        <v>0</v>
      </c>
      <c r="L255" s="1164"/>
    </row>
    <row r="256" spans="1:14">
      <c r="A256" s="1515"/>
      <c r="B256" s="1217"/>
      <c r="C256" s="1478" t="s">
        <v>806</v>
      </c>
      <c r="D256" s="1416"/>
      <c r="E256" s="1553" cm="1">
        <f t="array" ref="E256">INDEX(H256:K256,0,MATCH($E$4,$H$4:$K$4,0))</f>
        <v>0</v>
      </c>
      <c r="F256" s="1567">
        <f t="shared" si="38"/>
        <v>0</v>
      </c>
      <c r="G256" s="1480"/>
      <c r="H256" s="1492">
        <f>IF(AND(H16&gt;0,H20&gt;0),1*H16*1.125,0)</f>
        <v>45</v>
      </c>
      <c r="I256" s="1492">
        <f t="shared" ref="I256:K256" si="41">1*I16*1.125</f>
        <v>0</v>
      </c>
      <c r="J256" s="1492">
        <f t="shared" si="41"/>
        <v>0</v>
      </c>
      <c r="K256" s="1492">
        <f t="shared" si="41"/>
        <v>0</v>
      </c>
      <c r="L256" s="1164"/>
    </row>
    <row r="257" spans="1:18">
      <c r="A257" s="1515"/>
      <c r="B257" s="1217"/>
      <c r="C257" s="1478" t="s">
        <v>807</v>
      </c>
      <c r="D257" s="1416"/>
      <c r="E257" s="1553" cm="1">
        <f t="array" ref="E257">INDEX(H257:K257,0,MATCH($E$4,$H$4:$K$4,0))</f>
        <v>0</v>
      </c>
      <c r="F257" s="1567">
        <f t="shared" si="38"/>
        <v>0</v>
      </c>
      <c r="G257" s="1480"/>
      <c r="H257" s="1492">
        <f>IF(AND(H16&gt;0,H20&gt;0),5.5*H16*1.125,0)</f>
        <v>247.5</v>
      </c>
      <c r="I257" s="1492">
        <f t="shared" ref="I257:K257" si="42">5.5*I16*1.125</f>
        <v>0</v>
      </c>
      <c r="J257" s="1492">
        <f t="shared" si="42"/>
        <v>0</v>
      </c>
      <c r="K257" s="1492">
        <f t="shared" si="42"/>
        <v>0</v>
      </c>
      <c r="L257" s="1164"/>
    </row>
    <row r="258" spans="1:18">
      <c r="A258" s="1515"/>
      <c r="B258" s="1217"/>
      <c r="C258" s="1478" t="s">
        <v>808</v>
      </c>
      <c r="D258" s="1416"/>
      <c r="E258" s="1553" cm="1">
        <f t="array" ref="E258">INDEX(H258:K258,0,MATCH($E$4,$H$4:$K$4,0))</f>
        <v>0</v>
      </c>
      <c r="F258" s="1567">
        <f t="shared" si="38"/>
        <v>0</v>
      </c>
      <c r="G258" s="1480"/>
      <c r="H258" s="1492">
        <f>IF(AND(H16&gt;0,H20&gt;0),6*H16*1.125,0)</f>
        <v>270</v>
      </c>
      <c r="I258" s="1492">
        <f t="shared" ref="I258:K258" si="43">6*I16*1.125</f>
        <v>0</v>
      </c>
      <c r="J258" s="1492">
        <f t="shared" si="43"/>
        <v>0</v>
      </c>
      <c r="K258" s="1492">
        <f t="shared" si="43"/>
        <v>0</v>
      </c>
      <c r="L258" s="1164"/>
    </row>
    <row r="259" spans="1:18">
      <c r="A259" s="1515"/>
      <c r="B259" s="1217"/>
      <c r="C259" s="1478" t="s">
        <v>809</v>
      </c>
      <c r="D259" s="1416"/>
      <c r="E259" s="1553" cm="1">
        <f t="array" ref="E259">INDEX(H259:K259,0,MATCH($E$4,$H$4:$K$4,0))</f>
        <v>0</v>
      </c>
      <c r="F259" s="1567">
        <f t="shared" si="38"/>
        <v>0</v>
      </c>
      <c r="G259" s="1480"/>
      <c r="H259" s="1492">
        <f>IF(AND(H16&gt;0,H20&gt;0),6.5*H16*1.125,0)</f>
        <v>292.5</v>
      </c>
      <c r="I259" s="1492">
        <f t="shared" ref="I259:K259" si="44">6.5*I16*1.125</f>
        <v>0</v>
      </c>
      <c r="J259" s="1492">
        <f t="shared" si="44"/>
        <v>0</v>
      </c>
      <c r="K259" s="1492">
        <f t="shared" si="44"/>
        <v>0</v>
      </c>
      <c r="L259" s="1164"/>
    </row>
    <row r="260" spans="1:18">
      <c r="A260" s="1515"/>
      <c r="B260" s="1217"/>
      <c r="C260" s="1478" t="s">
        <v>810</v>
      </c>
      <c r="D260" s="1416"/>
      <c r="E260" s="1553" cm="1">
        <f t="array" ref="E260">INDEX(H260:K260,0,MATCH($E$4,$H$4:$K$4,0))</f>
        <v>0</v>
      </c>
      <c r="F260" s="1567">
        <f t="shared" si="38"/>
        <v>0</v>
      </c>
      <c r="G260" s="1480"/>
      <c r="H260" s="1492">
        <f>IF(AND(H16&gt;0,H20&gt;0),7*H16*1.125,0)</f>
        <v>315</v>
      </c>
      <c r="I260" s="1492">
        <f t="shared" ref="I260:K260" si="45">7*I16*1.125</f>
        <v>0</v>
      </c>
      <c r="J260" s="1492">
        <f t="shared" si="45"/>
        <v>0</v>
      </c>
      <c r="K260" s="1492">
        <f t="shared" si="45"/>
        <v>0</v>
      </c>
      <c r="L260" s="1164"/>
    </row>
    <row r="261" spans="1:18">
      <c r="A261" s="1515"/>
      <c r="B261" s="1217"/>
      <c r="C261" s="1478" t="s">
        <v>811</v>
      </c>
      <c r="D261" s="1416"/>
      <c r="E261" s="1553" cm="1">
        <f t="array" ref="E261">INDEX(H261:K261,0,MATCH($E$4,$H$4:$K$4,0))</f>
        <v>0</v>
      </c>
      <c r="F261" s="1567">
        <f t="shared" si="38"/>
        <v>0</v>
      </c>
      <c r="G261" s="1480"/>
      <c r="H261" s="1492">
        <v>0</v>
      </c>
      <c r="I261" s="1492">
        <v>0</v>
      </c>
      <c r="J261" s="1492">
        <v>0</v>
      </c>
      <c r="K261" s="1492">
        <v>0</v>
      </c>
      <c r="L261" s="1164"/>
    </row>
    <row r="262" spans="1:18">
      <c r="A262" s="1515"/>
      <c r="B262" s="1217"/>
      <c r="C262" s="1478" t="s">
        <v>812</v>
      </c>
      <c r="D262" s="1416"/>
      <c r="E262" s="1553" cm="1">
        <f t="array" ref="E262">INDEX(H262:K262,0,MATCH($E$4,$H$4:$K$4,0))</f>
        <v>50</v>
      </c>
      <c r="F262" s="1567">
        <f t="shared" si="38"/>
        <v>0.66436353972893958</v>
      </c>
      <c r="G262" s="1480"/>
      <c r="H262" s="1492">
        <f>IF(AND(H16&gt;0,H20&gt;0),50,0)</f>
        <v>50</v>
      </c>
      <c r="I262" s="1492">
        <v>50</v>
      </c>
      <c r="J262" s="1492">
        <v>0</v>
      </c>
      <c r="K262" s="1492">
        <v>50</v>
      </c>
      <c r="L262" s="1164"/>
    </row>
    <row r="263" spans="1:18">
      <c r="A263" s="1515"/>
      <c r="B263" s="1217"/>
      <c r="C263" s="1478" t="s">
        <v>636</v>
      </c>
      <c r="D263" s="1416"/>
      <c r="E263" s="1553" cm="1">
        <f t="array" ref="E263">INDEX(H263:K263,0,MATCH($E$4,$H$4:$K$4,0))</f>
        <v>0</v>
      </c>
      <c r="F263" s="1567">
        <f t="shared" si="38"/>
        <v>0</v>
      </c>
      <c r="G263" s="1480"/>
      <c r="H263" s="1492">
        <f>IF(AND(H16&gt;0,H20&gt;0),420*H20/220,0)</f>
        <v>477.27272727272725</v>
      </c>
      <c r="I263" s="1492">
        <f t="shared" ref="I263:K263" si="46">420*I20/220</f>
        <v>0</v>
      </c>
      <c r="J263" s="1492">
        <f t="shared" si="46"/>
        <v>0</v>
      </c>
      <c r="K263" s="1492">
        <f t="shared" si="46"/>
        <v>0</v>
      </c>
      <c r="L263" s="1164"/>
    </row>
    <row r="264" spans="1:18" s="1469" customFormat="1" ht="13.5">
      <c r="A264" s="1515"/>
      <c r="B264" s="1653"/>
      <c r="C264" s="1507" t="s">
        <v>813</v>
      </c>
      <c r="D264" s="1475"/>
      <c r="E264" s="1552" cm="1">
        <f t="array" ref="E264">INDEX(H264:K264,0,MATCH($E$4,$H$4:$K$4,0))</f>
        <v>45.199999999999996</v>
      </c>
      <c r="F264" s="1550">
        <f>E264/$E$8</f>
        <v>0.60058463991496136</v>
      </c>
      <c r="G264" s="1480"/>
      <c r="H264" s="1482">
        <f>SUM(H265:H268)</f>
        <v>45.199999999999996</v>
      </c>
      <c r="I264" s="1482">
        <f>SUM(I265:I268)</f>
        <v>47.3</v>
      </c>
      <c r="J264" s="1482">
        <f>SUM(J265:J268)</f>
        <v>45.199999999999996</v>
      </c>
      <c r="K264" s="1482">
        <f>SUM(K265:K268)</f>
        <v>45.199999999999996</v>
      </c>
      <c r="L264" s="1471"/>
      <c r="M264" s="1471"/>
      <c r="N264" s="1471"/>
    </row>
    <row r="265" spans="1:18">
      <c r="A265" s="1515" t="s">
        <v>786</v>
      </c>
      <c r="B265" s="1217"/>
      <c r="C265" s="1568" t="s">
        <v>814</v>
      </c>
      <c r="D265" s="1569"/>
      <c r="E265" s="1553" cm="1">
        <f t="array" ref="E265">INDEX(H265:K265,0,MATCH($E$4,$H$4:$K$4,0))</f>
        <v>29.3</v>
      </c>
      <c r="F265" s="1567">
        <f t="shared" si="38"/>
        <v>0.38931703428115866</v>
      </c>
      <c r="G265" s="1480"/>
      <c r="H265" s="1492">
        <v>29.3</v>
      </c>
      <c r="I265" s="1492">
        <v>29.3</v>
      </c>
      <c r="J265" s="1492">
        <v>29.3</v>
      </c>
      <c r="K265" s="1492">
        <v>29.3</v>
      </c>
      <c r="L265" s="1164"/>
      <c r="M265" s="1666"/>
      <c r="N265" s="1666"/>
      <c r="O265" s="1164"/>
      <c r="P265" s="1164"/>
      <c r="Q265" s="1164"/>
      <c r="R265" s="1164"/>
    </row>
    <row r="266" spans="1:18">
      <c r="A266" s="1515" t="s">
        <v>786</v>
      </c>
      <c r="B266" s="1217"/>
      <c r="C266" s="1568" t="s">
        <v>815</v>
      </c>
      <c r="D266" s="1569"/>
      <c r="E266" s="1553" cm="1">
        <f t="array" ref="E266">INDEX(H266:K266,0,MATCH($E$4,$H$4:$K$4,0))</f>
        <v>14.1</v>
      </c>
      <c r="F266" s="1567">
        <f t="shared" si="38"/>
        <v>0.18735051820356097</v>
      </c>
      <c r="G266" s="1480"/>
      <c r="H266" s="1492">
        <v>14.1</v>
      </c>
      <c r="I266" s="1492">
        <v>16</v>
      </c>
      <c r="J266" s="1492">
        <v>14.1</v>
      </c>
      <c r="K266" s="1492">
        <v>14.1</v>
      </c>
      <c r="L266" s="1164"/>
      <c r="M266" s="1666"/>
      <c r="N266" s="1666"/>
      <c r="O266" s="1164"/>
      <c r="P266" s="1164"/>
      <c r="Q266" s="1164"/>
      <c r="R266" s="1164"/>
    </row>
    <row r="267" spans="1:18">
      <c r="A267" s="1515" t="s">
        <v>794</v>
      </c>
      <c r="B267" s="1217"/>
      <c r="C267" s="1478" t="s">
        <v>816</v>
      </c>
      <c r="D267" s="1416"/>
      <c r="E267" s="1553" cm="1">
        <f t="array" ref="E267">INDEX(H267:K267,0,MATCH($E$4,$H$4:$K$4,0))</f>
        <v>1.8</v>
      </c>
      <c r="F267" s="1567">
        <f t="shared" si="38"/>
        <v>2.3917087430241828E-2</v>
      </c>
      <c r="G267" s="1480"/>
      <c r="H267" s="1492">
        <v>1.8</v>
      </c>
      <c r="I267" s="1492">
        <v>2</v>
      </c>
      <c r="J267" s="1492">
        <v>1.8</v>
      </c>
      <c r="K267" s="1492">
        <v>1.8</v>
      </c>
      <c r="L267" s="1164"/>
    </row>
    <row r="268" spans="1:18">
      <c r="A268" s="1515" t="s">
        <v>794</v>
      </c>
      <c r="B268" s="1217"/>
      <c r="C268" s="1478" t="s">
        <v>608</v>
      </c>
      <c r="D268" s="1416"/>
      <c r="E268" s="1553" cm="1">
        <f t="array" ref="E268">INDEX(H268:K268,0,MATCH($E$4,$H$4:$K$4,0))</f>
        <v>0</v>
      </c>
      <c r="F268" s="1567">
        <f t="shared" si="38"/>
        <v>0</v>
      </c>
      <c r="G268" s="1480"/>
      <c r="H268" s="1492">
        <v>0</v>
      </c>
      <c r="I268" s="1492">
        <v>0</v>
      </c>
      <c r="J268" s="1492">
        <v>0</v>
      </c>
      <c r="K268" s="1492">
        <v>0</v>
      </c>
      <c r="L268" s="1164"/>
    </row>
    <row r="269" spans="1:18" s="1469" customFormat="1" ht="13.5">
      <c r="A269" s="1515"/>
      <c r="B269" s="1653"/>
      <c r="C269" s="1507" t="s">
        <v>817</v>
      </c>
      <c r="D269" s="1475"/>
      <c r="E269" s="1552" cm="1">
        <f t="array" ref="E269">INDEX(H269:K269,0,MATCH($E$4,$H$4:$K$4,0))</f>
        <v>40</v>
      </c>
      <c r="F269" s="1550">
        <f>E269/$E$8</f>
        <v>0.53149083178315171</v>
      </c>
      <c r="G269" s="1480"/>
      <c r="H269" s="1482">
        <f>SUM(H270:H272)</f>
        <v>40</v>
      </c>
      <c r="I269" s="1482">
        <f>SUM(I270:I272)</f>
        <v>40</v>
      </c>
      <c r="J269" s="1482">
        <f>SUM(J270:J272)</f>
        <v>40</v>
      </c>
      <c r="K269" s="1482">
        <f>SUM(K270:K272)</f>
        <v>40</v>
      </c>
      <c r="L269" s="1471"/>
      <c r="M269" s="1471"/>
      <c r="N269" s="1471"/>
    </row>
    <row r="270" spans="1:18">
      <c r="A270" s="1515" t="s">
        <v>786</v>
      </c>
      <c r="B270" s="1217"/>
      <c r="C270" s="1568" t="s">
        <v>818</v>
      </c>
      <c r="D270" s="1569"/>
      <c r="E270" s="1553" cm="1">
        <f t="array" ref="E270">INDEX(H270:K270,0,MATCH($E$4,$H$4:$K$4,0))</f>
        <v>40</v>
      </c>
      <c r="F270" s="1567">
        <f t="shared" ref="F270:F272" si="47">E270/$E$8</f>
        <v>0.53149083178315171</v>
      </c>
      <c r="G270" s="1480"/>
      <c r="H270" s="1492">
        <v>40</v>
      </c>
      <c r="I270" s="1492">
        <v>40</v>
      </c>
      <c r="J270" s="1492">
        <v>40</v>
      </c>
      <c r="K270" s="1492">
        <v>40</v>
      </c>
      <c r="L270" s="1661"/>
      <c r="M270" s="1662"/>
      <c r="N270" s="1662"/>
      <c r="O270" s="1661"/>
      <c r="P270" s="1661"/>
      <c r="Q270" s="1661"/>
    </row>
    <row r="271" spans="1:18">
      <c r="A271" s="1515" t="s">
        <v>615</v>
      </c>
      <c r="B271" s="1217"/>
      <c r="C271" s="1478" t="s">
        <v>819</v>
      </c>
      <c r="D271" s="1416"/>
      <c r="E271" s="1553" cm="1">
        <f t="array" ref="E271">INDEX(H271:K271,0,MATCH($E$4,$H$4:$K$4,0))</f>
        <v>0</v>
      </c>
      <c r="F271" s="1567">
        <f t="shared" si="47"/>
        <v>0</v>
      </c>
      <c r="G271" s="1480"/>
      <c r="H271" s="1492">
        <v>0</v>
      </c>
      <c r="I271" s="1492">
        <v>0</v>
      </c>
      <c r="J271" s="1492">
        <v>0</v>
      </c>
      <c r="K271" s="1492">
        <v>0</v>
      </c>
      <c r="L271" s="1164"/>
    </row>
    <row r="272" spans="1:18">
      <c r="A272" s="1515" t="s">
        <v>794</v>
      </c>
      <c r="B272" s="1217"/>
      <c r="C272" s="1478" t="s">
        <v>608</v>
      </c>
      <c r="D272" s="1416"/>
      <c r="E272" s="1553" cm="1">
        <f t="array" ref="E272">INDEX(H272:K272,0,MATCH($E$4,$H$4:$K$4,0))</f>
        <v>0</v>
      </c>
      <c r="F272" s="1567">
        <f t="shared" si="47"/>
        <v>0</v>
      </c>
      <c r="G272" s="1480"/>
      <c r="H272" s="1492">
        <v>0</v>
      </c>
      <c r="I272" s="1492">
        <v>0</v>
      </c>
      <c r="J272" s="1492">
        <v>0</v>
      </c>
      <c r="K272" s="1492">
        <v>0</v>
      </c>
      <c r="L272" s="1164"/>
    </row>
    <row r="273" spans="1:19" s="1469" customFormat="1" ht="13.5">
      <c r="A273" s="1515"/>
      <c r="B273" s="1653"/>
      <c r="C273" s="1507" t="s">
        <v>820</v>
      </c>
      <c r="D273" s="1475"/>
      <c r="E273" s="1552" cm="1">
        <f t="array" ref="E273">INDEX(H273:K273,0,MATCH($E$4,$H$4:$K$4,0))</f>
        <v>30.1</v>
      </c>
      <c r="F273" s="1550">
        <f>E273/$E$8</f>
        <v>0.39994685091682169</v>
      </c>
      <c r="G273" s="1480"/>
      <c r="H273" s="1482">
        <f>SUM(H274:H276)</f>
        <v>30.1</v>
      </c>
      <c r="I273" s="1482">
        <f>SUM(I274:I276)</f>
        <v>33</v>
      </c>
      <c r="J273" s="1482">
        <f>SUM(J274:J276)</f>
        <v>30.1</v>
      </c>
      <c r="K273" s="1482">
        <f>SUM(K274:K276)</f>
        <v>30.1</v>
      </c>
      <c r="L273" s="1471"/>
      <c r="M273" s="1471"/>
      <c r="N273" s="1471"/>
    </row>
    <row r="274" spans="1:19">
      <c r="A274" s="1515" t="s">
        <v>794</v>
      </c>
      <c r="B274" s="1217"/>
      <c r="C274" s="1478" t="s">
        <v>821</v>
      </c>
      <c r="D274" s="1416"/>
      <c r="E274" s="1553" cm="1">
        <f t="array" ref="E274">INDEX(H274:K274,0,MATCH($E$4,$H$4:$K$4,0))</f>
        <v>30.1</v>
      </c>
      <c r="F274" s="1567">
        <f t="shared" ref="F274:F276" si="48">E274/$E$8</f>
        <v>0.39994685091682169</v>
      </c>
      <c r="G274" s="1480"/>
      <c r="H274" s="1492">
        <v>30.1</v>
      </c>
      <c r="I274" s="1492">
        <v>33</v>
      </c>
      <c r="J274" s="1492">
        <v>30.1</v>
      </c>
      <c r="K274" s="1492">
        <v>30.1</v>
      </c>
      <c r="L274" s="1661"/>
      <c r="M274" s="1662"/>
      <c r="N274" s="1662"/>
      <c r="O274" s="1661"/>
      <c r="P274" s="1661"/>
      <c r="Q274" s="1661"/>
      <c r="R274" s="1661"/>
    </row>
    <row r="275" spans="1:19">
      <c r="A275" s="1515" t="s">
        <v>794</v>
      </c>
      <c r="B275" s="1217"/>
      <c r="C275" s="1478" t="s">
        <v>822</v>
      </c>
      <c r="D275" s="1416"/>
      <c r="E275" s="1553" cm="1">
        <f t="array" ref="E275">INDEX(H275:K275,0,MATCH($E$4,$H$4:$K$4,0))</f>
        <v>0</v>
      </c>
      <c r="F275" s="1567">
        <f t="shared" si="48"/>
        <v>0</v>
      </c>
      <c r="G275" s="1480"/>
      <c r="H275" s="1492">
        <v>0</v>
      </c>
      <c r="I275" s="1492">
        <v>0</v>
      </c>
      <c r="J275" s="1492">
        <v>0</v>
      </c>
      <c r="K275" s="1492">
        <v>0</v>
      </c>
      <c r="L275" s="1164"/>
    </row>
    <row r="276" spans="1:19">
      <c r="A276" s="1515" t="s">
        <v>794</v>
      </c>
      <c r="B276" s="1217"/>
      <c r="C276" s="1478" t="s">
        <v>608</v>
      </c>
      <c r="D276" s="1416"/>
      <c r="E276" s="1553" cm="1">
        <f t="array" ref="E276">INDEX(H276:K276,0,MATCH($E$4,$H$4:$K$4,0))</f>
        <v>0</v>
      </c>
      <c r="F276" s="1567">
        <f t="shared" si="48"/>
        <v>0</v>
      </c>
      <c r="G276" s="1480"/>
      <c r="H276" s="1492">
        <v>0</v>
      </c>
      <c r="I276" s="1492">
        <v>0</v>
      </c>
      <c r="J276" s="1492">
        <v>0</v>
      </c>
      <c r="K276" s="1492">
        <v>0</v>
      </c>
      <c r="L276" s="1164"/>
    </row>
    <row r="277" spans="1:19" s="1469" customFormat="1" ht="13.5">
      <c r="A277" s="1515"/>
      <c r="B277" s="1653"/>
      <c r="C277" s="1507" t="s">
        <v>637</v>
      </c>
      <c r="D277" s="1475"/>
      <c r="E277" s="1552" cm="1">
        <f t="array" ref="E277">INDEX(H277:K277,0,MATCH($E$4,$H$4:$K$4,0))</f>
        <v>255</v>
      </c>
      <c r="F277" s="1550">
        <f>E277/$E$8</f>
        <v>3.3882540526175919</v>
      </c>
      <c r="G277" s="1480"/>
      <c r="H277" s="1482">
        <f>SUM(H278:H281)</f>
        <v>255</v>
      </c>
      <c r="I277" s="1482">
        <f>SUM(I278:I281)</f>
        <v>255</v>
      </c>
      <c r="J277" s="1482">
        <f>SUM(J278:J281)</f>
        <v>255</v>
      </c>
      <c r="K277" s="1482">
        <f>SUM(K278:K281)</f>
        <v>255</v>
      </c>
      <c r="L277" s="1471"/>
      <c r="M277" s="1471"/>
      <c r="N277" s="1471"/>
    </row>
    <row r="278" spans="1:19">
      <c r="A278" s="1515" t="s">
        <v>637</v>
      </c>
      <c r="B278" s="1217"/>
      <c r="C278" s="1478" t="s">
        <v>823</v>
      </c>
      <c r="D278" s="1416"/>
      <c r="E278" s="1553" cm="1">
        <f t="array" ref="E278">INDEX(H278:K278,0,MATCH($E$4,$H$4:$K$4,0))</f>
        <v>250</v>
      </c>
      <c r="F278" s="1567">
        <f t="shared" ref="F278:F281" si="49">E278/$E$8</f>
        <v>3.3218176986446983</v>
      </c>
      <c r="G278" s="1480"/>
      <c r="H278" s="1660">
        <v>250</v>
      </c>
      <c r="I278" s="1660">
        <v>250</v>
      </c>
      <c r="J278" s="1660">
        <v>250</v>
      </c>
      <c r="K278" s="1660">
        <v>250</v>
      </c>
      <c r="L278" s="1661"/>
      <c r="M278" s="1662"/>
      <c r="N278" s="1662"/>
      <c r="O278" s="1661"/>
      <c r="P278" s="1661"/>
      <c r="Q278" s="1661"/>
      <c r="R278" s="1661"/>
      <c r="S278" s="1661"/>
    </row>
    <row r="279" spans="1:19">
      <c r="A279" s="1515" t="s">
        <v>637</v>
      </c>
      <c r="B279" s="1217"/>
      <c r="C279" s="1478" t="s">
        <v>824</v>
      </c>
      <c r="D279" s="1416"/>
      <c r="E279" s="1553" cm="1">
        <f t="array" ref="E279">INDEX(H279:K279,0,MATCH($E$4,$H$4:$K$4,0))</f>
        <v>5</v>
      </c>
      <c r="F279" s="1567">
        <f t="shared" si="49"/>
        <v>6.6436353972893963E-2</v>
      </c>
      <c r="G279" s="1480"/>
      <c r="H279" s="1492">
        <v>5</v>
      </c>
      <c r="I279" s="1492">
        <v>5</v>
      </c>
      <c r="J279" s="1492">
        <v>5</v>
      </c>
      <c r="K279" s="1492">
        <v>5</v>
      </c>
      <c r="L279" s="1164"/>
    </row>
    <row r="280" spans="1:19">
      <c r="A280" s="1515" t="s">
        <v>637</v>
      </c>
      <c r="B280" s="1217"/>
      <c r="C280" s="1568" t="s">
        <v>825</v>
      </c>
      <c r="D280" s="1569"/>
      <c r="E280" s="1553" cm="1">
        <f t="array" ref="E280">INDEX(H280:K280,0,MATCH($E$4,$H$4:$K$4,0))</f>
        <v>0</v>
      </c>
      <c r="F280" s="1567">
        <f t="shared" si="49"/>
        <v>0</v>
      </c>
      <c r="G280" s="1480"/>
      <c r="H280" s="1473">
        <v>0</v>
      </c>
      <c r="I280" s="1473">
        <v>0</v>
      </c>
      <c r="J280" s="1473">
        <v>0</v>
      </c>
      <c r="K280" s="1473">
        <v>0</v>
      </c>
      <c r="L280" s="1164"/>
    </row>
    <row r="281" spans="1:19">
      <c r="A281" s="1515" t="s">
        <v>637</v>
      </c>
      <c r="B281" s="1217"/>
      <c r="C281" s="1568" t="s">
        <v>826</v>
      </c>
      <c r="D281" s="1569"/>
      <c r="E281" s="1553" cm="1">
        <f t="array" ref="E281">INDEX(H281:K281,0,MATCH($E$4,$H$4:$K$4,0))</f>
        <v>0</v>
      </c>
      <c r="F281" s="1567">
        <f t="shared" si="49"/>
        <v>0</v>
      </c>
      <c r="G281" s="1480"/>
      <c r="H281" s="1473">
        <v>0</v>
      </c>
      <c r="I281" s="1473">
        <v>0</v>
      </c>
      <c r="J281" s="1473">
        <v>0</v>
      </c>
      <c r="K281" s="1473">
        <v>0</v>
      </c>
      <c r="L281" s="1164"/>
    </row>
    <row r="282" spans="1:19" s="1469" customFormat="1" ht="13.5">
      <c r="A282" s="1515"/>
      <c r="B282" s="1653"/>
      <c r="C282" s="1507" t="s">
        <v>827</v>
      </c>
      <c r="D282" s="1475"/>
      <c r="E282" s="1552" cm="1">
        <f t="array" ref="E282">INDEX(H282:K282,0,MATCH($E$4,$H$4:$K$4,0))</f>
        <v>204</v>
      </c>
      <c r="F282" s="1550">
        <f>E282/$E$8</f>
        <v>2.7106032420940736</v>
      </c>
      <c r="G282" s="1480"/>
      <c r="H282" s="1482">
        <f>H283+H286</f>
        <v>204</v>
      </c>
      <c r="I282" s="1482">
        <f>I283+I286</f>
        <v>204</v>
      </c>
      <c r="J282" s="1482">
        <f>J283+J286</f>
        <v>204</v>
      </c>
      <c r="K282" s="1482">
        <f>K283+K286</f>
        <v>204</v>
      </c>
      <c r="L282" s="1471"/>
      <c r="M282" s="1471"/>
      <c r="N282" s="1471"/>
    </row>
    <row r="283" spans="1:19" s="1530" customFormat="1">
      <c r="A283" s="1524"/>
      <c r="B283" s="1525"/>
      <c r="C283" s="1526" t="s">
        <v>828</v>
      </c>
      <c r="D283" s="1571"/>
      <c r="E283" s="1432" cm="1">
        <f t="array" ref="E283">INDEX(H283:K283,0,MATCH($E$4,$H$4:$K$4,0))</f>
        <v>204</v>
      </c>
      <c r="F283" s="1578">
        <f t="shared" ref="F283" si="50">E283/$E$8</f>
        <v>2.7106032420940736</v>
      </c>
      <c r="G283" s="1480"/>
      <c r="H283" s="1531">
        <f>H285*H284</f>
        <v>204</v>
      </c>
      <c r="I283" s="1531">
        <f>I285*I284</f>
        <v>204</v>
      </c>
      <c r="J283" s="1531">
        <f>J285*J284</f>
        <v>204</v>
      </c>
      <c r="K283" s="1531">
        <f>K285*K284</f>
        <v>204</v>
      </c>
      <c r="L283" s="1527"/>
      <c r="M283" s="1574"/>
      <c r="N283" s="1574"/>
    </row>
    <row r="284" spans="1:19" ht="13.5">
      <c r="A284" s="1515" t="s">
        <v>615</v>
      </c>
      <c r="B284" s="1217"/>
      <c r="C284" s="1512" t="s">
        <v>829</v>
      </c>
      <c r="D284" s="1164"/>
      <c r="E284" s="1576" cm="1">
        <f t="array" ref="E284">INDEX(H284:K284,0,MATCH($E$4,$H$4:$K$4,0))</f>
        <v>85</v>
      </c>
      <c r="F284" s="1567"/>
      <c r="G284" s="1480"/>
      <c r="H284" s="1570">
        <v>85</v>
      </c>
      <c r="I284" s="1570">
        <v>85</v>
      </c>
      <c r="J284" s="1570">
        <v>85</v>
      </c>
      <c r="K284" s="1570">
        <v>85</v>
      </c>
      <c r="L284" s="1411"/>
      <c r="M284" s="1411"/>
      <c r="N284" s="1411"/>
    </row>
    <row r="285" spans="1:19" ht="13.5">
      <c r="A285" s="1515" t="s">
        <v>615</v>
      </c>
      <c r="B285" s="1217"/>
      <c r="C285" s="1512" t="s">
        <v>830</v>
      </c>
      <c r="D285" s="1164"/>
      <c r="E285" s="1575" cm="1">
        <f t="array" ref="E285">INDEX(H285:K285,0,MATCH($E$4,$H$4:$K$4,0))</f>
        <v>2.4</v>
      </c>
      <c r="F285" s="1567"/>
      <c r="G285" s="1480"/>
      <c r="H285" s="1638">
        <v>2.4</v>
      </c>
      <c r="I285" s="1638">
        <v>2.4</v>
      </c>
      <c r="J285" s="1638">
        <v>2.4</v>
      </c>
      <c r="K285" s="1638">
        <v>2.4</v>
      </c>
      <c r="L285" s="1411"/>
      <c r="M285" s="1411"/>
      <c r="N285" s="1411"/>
    </row>
    <row r="286" spans="1:19" s="1530" customFormat="1">
      <c r="A286" s="1515" t="s">
        <v>615</v>
      </c>
      <c r="B286" s="1525"/>
      <c r="C286" s="1526" t="s">
        <v>831</v>
      </c>
      <c r="D286" s="1571"/>
      <c r="E286" s="1572" cm="1">
        <f t="array" ref="E286">INDEX(H286:K286,0,MATCH($E$4,$H$4:$K$4,0))</f>
        <v>0</v>
      </c>
      <c r="F286" s="1573">
        <f t="shared" ref="F286" si="51">E286/$E$8</f>
        <v>0</v>
      </c>
      <c r="G286" s="1480"/>
      <c r="H286" s="1577">
        <v>0</v>
      </c>
      <c r="I286" s="1577">
        <v>0</v>
      </c>
      <c r="J286" s="1577">
        <v>0</v>
      </c>
      <c r="K286" s="1577">
        <v>0</v>
      </c>
      <c r="L286" s="1527"/>
      <c r="M286" s="1574"/>
      <c r="N286" s="1574"/>
    </row>
    <row r="287" spans="1:19" s="1469" customFormat="1" ht="13.5">
      <c r="A287" s="1515"/>
      <c r="B287" s="1653"/>
      <c r="C287" s="1507" t="s">
        <v>832</v>
      </c>
      <c r="D287" s="1475"/>
      <c r="E287" s="1552" cm="1">
        <f t="array" ref="E287">INDEX(H287:K287,0,MATCH($E$4,$H$4:$K$4,0))</f>
        <v>499.76319999999998</v>
      </c>
      <c r="F287" s="1550">
        <f>E287/$E$8</f>
        <v>6.6404889715652402</v>
      </c>
      <c r="G287" s="1480"/>
      <c r="H287" s="1482">
        <f>SUM(H288:H290)</f>
        <v>499.76319999999998</v>
      </c>
      <c r="I287" s="1482">
        <f>SUM(I288:I290)</f>
        <v>431.34559999999999</v>
      </c>
      <c r="J287" s="1482">
        <f>SUM(J288:J290)</f>
        <v>499.76319999999998</v>
      </c>
      <c r="K287" s="1482">
        <f>SUM(K288:K290)</f>
        <v>499.76319999999998</v>
      </c>
      <c r="L287" s="1471"/>
      <c r="M287" s="1471"/>
      <c r="N287" s="1471"/>
    </row>
    <row r="288" spans="1:19">
      <c r="A288" s="1515" t="s">
        <v>615</v>
      </c>
      <c r="B288" s="1217"/>
      <c r="C288" s="1478" t="s">
        <v>833</v>
      </c>
      <c r="D288" s="1416"/>
      <c r="E288" s="1553" cm="1">
        <f t="array" ref="E288">INDEX(H288:K288,0,MATCH($E$4,$H$4:$K$4,0))</f>
        <v>40</v>
      </c>
      <c r="F288" s="1567">
        <f t="shared" ref="F288:F290" si="52">E288/$E$8</f>
        <v>0.53149083178315171</v>
      </c>
      <c r="G288" s="1480"/>
      <c r="H288" s="1492">
        <v>40</v>
      </c>
      <c r="I288" s="1492">
        <v>23</v>
      </c>
      <c r="J288" s="1492">
        <v>40</v>
      </c>
      <c r="K288" s="1492">
        <v>40</v>
      </c>
      <c r="L288" s="1164" t="s">
        <v>834</v>
      </c>
      <c r="M288" s="1667" t="s">
        <v>835</v>
      </c>
      <c r="N288" s="1666"/>
      <c r="O288" s="1164"/>
      <c r="P288" s="1164"/>
      <c r="Q288" s="1164"/>
      <c r="R288" s="1164"/>
      <c r="S288" s="1164"/>
    </row>
    <row r="289" spans="1:18">
      <c r="A289" s="1515" t="s">
        <v>615</v>
      </c>
      <c r="B289" s="1217"/>
      <c r="C289" s="1478" t="s">
        <v>836</v>
      </c>
      <c r="D289" s="1416"/>
      <c r="E289" s="1553" cm="1">
        <f t="array" ref="E289">INDEX(H289:K289,0,MATCH($E$4,$H$4:$K$4,0))</f>
        <v>86.860800000000012</v>
      </c>
      <c r="F289" s="1567">
        <f t="shared" si="52"/>
        <v>1.1541429710337499</v>
      </c>
      <c r="G289" s="1480"/>
      <c r="H289" s="1492">
        <f>0.116*H9*12</f>
        <v>86.860800000000012</v>
      </c>
      <c r="I289" s="1492">
        <f>0.116*I9*12</f>
        <v>86.860800000000012</v>
      </c>
      <c r="J289" s="1492">
        <f>0.116*J9*12</f>
        <v>86.860800000000012</v>
      </c>
      <c r="K289" s="1492">
        <f>0.116*K9*12</f>
        <v>86.860800000000012</v>
      </c>
      <c r="L289" s="1164" t="s">
        <v>837</v>
      </c>
    </row>
    <row r="290" spans="1:18" s="1530" customFormat="1">
      <c r="A290" s="1524"/>
      <c r="B290" s="1525"/>
      <c r="C290" s="1526" t="s">
        <v>838</v>
      </c>
      <c r="D290" s="1571"/>
      <c r="E290" s="1579" cm="1">
        <f t="array" ref="E290">INDEX(H290:K290,0,MATCH($E$4,$H$4:$K$4,0))</f>
        <v>372.9024</v>
      </c>
      <c r="F290" s="1578">
        <f t="shared" si="52"/>
        <v>4.9548551687483391</v>
      </c>
      <c r="G290" s="1480"/>
      <c r="H290" s="1531">
        <f>H291/1000*H9*H10</f>
        <v>372.9024</v>
      </c>
      <c r="I290" s="1531">
        <f>I291/1000*I9*I10</f>
        <v>321.48480000000001</v>
      </c>
      <c r="J290" s="1531">
        <f>J291/1000*J9*J10</f>
        <v>372.9024</v>
      </c>
      <c r="K290" s="1531">
        <f>K291/1000*K9*K10</f>
        <v>372.9024</v>
      </c>
      <c r="L290" s="1527"/>
      <c r="M290" s="1574"/>
      <c r="N290" s="1574"/>
    </row>
    <row r="291" spans="1:18" ht="13.5">
      <c r="A291" s="1515" t="s">
        <v>520</v>
      </c>
      <c r="B291" s="1217"/>
      <c r="C291" s="1512" t="s">
        <v>839</v>
      </c>
      <c r="D291" s="1164"/>
      <c r="E291" s="1580" cm="1">
        <f t="array" ref="E291">INDEX(H291:K291,0,MATCH($E$4,$H$4:$K$4,0))</f>
        <v>4</v>
      </c>
      <c r="F291" s="1567"/>
      <c r="G291" s="1480"/>
      <c r="H291" s="1929">
        <v>4</v>
      </c>
      <c r="I291" s="1929">
        <v>4</v>
      </c>
      <c r="J291" s="1929">
        <v>4</v>
      </c>
      <c r="K291" s="1929">
        <v>4</v>
      </c>
      <c r="L291" s="1656"/>
      <c r="M291" s="1656"/>
      <c r="N291" s="1656"/>
      <c r="O291" s="1661"/>
      <c r="P291" s="1661"/>
      <c r="Q291" s="1661"/>
      <c r="R291" s="1661"/>
    </row>
    <row r="292" spans="1:18" s="1469" customFormat="1" ht="13.5">
      <c r="A292" s="1515"/>
      <c r="B292" s="1653"/>
      <c r="C292" s="1507" t="s">
        <v>840</v>
      </c>
      <c r="D292" s="1475"/>
      <c r="E292" s="1552" cm="1">
        <f t="array" ref="E292">INDEX(H292:K292,0,MATCH($E$4,$H$4:$K$4,0))</f>
        <v>14</v>
      </c>
      <c r="F292" s="1550">
        <f>E292/$E$8</f>
        <v>0.18602179112410311</v>
      </c>
      <c r="G292" s="1480"/>
      <c r="H292" s="1482">
        <f>SUM(H293:H296)</f>
        <v>95.6</v>
      </c>
      <c r="I292" s="1482">
        <f>SUM(I293:I296)</f>
        <v>101.6</v>
      </c>
      <c r="J292" s="1482">
        <f>SUM(J293:J296)</f>
        <v>95.6</v>
      </c>
      <c r="K292" s="1482">
        <f>SUM(K293:K296)</f>
        <v>14</v>
      </c>
      <c r="L292" s="1471"/>
      <c r="M292" s="1471"/>
      <c r="N292" s="1471"/>
    </row>
    <row r="293" spans="1:18">
      <c r="A293" s="1515" t="s">
        <v>794</v>
      </c>
      <c r="B293" s="1217"/>
      <c r="C293" s="1478" t="s">
        <v>841</v>
      </c>
      <c r="D293" s="1416"/>
      <c r="E293" s="1553" cm="1">
        <f t="array" ref="E293">INDEX(H293:K293,0,MATCH($E$4,$H$4:$K$4,0))</f>
        <v>5</v>
      </c>
      <c r="F293" s="1567">
        <f t="shared" ref="F293:F296" si="53">E293/$E$8</f>
        <v>6.6436353972893963E-2</v>
      </c>
      <c r="G293" s="1480"/>
      <c r="H293" s="1492">
        <v>2</v>
      </c>
      <c r="I293" s="1492">
        <v>2</v>
      </c>
      <c r="J293" s="1492">
        <v>2</v>
      </c>
      <c r="K293" s="1492">
        <v>5</v>
      </c>
      <c r="L293" s="1164"/>
    </row>
    <row r="294" spans="1:18">
      <c r="A294" s="1515" t="s">
        <v>794</v>
      </c>
      <c r="B294" s="1217"/>
      <c r="C294" s="1478" t="s">
        <v>842</v>
      </c>
      <c r="D294" s="1416"/>
      <c r="E294" s="1553" cm="1">
        <f t="array" ref="E294">INDEX(H294:K294,0,MATCH($E$4,$H$4:$K$4,0))</f>
        <v>4</v>
      </c>
      <c r="F294" s="1567">
        <f t="shared" si="53"/>
        <v>5.3149083178315168E-2</v>
      </c>
      <c r="G294" s="1480"/>
      <c r="H294" s="1492">
        <f>1.5*H9</f>
        <v>93.6</v>
      </c>
      <c r="I294" s="1492">
        <f>1.5*I9</f>
        <v>93.6</v>
      </c>
      <c r="J294" s="1492">
        <f>1.5*J9</f>
        <v>93.6</v>
      </c>
      <c r="K294" s="1492">
        <v>4</v>
      </c>
      <c r="L294" s="1659" t="s">
        <v>843</v>
      </c>
    </row>
    <row r="295" spans="1:18">
      <c r="A295" s="1515" t="s">
        <v>794</v>
      </c>
      <c r="B295" s="1217"/>
      <c r="C295" s="1478" t="s">
        <v>844</v>
      </c>
      <c r="D295" s="1416"/>
      <c r="E295" s="1553" cm="1">
        <f t="array" ref="E295">INDEX(H295:K295,0,MATCH($E$4,$H$4:$K$4,0))</f>
        <v>5</v>
      </c>
      <c r="F295" s="1567">
        <f t="shared" si="53"/>
        <v>6.6436353972893963E-2</v>
      </c>
      <c r="G295" s="1480"/>
      <c r="H295" s="1492">
        <v>0</v>
      </c>
      <c r="I295" s="1492">
        <v>6</v>
      </c>
      <c r="J295" s="1492">
        <v>0</v>
      </c>
      <c r="K295" s="1492">
        <v>5</v>
      </c>
      <c r="L295" s="1164"/>
    </row>
    <row r="296" spans="1:18">
      <c r="A296" s="1515" t="s">
        <v>794</v>
      </c>
      <c r="B296" s="1217"/>
      <c r="C296" s="1568" t="s">
        <v>845</v>
      </c>
      <c r="D296" s="1569"/>
      <c r="E296" s="1553" cm="1">
        <f t="array" ref="E296">INDEX(H296:K296,0,MATCH($E$4,$H$4:$K$4,0))</f>
        <v>0</v>
      </c>
      <c r="F296" s="1567">
        <f t="shared" si="53"/>
        <v>0</v>
      </c>
      <c r="G296" s="1480"/>
      <c r="H296" s="1473">
        <v>0</v>
      </c>
      <c r="I296" s="1473">
        <v>0</v>
      </c>
      <c r="J296" s="1473">
        <v>0</v>
      </c>
      <c r="K296" s="1473">
        <v>0</v>
      </c>
      <c r="L296" s="1164"/>
    </row>
    <row r="297" spans="1:18" s="1469" customFormat="1" ht="13.5">
      <c r="A297" s="1515"/>
      <c r="B297" s="1653"/>
      <c r="C297" s="1507" t="s">
        <v>669</v>
      </c>
      <c r="D297" s="1475"/>
      <c r="E297" s="1552" cm="1">
        <f t="array" ref="E297">INDEX(H297:K297,0,MATCH($E$4,$H$4:$K$4,0))</f>
        <v>32</v>
      </c>
      <c r="F297" s="1550">
        <f>E297/$E$8</f>
        <v>0.42519266542652134</v>
      </c>
      <c r="G297" s="1480"/>
      <c r="H297" s="1482">
        <f>SUM(H298:H303)</f>
        <v>32</v>
      </c>
      <c r="I297" s="1482">
        <f>SUM(I298:I303)</f>
        <v>32</v>
      </c>
      <c r="J297" s="1482">
        <f>SUM(J298:J303)</f>
        <v>32</v>
      </c>
      <c r="K297" s="1482">
        <f>SUM(K298:K303)</f>
        <v>32</v>
      </c>
      <c r="L297" s="1471"/>
      <c r="M297" s="1471"/>
      <c r="N297" s="1471"/>
    </row>
    <row r="298" spans="1:18">
      <c r="A298" s="1515" t="s">
        <v>646</v>
      </c>
      <c r="B298" s="1217"/>
      <c r="C298" s="1478" t="s">
        <v>846</v>
      </c>
      <c r="D298" s="1416"/>
      <c r="E298" s="1553" cm="1">
        <f t="array" ref="E298">INDEX(H298:K298,0,MATCH($E$4,$H$4:$K$4,0))</f>
        <v>16</v>
      </c>
      <c r="F298" s="1567">
        <f t="shared" ref="F298:F303" si="54">E298/$E$8</f>
        <v>0.21259633271326067</v>
      </c>
      <c r="G298" s="1480"/>
      <c r="H298" s="1492">
        <v>16</v>
      </c>
      <c r="I298" s="1492">
        <v>16</v>
      </c>
      <c r="J298" s="1492">
        <v>16</v>
      </c>
      <c r="K298" s="1492">
        <v>16</v>
      </c>
      <c r="L298" s="1164"/>
    </row>
    <row r="299" spans="1:18">
      <c r="A299" s="1515" t="s">
        <v>646</v>
      </c>
      <c r="B299" s="1217"/>
      <c r="C299" s="1478" t="s">
        <v>847</v>
      </c>
      <c r="D299" s="1416"/>
      <c r="E299" s="1553" cm="1">
        <f t="array" ref="E299">INDEX(H299:K299,0,MATCH($E$4,$H$4:$K$4,0))</f>
        <v>8</v>
      </c>
      <c r="F299" s="1567">
        <f t="shared" si="54"/>
        <v>0.10629816635663034</v>
      </c>
      <c r="G299" s="1480"/>
      <c r="H299" s="1492">
        <v>8</v>
      </c>
      <c r="I299" s="1492">
        <v>8</v>
      </c>
      <c r="J299" s="1492">
        <v>8</v>
      </c>
      <c r="K299" s="1492">
        <v>8</v>
      </c>
      <c r="L299" s="1164"/>
    </row>
    <row r="300" spans="1:18">
      <c r="A300" s="1515" t="s">
        <v>761</v>
      </c>
      <c r="B300" s="1217"/>
      <c r="C300" s="1478" t="s">
        <v>848</v>
      </c>
      <c r="D300" s="1416"/>
      <c r="E300" s="1553" cm="1">
        <f t="array" ref="E300">INDEX(H300:K300,0,MATCH($E$4,$H$4:$K$4,0))</f>
        <v>8</v>
      </c>
      <c r="F300" s="1567">
        <f t="shared" si="54"/>
        <v>0.10629816635663034</v>
      </c>
      <c r="G300" s="1480"/>
      <c r="H300" s="1492">
        <v>8</v>
      </c>
      <c r="I300" s="1492">
        <v>8</v>
      </c>
      <c r="J300" s="1492">
        <v>8</v>
      </c>
      <c r="K300" s="1492">
        <v>8</v>
      </c>
      <c r="L300" s="1164"/>
    </row>
    <row r="301" spans="1:18">
      <c r="A301" s="1515" t="s">
        <v>673</v>
      </c>
      <c r="B301" s="1217"/>
      <c r="C301" s="1568" t="s">
        <v>849</v>
      </c>
      <c r="D301" s="1569"/>
      <c r="E301" s="1553" cm="1">
        <f t="array" ref="E301">INDEX(H301:K301,0,MATCH($E$4,$H$4:$K$4,0))</f>
        <v>0</v>
      </c>
      <c r="F301" s="1567">
        <f t="shared" si="54"/>
        <v>0</v>
      </c>
      <c r="G301" s="1480"/>
      <c r="H301" s="1473">
        <v>0</v>
      </c>
      <c r="I301" s="1473">
        <v>0</v>
      </c>
      <c r="J301" s="1473">
        <v>0</v>
      </c>
      <c r="K301" s="1473">
        <v>0</v>
      </c>
      <c r="L301" s="1164"/>
    </row>
    <row r="302" spans="1:18">
      <c r="A302" s="1515" t="s">
        <v>761</v>
      </c>
      <c r="B302" s="1217"/>
      <c r="C302" s="1568" t="s">
        <v>850</v>
      </c>
      <c r="D302" s="1569"/>
      <c r="E302" s="1553" cm="1">
        <f t="array" ref="E302">INDEX(H302:K302,0,MATCH($E$4,$H$4:$K$4,0))</f>
        <v>0</v>
      </c>
      <c r="F302" s="1567">
        <f t="shared" si="54"/>
        <v>0</v>
      </c>
      <c r="G302" s="1480"/>
      <c r="H302" s="1473">
        <v>0</v>
      </c>
      <c r="I302" s="1473">
        <v>0</v>
      </c>
      <c r="J302" s="1473">
        <v>0</v>
      </c>
      <c r="K302" s="1473">
        <v>0</v>
      </c>
      <c r="L302" s="1164"/>
    </row>
    <row r="303" spans="1:18">
      <c r="A303" s="1515"/>
      <c r="B303" s="1217"/>
      <c r="C303" s="1478" t="s">
        <v>608</v>
      </c>
      <c r="D303" s="1416"/>
      <c r="E303" s="1553" cm="1">
        <f t="array" ref="E303">INDEX(H303:K303,0,MATCH($E$4,$H$4:$K$4,0))</f>
        <v>0</v>
      </c>
      <c r="F303" s="1567">
        <f t="shared" si="54"/>
        <v>0</v>
      </c>
      <c r="G303" s="1480"/>
      <c r="H303" s="1492">
        <v>0</v>
      </c>
      <c r="I303" s="1492">
        <v>0</v>
      </c>
      <c r="J303" s="1492">
        <v>0</v>
      </c>
      <c r="K303" s="1492">
        <v>0</v>
      </c>
      <c r="L303" s="1164"/>
    </row>
    <row r="304" spans="1:18" s="1469" customFormat="1" ht="13.5">
      <c r="A304" s="1515"/>
      <c r="B304" s="1653"/>
      <c r="C304" s="1507" t="s">
        <v>851</v>
      </c>
      <c r="D304" s="1475"/>
      <c r="E304" s="1552" cm="1">
        <f t="array" ref="E304">INDEX(H304:K304,0,MATCH($E$4,$H$4:$K$4,0))</f>
        <v>20</v>
      </c>
      <c r="F304" s="1550">
        <f>E304/$E$8</f>
        <v>0.26574541589157585</v>
      </c>
      <c r="G304" s="1480"/>
      <c r="H304" s="1482">
        <f>SUM(H305:H308)</f>
        <v>20</v>
      </c>
      <c r="I304" s="1482">
        <f>SUM(I305:I308)</f>
        <v>20</v>
      </c>
      <c r="J304" s="1482">
        <f>SUM(J305:J308)</f>
        <v>20</v>
      </c>
      <c r="K304" s="1482">
        <f>SUM(K305:K308)</f>
        <v>20</v>
      </c>
      <c r="L304" s="1471"/>
      <c r="M304" s="1471"/>
      <c r="N304" s="1471"/>
    </row>
    <row r="305" spans="1:14">
      <c r="A305" s="1515" t="s">
        <v>646</v>
      </c>
      <c r="B305" s="1217"/>
      <c r="C305" s="1568" t="s">
        <v>852</v>
      </c>
      <c r="D305" s="1569"/>
      <c r="E305" s="1553" cm="1">
        <f t="array" ref="E305">INDEX(H305:K305,0,MATCH($E$4,$H$4:$K$4,0))</f>
        <v>0</v>
      </c>
      <c r="F305" s="1567">
        <f t="shared" ref="F305:F308" si="55">E305/$E$8</f>
        <v>0</v>
      </c>
      <c r="G305" s="1480"/>
      <c r="H305" s="1473">
        <v>0</v>
      </c>
      <c r="I305" s="1473">
        <v>0</v>
      </c>
      <c r="J305" s="1473">
        <v>0</v>
      </c>
      <c r="K305" s="1473">
        <v>0</v>
      </c>
      <c r="L305" s="1164"/>
    </row>
    <row r="306" spans="1:14">
      <c r="A306" s="1515" t="s">
        <v>757</v>
      </c>
      <c r="B306" s="1217"/>
      <c r="C306" s="1478" t="s">
        <v>853</v>
      </c>
      <c r="D306" s="1416"/>
      <c r="E306" s="1553" cm="1">
        <f t="array" ref="E306">INDEX(H306:K306,0,MATCH($E$4,$H$4:$K$4,0))</f>
        <v>0</v>
      </c>
      <c r="F306" s="1567">
        <f t="shared" si="55"/>
        <v>0</v>
      </c>
      <c r="G306" s="1480"/>
      <c r="H306" s="1492">
        <v>0</v>
      </c>
      <c r="I306" s="1492">
        <v>0</v>
      </c>
      <c r="J306" s="1492">
        <v>0</v>
      </c>
      <c r="K306" s="1492">
        <v>0</v>
      </c>
      <c r="L306" s="1164"/>
    </row>
    <row r="307" spans="1:14">
      <c r="A307" s="1515" t="s">
        <v>646</v>
      </c>
      <c r="B307" s="1217"/>
      <c r="C307" s="1478" t="s">
        <v>851</v>
      </c>
      <c r="D307" s="1416"/>
      <c r="E307" s="1553" cm="1">
        <f t="array" ref="E307">INDEX(H307:K307,0,MATCH($E$4,$H$4:$K$4,0))</f>
        <v>20</v>
      </c>
      <c r="F307" s="1567">
        <f t="shared" si="55"/>
        <v>0.26574541589157585</v>
      </c>
      <c r="G307" s="1480"/>
      <c r="H307" s="1492">
        <v>20</v>
      </c>
      <c r="I307" s="1492">
        <v>20</v>
      </c>
      <c r="J307" s="1492">
        <v>20</v>
      </c>
      <c r="K307" s="1492">
        <v>20</v>
      </c>
      <c r="L307" s="1164"/>
    </row>
    <row r="308" spans="1:14">
      <c r="A308" s="1515" t="s">
        <v>646</v>
      </c>
      <c r="B308" s="1217"/>
      <c r="C308" s="1478" t="s">
        <v>608</v>
      </c>
      <c r="D308" s="1416"/>
      <c r="E308" s="1553" cm="1">
        <f t="array" ref="E308">INDEX(H308:K308,0,MATCH($E$4,$H$4:$K$4,0))</f>
        <v>0</v>
      </c>
      <c r="F308" s="1567">
        <f t="shared" si="55"/>
        <v>0</v>
      </c>
      <c r="G308" s="1480"/>
      <c r="H308" s="1492">
        <v>0</v>
      </c>
      <c r="I308" s="1492">
        <v>0</v>
      </c>
      <c r="J308" s="1492">
        <v>0</v>
      </c>
      <c r="K308" s="1492">
        <v>0</v>
      </c>
      <c r="L308" s="1164"/>
    </row>
    <row r="309" spans="1:14" s="1469" customFormat="1" ht="13.5">
      <c r="A309" s="1515"/>
      <c r="B309" s="1653"/>
      <c r="C309" s="1507" t="s">
        <v>854</v>
      </c>
      <c r="D309" s="1475"/>
      <c r="E309" s="1552" cm="1">
        <f t="array" ref="E309">INDEX(H309:K309,0,MATCH($E$4,$H$4:$K$4,0))</f>
        <v>32</v>
      </c>
      <c r="F309" s="1550">
        <f>E309/$E$8</f>
        <v>0.42519266542652134</v>
      </c>
      <c r="G309" s="1480"/>
      <c r="H309" s="1482">
        <f>SUM(H310:H314)</f>
        <v>22</v>
      </c>
      <c r="I309" s="1482">
        <f>SUM(I310:I314)</f>
        <v>15</v>
      </c>
      <c r="J309" s="1482">
        <f>SUM(J310:J314)</f>
        <v>15</v>
      </c>
      <c r="K309" s="1482">
        <f>SUM(K310:K314)</f>
        <v>32</v>
      </c>
      <c r="L309" s="1471"/>
      <c r="M309" s="1471"/>
      <c r="N309" s="1471"/>
    </row>
    <row r="310" spans="1:14">
      <c r="A310" s="1515" t="s">
        <v>683</v>
      </c>
      <c r="B310" s="1217"/>
      <c r="C310" s="1478" t="s">
        <v>855</v>
      </c>
      <c r="D310" s="1416"/>
      <c r="E310" s="1553" cm="1">
        <f t="array" ref="E310">INDEX(H310:K310,0,MATCH($E$4,$H$4:$K$4,0))</f>
        <v>10</v>
      </c>
      <c r="F310" s="1567">
        <f t="shared" ref="F310:F314" si="56">E310/$E$8</f>
        <v>0.13287270794578793</v>
      </c>
      <c r="G310" s="1480"/>
      <c r="H310" s="1492">
        <v>10</v>
      </c>
      <c r="I310" s="1492">
        <v>5</v>
      </c>
      <c r="J310" s="1492">
        <v>5</v>
      </c>
      <c r="K310" s="1492">
        <v>10</v>
      </c>
      <c r="L310" s="1164"/>
    </row>
    <row r="311" spans="1:14">
      <c r="A311" s="1515" t="s">
        <v>683</v>
      </c>
      <c r="B311" s="1217"/>
      <c r="C311" s="1478" t="s">
        <v>856</v>
      </c>
      <c r="D311" s="1416"/>
      <c r="E311" s="1553" cm="1">
        <f t="array" ref="E311">INDEX(H311:K311,0,MATCH($E$4,$H$4:$K$4,0))</f>
        <v>0</v>
      </c>
      <c r="F311" s="1567">
        <f t="shared" si="56"/>
        <v>0</v>
      </c>
      <c r="G311" s="1480"/>
      <c r="H311" s="1492">
        <v>0</v>
      </c>
      <c r="I311" s="1492">
        <v>0</v>
      </c>
      <c r="J311" s="1492">
        <v>0</v>
      </c>
      <c r="K311" s="1492">
        <v>0</v>
      </c>
      <c r="L311" s="1164"/>
    </row>
    <row r="312" spans="1:14">
      <c r="A312" s="1515" t="s">
        <v>683</v>
      </c>
      <c r="B312" s="1217"/>
      <c r="C312" s="1478" t="s">
        <v>857</v>
      </c>
      <c r="D312" s="1416"/>
      <c r="E312" s="1553" cm="1">
        <f t="array" ref="E312">INDEX(H312:K312,0,MATCH($E$4,$H$4:$K$4,0))</f>
        <v>10</v>
      </c>
      <c r="F312" s="1567">
        <f t="shared" si="56"/>
        <v>0.13287270794578793</v>
      </c>
      <c r="G312" s="1480"/>
      <c r="H312" s="1492">
        <v>0</v>
      </c>
      <c r="I312" s="1492">
        <v>10</v>
      </c>
      <c r="J312" s="1492">
        <v>10</v>
      </c>
      <c r="K312" s="1492">
        <v>10</v>
      </c>
      <c r="L312" s="1164"/>
    </row>
    <row r="313" spans="1:14">
      <c r="A313" s="1515" t="s">
        <v>683</v>
      </c>
      <c r="B313" s="1217"/>
      <c r="C313" s="1478" t="s">
        <v>858</v>
      </c>
      <c r="D313" s="1416"/>
      <c r="E313" s="1553" cm="1">
        <f t="array" ref="E313">INDEX(H313:K313,0,MATCH($E$4,$H$4:$K$4,0))</f>
        <v>10</v>
      </c>
      <c r="F313" s="1567">
        <f t="shared" si="56"/>
        <v>0.13287270794578793</v>
      </c>
      <c r="G313" s="1480"/>
      <c r="H313" s="1492">
        <v>10</v>
      </c>
      <c r="I313" s="1492">
        <v>0</v>
      </c>
      <c r="J313" s="1492">
        <v>0</v>
      </c>
      <c r="K313" s="1492">
        <v>10</v>
      </c>
      <c r="L313" s="1164"/>
    </row>
    <row r="314" spans="1:14">
      <c r="A314" s="1515" t="s">
        <v>683</v>
      </c>
      <c r="B314" s="1217"/>
      <c r="C314" s="1478" t="s">
        <v>859</v>
      </c>
      <c r="D314" s="1416"/>
      <c r="E314" s="1553" cm="1">
        <f t="array" ref="E314">INDEX(H314:K314,0,MATCH($E$4,$H$4:$K$4,0))</f>
        <v>2</v>
      </c>
      <c r="F314" s="1567">
        <f t="shared" si="56"/>
        <v>2.6574541589157584E-2</v>
      </c>
      <c r="G314" s="1480"/>
      <c r="H314" s="1492">
        <v>2</v>
      </c>
      <c r="I314" s="1492">
        <v>0</v>
      </c>
      <c r="J314" s="1492">
        <v>0</v>
      </c>
      <c r="K314" s="1492">
        <v>2</v>
      </c>
      <c r="L314" s="1164"/>
    </row>
    <row r="315" spans="1:14" s="1469" customFormat="1" ht="13.5">
      <c r="A315" s="1515"/>
      <c r="B315" s="1653"/>
      <c r="C315" s="1507" t="s">
        <v>860</v>
      </c>
      <c r="D315" s="1475"/>
      <c r="E315" s="1482" cm="1">
        <f t="array" ref="E315">INDEX(H315:K315,0,MATCH($E$4,$H$4:$K$4,0))</f>
        <v>63.322527999999991</v>
      </c>
      <c r="F315" s="1501"/>
      <c r="G315" s="1480"/>
      <c r="H315" s="1482">
        <f>(H309+H304+H297+H287+H292+H282+H277+H273+H269+H264+H241+H236)*H316</f>
        <v>66.186527999999996</v>
      </c>
      <c r="I315" s="1482">
        <f>(I309+I304+I297+I287+I292+I282+I277+I273+I269+I264+I241+I236)*I316</f>
        <v>62.749823999999997</v>
      </c>
      <c r="J315" s="1482">
        <f>(J309+J304+J297+J287+J292+J282+J277+J273+J269+J264+J241+J236)*J316</f>
        <v>65.906527999999994</v>
      </c>
      <c r="K315" s="1482">
        <f>(K309+K304+K297+K287+K292+K282+K277+K273+K269+K264+K241+K236)*K316</f>
        <v>63.322527999999991</v>
      </c>
      <c r="L315" s="1471"/>
      <c r="M315" s="1471"/>
      <c r="N315" s="1471"/>
    </row>
    <row r="316" spans="1:14" ht="13.5">
      <c r="A316" s="1515" t="s">
        <v>786</v>
      </c>
      <c r="B316" s="1217"/>
      <c r="C316" s="1562" t="s">
        <v>861</v>
      </c>
      <c r="D316" s="1430"/>
      <c r="E316" s="1582" cm="1">
        <f t="array" ref="E316">INDEX(H316:K316,0,MATCH($E$4,$H$4:$K$4,0))</f>
        <v>0.04</v>
      </c>
      <c r="F316" s="1583"/>
      <c r="G316" s="1480"/>
      <c r="H316" s="1415">
        <v>0.04</v>
      </c>
      <c r="I316" s="1415">
        <v>0.04</v>
      </c>
      <c r="J316" s="1415">
        <v>0.04</v>
      </c>
      <c r="K316" s="1415">
        <v>0.04</v>
      </c>
      <c r="L316" s="1411"/>
      <c r="M316" s="1411"/>
      <c r="N316" s="1411"/>
    </row>
    <row r="317" spans="1:14">
      <c r="A317" s="1515"/>
      <c r="B317" s="136"/>
      <c r="E317" s="1418"/>
      <c r="G317" s="1480"/>
      <c r="H317" s="1418"/>
      <c r="I317" s="1418"/>
      <c r="J317" s="1418"/>
      <c r="K317" s="1418"/>
    </row>
    <row r="318" spans="1:14">
      <c r="A318" s="1546"/>
      <c r="B318" s="1546"/>
      <c r="C318" s="1556" t="s">
        <v>862</v>
      </c>
      <c r="D318" s="1557"/>
      <c r="E318" s="1546"/>
      <c r="F318" s="1557"/>
      <c r="G318" s="1480"/>
      <c r="H318" s="1546"/>
      <c r="I318" s="1546"/>
      <c r="J318" s="1546"/>
      <c r="K318" s="1546"/>
      <c r="N318"/>
    </row>
    <row r="319" spans="1:14">
      <c r="A319" s="1544"/>
      <c r="B319" s="1544"/>
      <c r="C319" s="1593"/>
      <c r="E319" s="1544"/>
      <c r="G319" s="1480"/>
      <c r="H319" s="1544"/>
      <c r="I319" s="1544"/>
      <c r="J319" s="1544"/>
      <c r="K319" s="1544"/>
      <c r="N319"/>
    </row>
    <row r="320" spans="1:14">
      <c r="A320" s="1515" t="s">
        <v>520</v>
      </c>
      <c r="B320" s="1217"/>
      <c r="C320" s="1513" t="s">
        <v>863</v>
      </c>
      <c r="D320" s="1594"/>
      <c r="E320" s="1595" cm="1">
        <f t="array" ref="E320">INDEX(H320:K320,0,MATCH($E$4,$H$4:$K$4,0))</f>
        <v>12</v>
      </c>
      <c r="F320" s="1164"/>
      <c r="G320" s="1480"/>
      <c r="H320" s="1598">
        <v>12</v>
      </c>
      <c r="I320" s="1598">
        <v>12</v>
      </c>
      <c r="J320" s="1598">
        <v>12</v>
      </c>
      <c r="K320" s="1598">
        <v>12</v>
      </c>
    </row>
    <row r="321" spans="1:22">
      <c r="A321" s="1515" t="s">
        <v>520</v>
      </c>
      <c r="B321" s="1217"/>
      <c r="C321" s="1478" t="s">
        <v>864</v>
      </c>
      <c r="D321" s="1164"/>
      <c r="E321" s="1419" cm="1">
        <f t="array" ref="E321">INDEX(H321:K321,0,MATCH($E$4,$H$4:$K$4,0))</f>
        <v>1</v>
      </c>
      <c r="F321" s="1164"/>
      <c r="G321" s="1480"/>
      <c r="H321" s="1599">
        <v>1</v>
      </c>
      <c r="I321" s="1599">
        <v>1</v>
      </c>
      <c r="J321" s="1599">
        <v>1</v>
      </c>
      <c r="K321" s="1599">
        <v>1</v>
      </c>
    </row>
    <row r="322" spans="1:22" ht="13.5">
      <c r="A322" s="1515" t="s">
        <v>520</v>
      </c>
      <c r="B322" s="1217"/>
      <c r="C322" s="1478" t="s">
        <v>865</v>
      </c>
      <c r="D322" s="1164"/>
      <c r="E322" s="1420" cm="1">
        <f t="array" ref="E322">INDEX(H322:K322,0,MATCH($E$4,$H$4:$K$4,0))</f>
        <v>57</v>
      </c>
      <c r="F322" s="1164"/>
      <c r="G322" s="1480"/>
      <c r="H322" s="1600">
        <v>57</v>
      </c>
      <c r="I322" s="1600">
        <v>57</v>
      </c>
      <c r="J322" s="1600">
        <v>57</v>
      </c>
      <c r="K322" s="1600">
        <v>57</v>
      </c>
      <c r="L322" s="1406"/>
      <c r="M322" s="1406"/>
      <c r="N322" s="1406"/>
    </row>
    <row r="323" spans="1:22">
      <c r="A323" s="1515" t="s">
        <v>520</v>
      </c>
      <c r="B323" s="1217"/>
      <c r="C323" s="1478" t="s">
        <v>866</v>
      </c>
      <c r="D323" s="1164"/>
      <c r="E323" s="1421" cm="1">
        <f t="array" ref="E323">INDEX(H323:K323,0,MATCH($E$4,$H$4:$K$4,0))</f>
        <v>1</v>
      </c>
      <c r="F323" s="1164"/>
      <c r="G323" s="1480"/>
      <c r="H323" s="1601">
        <v>1</v>
      </c>
      <c r="I323" s="1601">
        <v>1</v>
      </c>
      <c r="J323" s="1601">
        <v>1</v>
      </c>
      <c r="K323" s="1601">
        <v>1</v>
      </c>
    </row>
    <row r="324" spans="1:22" s="1400" customFormat="1" ht="22.5">
      <c r="A324" s="1515"/>
      <c r="B324" s="1919"/>
      <c r="C324" s="1713" t="s">
        <v>867</v>
      </c>
      <c r="D324" s="1399"/>
      <c r="E324" s="1920" t="str" cm="1">
        <f t="array" ref="E324">INDEX(H324:K324,0,MATCH($E$4,$H$4:$K$4,0))</f>
        <v>Central case Trackers</v>
      </c>
      <c r="F324" s="1399"/>
      <c r="G324" s="1921"/>
      <c r="H324" s="1922" t="s">
        <v>304</v>
      </c>
      <c r="I324" s="1922" t="s">
        <v>304</v>
      </c>
      <c r="J324" s="1922" t="s">
        <v>303</v>
      </c>
      <c r="K324" s="1922" t="s">
        <v>303</v>
      </c>
      <c r="L324" s="1923"/>
      <c r="M324" s="1923"/>
      <c r="N324" s="1923"/>
    </row>
    <row r="325" spans="1:22" s="1400" customFormat="1" ht="22.5">
      <c r="A325" s="1515"/>
      <c r="B325" s="1919"/>
      <c r="C325" s="1713" t="s">
        <v>868</v>
      </c>
      <c r="D325" s="1399"/>
      <c r="E325" s="1920" t="str" cm="1">
        <f t="array" ref="E325">INDEX(H325:K325,0,MATCH($E$4,$H$4:$K$4,0))</f>
        <v>Central Low case Trackers</v>
      </c>
      <c r="F325" s="1399"/>
      <c r="G325" s="1921"/>
      <c r="H325" s="1922" t="s">
        <v>308</v>
      </c>
      <c r="I325" s="1922" t="s">
        <v>308</v>
      </c>
      <c r="J325" s="1922" t="s">
        <v>307</v>
      </c>
      <c r="K325" s="1922" t="s">
        <v>307</v>
      </c>
      <c r="L325" s="1923"/>
      <c r="M325" s="1923"/>
      <c r="N325" s="1923"/>
    </row>
    <row r="326" spans="1:22">
      <c r="A326" s="1515" t="s">
        <v>520</v>
      </c>
      <c r="B326" s="1217"/>
      <c r="C326" s="1562" t="s">
        <v>869</v>
      </c>
      <c r="D326" s="1430"/>
      <c r="E326" s="1584" cm="1">
        <f t="array" ref="E326">INDEX(H326:K326,0,MATCH($E$4,$H$4:$K$4,0))</f>
        <v>0</v>
      </c>
      <c r="F326" s="1164"/>
      <c r="G326" s="1480"/>
      <c r="H326" s="1599">
        <v>0</v>
      </c>
      <c r="I326" s="1599">
        <v>0</v>
      </c>
      <c r="J326" s="1599">
        <v>0</v>
      </c>
      <c r="K326" s="1599">
        <v>0</v>
      </c>
    </row>
    <row r="327" spans="1:22">
      <c r="A327" s="1515"/>
      <c r="B327" s="136"/>
      <c r="D327" s="1565"/>
      <c r="E327" s="1586"/>
      <c r="G327" s="1480"/>
      <c r="H327" s="1422"/>
      <c r="I327" s="1422"/>
      <c r="J327" s="1422"/>
      <c r="K327" s="1422"/>
      <c r="P327" s="652" t="s">
        <v>870</v>
      </c>
      <c r="Q327" s="652" t="s">
        <v>33</v>
      </c>
      <c r="R327" s="652" t="s">
        <v>35</v>
      </c>
      <c r="S327" s="652" t="s">
        <v>871</v>
      </c>
      <c r="T327" s="652" t="s">
        <v>872</v>
      </c>
      <c r="V327" s="652" t="s">
        <v>60</v>
      </c>
    </row>
    <row r="328" spans="1:22">
      <c r="A328" s="1515" t="s">
        <v>520</v>
      </c>
      <c r="B328" s="1217"/>
      <c r="C328" s="1513" t="s">
        <v>863</v>
      </c>
      <c r="D328" s="1594"/>
      <c r="E328" s="1595" cm="1">
        <f t="array" ref="E328">INDEX(H328:K328,0,MATCH($E$4,$H$4:$K$4,0))</f>
        <v>8</v>
      </c>
      <c r="F328" s="1164"/>
      <c r="G328" s="1480"/>
      <c r="H328" s="1598">
        <v>8</v>
      </c>
      <c r="I328" s="1598">
        <v>0</v>
      </c>
      <c r="J328" s="1598">
        <v>0</v>
      </c>
      <c r="K328" s="1598">
        <v>8</v>
      </c>
      <c r="P328" s="1935">
        <v>44</v>
      </c>
      <c r="S328" s="1917">
        <v>7.3999999999999996E-2</v>
      </c>
      <c r="T328" s="1917">
        <v>7.8E-2</v>
      </c>
      <c r="V328" s="1917">
        <v>8.8599999999999998E-2</v>
      </c>
    </row>
    <row r="329" spans="1:22">
      <c r="A329" s="1515"/>
      <c r="B329" s="1217"/>
      <c r="C329" s="1478" t="s">
        <v>873</v>
      </c>
      <c r="D329" s="1164"/>
      <c r="E329" s="1927" cm="1">
        <f t="array" ref="E329">INDEX(H329:K329,0,MATCH($E$4,$H$4:$K$4,0))</f>
        <v>25</v>
      </c>
      <c r="F329" s="1164"/>
      <c r="G329" s="1480"/>
      <c r="H329" s="1598">
        <v>25</v>
      </c>
      <c r="I329" s="1598">
        <v>25</v>
      </c>
      <c r="J329" s="1598">
        <v>25</v>
      </c>
      <c r="K329" s="1598">
        <v>25</v>
      </c>
      <c r="P329" s="1935">
        <v>45</v>
      </c>
      <c r="S329" s="1917">
        <v>7.3999999999999996E-2</v>
      </c>
      <c r="T329" s="1917">
        <v>7.8E-2</v>
      </c>
      <c r="V329" s="1917">
        <v>8.8599999999999998E-2</v>
      </c>
    </row>
    <row r="330" spans="1:22">
      <c r="A330" s="1515" t="s">
        <v>520</v>
      </c>
      <c r="B330" s="1217"/>
      <c r="C330" s="1478" t="s">
        <v>864</v>
      </c>
      <c r="D330" s="1164"/>
      <c r="E330" s="1419" cm="1">
        <f t="array" ref="E330">INDEX(H330:K330,0,MATCH($E$4,$H$4:$K$4,0))</f>
        <v>1</v>
      </c>
      <c r="F330" s="1164"/>
      <c r="G330" s="1480"/>
      <c r="H330" s="1599">
        <v>1</v>
      </c>
      <c r="I330" s="1599">
        <v>1</v>
      </c>
      <c r="J330" s="1599">
        <v>1</v>
      </c>
      <c r="K330" s="1599">
        <v>1</v>
      </c>
      <c r="P330" s="1935">
        <v>46</v>
      </c>
      <c r="Q330" s="1917">
        <v>7.0400000000000004E-2</v>
      </c>
      <c r="R330" s="1492">
        <v>4122</v>
      </c>
      <c r="S330" s="1917">
        <v>7.3999999999999996E-2</v>
      </c>
      <c r="T330" s="1917">
        <v>7.8E-2</v>
      </c>
      <c r="V330" s="1917">
        <v>8.8599999999999998E-2</v>
      </c>
    </row>
    <row r="331" spans="1:22">
      <c r="A331" s="1515" t="s">
        <v>520</v>
      </c>
      <c r="B331" s="1217"/>
      <c r="C331" s="1478" t="s">
        <v>865</v>
      </c>
      <c r="D331" s="1164"/>
      <c r="E331" s="1700" cm="1">
        <f t="array" ref="E331">INDEX(H331:K331,0,MATCH($E$4,$H$4:$K$4,0))</f>
        <v>150</v>
      </c>
      <c r="F331" s="1164"/>
      <c r="G331" s="1480"/>
      <c r="H331" s="1701">
        <v>150</v>
      </c>
      <c r="I331" s="1701">
        <v>150</v>
      </c>
      <c r="J331" s="1701">
        <v>150</v>
      </c>
      <c r="K331" s="1701">
        <v>150</v>
      </c>
      <c r="L331" s="1406"/>
      <c r="M331" s="1406"/>
      <c r="N331" s="1406"/>
      <c r="P331" s="1935">
        <v>47</v>
      </c>
      <c r="Q331" s="1917">
        <v>7.1599999999999997E-2</v>
      </c>
      <c r="R331" s="1492">
        <v>4975</v>
      </c>
      <c r="S331" s="1917">
        <v>7.3999999999999996E-2</v>
      </c>
      <c r="T331" s="1917">
        <v>7.8E-2</v>
      </c>
      <c r="V331" s="1917">
        <v>8.8599999999999998E-2</v>
      </c>
    </row>
    <row r="332" spans="1:22">
      <c r="A332" s="1515" t="s">
        <v>520</v>
      </c>
      <c r="B332" s="1217"/>
      <c r="C332" s="1478" t="s">
        <v>866</v>
      </c>
      <c r="D332" s="1164"/>
      <c r="E332" s="1421" cm="1">
        <f t="array" ref="E332">INDEX(H332:K332,0,MATCH($E$4,$H$4:$K$4,0))</f>
        <v>0.5</v>
      </c>
      <c r="F332" s="1164"/>
      <c r="G332" s="1480"/>
      <c r="H332" s="1601">
        <v>0.5</v>
      </c>
      <c r="I332" s="1601">
        <v>1</v>
      </c>
      <c r="J332" s="1601">
        <v>1</v>
      </c>
      <c r="K332" s="1601">
        <v>0.5</v>
      </c>
      <c r="P332" s="1935">
        <v>48</v>
      </c>
      <c r="Q332" s="1917">
        <v>7.2800000000000004E-2</v>
      </c>
      <c r="R332" s="1492">
        <v>5827</v>
      </c>
      <c r="S332" s="1917">
        <v>7.3999999999999996E-2</v>
      </c>
      <c r="T332" s="1917">
        <v>7.8E-2</v>
      </c>
    </row>
    <row r="333" spans="1:22" ht="34.5">
      <c r="A333" s="1515"/>
      <c r="B333" s="1217"/>
      <c r="C333" s="1713" t="s">
        <v>867</v>
      </c>
      <c r="D333" s="1164"/>
      <c r="E333" s="1712" t="str" cm="1">
        <f t="array" ref="E333">INDEX(H333:K333,0,MATCH($E$4,$H$4:$K$4,0))</f>
        <v>EMS revenues - Afry Central case - 4h Degraded</v>
      </c>
      <c r="F333" s="1709"/>
      <c r="G333" s="1710"/>
      <c r="H333" s="1711" t="s">
        <v>317</v>
      </c>
      <c r="I333" s="1711" t="s">
        <v>317</v>
      </c>
      <c r="J333" s="1711" t="s">
        <v>317</v>
      </c>
      <c r="K333" s="1711" t="s">
        <v>317</v>
      </c>
      <c r="P333" s="1935">
        <v>49</v>
      </c>
      <c r="Q333" s="1917">
        <v>7.3999999999999996E-2</v>
      </c>
      <c r="R333" s="1492">
        <v>6680</v>
      </c>
      <c r="S333" s="1917">
        <v>7.3999999999999996E-2</v>
      </c>
      <c r="T333" s="1917">
        <v>7.8E-2</v>
      </c>
    </row>
    <row r="334" spans="1:22" ht="34.5">
      <c r="A334" s="1515"/>
      <c r="B334" s="1217"/>
      <c r="C334" s="1713" t="s">
        <v>868</v>
      </c>
      <c r="D334" s="1164"/>
      <c r="E334" s="1712" t="str" cm="1">
        <f t="array" ref="E334">INDEX(H334:K334,0,MATCH($E$4,$H$4:$K$4,0))</f>
        <v>EMS revenues - Afry MidLow case - 4h Degraded</v>
      </c>
      <c r="F334" s="1709"/>
      <c r="G334" s="1710"/>
      <c r="H334" s="1711" t="s">
        <v>318</v>
      </c>
      <c r="I334" s="1711" t="s">
        <v>318</v>
      </c>
      <c r="J334" s="1711" t="s">
        <v>318</v>
      </c>
      <c r="K334" s="1711" t="s">
        <v>318</v>
      </c>
      <c r="P334" s="1935">
        <v>50</v>
      </c>
      <c r="Q334" s="1917">
        <v>7.5300000000000006E-2</v>
      </c>
      <c r="R334" s="1492">
        <v>7532</v>
      </c>
      <c r="S334" s="1917">
        <v>7.3999999999999996E-2</v>
      </c>
      <c r="T334" s="1917">
        <v>7.8E-2</v>
      </c>
    </row>
    <row r="335" spans="1:22">
      <c r="A335" s="1515" t="s">
        <v>520</v>
      </c>
      <c r="B335" s="1217"/>
      <c r="C335" s="1562" t="s">
        <v>869</v>
      </c>
      <c r="D335" s="1430"/>
      <c r="E335" s="1584" cm="1">
        <f t="array" ref="E335">INDEX(H335:K335,0,MATCH($E$4,$H$4:$K$4,0))</f>
        <v>0</v>
      </c>
      <c r="F335" s="1164"/>
      <c r="G335" s="1480"/>
      <c r="H335" s="1599">
        <v>0</v>
      </c>
      <c r="I335" s="1599">
        <v>0</v>
      </c>
      <c r="J335" s="1599">
        <v>0</v>
      </c>
      <c r="K335" s="1599">
        <v>0</v>
      </c>
      <c r="P335" s="1935">
        <v>51</v>
      </c>
      <c r="Q335" s="1917">
        <v>7.6499999999999999E-2</v>
      </c>
      <c r="R335" s="1492">
        <v>8384</v>
      </c>
      <c r="S335" s="1917">
        <v>7.3999999999999996E-2</v>
      </c>
      <c r="T335" s="1917">
        <v>7.8E-2</v>
      </c>
    </row>
    <row r="336" spans="1:22">
      <c r="A336" s="1515"/>
      <c r="B336" s="1217"/>
      <c r="C336" s="1164"/>
      <c r="D336" s="1164"/>
      <c r="E336" s="1699"/>
      <c r="F336" s="1164"/>
      <c r="G336" s="1480"/>
      <c r="H336" s="1480"/>
      <c r="I336" s="1480"/>
      <c r="J336" s="1480"/>
      <c r="K336" s="1480"/>
      <c r="P336" s="1935">
        <v>52</v>
      </c>
      <c r="Q336" s="1917">
        <v>7.7799999999999994E-2</v>
      </c>
      <c r="R336" s="1492">
        <v>9236</v>
      </c>
      <c r="S336" s="1917">
        <v>7.3999999999999996E-2</v>
      </c>
      <c r="T336" s="1917">
        <v>7.8E-2</v>
      </c>
    </row>
    <row r="337" spans="1:20">
      <c r="A337" s="1546"/>
      <c r="B337" s="1546"/>
      <c r="C337" s="1556" t="s">
        <v>874</v>
      </c>
      <c r="D337" s="1557"/>
      <c r="E337" s="1546"/>
      <c r="F337" s="1557"/>
      <c r="G337" s="1480"/>
      <c r="H337" s="1546"/>
      <c r="I337" s="1546"/>
      <c r="J337" s="1546"/>
      <c r="K337" s="1546"/>
      <c r="N337"/>
      <c r="P337" s="1935">
        <v>53</v>
      </c>
      <c r="Q337" s="1917">
        <v>7.9100000000000004E-2</v>
      </c>
      <c r="R337" s="1492">
        <v>10088</v>
      </c>
      <c r="S337" s="1917">
        <v>7.3999999999999996E-2</v>
      </c>
      <c r="T337" s="1917">
        <v>7.8E-2</v>
      </c>
    </row>
    <row r="338" spans="1:20">
      <c r="A338" s="1544"/>
      <c r="B338" s="1544"/>
      <c r="C338" s="1593"/>
      <c r="E338" s="1544"/>
      <c r="G338" s="1480"/>
      <c r="H338" s="1544"/>
      <c r="I338" s="1544"/>
      <c r="J338" s="1544"/>
      <c r="K338" s="1544"/>
      <c r="N338"/>
      <c r="P338" s="1935">
        <v>54</v>
      </c>
      <c r="Q338" s="1917">
        <v>8.0299999999999996E-2</v>
      </c>
      <c r="R338" s="1492">
        <v>10939</v>
      </c>
      <c r="S338" s="1917">
        <v>7.3999999999999996E-2</v>
      </c>
      <c r="T338" s="1917">
        <v>7.8E-2</v>
      </c>
    </row>
    <row r="339" spans="1:20">
      <c r="A339" s="1515" t="s">
        <v>692</v>
      </c>
      <c r="B339" s="1217"/>
      <c r="C339" s="1513" t="s">
        <v>875</v>
      </c>
      <c r="D339" s="1594"/>
      <c r="E339" s="1596" cm="1">
        <f t="array" ref="E339">INDEX(H339:K339,0,MATCH($E$4,$H$4:$K$4,0))</f>
        <v>0</v>
      </c>
      <c r="F339" s="1164"/>
      <c r="G339" s="1480"/>
      <c r="H339" s="1602">
        <v>0</v>
      </c>
      <c r="I339" s="1602">
        <v>0</v>
      </c>
      <c r="J339" s="1602">
        <v>0</v>
      </c>
      <c r="K339" s="1602">
        <v>0</v>
      </c>
      <c r="L339" s="1406"/>
      <c r="M339" s="1406"/>
      <c r="N339" s="1406"/>
      <c r="P339" s="1935">
        <v>55</v>
      </c>
      <c r="Q339" s="1917">
        <v>8.1600000000000006E-2</v>
      </c>
      <c r="R339" s="1492">
        <v>11790</v>
      </c>
      <c r="S339" s="1917">
        <v>7.3999999999999996E-2</v>
      </c>
      <c r="T339" s="1917">
        <v>7.8E-2</v>
      </c>
    </row>
    <row r="340" spans="1:20">
      <c r="A340" s="1515" t="s">
        <v>692</v>
      </c>
      <c r="B340" s="1217"/>
      <c r="C340" s="1478" t="s">
        <v>876</v>
      </c>
      <c r="D340" s="1164"/>
      <c r="E340" s="1417" cm="1">
        <f t="array" ref="E340">INDEX(H340:K340,0,MATCH($E$4,$H$4:$K$4,0))</f>
        <v>0</v>
      </c>
      <c r="F340" s="1164"/>
      <c r="G340" s="1480"/>
      <c r="H340" s="1602">
        <v>0</v>
      </c>
      <c r="I340" s="1602">
        <v>0</v>
      </c>
      <c r="J340" s="1602">
        <v>0</v>
      </c>
      <c r="K340" s="1602">
        <v>0</v>
      </c>
      <c r="L340" s="1406"/>
      <c r="M340" s="1406"/>
      <c r="N340" s="1406"/>
      <c r="P340" s="1935">
        <v>56</v>
      </c>
      <c r="Q340" s="1917">
        <v>8.2900000000000001E-2</v>
      </c>
      <c r="R340" s="1492">
        <v>12642</v>
      </c>
      <c r="S340" s="1917">
        <v>7.3999999999999996E-2</v>
      </c>
      <c r="T340" s="1917">
        <v>7.8E-2</v>
      </c>
    </row>
    <row r="341" spans="1:20">
      <c r="A341" s="1515" t="s">
        <v>692</v>
      </c>
      <c r="B341" s="1217"/>
      <c r="C341" s="1562" t="s">
        <v>877</v>
      </c>
      <c r="D341" s="1430"/>
      <c r="E341" s="1585" cm="1">
        <f t="array" ref="E341">INDEX(H341:K341,0,MATCH($E$4,$H$4:$K$4,0))</f>
        <v>0</v>
      </c>
      <c r="F341" s="1164"/>
      <c r="G341" s="1480"/>
      <c r="H341" s="1599">
        <v>0</v>
      </c>
      <c r="I341" s="1599">
        <v>0</v>
      </c>
      <c r="J341" s="1599">
        <v>0</v>
      </c>
      <c r="K341" s="1599">
        <v>0</v>
      </c>
      <c r="P341" s="1935">
        <v>57</v>
      </c>
      <c r="Q341" s="1917">
        <v>8.4199999999999997E-2</v>
      </c>
      <c r="R341" s="1492">
        <v>13493</v>
      </c>
      <c r="S341" s="1917">
        <v>7.3999999999999996E-2</v>
      </c>
      <c r="T341" s="1917">
        <v>7.8E-2</v>
      </c>
    </row>
    <row r="342" spans="1:20">
      <c r="A342" s="1515"/>
      <c r="B342" s="136"/>
      <c r="D342" s="1565"/>
      <c r="E342" s="1587"/>
      <c r="G342" s="1480"/>
      <c r="H342" s="1423"/>
      <c r="I342" s="1423"/>
      <c r="J342" s="1423"/>
      <c r="K342" s="1423"/>
      <c r="P342" s="1935">
        <v>58</v>
      </c>
      <c r="Q342" s="1917">
        <v>8.5500000000000007E-2</v>
      </c>
      <c r="R342" s="1492">
        <v>14344</v>
      </c>
      <c r="S342" s="1917">
        <v>7.3999999999999996E-2</v>
      </c>
      <c r="T342" s="1917">
        <v>7.8E-2</v>
      </c>
    </row>
    <row r="343" spans="1:20">
      <c r="A343" s="1546"/>
      <c r="B343" s="1546"/>
      <c r="C343" s="1556" t="s">
        <v>878</v>
      </c>
      <c r="D343" s="1557"/>
      <c r="E343" s="1546"/>
      <c r="F343" s="1557"/>
      <c r="G343" s="1480"/>
      <c r="H343" s="1546"/>
      <c r="I343" s="1546"/>
      <c r="J343" s="1546"/>
      <c r="K343" s="1546"/>
      <c r="N343"/>
      <c r="P343" s="1935">
        <v>59</v>
      </c>
      <c r="Q343" s="1917">
        <v>8.6900000000000005E-2</v>
      </c>
      <c r="R343" s="1492">
        <v>15194</v>
      </c>
      <c r="S343" s="1917">
        <v>7.3999999999999996E-2</v>
      </c>
      <c r="T343" s="1917">
        <v>7.8E-2</v>
      </c>
    </row>
    <row r="344" spans="1:20">
      <c r="A344" s="1544"/>
      <c r="B344" s="1544"/>
      <c r="C344" s="1593"/>
      <c r="E344" s="1544"/>
      <c r="G344" s="1480"/>
      <c r="H344" s="1544"/>
      <c r="I344" s="1544"/>
      <c r="J344" s="1544"/>
      <c r="K344" s="1544"/>
      <c r="N344"/>
      <c r="P344" s="1935">
        <v>60</v>
      </c>
      <c r="Q344" s="1917">
        <v>8.8200000000000001E-2</v>
      </c>
      <c r="R344" s="1492">
        <v>16045</v>
      </c>
      <c r="S344" s="1917">
        <v>7.3999999999999996E-2</v>
      </c>
      <c r="T344" s="1917">
        <v>7.8E-2</v>
      </c>
    </row>
    <row r="345" spans="1:20" customFormat="1">
      <c r="A345" s="1515" t="s">
        <v>646</v>
      </c>
      <c r="B345" s="1217"/>
      <c r="C345" s="1513" t="s">
        <v>352</v>
      </c>
      <c r="D345" s="1594"/>
      <c r="E345" s="1597" cm="1">
        <f t="array" ref="E345">INDEX(H345:K345,0,MATCH($E$4,$H$4:$K$4,0))</f>
        <v>14</v>
      </c>
      <c r="F345" s="1164"/>
      <c r="G345" s="1480"/>
      <c r="H345" s="1608">
        <f>H320+2</f>
        <v>14</v>
      </c>
      <c r="I345" s="1608">
        <f t="shared" ref="I345:K345" si="57">I320+2</f>
        <v>14</v>
      </c>
      <c r="J345" s="1608">
        <f t="shared" si="57"/>
        <v>14</v>
      </c>
      <c r="K345" s="1608">
        <f t="shared" si="57"/>
        <v>14</v>
      </c>
      <c r="L345" s="1398"/>
      <c r="M345" s="1398"/>
      <c r="N345" s="1398"/>
      <c r="O345" s="652"/>
      <c r="P345" s="1935">
        <v>61</v>
      </c>
      <c r="Q345" s="1917">
        <v>8.9499999999999996E-2</v>
      </c>
      <c r="R345" s="1492">
        <v>16895</v>
      </c>
      <c r="S345" s="1917">
        <v>7.3999999999999996E-2</v>
      </c>
      <c r="T345" s="1917">
        <v>7.8E-2</v>
      </c>
    </row>
    <row r="346" spans="1:20" customFormat="1">
      <c r="A346" s="1515" t="s">
        <v>646</v>
      </c>
      <c r="B346" s="1217"/>
      <c r="C346" s="1478" t="s">
        <v>151</v>
      </c>
      <c r="D346" s="1164"/>
      <c r="E346" s="1424" cm="1">
        <f t="array" ref="E346">INDEX(H346:K346,0,MATCH($E$4,$H$4:$K$4,0))</f>
        <v>265</v>
      </c>
      <c r="F346" s="1164"/>
      <c r="G346" s="1480"/>
      <c r="H346" s="1603">
        <v>265</v>
      </c>
      <c r="I346" s="1603">
        <v>265</v>
      </c>
      <c r="J346" s="1603">
        <v>265</v>
      </c>
      <c r="K346" s="1603">
        <v>265</v>
      </c>
      <c r="L346" s="1398"/>
      <c r="M346" s="1398"/>
      <c r="N346" s="1398"/>
      <c r="O346" s="652"/>
      <c r="P346" s="1935">
        <v>62</v>
      </c>
      <c r="Q346" s="1917">
        <v>9.0800000000000006E-2</v>
      </c>
      <c r="R346" s="1492">
        <v>17746</v>
      </c>
      <c r="S346" s="1917">
        <v>7.3999999999999996E-2</v>
      </c>
      <c r="T346" s="1917">
        <v>7.8E-2</v>
      </c>
    </row>
    <row r="347" spans="1:20" customFormat="1">
      <c r="A347" s="1515" t="s">
        <v>646</v>
      </c>
      <c r="B347" s="1217"/>
      <c r="C347" s="1478" t="s">
        <v>879</v>
      </c>
      <c r="D347" s="1164"/>
      <c r="E347" s="1421" cm="1">
        <f t="array" ref="E347">INDEX(H347:K347,0,MATCH($E$4,$H$4:$K$4,0))</f>
        <v>0.03</v>
      </c>
      <c r="F347" s="1164"/>
      <c r="G347" s="1480"/>
      <c r="H347" s="1599">
        <v>0.03</v>
      </c>
      <c r="I347" s="1599">
        <v>0.03</v>
      </c>
      <c r="J347" s="1599">
        <v>0.03</v>
      </c>
      <c r="K347" s="1599">
        <v>0.03</v>
      </c>
      <c r="L347" s="1398"/>
      <c r="M347" s="1398"/>
      <c r="N347" s="1398"/>
      <c r="O347" s="652"/>
      <c r="P347" s="1935">
        <v>63</v>
      </c>
      <c r="Q347" s="1917">
        <v>9.2200000000000004E-2</v>
      </c>
      <c r="R347" s="1492">
        <v>18596</v>
      </c>
      <c r="S347" s="1917">
        <v>7.3999999999999996E-2</v>
      </c>
      <c r="T347" s="1917">
        <v>7.8E-2</v>
      </c>
    </row>
    <row r="348" spans="1:20" customFormat="1">
      <c r="A348" s="1515" t="s">
        <v>646</v>
      </c>
      <c r="B348" s="1217"/>
      <c r="C348" s="1478" t="s">
        <v>880</v>
      </c>
      <c r="D348" s="1164"/>
      <c r="E348" s="1421" cm="1">
        <f t="array" ref="E348">INDEX(H348:K348,0,MATCH($E$4,$H$4:$K$4,0))</f>
        <v>0.8</v>
      </c>
      <c r="F348" s="1164"/>
      <c r="G348" s="1480"/>
      <c r="H348" s="1599">
        <v>0.8</v>
      </c>
      <c r="I348" s="1599">
        <v>0.8</v>
      </c>
      <c r="J348" s="1599">
        <v>0.8</v>
      </c>
      <c r="K348" s="1599">
        <v>0.8</v>
      </c>
      <c r="L348" s="1398"/>
      <c r="M348" s="1398"/>
      <c r="N348" s="1398"/>
      <c r="O348" s="652"/>
      <c r="P348" s="1935">
        <v>64</v>
      </c>
      <c r="Q348" s="1917"/>
      <c r="R348" s="652"/>
      <c r="S348" s="1917">
        <v>7.3999999999999996E-2</v>
      </c>
      <c r="T348" s="1917">
        <v>7.8E-2</v>
      </c>
    </row>
    <row r="349" spans="1:20" customFormat="1">
      <c r="A349" s="1515" t="s">
        <v>646</v>
      </c>
      <c r="B349" s="1217"/>
      <c r="C349" s="1478" t="s">
        <v>881</v>
      </c>
      <c r="D349" s="1164"/>
      <c r="E349" s="1421" cm="1">
        <f t="array" ref="E349">INDEX(H349:K349,0,MATCH($E$4,$H$4:$K$4,0))</f>
        <v>0.8</v>
      </c>
      <c r="F349" s="1164"/>
      <c r="G349" s="1480"/>
      <c r="H349" s="1599">
        <v>0.8</v>
      </c>
      <c r="I349" s="1599">
        <v>0.8</v>
      </c>
      <c r="J349" s="1599">
        <v>0.8</v>
      </c>
      <c r="K349" s="1599">
        <v>0.8</v>
      </c>
      <c r="L349" s="1398"/>
      <c r="M349" s="1398"/>
      <c r="N349" s="1398"/>
      <c r="O349" s="652"/>
      <c r="P349" s="1935">
        <v>65</v>
      </c>
      <c r="Q349" s="1917"/>
      <c r="R349" s="652"/>
      <c r="S349" s="1917">
        <v>7.3999999999999996E-2</v>
      </c>
      <c r="T349" s="1917">
        <v>7.8E-2</v>
      </c>
    </row>
    <row r="350" spans="1:20" customFormat="1">
      <c r="A350" s="1515" t="s">
        <v>646</v>
      </c>
      <c r="B350" s="1217"/>
      <c r="C350" s="1478" t="s">
        <v>882</v>
      </c>
      <c r="D350" s="1164"/>
      <c r="E350" s="1425" cm="1">
        <f t="array" ref="E350">INDEX(H350:K350,0,MATCH($E$4,$H$4:$K$4,0))</f>
        <v>1.1499999999999999</v>
      </c>
      <c r="F350" s="1164"/>
      <c r="G350" s="1480"/>
      <c r="H350" s="1604">
        <v>1.1499999999999999</v>
      </c>
      <c r="I350" s="1604">
        <v>1.1499999999999999</v>
      </c>
      <c r="J350" s="1604">
        <v>1.1499999999999999</v>
      </c>
      <c r="K350" s="1604">
        <v>1.1499999999999999</v>
      </c>
      <c r="L350" s="1398"/>
      <c r="M350" s="1398"/>
      <c r="N350" s="1398"/>
      <c r="O350" s="652"/>
      <c r="P350" s="1935"/>
      <c r="Q350" s="1917"/>
    </row>
    <row r="351" spans="1:20" customFormat="1">
      <c r="A351" s="1515" t="s">
        <v>646</v>
      </c>
      <c r="B351" s="1217"/>
      <c r="C351" s="1478" t="s">
        <v>883</v>
      </c>
      <c r="D351" s="1165"/>
      <c r="E351" s="1425" cm="1">
        <f t="array" ref="E351">INDEX(H351:K351,0,MATCH($E$4,$H$4:$K$4,0))</f>
        <v>1.35</v>
      </c>
      <c r="F351" s="1164"/>
      <c r="G351" s="1480"/>
      <c r="H351" s="1604">
        <v>1.35</v>
      </c>
      <c r="I351" s="1604">
        <v>1.35</v>
      </c>
      <c r="J351" s="1604">
        <v>1.35</v>
      </c>
      <c r="K351" s="1604">
        <v>1.35</v>
      </c>
      <c r="L351" s="1398"/>
      <c r="M351" s="1398"/>
      <c r="N351" s="1398"/>
      <c r="O351" s="652"/>
      <c r="P351" s="1935"/>
      <c r="Q351" s="1917"/>
    </row>
    <row r="352" spans="1:20" customFormat="1">
      <c r="A352" s="1515"/>
      <c r="B352" s="1217"/>
      <c r="C352" s="1478" t="s">
        <v>884</v>
      </c>
      <c r="D352" s="1165"/>
      <c r="E352" s="1425" cm="1">
        <f t="array" ref="E352">INDEX(H352:K352,0,MATCH($E$4,$H$4:$K$4,0))</f>
        <v>1.65</v>
      </c>
      <c r="F352" s="1164"/>
      <c r="G352" s="1480"/>
      <c r="H352" s="1604">
        <v>1.65</v>
      </c>
      <c r="I352" s="1604">
        <v>1.65</v>
      </c>
      <c r="J352" s="1604">
        <v>1.65</v>
      </c>
      <c r="K352" s="1604">
        <v>1.65</v>
      </c>
      <c r="L352" s="1398"/>
      <c r="M352" s="1398"/>
      <c r="N352" s="1398"/>
      <c r="O352" s="652"/>
      <c r="P352" s="1935"/>
      <c r="Q352" s="1917"/>
    </row>
    <row r="353" spans="1:17" customFormat="1">
      <c r="A353" s="1515" t="s">
        <v>646</v>
      </c>
      <c r="B353" s="1217"/>
      <c r="C353" s="1478" t="s">
        <v>885</v>
      </c>
      <c r="D353" s="1164"/>
      <c r="E353" s="1426" cm="1">
        <f t="array" ref="E353">INDEX(H353:K353,0,MATCH($E$4,$H$4:$K$4,0))</f>
        <v>47298</v>
      </c>
      <c r="F353" s="1164"/>
      <c r="G353" s="1480"/>
      <c r="H353" s="1605">
        <v>47298</v>
      </c>
      <c r="I353" s="1605">
        <v>47298</v>
      </c>
      <c r="J353" s="1605">
        <v>47298</v>
      </c>
      <c r="K353" s="1605">
        <v>47298</v>
      </c>
      <c r="L353" s="1398"/>
      <c r="M353" s="1398"/>
      <c r="N353" s="1398"/>
      <c r="O353" s="652"/>
      <c r="P353" s="1935"/>
      <c r="Q353" s="1917"/>
    </row>
    <row r="354" spans="1:17" customFormat="1">
      <c r="A354" s="1515" t="s">
        <v>646</v>
      </c>
      <c r="B354" s="1217"/>
      <c r="C354" s="1478" t="s">
        <v>886</v>
      </c>
      <c r="D354" s="1427"/>
      <c r="E354" s="1428" cm="1">
        <f t="array" ref="E354">INDEX(H354:K354,0,MATCH($E$4,$H$4:$K$4,0))</f>
        <v>12</v>
      </c>
      <c r="F354" s="1164"/>
      <c r="G354" s="1480"/>
      <c r="H354" s="1606">
        <v>12</v>
      </c>
      <c r="I354" s="1606">
        <v>12</v>
      </c>
      <c r="J354" s="1606">
        <v>12</v>
      </c>
      <c r="K354" s="1606">
        <v>12</v>
      </c>
      <c r="L354" s="1398"/>
      <c r="M354" s="1398"/>
      <c r="N354" s="1398"/>
      <c r="O354" s="652"/>
      <c r="P354" s="1935"/>
      <c r="Q354" s="1917"/>
    </row>
    <row r="355" spans="1:17" customFormat="1">
      <c r="A355" s="1515" t="s">
        <v>646</v>
      </c>
      <c r="B355" s="1217"/>
      <c r="C355" s="1562" t="s">
        <v>887</v>
      </c>
      <c r="D355" s="1430"/>
      <c r="E355" s="1582" cm="1">
        <f t="array" ref="E355">INDEX(H355:K355,0,MATCH($E$4,$H$4:$K$4,0))</f>
        <v>0.08</v>
      </c>
      <c r="F355" s="1164"/>
      <c r="G355" s="1480"/>
      <c r="H355" s="1607">
        <v>0.08</v>
      </c>
      <c r="I355" s="1607">
        <v>0.08</v>
      </c>
      <c r="J355" s="1607">
        <v>0.08</v>
      </c>
      <c r="K355" s="1607">
        <v>0.08</v>
      </c>
      <c r="L355" s="1398"/>
      <c r="M355" s="1398"/>
      <c r="N355" s="1398"/>
      <c r="O355" s="652"/>
    </row>
    <row r="356" spans="1:17" customFormat="1">
      <c r="A356" s="1515"/>
      <c r="B356" s="652"/>
      <c r="C356" s="652"/>
      <c r="D356" s="1565"/>
      <c r="E356" s="1588"/>
      <c r="F356" s="652"/>
      <c r="G356" s="1480"/>
      <c r="H356" s="1429"/>
      <c r="I356" s="1429"/>
      <c r="J356" s="1429"/>
      <c r="K356" s="1429"/>
      <c r="L356" s="1398"/>
      <c r="M356" s="1398"/>
      <c r="N356" s="1398"/>
      <c r="O356" s="652"/>
    </row>
    <row r="357" spans="1:17" customFormat="1">
      <c r="A357" s="1515"/>
      <c r="B357" s="1164"/>
      <c r="C357" s="1164"/>
      <c r="D357" s="1164"/>
      <c r="E357" s="1164"/>
      <c r="F357" s="1164"/>
      <c r="G357" s="1480"/>
      <c r="H357" s="1164"/>
      <c r="I357" s="1164"/>
      <c r="J357" s="1164"/>
      <c r="K357" s="1164"/>
      <c r="L357" s="1398"/>
      <c r="M357" s="1398"/>
      <c r="N357" s="1398"/>
      <c r="O357" s="652"/>
    </row>
    <row r="358" spans="1:17">
      <c r="A358" s="1545"/>
      <c r="B358" s="1545"/>
      <c r="C358" s="1589" t="s">
        <v>165</v>
      </c>
      <c r="D358" s="1590"/>
      <c r="E358" s="1545"/>
      <c r="F358" s="1590"/>
      <c r="G358" s="1480"/>
      <c r="H358" s="1404">
        <f>H4</f>
        <v>1</v>
      </c>
      <c r="I358" s="1404">
        <f>I4</f>
        <v>2</v>
      </c>
      <c r="J358" s="1404">
        <f>J4</f>
        <v>3</v>
      </c>
      <c r="K358" s="1404">
        <f>K4</f>
        <v>4</v>
      </c>
      <c r="N358"/>
    </row>
    <row r="359" spans="1:17" customFormat="1">
      <c r="A359" s="1515"/>
      <c r="B359" s="1164"/>
      <c r="C359" s="1164"/>
      <c r="D359" s="1164"/>
      <c r="E359" s="1164"/>
      <c r="F359" s="1164"/>
      <c r="G359" s="1480"/>
      <c r="H359" s="1164"/>
      <c r="I359" s="1164"/>
      <c r="J359" s="1164"/>
      <c r="K359" s="1164"/>
      <c r="L359" s="1398"/>
      <c r="M359" s="1398"/>
      <c r="N359" s="1398"/>
      <c r="O359" s="652"/>
    </row>
    <row r="360" spans="1:17" customFormat="1">
      <c r="A360" s="1515"/>
      <c r="B360" s="652"/>
      <c r="C360" s="1592" t="s">
        <v>888</v>
      </c>
      <c r="D360" s="1899"/>
      <c r="E360" s="1936">
        <f>Inputs!E462</f>
        <v>7.3719952644389783E-2</v>
      </c>
      <c r="F360" s="1565"/>
      <c r="G360" s="1900"/>
      <c r="H360" s="1901"/>
      <c r="I360" s="1941">
        <v>7.3581029484702562E-2</v>
      </c>
      <c r="J360" s="1941">
        <v>7.3719952644389783E-2</v>
      </c>
      <c r="K360" s="1901">
        <v>7.3719952644389783E-2</v>
      </c>
      <c r="L360" s="1398"/>
      <c r="M360" s="1398"/>
      <c r="N360" s="1398"/>
      <c r="O360" s="652"/>
    </row>
    <row r="361" spans="1:17" customFormat="1">
      <c r="A361" s="1515"/>
      <c r="B361" s="652"/>
      <c r="C361" s="1479" t="s">
        <v>167</v>
      </c>
      <c r="D361" s="1902"/>
      <c r="E361" s="1937">
        <f ca="1">CF!D136</f>
        <v>8.2801672816276553E-2</v>
      </c>
      <c r="F361" s="652"/>
      <c r="G361" s="1480"/>
      <c r="H361" s="1903"/>
      <c r="I361" s="1942">
        <v>7.3912176489830034E-2</v>
      </c>
      <c r="J361" s="1942">
        <v>8.4222885966300967E-2</v>
      </c>
      <c r="K361" s="1903">
        <v>8.2801672816276553E-2</v>
      </c>
      <c r="L361" s="1398"/>
      <c r="M361" s="1398"/>
      <c r="N361" s="1398"/>
      <c r="O361" s="652"/>
    </row>
    <row r="362" spans="1:17" customFormat="1">
      <c r="A362" s="1515"/>
      <c r="B362" s="652"/>
      <c r="C362" s="1479" t="s">
        <v>889</v>
      </c>
      <c r="D362" s="1902"/>
      <c r="E362" s="1431">
        <f>Inputs!D462</f>
        <v>6.4104306647295467E-2</v>
      </c>
      <c r="F362" s="652"/>
      <c r="G362" s="1480"/>
      <c r="H362" s="1903"/>
      <c r="I362" s="1942">
        <v>6.3983503899741362E-2</v>
      </c>
      <c r="J362" s="1942">
        <v>6.4104306647295467E-2</v>
      </c>
      <c r="K362" s="1903">
        <v>6.4104306647295467E-2</v>
      </c>
      <c r="L362" s="1398"/>
      <c r="M362" s="1398"/>
      <c r="N362" s="1398"/>
      <c r="O362" s="652"/>
    </row>
    <row r="363" spans="1:17" customFormat="1">
      <c r="A363" s="1515"/>
      <c r="B363" s="652"/>
      <c r="C363" s="1591" t="s">
        <v>890</v>
      </c>
      <c r="D363" s="1904"/>
      <c r="E363" s="1905">
        <f ca="1">CF!C136</f>
        <v>12735.138266483433</v>
      </c>
      <c r="F363" s="1689"/>
      <c r="G363" s="1906"/>
      <c r="H363" s="1907"/>
      <c r="I363" s="1638">
        <v>6152.104629915545</v>
      </c>
      <c r="J363" s="1638">
        <v>13492.67529395682</v>
      </c>
      <c r="K363" s="1907">
        <v>12735.138266483433</v>
      </c>
      <c r="L363" s="1398"/>
      <c r="M363" s="1398"/>
      <c r="N363" s="1398"/>
      <c r="O363" s="652"/>
    </row>
    <row r="364" spans="1:17" customFormat="1">
      <c r="A364" s="1515"/>
      <c r="B364" s="652"/>
      <c r="C364" s="1479" t="s">
        <v>891</v>
      </c>
      <c r="D364" s="1909"/>
      <c r="E364" s="1431">
        <f ca="1">Inputs!E468</f>
        <v>0.1090341678271903</v>
      </c>
      <c r="F364" s="652"/>
      <c r="G364" s="1480"/>
      <c r="H364" s="1901"/>
      <c r="I364" s="1941">
        <v>0.10315805830137607</v>
      </c>
      <c r="J364" s="1941">
        <v>0.11060593227987392</v>
      </c>
      <c r="K364" s="1901">
        <v>0.1090341678271903</v>
      </c>
      <c r="L364" s="1398"/>
      <c r="M364" s="1398"/>
      <c r="N364" s="1398"/>
      <c r="O364" s="652"/>
    </row>
    <row r="365" spans="1:17" customFormat="1">
      <c r="A365" s="1515"/>
      <c r="B365" s="652"/>
      <c r="C365" s="1479" t="s">
        <v>892</v>
      </c>
      <c r="D365" s="1909"/>
      <c r="E365" s="1431">
        <f ca="1">Eq!D85</f>
        <v>0.10600581765174866</v>
      </c>
      <c r="F365" s="652"/>
      <c r="G365" s="1480"/>
      <c r="H365" s="1903"/>
      <c r="I365" s="1942">
        <v>8.8380172848701491E-2</v>
      </c>
      <c r="J365" s="1942">
        <v>0.11046677231788635</v>
      </c>
      <c r="K365" s="1903">
        <v>0.10600581765174866</v>
      </c>
      <c r="L365" s="1398"/>
      <c r="M365" s="1398"/>
      <c r="N365" s="1398"/>
      <c r="O365" s="652"/>
    </row>
    <row r="366" spans="1:17" customFormat="1">
      <c r="A366" s="1515"/>
      <c r="B366" s="652"/>
      <c r="C366" s="1479" t="s">
        <v>893</v>
      </c>
      <c r="D366" s="1909"/>
      <c r="E366" s="1431">
        <f ca="1">Inputs!D468</f>
        <v>9.4812319849730708E-2</v>
      </c>
      <c r="F366" s="652"/>
      <c r="G366" s="1480"/>
      <c r="H366" s="1903"/>
      <c r="I366" s="1942">
        <v>8.9702659392500939E-2</v>
      </c>
      <c r="J366" s="1942">
        <v>9.617907154771646E-2</v>
      </c>
      <c r="K366" s="1903">
        <v>9.4812319849730708E-2</v>
      </c>
      <c r="L366" s="1398"/>
      <c r="M366" s="1398"/>
      <c r="N366" s="1398"/>
      <c r="O366" s="652"/>
    </row>
    <row r="367" spans="1:17" customFormat="1">
      <c r="A367" s="1515"/>
      <c r="B367" s="652"/>
      <c r="C367" s="1479" t="s">
        <v>894</v>
      </c>
      <c r="D367" s="1909"/>
      <c r="E367" s="1412">
        <f ca="1">Eq!D86</f>
        <v>2809.8061128591858</v>
      </c>
      <c r="F367" s="652"/>
      <c r="G367" s="1480"/>
      <c r="H367" s="1907"/>
      <c r="I367" s="1638">
        <v>-346.10582914743333</v>
      </c>
      <c r="J367" s="1638">
        <v>3372.6408928091364</v>
      </c>
      <c r="K367" s="1907">
        <v>2809.8061128591858</v>
      </c>
      <c r="L367" s="1398"/>
      <c r="M367" s="1398"/>
      <c r="N367" s="1398"/>
      <c r="O367" s="652"/>
    </row>
    <row r="368" spans="1:17" customFormat="1">
      <c r="A368" s="1515"/>
      <c r="B368" s="652"/>
      <c r="C368" s="1592" t="s">
        <v>895</v>
      </c>
      <c r="D368" s="1908"/>
      <c r="E368" s="1934">
        <f>Eq!D128</f>
        <v>53.805811869111317</v>
      </c>
      <c r="F368" s="1565"/>
      <c r="G368" s="1900"/>
      <c r="H368" s="1912"/>
      <c r="I368" s="1945">
        <v>56.434385937080542</v>
      </c>
      <c r="J368" s="1945">
        <v>53.28721802977465</v>
      </c>
      <c r="K368" s="1912">
        <v>53.805811869111317</v>
      </c>
      <c r="L368" s="1398"/>
      <c r="M368" s="1398"/>
      <c r="N368" s="1398"/>
      <c r="O368" s="652"/>
    </row>
    <row r="369" spans="1:17" customFormat="1">
      <c r="A369" s="1515"/>
      <c r="B369" s="652"/>
      <c r="C369" s="1591" t="s">
        <v>896</v>
      </c>
      <c r="D369" s="1910"/>
      <c r="E369" s="1915"/>
      <c r="F369" s="1689"/>
      <c r="G369" s="1689"/>
      <c r="H369" s="1911"/>
      <c r="I369" s="1943"/>
      <c r="J369" s="1943"/>
      <c r="K369" s="1911"/>
      <c r="L369" s="1398"/>
      <c r="M369" s="1398"/>
      <c r="N369" s="1398"/>
      <c r="O369" s="652"/>
    </row>
    <row r="370" spans="1:17" customFormat="1">
      <c r="A370" s="1515"/>
      <c r="B370" s="652"/>
      <c r="C370" s="652"/>
      <c r="D370" s="652"/>
      <c r="E370" s="652"/>
      <c r="F370" s="652"/>
      <c r="G370" s="652"/>
      <c r="H370" s="1433"/>
      <c r="I370" s="1944"/>
      <c r="J370" s="1944"/>
      <c r="K370" s="1433"/>
      <c r="L370" s="1398"/>
      <c r="M370" s="1398"/>
      <c r="N370" s="1398"/>
      <c r="O370" s="652"/>
    </row>
    <row r="371" spans="1:17" customFormat="1">
      <c r="A371" s="1515"/>
      <c r="B371" s="652"/>
      <c r="C371" s="1592" t="s">
        <v>897</v>
      </c>
      <c r="D371" s="1908"/>
      <c r="E371" s="1913">
        <f ca="1">Outputs!O42</f>
        <v>57973.052657378626</v>
      </c>
      <c r="F371" s="1565"/>
      <c r="G371" s="1900"/>
      <c r="H371" s="1914"/>
      <c r="I371" s="1638">
        <v>55277.86832158675</v>
      </c>
      <c r="J371" s="1638">
        <v>56708.835061589016</v>
      </c>
      <c r="K371" s="1914">
        <v>57973.052657378597</v>
      </c>
      <c r="L371" s="1398"/>
      <c r="M371" s="1398"/>
      <c r="N371" s="1398"/>
      <c r="O371" s="652"/>
    </row>
    <row r="372" spans="1:17" customFormat="1">
      <c r="A372" s="1515"/>
      <c r="B372" s="652"/>
      <c r="C372" s="1479" t="s">
        <v>898</v>
      </c>
      <c r="D372" s="1909"/>
      <c r="E372" s="1431">
        <f ca="1">Outputs!L40/Outputs!O42</f>
        <v>0.73917561283662658</v>
      </c>
      <c r="F372" s="652"/>
      <c r="G372" s="1480"/>
      <c r="H372" s="1903"/>
      <c r="I372" s="1942">
        <v>0.69584626197871646</v>
      </c>
      <c r="J372" s="1942">
        <v>0.75185754201246147</v>
      </c>
      <c r="K372" s="1903">
        <v>0.73917561283662658</v>
      </c>
      <c r="L372" s="1398"/>
      <c r="M372" s="1398"/>
      <c r="N372" s="1398"/>
      <c r="O372" s="652"/>
    </row>
    <row r="373" spans="1:17" customFormat="1">
      <c r="A373" s="1515"/>
      <c r="B373" s="652"/>
      <c r="C373" s="1479" t="s">
        <v>899</v>
      </c>
      <c r="D373" s="1909"/>
      <c r="E373" s="1431">
        <f ca="1">Inputs!E464</f>
        <v>0.63384233918691724</v>
      </c>
      <c r="F373" s="652"/>
      <c r="G373" s="1480"/>
      <c r="H373" s="1903"/>
      <c r="I373" s="1942">
        <v>0.59226456525903348</v>
      </c>
      <c r="J373" s="1942">
        <v>0.6438886129831094</v>
      </c>
      <c r="K373" s="1903">
        <v>0.63384233918691724</v>
      </c>
      <c r="L373" s="1398"/>
      <c r="M373" s="1398"/>
      <c r="N373" s="1398"/>
      <c r="O373" s="652"/>
    </row>
    <row r="374" spans="1:17" customFormat="1">
      <c r="A374" s="1515"/>
      <c r="B374" s="652"/>
      <c r="C374" s="1479" t="s">
        <v>900</v>
      </c>
      <c r="D374" s="1909"/>
      <c r="E374" s="1431">
        <f ca="1">E363/E371</f>
        <v>0.21967341174438818</v>
      </c>
      <c r="F374" s="652"/>
      <c r="G374" s="1480"/>
      <c r="H374" s="1903"/>
      <c r="I374" s="1942">
        <v>0.11129417281659296</v>
      </c>
      <c r="J374" s="1942">
        <v>0.23792898018982417</v>
      </c>
      <c r="K374" s="1903">
        <v>0.21967341174438818</v>
      </c>
      <c r="L374" s="1398"/>
      <c r="M374" s="1398"/>
      <c r="N374" s="1398"/>
      <c r="O374" s="652"/>
    </row>
    <row r="375" spans="1:17" customFormat="1">
      <c r="A375" s="1515"/>
      <c r="B375" s="652"/>
      <c r="C375" s="1591" t="s">
        <v>901</v>
      </c>
      <c r="D375" s="1689"/>
      <c r="E375" s="1905">
        <f ca="1">Outputs!L38</f>
        <v>14620.773894815633</v>
      </c>
      <c r="F375" s="1689"/>
      <c r="G375" s="1906"/>
      <c r="H375" s="1907"/>
      <c r="I375" s="1638">
        <v>16312.970279098052</v>
      </c>
      <c r="J375" s="1638">
        <v>13571.870703953013</v>
      </c>
      <c r="K375" s="1907">
        <v>14620.773894815633</v>
      </c>
      <c r="L375" s="1398"/>
      <c r="M375" s="1398"/>
      <c r="N375" s="1398"/>
      <c r="O375" s="652"/>
    </row>
    <row r="376" spans="1:17" customFormat="1">
      <c r="A376" s="1515"/>
      <c r="B376" s="652"/>
      <c r="C376" s="652"/>
      <c r="D376" s="652"/>
      <c r="E376" s="1147"/>
      <c r="F376" s="652"/>
      <c r="G376" s="652"/>
      <c r="H376" s="652"/>
      <c r="I376" s="652"/>
      <c r="J376" s="652"/>
      <c r="K376" s="652"/>
      <c r="L376" s="1398"/>
      <c r="M376" s="1398"/>
      <c r="N376" s="1398"/>
      <c r="O376" s="652"/>
    </row>
    <row r="377" spans="1:17" customFormat="1">
      <c r="A377" s="1515"/>
      <c r="B377" s="652"/>
      <c r="C377" s="652"/>
      <c r="D377" s="652"/>
      <c r="E377" s="652"/>
      <c r="F377" s="652"/>
      <c r="G377" s="652"/>
      <c r="H377" s="652"/>
      <c r="I377" s="652"/>
      <c r="J377" s="652"/>
      <c r="K377" s="652"/>
      <c r="L377" s="1398"/>
      <c r="M377" s="1398"/>
      <c r="N377" s="1398"/>
      <c r="O377" s="652"/>
    </row>
    <row r="378" spans="1:17" customFormat="1">
      <c r="A378" s="1515"/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1398"/>
      <c r="M378" s="1398"/>
      <c r="N378" s="1398"/>
      <c r="O378" s="652"/>
    </row>
    <row r="379" spans="1:17" customFormat="1">
      <c r="A379" s="1515"/>
      <c r="B379" s="652"/>
      <c r="C379" s="652"/>
      <c r="D379" s="652"/>
      <c r="E379" s="652"/>
      <c r="F379" s="652"/>
      <c r="G379" s="652"/>
      <c r="H379" s="652"/>
      <c r="I379" s="652"/>
      <c r="J379" s="652"/>
      <c r="K379" s="652"/>
      <c r="L379" s="1398"/>
      <c r="M379" s="1398"/>
      <c r="N379" s="1398"/>
      <c r="O379" s="652"/>
    </row>
    <row r="380" spans="1:17" customFormat="1">
      <c r="A380" s="1515"/>
      <c r="B380" s="652"/>
      <c r="C380" s="652"/>
      <c r="D380" s="652"/>
      <c r="E380" s="652"/>
      <c r="F380" s="652"/>
      <c r="G380" s="652"/>
      <c r="H380" s="652"/>
      <c r="I380" s="652"/>
      <c r="J380" s="652"/>
      <c r="K380" s="652"/>
      <c r="L380" s="1398"/>
      <c r="M380" s="1398"/>
      <c r="N380" s="1398"/>
      <c r="O380" s="652"/>
    </row>
    <row r="381" spans="1:17" customFormat="1">
      <c r="A381" s="1515"/>
      <c r="B381" s="652"/>
      <c r="C381" s="652"/>
      <c r="D381" s="652"/>
      <c r="E381" s="652"/>
      <c r="F381" s="652"/>
      <c r="G381" s="652"/>
      <c r="H381" s="652"/>
      <c r="I381" s="652"/>
      <c r="J381" s="652"/>
      <c r="K381" s="652"/>
      <c r="L381" s="1398"/>
      <c r="M381" s="1398"/>
      <c r="N381" s="1398"/>
      <c r="O381" s="652"/>
    </row>
    <row r="382" spans="1:17">
      <c r="A382" s="1515"/>
    </row>
    <row r="383" spans="1:17" customFormat="1">
      <c r="A383" s="1515"/>
      <c r="B383" s="652"/>
      <c r="C383" s="652"/>
      <c r="D383" s="652"/>
      <c r="E383" s="652"/>
      <c r="F383" s="652"/>
      <c r="G383" s="652"/>
      <c r="H383" s="1164"/>
      <c r="I383" s="1164"/>
      <c r="J383" s="1164"/>
      <c r="K383" s="1164"/>
      <c r="L383" s="1398"/>
      <c r="M383" s="1398"/>
      <c r="N383" s="1398"/>
      <c r="O383" s="1149">
        <v>-0.2</v>
      </c>
      <c r="P383" s="1938">
        <v>0</v>
      </c>
      <c r="Q383" s="1149">
        <v>0.2</v>
      </c>
    </row>
    <row r="384" spans="1:17" customFormat="1">
      <c r="A384" s="1515"/>
      <c r="B384" s="652"/>
      <c r="C384" s="1434"/>
      <c r="D384" s="1434"/>
      <c r="E384" s="652"/>
      <c r="F384" s="652"/>
      <c r="G384" s="652"/>
      <c r="H384" s="652"/>
      <c r="I384" s="652"/>
      <c r="J384" s="652"/>
      <c r="K384" s="652"/>
      <c r="L384" s="1398"/>
      <c r="M384" s="1398" t="s">
        <v>278</v>
      </c>
      <c r="N384" s="1398"/>
      <c r="O384" s="652">
        <v>45.6</v>
      </c>
      <c r="P384" s="652">
        <v>57</v>
      </c>
      <c r="Q384" s="1196">
        <v>68.400000000000006</v>
      </c>
    </row>
    <row r="385" spans="1:18" customFormat="1">
      <c r="A385" s="1515"/>
      <c r="B385" s="652"/>
      <c r="C385" s="1434"/>
      <c r="D385" s="1434"/>
      <c r="E385" s="652"/>
      <c r="F385" s="652"/>
      <c r="G385" s="652"/>
      <c r="H385" s="652"/>
      <c r="I385" s="652"/>
      <c r="J385" s="652"/>
      <c r="K385" s="652"/>
      <c r="L385" s="1398"/>
      <c r="M385" s="1398" t="s">
        <v>902</v>
      </c>
      <c r="N385" s="1398"/>
      <c r="O385" s="1917">
        <v>6.9900000000000004E-2</v>
      </c>
      <c r="P385" s="1149">
        <v>8.4199999999999997E-2</v>
      </c>
      <c r="Q385" s="1149">
        <v>9.9500000000000005E-2</v>
      </c>
    </row>
    <row r="386" spans="1:18" customFormat="1">
      <c r="A386" s="1515"/>
      <c r="B386" s="652"/>
      <c r="C386" s="1435"/>
      <c r="D386" s="1434"/>
      <c r="E386" s="1434"/>
      <c r="F386" s="1434"/>
      <c r="G386" s="1476"/>
      <c r="H386" s="652"/>
      <c r="I386" s="652"/>
      <c r="J386" s="652"/>
      <c r="K386" s="652"/>
      <c r="L386" s="1398"/>
      <c r="M386" s="1398" t="s">
        <v>903</v>
      </c>
      <c r="N386" s="1398"/>
      <c r="O386" s="652">
        <v>43945.179040000003</v>
      </c>
      <c r="P386" s="1914">
        <v>54931</v>
      </c>
      <c r="Q386" s="1914">
        <v>65941</v>
      </c>
    </row>
    <row r="387" spans="1:18" customFormat="1">
      <c r="A387" s="1515"/>
      <c r="B387" s="652"/>
      <c r="C387" s="1435"/>
      <c r="D387" s="1434"/>
      <c r="E387" s="1434"/>
      <c r="F387" s="1434"/>
      <c r="G387" s="1476"/>
      <c r="H387" s="652"/>
      <c r="I387" s="652"/>
      <c r="J387" s="652"/>
      <c r="K387" s="652"/>
      <c r="L387" s="1398"/>
      <c r="M387" s="1398" t="s">
        <v>902</v>
      </c>
      <c r="N387" s="1398"/>
      <c r="O387" s="1149">
        <v>0.1074</v>
      </c>
      <c r="P387" s="1149">
        <v>8.4199999999999997E-2</v>
      </c>
      <c r="Q387" s="1149">
        <v>6.7400000000000002E-2</v>
      </c>
    </row>
    <row r="388" spans="1:18" customFormat="1">
      <c r="A388" s="1515"/>
      <c r="B388" s="652"/>
      <c r="C388" s="1435"/>
      <c r="D388" s="1434"/>
      <c r="E388" s="1434"/>
      <c r="F388" s="1434"/>
      <c r="G388" s="1476"/>
      <c r="H388" s="652"/>
      <c r="I388" s="652"/>
      <c r="J388" s="652"/>
      <c r="K388" s="652"/>
      <c r="L388" s="1398"/>
      <c r="M388" s="1398" t="s">
        <v>216</v>
      </c>
      <c r="N388" s="1398"/>
      <c r="O388" s="652">
        <v>1371.2</v>
      </c>
      <c r="P388" s="1914">
        <v>1714</v>
      </c>
      <c r="Q388" s="1196">
        <v>2056.8000000000002</v>
      </c>
      <c r="R388" s="1149" t="s">
        <v>904</v>
      </c>
    </row>
    <row r="389" spans="1:18" customFormat="1">
      <c r="A389" s="1515"/>
      <c r="B389" s="652"/>
      <c r="C389" s="1435"/>
      <c r="D389" s="1434"/>
      <c r="E389" s="1434"/>
      <c r="F389" s="1434"/>
      <c r="G389" s="1476"/>
      <c r="H389" s="652"/>
      <c r="I389" s="652"/>
      <c r="J389" s="652"/>
      <c r="K389" s="652"/>
      <c r="L389" s="1398"/>
      <c r="M389" s="1398" t="s">
        <v>902</v>
      </c>
      <c r="N389" s="1398"/>
      <c r="O389" s="1149">
        <v>8.9300000000000004E-2</v>
      </c>
      <c r="P389" s="1149">
        <v>8.4199999999999997E-2</v>
      </c>
      <c r="Q389" s="1149">
        <v>7.9000000000000001E-2</v>
      </c>
    </row>
    <row r="390" spans="1:18" customFormat="1">
      <c r="A390" s="1518"/>
      <c r="B390" s="652"/>
      <c r="C390" s="1435"/>
      <c r="D390" s="1434"/>
      <c r="E390" s="1434"/>
      <c r="F390" s="1434"/>
      <c r="G390" s="1476"/>
      <c r="H390" s="652"/>
      <c r="I390" s="652"/>
      <c r="J390" s="652"/>
      <c r="K390" s="652"/>
      <c r="L390" s="1398"/>
      <c r="M390" s="1398" t="s">
        <v>905</v>
      </c>
      <c r="N390" s="1398"/>
      <c r="O390" s="1149">
        <v>7.3999999999999996E-2</v>
      </c>
      <c r="P390" s="1149">
        <v>7.3999999999999996E-2</v>
      </c>
      <c r="Q390" s="1149">
        <v>7.3999999999999996E-2</v>
      </c>
    </row>
    <row r="391" spans="1:18" customFormat="1">
      <c r="A391" s="1518"/>
      <c r="B391" s="652"/>
      <c r="C391" s="1435"/>
      <c r="D391" s="1434"/>
      <c r="E391" s="1434"/>
      <c r="F391" s="1434"/>
      <c r="G391" s="1476"/>
      <c r="H391" s="652"/>
      <c r="I391" s="652"/>
      <c r="J391" s="652"/>
      <c r="K391" s="652"/>
      <c r="L391" s="1398"/>
      <c r="M391" s="1398"/>
      <c r="N391" s="1398"/>
      <c r="O391" s="652"/>
    </row>
    <row r="392" spans="1:18" customFormat="1">
      <c r="A392" s="1518"/>
      <c r="B392" s="652"/>
      <c r="C392" s="1435"/>
      <c r="D392" s="1434"/>
      <c r="E392" s="1434"/>
      <c r="F392" s="1434"/>
      <c r="G392" s="1476"/>
      <c r="H392" s="652"/>
      <c r="I392" s="652"/>
      <c r="J392" s="652"/>
      <c r="K392" s="652"/>
      <c r="L392" s="1398"/>
      <c r="M392" s="1398"/>
      <c r="N392" s="1398"/>
      <c r="O392" s="652"/>
    </row>
    <row r="393" spans="1:18" customFormat="1">
      <c r="A393" s="1518"/>
      <c r="B393" s="652"/>
      <c r="C393" s="1435"/>
      <c r="D393" s="1434"/>
      <c r="E393" s="1434"/>
      <c r="F393" s="1434"/>
      <c r="G393" s="1476"/>
      <c r="H393" s="652"/>
      <c r="I393" s="652"/>
      <c r="J393" s="652"/>
      <c r="K393" s="652"/>
      <c r="L393" s="1398"/>
      <c r="M393" s="1398"/>
      <c r="N393" s="1398"/>
      <c r="O393" s="652"/>
    </row>
    <row r="394" spans="1:18" customFormat="1">
      <c r="A394" s="1518"/>
      <c r="B394" s="652"/>
      <c r="C394" s="1435"/>
      <c r="D394" s="1434"/>
      <c r="E394" s="1434"/>
      <c r="F394" s="1434"/>
      <c r="G394" s="1476"/>
      <c r="H394" s="652"/>
      <c r="I394" s="652"/>
      <c r="J394" s="652"/>
      <c r="K394" s="652"/>
      <c r="L394" s="1398"/>
      <c r="M394" s="1398"/>
      <c r="N394" s="1398"/>
      <c r="O394" s="652"/>
    </row>
    <row r="395" spans="1:18" customFormat="1">
      <c r="A395" s="1518"/>
      <c r="B395" s="652"/>
      <c r="C395" s="1435"/>
      <c r="D395" s="1434"/>
      <c r="E395" s="1434"/>
      <c r="F395" s="1434"/>
      <c r="G395" s="1476"/>
      <c r="H395" s="652"/>
      <c r="I395" s="652"/>
      <c r="J395" s="652"/>
      <c r="K395" s="652"/>
      <c r="L395" s="1398"/>
      <c r="M395" s="1398"/>
      <c r="N395" s="1398"/>
      <c r="O395" s="652"/>
    </row>
    <row r="396" spans="1:18" customFormat="1">
      <c r="A396" s="1518"/>
      <c r="B396" s="652"/>
      <c r="C396" s="1435"/>
      <c r="D396" s="1434"/>
      <c r="E396" s="1434"/>
      <c r="F396" s="1434"/>
      <c r="G396" s="1476"/>
      <c r="H396" s="652"/>
      <c r="I396" s="652"/>
      <c r="J396" s="652"/>
      <c r="K396" s="652"/>
      <c r="L396" s="1398"/>
      <c r="M396" s="1398"/>
      <c r="N396" s="1398"/>
      <c r="O396" s="652"/>
    </row>
    <row r="397" spans="1:18" customFormat="1">
      <c r="A397" s="1518"/>
      <c r="B397" s="652"/>
      <c r="C397" s="1435"/>
      <c r="D397" s="1434"/>
      <c r="E397" s="1434"/>
      <c r="F397" s="1434"/>
      <c r="G397" s="1476"/>
      <c r="H397" s="652"/>
      <c r="I397" s="652"/>
      <c r="J397" s="652"/>
      <c r="K397" s="652"/>
      <c r="L397" s="1398"/>
      <c r="M397" s="1398"/>
      <c r="N397" s="1398"/>
      <c r="O397" s="652"/>
    </row>
    <row r="398" spans="1:18" customFormat="1">
      <c r="A398" s="1518"/>
      <c r="B398" s="652"/>
      <c r="C398" s="1435"/>
      <c r="D398" s="1434"/>
      <c r="E398" s="1434"/>
      <c r="F398" s="1434"/>
      <c r="G398" s="1476"/>
      <c r="H398" s="652"/>
      <c r="I398" s="652"/>
      <c r="J398" s="652"/>
      <c r="K398" s="652"/>
      <c r="L398" s="1398"/>
      <c r="M398" s="1398"/>
      <c r="N398" s="1398"/>
      <c r="O398" s="652"/>
    </row>
    <row r="399" spans="1:18" customFormat="1">
      <c r="A399" s="1518"/>
      <c r="B399" s="652"/>
      <c r="C399" s="1435"/>
      <c r="D399" s="1434"/>
      <c r="E399" s="1434"/>
      <c r="F399" s="1434"/>
      <c r="G399" s="1476"/>
      <c r="H399" s="652"/>
      <c r="I399" s="652"/>
      <c r="J399" s="652"/>
      <c r="K399" s="652"/>
      <c r="L399" s="1398"/>
      <c r="M399" s="1398"/>
      <c r="N399" s="1398"/>
      <c r="O399" s="652"/>
    </row>
    <row r="400" spans="1:18" customFormat="1">
      <c r="A400" s="1518"/>
      <c r="B400" s="652"/>
      <c r="C400" s="1435"/>
      <c r="D400" s="1434"/>
      <c r="E400" s="1434"/>
      <c r="F400" s="1434"/>
      <c r="G400" s="1476"/>
      <c r="H400" s="652"/>
      <c r="I400" s="652"/>
      <c r="J400" s="652"/>
      <c r="K400" s="652"/>
      <c r="L400" s="1398"/>
      <c r="M400" s="1398"/>
      <c r="N400" s="1398"/>
      <c r="O400" s="652"/>
    </row>
    <row r="401" spans="1:15" customFormat="1">
      <c r="A401" s="1518"/>
      <c r="B401" s="652"/>
      <c r="C401" s="1435"/>
      <c r="D401" s="1434"/>
      <c r="E401" s="1434"/>
      <c r="F401" s="1434"/>
      <c r="G401" s="1476"/>
      <c r="H401" s="652"/>
      <c r="I401" s="652"/>
      <c r="J401" s="652"/>
      <c r="K401" s="652"/>
      <c r="L401" s="1398"/>
      <c r="M401" s="1398"/>
      <c r="N401" s="1398"/>
      <c r="O401" s="652"/>
    </row>
    <row r="402" spans="1:15" customFormat="1">
      <c r="A402" s="1518"/>
      <c r="B402" s="652"/>
      <c r="C402" s="1435"/>
      <c r="D402" s="1434"/>
      <c r="E402" s="1434"/>
      <c r="F402" s="1434"/>
      <c r="G402" s="1476"/>
      <c r="H402" s="652"/>
      <c r="I402" s="652"/>
      <c r="J402" s="652"/>
      <c r="K402" s="652"/>
      <c r="L402" s="1398"/>
      <c r="M402" s="1398"/>
      <c r="N402" s="1398"/>
      <c r="O402" s="652"/>
    </row>
    <row r="403" spans="1:15" customFormat="1">
      <c r="A403" s="1518"/>
      <c r="B403" s="652"/>
      <c r="C403" s="1435"/>
      <c r="D403" s="1434"/>
      <c r="E403" s="1434"/>
      <c r="F403" s="1434"/>
      <c r="G403" s="1476"/>
      <c r="H403" s="652"/>
      <c r="I403" s="652"/>
      <c r="J403" s="652"/>
      <c r="K403" s="652"/>
      <c r="L403" s="1398"/>
      <c r="M403" s="1398"/>
      <c r="N403" s="1398"/>
      <c r="O403" s="652"/>
    </row>
    <row r="404" spans="1:15" customFormat="1">
      <c r="A404" s="1518"/>
      <c r="B404" s="652"/>
      <c r="C404" s="1435"/>
      <c r="D404" s="1434"/>
      <c r="E404" s="1434"/>
      <c r="F404" s="1434"/>
      <c r="G404" s="1476"/>
      <c r="H404" s="652"/>
      <c r="I404" s="652"/>
      <c r="J404" s="652"/>
      <c r="K404" s="652"/>
      <c r="L404" s="1398"/>
      <c r="M404" s="1398"/>
      <c r="N404" s="1398"/>
      <c r="O404" s="652"/>
    </row>
    <row r="405" spans="1:15" customFormat="1">
      <c r="A405" s="1518"/>
      <c r="B405" s="652"/>
      <c r="C405" s="1435"/>
      <c r="D405" s="1434"/>
      <c r="E405" s="1434"/>
      <c r="F405" s="1434"/>
      <c r="G405" s="1476"/>
      <c r="H405" s="652"/>
      <c r="I405" s="652"/>
      <c r="J405" s="652"/>
      <c r="K405" s="652"/>
      <c r="L405" s="1398"/>
      <c r="M405" s="1398"/>
      <c r="N405" s="1398"/>
      <c r="O405" s="652"/>
    </row>
  </sheetData>
  <conditionalFormatting sqref="H4:M4">
    <cfRule type="cellIs" dxfId="211" priority="199" operator="equal">
      <formula>$E$4</formula>
    </cfRule>
  </conditionalFormatting>
  <conditionalFormatting sqref="D386:D406 C384:C385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4:D386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4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55:J355">
    <cfRule type="expression" dxfId="210" priority="198">
      <formula>AND(H355&lt;&gt;F355, OR(F355="", H355&lt;&gt;""))</formula>
    </cfRule>
  </conditionalFormatting>
  <conditionalFormatting sqref="H354:J355 H13:K13 H24:K51 H55:K138 H264:J314">
    <cfRule type="expression" dxfId="209" priority="205">
      <formula>AND(H13&lt;&gt;#REF!, OR(#REF!="", H13&lt;&gt;""))</formula>
    </cfRule>
  </conditionalFormatting>
  <conditionalFormatting sqref="H354:J355 H348:J349 H140:J153 H157:J164 H165:K165 H166:J167 H169:J169 H168:K168 H12:K12 H315:K315 K283:K286 H170:K170 K288:K291 H337:J344 H335:J335 H8:J11 H171:J251 H331:K334 H316:J327 H330:J330 H328:K329 I252:K263 H345:K347 H139:K139 H154:K156">
    <cfRule type="expression" dxfId="208" priority="206">
      <formula>AND(H8&lt;&gt;#REF!, OR(#REF!="", H8&lt;&gt;""))</formula>
    </cfRule>
  </conditionalFormatting>
  <conditionalFormatting sqref="H341:K341">
    <cfRule type="expression" dxfId="207" priority="182">
      <formula>AND(H341&lt;&gt;#REF!, OR(#REF!="", H341&lt;&gt;""))</formula>
    </cfRule>
  </conditionalFormatting>
  <conditionalFormatting sqref="H28:J29">
    <cfRule type="expression" dxfId="206" priority="121">
      <formula>AND(H28&lt;&gt;#REF!, OR(#REF!="", H28&lt;&gt;""))</formula>
    </cfRule>
  </conditionalFormatting>
  <conditionalFormatting sqref="H339:J341">
    <cfRule type="expression" dxfId="205" priority="95">
      <formula>AND(H339&lt;&gt;#REF!, OR(#REF!="", H339&lt;&gt;""))</formula>
    </cfRule>
  </conditionalFormatting>
  <conditionalFormatting sqref="H58:K65">
    <cfRule type="expression" dxfId="204" priority="93">
      <formula>AND(H58&lt;&gt;#REF!, OR(#REF!="", H58&lt;&gt;""))</formula>
    </cfRule>
  </conditionalFormatting>
  <conditionalFormatting sqref="H68:K68">
    <cfRule type="expression" dxfId="203" priority="87">
      <formula>AND(H68&lt;&gt;#REF!, OR(#REF!="", H68&lt;&gt;""))</formula>
    </cfRule>
  </conditionalFormatting>
  <conditionalFormatting sqref="H57:K57">
    <cfRule type="expression" dxfId="202" priority="83">
      <formula>AND(H57&lt;&gt;#REF!, OR(#REF!="", H57&lt;&gt;""))</formula>
    </cfRule>
  </conditionalFormatting>
  <conditionalFormatting sqref="H66:K67">
    <cfRule type="expression" dxfId="201" priority="80">
      <formula>AND(H66&lt;&gt;#REF!, OR(#REF!="", H66&lt;&gt;""))</formula>
    </cfRule>
  </conditionalFormatting>
  <conditionalFormatting sqref="H69:K69">
    <cfRule type="expression" dxfId="200" priority="79">
      <formula>AND(H69&lt;&gt;#REF!, OR(#REF!="", H69&lt;&gt;""))</formula>
    </cfRule>
  </conditionalFormatting>
  <conditionalFormatting sqref="H71:J73">
    <cfRule type="expression" dxfId="199" priority="77">
      <formula>AND(H71&lt;&gt;#REF!, OR(#REF!="", H71&lt;&gt;""))</formula>
    </cfRule>
  </conditionalFormatting>
  <conditionalFormatting sqref="H77:J78">
    <cfRule type="expression" dxfId="198" priority="76">
      <formula>AND(H77&lt;&gt;#REF!, OR(#REF!="", H77&lt;&gt;""))</formula>
    </cfRule>
  </conditionalFormatting>
  <conditionalFormatting sqref="H93:J94">
    <cfRule type="expression" dxfId="197" priority="75">
      <formula>AND(H93&lt;&gt;#REF!, OR(#REF!="", H93&lt;&gt;""))</formula>
    </cfRule>
  </conditionalFormatting>
  <conditionalFormatting sqref="H96:J97">
    <cfRule type="expression" dxfId="196" priority="74">
      <formula>AND(H96&lt;&gt;#REF!, OR(#REF!="", H96&lt;&gt;""))</formula>
    </cfRule>
  </conditionalFormatting>
  <conditionalFormatting sqref="H78:K78">
    <cfRule type="expression" dxfId="195" priority="73">
      <formula>AND(H78&lt;&gt;#REF!, OR(#REF!="", H78&lt;&gt;""))</formula>
    </cfRule>
  </conditionalFormatting>
  <conditionalFormatting sqref="H148:K148">
    <cfRule type="expression" dxfId="194" priority="72">
      <formula>AND(H148&lt;&gt;#REF!, OR(#REF!="", H148&lt;&gt;""))</formula>
    </cfRule>
  </conditionalFormatting>
  <conditionalFormatting sqref="E147">
    <cfRule type="expression" dxfId="193" priority="71">
      <formula>AND(E147&lt;&gt;#REF!, OR(#REF!="", E147&lt;&gt;""))</formula>
    </cfRule>
  </conditionalFormatting>
  <conditionalFormatting sqref="H140:K140">
    <cfRule type="expression" dxfId="192" priority="70">
      <formula>AND(H140&lt;&gt;#REF!, OR(#REF!="", H140&lt;&gt;""))</formula>
    </cfRule>
  </conditionalFormatting>
  <conditionalFormatting sqref="H155:K155">
    <cfRule type="expression" dxfId="191" priority="68">
      <formula>AND(H155&lt;&gt;#REF!, OR(#REF!="", H155&lt;&gt;""))</formula>
    </cfRule>
  </conditionalFormatting>
  <conditionalFormatting sqref="H157:K157">
    <cfRule type="expression" dxfId="190" priority="67">
      <formula>AND(H157&lt;&gt;#REF!, OR(#REF!="", H157&lt;&gt;""))</formula>
    </cfRule>
  </conditionalFormatting>
  <conditionalFormatting sqref="H171:K171">
    <cfRule type="expression" dxfId="189" priority="63">
      <formula>AND(H171&lt;&gt;#REF!, OR(#REF!="", H171&lt;&gt;""))</formula>
    </cfRule>
  </conditionalFormatting>
  <conditionalFormatting sqref="H169:K169">
    <cfRule type="expression" dxfId="188" priority="62">
      <formula>AND(H169&lt;&gt;#REF!, OR(#REF!="", H169&lt;&gt;""))</formula>
    </cfRule>
  </conditionalFormatting>
  <conditionalFormatting sqref="A25:B26">
    <cfRule type="expression" dxfId="187" priority="61">
      <formula>AND(A25&lt;&gt;#REF!, OR(#REF!="", A25&lt;&gt;""))</formula>
    </cfRule>
  </conditionalFormatting>
  <conditionalFormatting sqref="A234:B235">
    <cfRule type="expression" dxfId="186" priority="58">
      <formula>AND(A234&lt;&gt;#REF!, OR(#REF!="", A234&lt;&gt;""))</formula>
    </cfRule>
  </conditionalFormatting>
  <conditionalFormatting sqref="H6:L6">
    <cfRule type="expression" dxfId="185" priority="57">
      <formula>AND(H6&lt;&gt;#REF!, OR(#REF!="", H6&lt;&gt;""))</formula>
    </cfRule>
  </conditionalFormatting>
  <conditionalFormatting sqref="A6:B6">
    <cfRule type="expression" dxfId="184" priority="56">
      <formula>AND(A6&lt;&gt;#REF!, OR(#REF!="", A6&lt;&gt;""))</formula>
    </cfRule>
  </conditionalFormatting>
  <conditionalFormatting sqref="H316:K316">
    <cfRule type="expression" dxfId="183" priority="54">
      <formula>AND(H316&lt;&gt;#REF!, OR(#REF!="", H316&lt;&gt;""))</formula>
    </cfRule>
  </conditionalFormatting>
  <conditionalFormatting sqref="A318:B319">
    <cfRule type="expression" dxfId="182" priority="52">
      <formula>AND(A318&lt;&gt;#REF!, OR(#REF!="", A318&lt;&gt;""))</formula>
    </cfRule>
  </conditionalFormatting>
  <conditionalFormatting sqref="A337:B338">
    <cfRule type="expression" dxfId="181" priority="51">
      <formula>AND(A337&lt;&gt;#REF!, OR(#REF!="", A337&lt;&gt;""))</formula>
    </cfRule>
  </conditionalFormatting>
  <conditionalFormatting sqref="A343:B344">
    <cfRule type="expression" dxfId="180" priority="50">
      <formula>AND(A343&lt;&gt;#REF!, OR(#REF!="", A343&lt;&gt;""))</formula>
    </cfRule>
  </conditionalFormatting>
  <conditionalFormatting sqref="A358:B358">
    <cfRule type="expression" dxfId="179" priority="48">
      <formula>AND(A358&lt;&gt;#REF!, OR(#REF!="", A358&lt;&gt;""))</formula>
    </cfRule>
  </conditionalFormatting>
  <conditionalFormatting sqref="K354:K355">
    <cfRule type="expression" dxfId="178" priority="45">
      <formula>AND(K354&lt;&gt;#REF!, OR(#REF!="", K354&lt;&gt;""))</formula>
    </cfRule>
  </conditionalFormatting>
  <conditionalFormatting sqref="K354:K355 K157:K160 K348:K349 K140:K153 K155 K166:K167 K169 K292:K306 K171:K236 K316:K320 K268:K269 K273 K277 K282 K264 K241 K322:K323 K337:K344 K335 K308:K314 K326:K327">
    <cfRule type="expression" dxfId="177" priority="46">
      <formula>AND(K140&lt;&gt;#REF!, OR(#REF!="", K140&lt;&gt;""))</formula>
    </cfRule>
  </conditionalFormatting>
  <conditionalFormatting sqref="K28:K29">
    <cfRule type="expression" dxfId="176" priority="44">
      <formula>AND(K28&lt;&gt;#REF!, OR(#REF!="", K28&lt;&gt;""))</formula>
    </cfRule>
  </conditionalFormatting>
  <conditionalFormatting sqref="K339:K341">
    <cfRule type="expression" dxfId="175" priority="43">
      <formula>AND(K339&lt;&gt;#REF!, OR(#REF!="", K339&lt;&gt;""))</formula>
    </cfRule>
  </conditionalFormatting>
  <conditionalFormatting sqref="K58:K65">
    <cfRule type="expression" dxfId="174" priority="42">
      <formula>AND(K58&lt;&gt;#REF!, OR(#REF!="", K58&lt;&gt;""))</formula>
    </cfRule>
  </conditionalFormatting>
  <conditionalFormatting sqref="K66:K67">
    <cfRule type="expression" dxfId="173" priority="39">
      <formula>AND(K66&lt;&gt;#REF!, OR(#REF!="", K66&lt;&gt;""))</formula>
    </cfRule>
  </conditionalFormatting>
  <conditionalFormatting sqref="K71:K73">
    <cfRule type="expression" dxfId="172" priority="38">
      <formula>AND(K71&lt;&gt;#REF!, OR(#REF!="", K71&lt;&gt;""))</formula>
    </cfRule>
  </conditionalFormatting>
  <conditionalFormatting sqref="K77:K78">
    <cfRule type="expression" dxfId="171" priority="37">
      <formula>AND(K77&lt;&gt;#REF!, OR(#REF!="", K77&lt;&gt;""))</formula>
    </cfRule>
  </conditionalFormatting>
  <conditionalFormatting sqref="K93:K94">
    <cfRule type="expression" dxfId="170" priority="36">
      <formula>AND(K93&lt;&gt;#REF!, OR(#REF!="", K93&lt;&gt;""))</formula>
    </cfRule>
  </conditionalFormatting>
  <conditionalFormatting sqref="K96:K97">
    <cfRule type="expression" dxfId="169" priority="35">
      <formula>AND(K96&lt;&gt;#REF!, OR(#REF!="", K96&lt;&gt;""))</formula>
    </cfRule>
  </conditionalFormatting>
  <conditionalFormatting sqref="H358:K358">
    <cfRule type="cellIs" dxfId="168" priority="34" operator="equal">
      <formula>$E$4</formula>
    </cfRule>
  </conditionalFormatting>
  <conditionalFormatting sqref="K355">
    <cfRule type="expression" dxfId="167" priority="4930">
      <formula>AND(K355&lt;&gt;G355, OR(G355="", K355&lt;&gt;""))</formula>
    </cfRule>
  </conditionalFormatting>
  <conditionalFormatting sqref="K169">
    <cfRule type="expression" dxfId="166" priority="33">
      <formula>AND(K169&lt;&gt;#REF!, OR(#REF!="", K169&lt;&gt;""))</formula>
    </cfRule>
  </conditionalFormatting>
  <conditionalFormatting sqref="K321">
    <cfRule type="expression" dxfId="165" priority="32">
      <formula>AND(K321&lt;&gt;#REF!, OR(#REF!="", K321&lt;&gt;""))</formula>
    </cfRule>
  </conditionalFormatting>
  <conditionalFormatting sqref="K10:K11">
    <cfRule type="expression" dxfId="164" priority="31">
      <formula>AND(K10&lt;&gt;#REF!, OR(#REF!="", K10&lt;&gt;""))</formula>
    </cfRule>
  </conditionalFormatting>
  <conditionalFormatting sqref="K8:K9">
    <cfRule type="expression" dxfId="163" priority="30">
      <formula>AND(K8&lt;&gt;#REF!, OR(#REF!="", K8&lt;&gt;""))</formula>
    </cfRule>
  </conditionalFormatting>
  <conditionalFormatting sqref="K77">
    <cfRule type="expression" dxfId="162" priority="29">
      <formula>AND(K77&lt;&gt;#REF!, OR(#REF!="", K77&lt;&gt;""))</formula>
    </cfRule>
  </conditionalFormatting>
  <conditionalFormatting sqref="K73">
    <cfRule type="expression" dxfId="161" priority="28">
      <formula>AND(K73&lt;&gt;#REF!, OR(#REF!="", K73&lt;&gt;""))</formula>
    </cfRule>
  </conditionalFormatting>
  <conditionalFormatting sqref="K72">
    <cfRule type="expression" dxfId="160" priority="27">
      <formula>AND(K72&lt;&gt;#REF!, OR(#REF!="", K72&lt;&gt;""))</formula>
    </cfRule>
  </conditionalFormatting>
  <conditionalFormatting sqref="K161:K164">
    <cfRule type="expression" dxfId="159" priority="26">
      <formula>AND(K161&lt;&gt;#REF!, OR(#REF!="", K161&lt;&gt;""))</formula>
    </cfRule>
  </conditionalFormatting>
  <conditionalFormatting sqref="K265:K267">
    <cfRule type="expression" dxfId="158" priority="25">
      <formula>AND(K265&lt;&gt;#REF!, OR(#REF!="", K265&lt;&gt;""))</formula>
    </cfRule>
  </conditionalFormatting>
  <conditionalFormatting sqref="K270:K272">
    <cfRule type="expression" dxfId="157" priority="24">
      <formula>AND(K270&lt;&gt;#REF!, OR(#REF!="", K270&lt;&gt;""))</formula>
    </cfRule>
  </conditionalFormatting>
  <conditionalFormatting sqref="K274:K276">
    <cfRule type="expression" dxfId="156" priority="23">
      <formula>AND(K274&lt;&gt;#REF!, OR(#REF!="", K274&lt;&gt;""))</formula>
    </cfRule>
  </conditionalFormatting>
  <conditionalFormatting sqref="K278:K281">
    <cfRule type="expression" dxfId="155" priority="22">
      <formula>AND(K278&lt;&gt;#REF!, OR(#REF!="", K278&lt;&gt;""))</formula>
    </cfRule>
  </conditionalFormatting>
  <conditionalFormatting sqref="K242:K249 K251">
    <cfRule type="expression" dxfId="154" priority="21">
      <formula>AND(K242&lt;&gt;#REF!, OR(#REF!="", K242&lt;&gt;""))</formula>
    </cfRule>
  </conditionalFormatting>
  <conditionalFormatting sqref="K237:K240">
    <cfRule type="expression" dxfId="153" priority="20">
      <formula>AND(K237&lt;&gt;#REF!, OR(#REF!="", K237&lt;&gt;""))</formula>
    </cfRule>
  </conditionalFormatting>
  <conditionalFormatting sqref="H52:K52">
    <cfRule type="expression" dxfId="152" priority="15">
      <formula>AND(H52&lt;&gt;#REF!, OR(#REF!="", H52&lt;&gt;""))</formula>
    </cfRule>
  </conditionalFormatting>
  <conditionalFormatting sqref="H53:K53">
    <cfRule type="expression" dxfId="151" priority="14">
      <formula>AND(H53&lt;&gt;#REF!, OR(#REF!="", H53&lt;&gt;""))</formula>
    </cfRule>
  </conditionalFormatting>
  <conditionalFormatting sqref="H54:K54">
    <cfRule type="expression" dxfId="150" priority="13">
      <formula>AND(H54&lt;&gt;#REF!, OR(#REF!="", H54&lt;&gt;""))</formula>
    </cfRule>
  </conditionalFormatting>
  <conditionalFormatting sqref="K250">
    <cfRule type="expression" dxfId="149" priority="12">
      <formula>AND(K250&lt;&gt;#REF!, OR(#REF!="", K250&lt;&gt;""))</formula>
    </cfRule>
  </conditionalFormatting>
  <conditionalFormatting sqref="K330">
    <cfRule type="expression" dxfId="148" priority="11">
      <formula>AND(K330&lt;&gt;#REF!, OR(#REF!="", K330&lt;&gt;""))</formula>
    </cfRule>
  </conditionalFormatting>
  <conditionalFormatting sqref="K287">
    <cfRule type="expression" dxfId="147" priority="10">
      <formula>AND(K287&lt;&gt;#REF!, OR(#REF!="", K287&lt;&gt;""))</formula>
    </cfRule>
  </conditionalFormatting>
  <conditionalFormatting sqref="K307">
    <cfRule type="expression" dxfId="146" priority="9">
      <formula>AND(K307&lt;&gt;#REF!, OR(#REF!="", K307&lt;&gt;""))</formula>
    </cfRule>
  </conditionalFormatting>
  <conditionalFormatting sqref="H252:H263">
    <cfRule type="expression" dxfId="145" priority="8">
      <formula>AND(H252&lt;&gt;#REF!, OR(#REF!="", H252&lt;&gt;""))</formula>
    </cfRule>
  </conditionalFormatting>
  <conditionalFormatting sqref="K324:K325">
    <cfRule type="expression" dxfId="144" priority="7">
      <formula>AND(K324&lt;&gt;#REF!, OR(#REF!="", K324&lt;&gt;""))</formula>
    </cfRule>
  </conditionalFormatting>
  <conditionalFormatting sqref="E315">
    <cfRule type="expression" dxfId="143" priority="6">
      <formula>AND(E315&lt;&gt;#REF!, OR(#REF!="", E315&lt;&gt;""))</formula>
    </cfRule>
  </conditionalFormatting>
  <conditionalFormatting sqref="R330:R347">
    <cfRule type="expression" dxfId="142" priority="5">
      <formula>AND(R330&lt;&gt;#REF!, OR(#REF!="", R330&lt;&gt;""))</formula>
    </cfRule>
  </conditionalFormatting>
  <conditionalFormatting sqref="I363:J363">
    <cfRule type="expression" dxfId="141" priority="4">
      <formula>AND(I363&lt;&gt;#REF!, OR(#REF!="", I363&lt;&gt;""))</formula>
    </cfRule>
  </conditionalFormatting>
  <conditionalFormatting sqref="I367:J367">
    <cfRule type="expression" dxfId="140" priority="3">
      <formula>AND(I367&lt;&gt;#REF!, OR(#REF!="", I367&lt;&gt;""))</formula>
    </cfRule>
  </conditionalFormatting>
  <conditionalFormatting sqref="I371:J371">
    <cfRule type="expression" dxfId="139" priority="2">
      <formula>AND(I371&lt;&gt;#REF!, OR(#REF!="", I371&lt;&gt;""))</formula>
    </cfRule>
  </conditionalFormatting>
  <conditionalFormatting sqref="I375:J375">
    <cfRule type="expression" dxfId="138" priority="1">
      <formula>AND(I375&lt;&gt;#REF!, OR(#REF!="", I375&lt;&gt;""))</formula>
    </cfRule>
  </conditionalFormatting>
  <dataValidations count="1">
    <dataValidation type="list" allowBlank="1" showInputMessage="1" showErrorMessage="1" sqref="E4" xr:uid="{0D5EB214-8DCA-4919-836C-C21BCD16704F}">
      <formula1>$H$4:$K$4</formula1>
    </dataValidation>
  </dataValidations>
  <hyperlinks>
    <hyperlink ref="M288" r:id="rId1" display="https://www.hep.hr/elektra/poduzetnistvo/tarifne-stavke-cijene-1578/1578" xr:uid="{E1A84CCC-9D17-4FC0-9590-33CE10CB5C42}"/>
  </hyperlinks>
  <pageMargins left="0.7" right="0.7" top="0.75" bottom="0.75" header="0.3" footer="0.3"/>
  <ignoredErrors>
    <ignoredError sqref="K138 K220 K225 H211 K211 I211:J211 H225:I225 I220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465" r:id="rId4" name="Button 2">
              <controlPr defaultSize="0" print="0" autoFill="0" autoPict="0" macro="[0]!Model_sizing">
                <anchor moveWithCells="1" sizeWithCells="1">
                  <from>
                    <xdr:col>4</xdr:col>
                    <xdr:colOff>76200</xdr:colOff>
                    <xdr:row>1</xdr:row>
                    <xdr:rowOff>28575</xdr:rowOff>
                  </from>
                  <to>
                    <xdr:col>4</xdr:col>
                    <xdr:colOff>876300</xdr:colOff>
                    <xdr:row>2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A5E980-9325-4749-8F74-EC6BB55F182B}">
          <x14:formula1>
            <xm:f>Inputs!$A$123:$A$126</xm:f>
          </x14:formula1>
          <xm:sqref>H333:K334</xm:sqref>
        </x14:dataValidation>
        <x14:dataValidation type="list" allowBlank="1" showInputMessage="1" showErrorMessage="1" xr:uid="{897E05DB-1BC4-4679-9509-83D8984AB7D8}">
          <x14:formula1>
            <xm:f>Inputs!$C$107:$C$112</xm:f>
          </x14:formula1>
          <xm:sqref>H324:K325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_capex">
    <tabColor theme="3"/>
  </sheetPr>
  <dimension ref="A1:AR164"/>
  <sheetViews>
    <sheetView showGridLines="0" zoomScale="115" zoomScaleNormal="115" workbookViewId="0">
      <pane xSplit="3" ySplit="3" topLeftCell="D96" activePane="bottomRight" state="frozen"/>
      <selection pane="bottomRight" activeCell="C57" sqref="C57"/>
      <selection pane="bottomLeft" activeCell="B4" sqref="B4"/>
      <selection pane="topRight" activeCell="D1" sqref="D1"/>
    </sheetView>
  </sheetViews>
  <sheetFormatPr defaultColWidth="10.42578125" defaultRowHeight="11.25" outlineLevelRow="1"/>
  <cols>
    <col min="1" max="1" width="5.5703125" style="1104" hidden="1" customWidth="1"/>
    <col min="2" max="2" width="50.5703125" style="1105" customWidth="1"/>
    <col min="3" max="3" width="11.5703125" style="1104" customWidth="1"/>
    <col min="4" max="4" width="11" style="1104" bestFit="1" customWidth="1"/>
    <col min="5" max="5" width="5.5703125" style="1105" customWidth="1"/>
    <col min="6" max="6" width="6.5703125" style="1104" customWidth="1"/>
    <col min="7" max="7" width="5.5703125" style="1104" customWidth="1"/>
    <col min="8" max="8" width="6.5703125" style="1104" customWidth="1"/>
    <col min="9" max="9" width="5.5703125" style="1104" customWidth="1"/>
    <col min="10" max="10" width="6.5703125" style="1104" customWidth="1"/>
    <col min="11" max="11" width="5.5703125" style="1104" customWidth="1"/>
    <col min="12" max="12" width="27.42578125" style="1106" customWidth="1"/>
    <col min="13" max="13" width="5.140625" style="1106" customWidth="1"/>
    <col min="14" max="14" width="6" style="1106" customWidth="1"/>
    <col min="15" max="22" width="5.5703125" style="1106" customWidth="1"/>
    <col min="23" max="23" width="5.85546875" style="1106" customWidth="1"/>
    <col min="24" max="43" width="5.5703125" style="1106" customWidth="1"/>
    <col min="44" max="16384" width="10.42578125" style="1106"/>
  </cols>
  <sheetData>
    <row r="1" spans="1:44">
      <c r="A1" s="1282"/>
      <c r="B1" s="1283">
        <f ca="1">Outputs!$D$46</f>
        <v>11182.479442004989</v>
      </c>
      <c r="C1" s="1179"/>
      <c r="D1" s="1282"/>
      <c r="E1" s="1284"/>
      <c r="F1" s="1282"/>
      <c r="G1" s="1282"/>
      <c r="H1" s="1282"/>
      <c r="I1" s="1282"/>
      <c r="J1" s="1282"/>
      <c r="K1" s="1282"/>
      <c r="L1" s="1215"/>
      <c r="M1" s="1215"/>
      <c r="N1" s="1215"/>
      <c r="O1" s="1215"/>
      <c r="P1" s="1215"/>
      <c r="Q1" s="1215"/>
      <c r="R1" s="1215"/>
      <c r="S1" s="1215"/>
      <c r="T1" s="1215"/>
      <c r="U1" s="1215"/>
      <c r="V1" s="1215"/>
      <c r="W1" s="1215"/>
      <c r="X1" s="1215"/>
      <c r="Y1" s="1215"/>
      <c r="Z1" s="1215"/>
      <c r="AA1" s="1215"/>
      <c r="AB1" s="1215"/>
      <c r="AC1" s="1215"/>
      <c r="AD1" s="1215"/>
      <c r="AE1" s="1215"/>
      <c r="AF1" s="1215"/>
      <c r="AG1" s="1215"/>
      <c r="AH1" s="1215"/>
      <c r="AI1" s="1215"/>
      <c r="AJ1" s="1215"/>
      <c r="AK1" s="1215"/>
      <c r="AL1" s="1215"/>
      <c r="AM1" s="1215"/>
      <c r="AN1" s="1215"/>
      <c r="AO1" s="1215"/>
      <c r="AP1" s="1215"/>
      <c r="AQ1" s="1215"/>
      <c r="AR1" s="1215"/>
    </row>
    <row r="2" spans="1:44">
      <c r="A2" s="1282"/>
      <c r="B2" s="1284"/>
      <c r="C2" s="1179"/>
      <c r="D2" s="1282"/>
      <c r="E2" s="1974" t="s">
        <v>598</v>
      </c>
      <c r="F2" s="1975"/>
      <c r="G2" s="1976" t="s">
        <v>473</v>
      </c>
      <c r="H2" s="1977"/>
      <c r="I2" s="1978" t="s">
        <v>333</v>
      </c>
      <c r="J2" s="1979"/>
      <c r="K2" s="1285" t="s">
        <v>906</v>
      </c>
      <c r="L2" s="1285" t="s">
        <v>907</v>
      </c>
      <c r="M2" s="1286" t="s">
        <v>908</v>
      </c>
      <c r="N2" s="1287" t="s">
        <v>909</v>
      </c>
      <c r="O2" s="1215"/>
      <c r="P2" s="1215"/>
      <c r="Q2" s="1215"/>
      <c r="R2" s="1215"/>
      <c r="S2" s="1215"/>
      <c r="T2" s="1215"/>
      <c r="U2" s="1215"/>
      <c r="V2" s="1215"/>
      <c r="W2" s="1215"/>
      <c r="X2" s="1215"/>
      <c r="Y2" s="1215"/>
      <c r="Z2" s="1215"/>
      <c r="AA2" s="1288"/>
      <c r="AB2" s="1215"/>
      <c r="AC2" s="1215"/>
      <c r="AD2" s="1215"/>
      <c r="AE2" s="1215"/>
      <c r="AF2" s="1215"/>
      <c r="AG2" s="1215"/>
      <c r="AH2" s="1215"/>
      <c r="AI2" s="1215"/>
      <c r="AJ2" s="1215"/>
      <c r="AK2" s="1215"/>
      <c r="AL2" s="1215"/>
      <c r="AM2" s="1215"/>
      <c r="AN2" s="1215"/>
      <c r="AO2" s="1215"/>
      <c r="AP2" s="1215"/>
      <c r="AQ2" s="1215"/>
      <c r="AR2" s="1215"/>
    </row>
    <row r="3" spans="1:44">
      <c r="A3" s="1282"/>
      <c r="B3" s="1289"/>
      <c r="C3" s="1290" t="s">
        <v>325</v>
      </c>
      <c r="D3" s="1290" t="s">
        <v>154</v>
      </c>
      <c r="E3" s="1291" t="s">
        <v>910</v>
      </c>
      <c r="F3" s="1292" t="s">
        <v>451</v>
      </c>
      <c r="G3" s="1291" t="s">
        <v>911</v>
      </c>
      <c r="H3" s="1293" t="s">
        <v>498</v>
      </c>
      <c r="I3" s="1294" t="s">
        <v>451</v>
      </c>
      <c r="J3" s="1292" t="s">
        <v>498</v>
      </c>
      <c r="K3" s="1295"/>
      <c r="L3" s="1295"/>
      <c r="M3" s="18">
        <f>SUM(M4:M115)</f>
        <v>0</v>
      </c>
      <c r="N3" s="1296">
        <v>1</v>
      </c>
      <c r="O3" s="1297">
        <f t="shared" ref="O3:AQ3" si="0">N3+1</f>
        <v>2</v>
      </c>
      <c r="P3" s="1297">
        <f t="shared" si="0"/>
        <v>3</v>
      </c>
      <c r="Q3" s="1297">
        <f t="shared" si="0"/>
        <v>4</v>
      </c>
      <c r="R3" s="1297">
        <f t="shared" si="0"/>
        <v>5</v>
      </c>
      <c r="S3" s="1297">
        <f t="shared" si="0"/>
        <v>6</v>
      </c>
      <c r="T3" s="1297">
        <f t="shared" si="0"/>
        <v>7</v>
      </c>
      <c r="U3" s="1297">
        <f t="shared" si="0"/>
        <v>8</v>
      </c>
      <c r="V3" s="1297">
        <f t="shared" si="0"/>
        <v>9</v>
      </c>
      <c r="W3" s="1297">
        <f t="shared" si="0"/>
        <v>10</v>
      </c>
      <c r="X3" s="1297">
        <f t="shared" si="0"/>
        <v>11</v>
      </c>
      <c r="Y3" s="1297">
        <f t="shared" si="0"/>
        <v>12</v>
      </c>
      <c r="Z3" s="1297">
        <f t="shared" si="0"/>
        <v>13</v>
      </c>
      <c r="AA3" s="1297">
        <f t="shared" si="0"/>
        <v>14</v>
      </c>
      <c r="AB3" s="1297">
        <f t="shared" si="0"/>
        <v>15</v>
      </c>
      <c r="AC3" s="1297">
        <f t="shared" si="0"/>
        <v>16</v>
      </c>
      <c r="AD3" s="1297">
        <f t="shared" si="0"/>
        <v>17</v>
      </c>
      <c r="AE3" s="1297">
        <f t="shared" si="0"/>
        <v>18</v>
      </c>
      <c r="AF3" s="1297">
        <f t="shared" si="0"/>
        <v>19</v>
      </c>
      <c r="AG3" s="1297">
        <f t="shared" si="0"/>
        <v>20</v>
      </c>
      <c r="AH3" s="1297">
        <f t="shared" si="0"/>
        <v>21</v>
      </c>
      <c r="AI3" s="1297">
        <f t="shared" si="0"/>
        <v>22</v>
      </c>
      <c r="AJ3" s="1297">
        <f t="shared" si="0"/>
        <v>23</v>
      </c>
      <c r="AK3" s="1297">
        <f t="shared" si="0"/>
        <v>24</v>
      </c>
      <c r="AL3" s="1297">
        <f t="shared" si="0"/>
        <v>25</v>
      </c>
      <c r="AM3" s="1297">
        <f t="shared" si="0"/>
        <v>26</v>
      </c>
      <c r="AN3" s="1297">
        <f t="shared" si="0"/>
        <v>27</v>
      </c>
      <c r="AO3" s="1297">
        <f t="shared" si="0"/>
        <v>28</v>
      </c>
      <c r="AP3" s="1297">
        <f t="shared" si="0"/>
        <v>29</v>
      </c>
      <c r="AQ3" s="1297">
        <f t="shared" si="0"/>
        <v>30</v>
      </c>
      <c r="AR3" s="1215"/>
    </row>
    <row r="4" spans="1:44">
      <c r="A4" s="1282"/>
      <c r="B4" s="1298" t="s">
        <v>912</v>
      </c>
      <c r="C4" s="1299">
        <f ca="1">C141</f>
        <v>57973.052657378626</v>
      </c>
      <c r="D4" s="1300">
        <f ca="1">D141</f>
        <v>770.30364944696544</v>
      </c>
      <c r="E4" s="1301"/>
      <c r="F4" s="1301"/>
      <c r="G4" s="1301"/>
      <c r="H4" s="1301"/>
      <c r="I4" s="1301"/>
      <c r="J4" s="1301"/>
      <c r="K4" s="1301"/>
      <c r="L4" s="1117"/>
      <c r="M4" s="18"/>
      <c r="N4" s="1302"/>
      <c r="O4" s="1297"/>
      <c r="P4" s="1297"/>
      <c r="Q4" s="1297"/>
      <c r="R4" s="1297"/>
      <c r="S4" s="1297"/>
      <c r="T4" s="1297"/>
      <c r="U4" s="1297"/>
      <c r="V4" s="1297"/>
      <c r="W4" s="1297"/>
      <c r="X4" s="1297"/>
      <c r="Y4" s="1297"/>
      <c r="Z4" s="1297"/>
      <c r="AA4" s="1297"/>
      <c r="AB4" s="1297"/>
      <c r="AC4" s="1297"/>
      <c r="AD4" s="1297"/>
      <c r="AE4" s="1297"/>
      <c r="AF4" s="1297"/>
      <c r="AG4" s="1297"/>
      <c r="AH4" s="1297"/>
      <c r="AI4" s="1297"/>
      <c r="AJ4" s="1297"/>
      <c r="AK4" s="1297"/>
      <c r="AL4" s="1297"/>
      <c r="AM4" s="1297"/>
      <c r="AN4" s="1297"/>
      <c r="AO4" s="1297"/>
      <c r="AP4" s="1297"/>
      <c r="AQ4" s="1297"/>
      <c r="AR4" s="1215"/>
    </row>
    <row r="5" spans="1:44" ht="15">
      <c r="A5" s="1215"/>
      <c r="B5" s="1215"/>
      <c r="C5" s="1303"/>
      <c r="D5" s="1304"/>
      <c r="E5" s="1301"/>
      <c r="F5" s="1301"/>
      <c r="G5" s="1301"/>
      <c r="H5" s="1301"/>
      <c r="I5" s="1301"/>
      <c r="J5" s="1305"/>
      <c r="K5" s="1301"/>
      <c r="L5" s="1117"/>
      <c r="M5" s="18"/>
      <c r="N5" s="1149"/>
      <c r="O5" s="1297"/>
      <c r="P5" s="1297"/>
      <c r="Q5" s="1297"/>
      <c r="R5" s="1297"/>
      <c r="S5" s="1297"/>
      <c r="T5" s="1297"/>
      <c r="U5" s="1297"/>
      <c r="V5" s="1297"/>
      <c r="W5" s="1297"/>
      <c r="X5" s="1297"/>
      <c r="Y5" s="1297"/>
      <c r="Z5" s="1297"/>
      <c r="AA5" s="1297"/>
      <c r="AB5" s="1297"/>
      <c r="AC5" s="1297"/>
      <c r="AD5" s="1297"/>
      <c r="AE5" s="1297"/>
      <c r="AF5" s="1297"/>
      <c r="AG5" s="1297"/>
      <c r="AH5" s="1297"/>
      <c r="AI5" s="1297"/>
      <c r="AJ5" s="1297"/>
      <c r="AK5" s="1297"/>
      <c r="AL5" s="1297"/>
      <c r="AM5" s="1297"/>
      <c r="AN5" s="1297"/>
      <c r="AO5" s="1297"/>
      <c r="AP5" s="1297"/>
      <c r="AQ5" s="1297"/>
      <c r="AR5" s="1215"/>
    </row>
    <row r="6" spans="1:44">
      <c r="A6" s="1306" t="s">
        <v>913</v>
      </c>
      <c r="B6" s="1167" t="s">
        <v>571</v>
      </c>
      <c r="C6" s="1307">
        <f>SUM(C7:C8)</f>
        <v>10912.7</v>
      </c>
      <c r="D6" s="1308">
        <f t="shared" ref="D6:D11" si="1">C6/C$150</f>
        <v>145</v>
      </c>
      <c r="E6" s="1309"/>
      <c r="F6" s="1310"/>
      <c r="G6" s="1290"/>
      <c r="H6" s="1311"/>
      <c r="I6" s="1290"/>
      <c r="J6" s="1312"/>
      <c r="K6" s="1313"/>
      <c r="L6" s="1111"/>
      <c r="M6" s="1314">
        <f>(ABS(SUMIF(N$3:AQ$3,"&lt;="&amp;$C$149,N6:AQ6)-1)+ABS(SUM(N6:AQ6)-1))*(C6&lt;&gt;0)</f>
        <v>0</v>
      </c>
      <c r="N6" s="1315">
        <f>SUMPRODUCT(N7:N8,$C7:$C8)/IF($C6&lt;&gt;0,$C6,1)</f>
        <v>8.3333333333333329E-2</v>
      </c>
      <c r="O6" s="1315">
        <f t="shared" ref="O6:AQ6" si="2">SUMPRODUCT(O7:O8,$C7:$C8)/IF($C6&lt;&gt;0,$C6,1)</f>
        <v>8.3333333333333329E-2</v>
      </c>
      <c r="P6" s="1315">
        <f t="shared" si="2"/>
        <v>8.3333333333333329E-2</v>
      </c>
      <c r="Q6" s="1315">
        <f t="shared" si="2"/>
        <v>8.3333333333333329E-2</v>
      </c>
      <c r="R6" s="1315">
        <f t="shared" si="2"/>
        <v>8.3333333333333329E-2</v>
      </c>
      <c r="S6" s="1315">
        <f t="shared" si="2"/>
        <v>8.3333333333333329E-2</v>
      </c>
      <c r="T6" s="1315">
        <f t="shared" si="2"/>
        <v>8.3333333333333329E-2</v>
      </c>
      <c r="U6" s="1315">
        <f t="shared" si="2"/>
        <v>8.3333333333333329E-2</v>
      </c>
      <c r="V6" s="1315">
        <f t="shared" si="2"/>
        <v>8.3333333333333329E-2</v>
      </c>
      <c r="W6" s="1315">
        <f t="shared" si="2"/>
        <v>8.3333333333333329E-2</v>
      </c>
      <c r="X6" s="1315">
        <f t="shared" si="2"/>
        <v>8.3333333333333329E-2</v>
      </c>
      <c r="Y6" s="1315">
        <f t="shared" si="2"/>
        <v>8.3333333333333329E-2</v>
      </c>
      <c r="Z6" s="1315">
        <f t="shared" si="2"/>
        <v>0</v>
      </c>
      <c r="AA6" s="1315">
        <f t="shared" si="2"/>
        <v>0</v>
      </c>
      <c r="AB6" s="1315">
        <f t="shared" si="2"/>
        <v>0</v>
      </c>
      <c r="AC6" s="1315">
        <f t="shared" si="2"/>
        <v>0</v>
      </c>
      <c r="AD6" s="1315">
        <f t="shared" si="2"/>
        <v>0</v>
      </c>
      <c r="AE6" s="1315">
        <f t="shared" si="2"/>
        <v>0</v>
      </c>
      <c r="AF6" s="1315">
        <f t="shared" si="2"/>
        <v>0</v>
      </c>
      <c r="AG6" s="1315">
        <f t="shared" si="2"/>
        <v>0</v>
      </c>
      <c r="AH6" s="1315">
        <f t="shared" si="2"/>
        <v>0</v>
      </c>
      <c r="AI6" s="1315">
        <f t="shared" si="2"/>
        <v>0</v>
      </c>
      <c r="AJ6" s="1315">
        <f t="shared" si="2"/>
        <v>0</v>
      </c>
      <c r="AK6" s="1315">
        <f t="shared" si="2"/>
        <v>0</v>
      </c>
      <c r="AL6" s="1315">
        <f t="shared" si="2"/>
        <v>0</v>
      </c>
      <c r="AM6" s="1315">
        <f t="shared" si="2"/>
        <v>0</v>
      </c>
      <c r="AN6" s="1315">
        <f t="shared" si="2"/>
        <v>0</v>
      </c>
      <c r="AO6" s="1315">
        <f t="shared" si="2"/>
        <v>0</v>
      </c>
      <c r="AP6" s="1315">
        <f t="shared" si="2"/>
        <v>0</v>
      </c>
      <c r="AQ6" s="1315">
        <f t="shared" si="2"/>
        <v>0</v>
      </c>
      <c r="AR6" s="1316"/>
    </row>
    <row r="7" spans="1:44" outlineLevel="1">
      <c r="A7" s="1306" t="s">
        <v>914</v>
      </c>
      <c r="B7" s="1317" t="s">
        <v>915</v>
      </c>
      <c r="C7" s="1523">
        <f>Scenarios!E29</f>
        <v>10912.7</v>
      </c>
      <c r="D7" s="1308">
        <f t="shared" si="1"/>
        <v>145</v>
      </c>
      <c r="E7" s="1467">
        <v>0</v>
      </c>
      <c r="F7" s="1173">
        <f>E7*C7</f>
        <v>0</v>
      </c>
      <c r="G7" s="1318">
        <v>0</v>
      </c>
      <c r="H7" s="1319">
        <f>C7*G7*$C$156</f>
        <v>0</v>
      </c>
      <c r="I7" s="1318">
        <v>0</v>
      </c>
      <c r="J7" s="1319">
        <f>C7*I7/(1-I7)</f>
        <v>0</v>
      </c>
      <c r="K7" s="1320">
        <v>1</v>
      </c>
      <c r="L7" s="1111"/>
      <c r="M7" s="18"/>
      <c r="N7" s="1321">
        <f t="shared" ref="N7:W8" si="3">1/$C$149*(N$3&lt;=$C$149)</f>
        <v>8.3333333333333329E-2</v>
      </c>
      <c r="O7" s="1321">
        <f t="shared" si="3"/>
        <v>8.3333333333333329E-2</v>
      </c>
      <c r="P7" s="1321">
        <f t="shared" si="3"/>
        <v>8.3333333333333329E-2</v>
      </c>
      <c r="Q7" s="1321">
        <f t="shared" si="3"/>
        <v>8.3333333333333329E-2</v>
      </c>
      <c r="R7" s="1321">
        <f t="shared" si="3"/>
        <v>8.3333333333333329E-2</v>
      </c>
      <c r="S7" s="1321">
        <f t="shared" si="3"/>
        <v>8.3333333333333329E-2</v>
      </c>
      <c r="T7" s="1321">
        <f t="shared" si="3"/>
        <v>8.3333333333333329E-2</v>
      </c>
      <c r="U7" s="1321">
        <f t="shared" si="3"/>
        <v>8.3333333333333329E-2</v>
      </c>
      <c r="V7" s="1321">
        <f t="shared" si="3"/>
        <v>8.3333333333333329E-2</v>
      </c>
      <c r="W7" s="1321">
        <f t="shared" si="3"/>
        <v>8.3333333333333329E-2</v>
      </c>
      <c r="X7" s="1321">
        <f t="shared" ref="X7:AG8" si="4">1/$C$149*(X$3&lt;=$C$149)</f>
        <v>8.3333333333333329E-2</v>
      </c>
      <c r="Y7" s="1321">
        <f t="shared" si="4"/>
        <v>8.3333333333333329E-2</v>
      </c>
      <c r="Z7" s="1321">
        <f t="shared" si="4"/>
        <v>0</v>
      </c>
      <c r="AA7" s="1321">
        <f t="shared" si="4"/>
        <v>0</v>
      </c>
      <c r="AB7" s="1321">
        <f t="shared" si="4"/>
        <v>0</v>
      </c>
      <c r="AC7" s="1321">
        <f t="shared" si="4"/>
        <v>0</v>
      </c>
      <c r="AD7" s="1321">
        <f t="shared" si="4"/>
        <v>0</v>
      </c>
      <c r="AE7" s="1321">
        <f t="shared" si="4"/>
        <v>0</v>
      </c>
      <c r="AF7" s="1321">
        <f t="shared" si="4"/>
        <v>0</v>
      </c>
      <c r="AG7" s="1321">
        <f t="shared" si="4"/>
        <v>0</v>
      </c>
      <c r="AH7" s="1321">
        <f t="shared" ref="AH7:AQ8" si="5">1/$C$149*(AH$3&lt;=$C$149)</f>
        <v>0</v>
      </c>
      <c r="AI7" s="1321">
        <f t="shared" si="5"/>
        <v>0</v>
      </c>
      <c r="AJ7" s="1321">
        <f t="shared" si="5"/>
        <v>0</v>
      </c>
      <c r="AK7" s="1321">
        <f t="shared" si="5"/>
        <v>0</v>
      </c>
      <c r="AL7" s="1321">
        <f t="shared" si="5"/>
        <v>0</v>
      </c>
      <c r="AM7" s="1321">
        <f t="shared" si="5"/>
        <v>0</v>
      </c>
      <c r="AN7" s="1321">
        <f t="shared" si="5"/>
        <v>0</v>
      </c>
      <c r="AO7" s="1321">
        <f t="shared" si="5"/>
        <v>0</v>
      </c>
      <c r="AP7" s="1321">
        <f t="shared" si="5"/>
        <v>0</v>
      </c>
      <c r="AQ7" s="1321">
        <f t="shared" si="5"/>
        <v>0</v>
      </c>
      <c r="AR7" s="1316"/>
    </row>
    <row r="8" spans="1:44" outlineLevel="1">
      <c r="A8" s="1306"/>
      <c r="B8" s="1317" t="s">
        <v>916</v>
      </c>
      <c r="C8" s="1522">
        <v>0</v>
      </c>
      <c r="D8" s="1322">
        <f t="shared" si="1"/>
        <v>0</v>
      </c>
      <c r="E8" s="1318">
        <v>0.06</v>
      </c>
      <c r="F8" s="1173">
        <v>0</v>
      </c>
      <c r="G8" s="1318">
        <v>1</v>
      </c>
      <c r="H8" s="1319">
        <f>C8*G8*$C$156</f>
        <v>0</v>
      </c>
      <c r="I8" s="1318">
        <v>0</v>
      </c>
      <c r="J8" s="1319">
        <v>0</v>
      </c>
      <c r="K8" s="1323">
        <v>1</v>
      </c>
      <c r="L8" s="1111"/>
      <c r="M8" s="18"/>
      <c r="N8" s="1321">
        <f t="shared" si="3"/>
        <v>8.3333333333333329E-2</v>
      </c>
      <c r="O8" s="1321">
        <f t="shared" si="3"/>
        <v>8.3333333333333329E-2</v>
      </c>
      <c r="P8" s="1321">
        <f t="shared" si="3"/>
        <v>8.3333333333333329E-2</v>
      </c>
      <c r="Q8" s="1321">
        <f t="shared" si="3"/>
        <v>8.3333333333333329E-2</v>
      </c>
      <c r="R8" s="1321">
        <f t="shared" si="3"/>
        <v>8.3333333333333329E-2</v>
      </c>
      <c r="S8" s="1321">
        <f t="shared" si="3"/>
        <v>8.3333333333333329E-2</v>
      </c>
      <c r="T8" s="1321">
        <f t="shared" si="3"/>
        <v>8.3333333333333329E-2</v>
      </c>
      <c r="U8" s="1321">
        <f t="shared" si="3"/>
        <v>8.3333333333333329E-2</v>
      </c>
      <c r="V8" s="1321">
        <f t="shared" si="3"/>
        <v>8.3333333333333329E-2</v>
      </c>
      <c r="W8" s="1321">
        <f t="shared" si="3"/>
        <v>8.3333333333333329E-2</v>
      </c>
      <c r="X8" s="1321">
        <f t="shared" si="4"/>
        <v>8.3333333333333329E-2</v>
      </c>
      <c r="Y8" s="1321">
        <f t="shared" si="4"/>
        <v>8.3333333333333329E-2</v>
      </c>
      <c r="Z8" s="1321">
        <f t="shared" si="4"/>
        <v>0</v>
      </c>
      <c r="AA8" s="1321">
        <f t="shared" si="4"/>
        <v>0</v>
      </c>
      <c r="AB8" s="1321">
        <f t="shared" si="4"/>
        <v>0</v>
      </c>
      <c r="AC8" s="1321">
        <f t="shared" si="4"/>
        <v>0</v>
      </c>
      <c r="AD8" s="1321">
        <f t="shared" si="4"/>
        <v>0</v>
      </c>
      <c r="AE8" s="1321">
        <f t="shared" si="4"/>
        <v>0</v>
      </c>
      <c r="AF8" s="1321">
        <f t="shared" si="4"/>
        <v>0</v>
      </c>
      <c r="AG8" s="1321">
        <f t="shared" si="4"/>
        <v>0</v>
      </c>
      <c r="AH8" s="1321">
        <f t="shared" si="5"/>
        <v>0</v>
      </c>
      <c r="AI8" s="1321">
        <f t="shared" si="5"/>
        <v>0</v>
      </c>
      <c r="AJ8" s="1321">
        <f t="shared" si="5"/>
        <v>0</v>
      </c>
      <c r="AK8" s="1321">
        <f t="shared" si="5"/>
        <v>0</v>
      </c>
      <c r="AL8" s="1321">
        <f t="shared" si="5"/>
        <v>0</v>
      </c>
      <c r="AM8" s="1321">
        <f t="shared" si="5"/>
        <v>0</v>
      </c>
      <c r="AN8" s="1321">
        <f t="shared" si="5"/>
        <v>0</v>
      </c>
      <c r="AO8" s="1321">
        <f t="shared" si="5"/>
        <v>0</v>
      </c>
      <c r="AP8" s="1321">
        <f t="shared" si="5"/>
        <v>0</v>
      </c>
      <c r="AQ8" s="1321">
        <f t="shared" si="5"/>
        <v>0</v>
      </c>
      <c r="AR8" s="1316"/>
    </row>
    <row r="9" spans="1:44">
      <c r="A9" s="1283" t="s">
        <v>917</v>
      </c>
      <c r="B9" s="1167" t="s">
        <v>162</v>
      </c>
      <c r="C9" s="1307">
        <f>SUM(C10:C12)</f>
        <v>26430</v>
      </c>
      <c r="D9" s="1308">
        <f t="shared" si="1"/>
        <v>351.18256710071751</v>
      </c>
      <c r="E9" s="1324"/>
      <c r="F9" s="18"/>
      <c r="G9" s="1325"/>
      <c r="H9" s="1326"/>
      <c r="I9" s="1325"/>
      <c r="J9" s="1326"/>
      <c r="K9" s="1290"/>
      <c r="L9" s="1111"/>
      <c r="M9" s="1314">
        <f>(ABS(SUMIF(N$3:AQ$3,"&lt;="&amp;$C$149,N9:AQ9)-1)+ABS(SUM(N9:AQ9)-1))*(C9&lt;&gt;0)</f>
        <v>0</v>
      </c>
      <c r="N9" s="1315">
        <f>SUMPRODUCT(N10:N12,$C10:$C12)/IF($C9&lt;&gt;0,$C9,1)</f>
        <v>8.3333333333333329E-2</v>
      </c>
      <c r="O9" s="1315">
        <f t="shared" ref="O9:AQ9" si="6">SUMPRODUCT(O10:O12,$C10:$C12)/IF($C9&lt;&gt;0,$C9,1)</f>
        <v>8.3333333333333329E-2</v>
      </c>
      <c r="P9" s="1315">
        <f t="shared" si="6"/>
        <v>8.3333333333333329E-2</v>
      </c>
      <c r="Q9" s="1315">
        <f t="shared" si="6"/>
        <v>8.3333333333333329E-2</v>
      </c>
      <c r="R9" s="1315">
        <f t="shared" si="6"/>
        <v>8.3333333333333329E-2</v>
      </c>
      <c r="S9" s="1315">
        <f t="shared" si="6"/>
        <v>8.3333333333333329E-2</v>
      </c>
      <c r="T9" s="1315">
        <f t="shared" si="6"/>
        <v>8.3333333333333329E-2</v>
      </c>
      <c r="U9" s="1315">
        <f t="shared" si="6"/>
        <v>8.3333333333333329E-2</v>
      </c>
      <c r="V9" s="1315">
        <f t="shared" si="6"/>
        <v>8.3333333333333329E-2</v>
      </c>
      <c r="W9" s="1315">
        <f t="shared" si="6"/>
        <v>8.3333333333333329E-2</v>
      </c>
      <c r="X9" s="1315">
        <f t="shared" si="6"/>
        <v>8.3333333333333329E-2</v>
      </c>
      <c r="Y9" s="1315">
        <f t="shared" si="6"/>
        <v>8.3333333333333329E-2</v>
      </c>
      <c r="Z9" s="1315">
        <f t="shared" si="6"/>
        <v>0</v>
      </c>
      <c r="AA9" s="1315">
        <f t="shared" si="6"/>
        <v>0</v>
      </c>
      <c r="AB9" s="1315">
        <f t="shared" si="6"/>
        <v>0</v>
      </c>
      <c r="AC9" s="1315">
        <f t="shared" si="6"/>
        <v>0</v>
      </c>
      <c r="AD9" s="1315">
        <f t="shared" si="6"/>
        <v>0</v>
      </c>
      <c r="AE9" s="1315">
        <f t="shared" si="6"/>
        <v>0</v>
      </c>
      <c r="AF9" s="1315">
        <f t="shared" si="6"/>
        <v>0</v>
      </c>
      <c r="AG9" s="1315">
        <f t="shared" si="6"/>
        <v>0</v>
      </c>
      <c r="AH9" s="1315">
        <f t="shared" si="6"/>
        <v>0</v>
      </c>
      <c r="AI9" s="1315">
        <f t="shared" si="6"/>
        <v>0</v>
      </c>
      <c r="AJ9" s="1315">
        <f t="shared" si="6"/>
        <v>0</v>
      </c>
      <c r="AK9" s="1315">
        <f t="shared" si="6"/>
        <v>0</v>
      </c>
      <c r="AL9" s="1315">
        <f t="shared" si="6"/>
        <v>0</v>
      </c>
      <c r="AM9" s="1315">
        <f t="shared" si="6"/>
        <v>0</v>
      </c>
      <c r="AN9" s="1315">
        <f t="shared" si="6"/>
        <v>0</v>
      </c>
      <c r="AO9" s="1315">
        <f t="shared" si="6"/>
        <v>0</v>
      </c>
      <c r="AP9" s="1315">
        <f t="shared" si="6"/>
        <v>0</v>
      </c>
      <c r="AQ9" s="1315">
        <f t="shared" si="6"/>
        <v>0</v>
      </c>
      <c r="AR9" s="1316"/>
    </row>
    <row r="10" spans="1:44">
      <c r="A10" s="1283" t="s">
        <v>918</v>
      </c>
      <c r="B10" s="1152" t="s">
        <v>575</v>
      </c>
      <c r="C10" s="1523">
        <f>Scenarios!E31</f>
        <v>17118</v>
      </c>
      <c r="D10" s="1308">
        <f t="shared" si="1"/>
        <v>227.45150146159978</v>
      </c>
      <c r="E10" s="1318">
        <v>0.06</v>
      </c>
      <c r="F10" s="1173">
        <f>E10*C10</f>
        <v>1027.08</v>
      </c>
      <c r="G10" s="1318">
        <v>1</v>
      </c>
      <c r="H10" s="1319">
        <f>C10*G10*$C$156</f>
        <v>2910.0600000000004</v>
      </c>
      <c r="I10" s="1318">
        <v>0</v>
      </c>
      <c r="J10" s="1327">
        <f>C10*I10/(1-I10)</f>
        <v>0</v>
      </c>
      <c r="K10" s="1328">
        <v>1</v>
      </c>
      <c r="L10" s="1111"/>
      <c r="M10" s="18"/>
      <c r="N10" s="1321">
        <f t="shared" ref="N10:W12" si="7">1/$C$149*(N$3&lt;=$C$149)</f>
        <v>8.3333333333333329E-2</v>
      </c>
      <c r="O10" s="1321">
        <f t="shared" si="7"/>
        <v>8.3333333333333329E-2</v>
      </c>
      <c r="P10" s="1321">
        <f t="shared" si="7"/>
        <v>8.3333333333333329E-2</v>
      </c>
      <c r="Q10" s="1321">
        <f t="shared" si="7"/>
        <v>8.3333333333333329E-2</v>
      </c>
      <c r="R10" s="1321">
        <f t="shared" si="7"/>
        <v>8.3333333333333329E-2</v>
      </c>
      <c r="S10" s="1321">
        <f t="shared" si="7"/>
        <v>8.3333333333333329E-2</v>
      </c>
      <c r="T10" s="1321">
        <f t="shared" si="7"/>
        <v>8.3333333333333329E-2</v>
      </c>
      <c r="U10" s="1321">
        <f t="shared" si="7"/>
        <v>8.3333333333333329E-2</v>
      </c>
      <c r="V10" s="1321">
        <f t="shared" si="7"/>
        <v>8.3333333333333329E-2</v>
      </c>
      <c r="W10" s="1321">
        <f t="shared" si="7"/>
        <v>8.3333333333333329E-2</v>
      </c>
      <c r="X10" s="1321">
        <f t="shared" ref="X10:AG12" si="8">1/$C$149*(X$3&lt;=$C$149)</f>
        <v>8.3333333333333329E-2</v>
      </c>
      <c r="Y10" s="1321">
        <f t="shared" si="8"/>
        <v>8.3333333333333329E-2</v>
      </c>
      <c r="Z10" s="1321">
        <f t="shared" si="8"/>
        <v>0</v>
      </c>
      <c r="AA10" s="1321">
        <f t="shared" si="8"/>
        <v>0</v>
      </c>
      <c r="AB10" s="1321">
        <f t="shared" si="8"/>
        <v>0</v>
      </c>
      <c r="AC10" s="1321">
        <f t="shared" si="8"/>
        <v>0</v>
      </c>
      <c r="AD10" s="1321">
        <f t="shared" si="8"/>
        <v>0</v>
      </c>
      <c r="AE10" s="1321">
        <f t="shared" si="8"/>
        <v>0</v>
      </c>
      <c r="AF10" s="1321">
        <f t="shared" si="8"/>
        <v>0</v>
      </c>
      <c r="AG10" s="1321">
        <f t="shared" si="8"/>
        <v>0</v>
      </c>
      <c r="AH10" s="1321">
        <f t="shared" ref="AH10:AQ12" si="9">1/$C$149*(AH$3&lt;=$C$149)</f>
        <v>0</v>
      </c>
      <c r="AI10" s="1321">
        <f t="shared" si="9"/>
        <v>0</v>
      </c>
      <c r="AJ10" s="1321">
        <f t="shared" si="9"/>
        <v>0</v>
      </c>
      <c r="AK10" s="1321">
        <f t="shared" si="9"/>
        <v>0</v>
      </c>
      <c r="AL10" s="1321">
        <f t="shared" si="9"/>
        <v>0</v>
      </c>
      <c r="AM10" s="1321">
        <f t="shared" si="9"/>
        <v>0</v>
      </c>
      <c r="AN10" s="1321">
        <f t="shared" si="9"/>
        <v>0</v>
      </c>
      <c r="AO10" s="1321">
        <f t="shared" si="9"/>
        <v>0</v>
      </c>
      <c r="AP10" s="1321">
        <f t="shared" si="9"/>
        <v>0</v>
      </c>
      <c r="AQ10" s="1321">
        <f t="shared" si="9"/>
        <v>0</v>
      </c>
      <c r="AR10" s="1316"/>
    </row>
    <row r="11" spans="1:44">
      <c r="A11" s="1283"/>
      <c r="B11" s="1152" t="s">
        <v>582</v>
      </c>
      <c r="C11" s="1523">
        <f>Scenarios!J39</f>
        <v>9312</v>
      </c>
      <c r="D11" s="1308">
        <f t="shared" si="1"/>
        <v>123.73106563911772</v>
      </c>
      <c r="E11" s="1318">
        <v>0.06</v>
      </c>
      <c r="F11" s="1173">
        <f>E11*C11</f>
        <v>558.72</v>
      </c>
      <c r="G11" s="1318">
        <v>1</v>
      </c>
      <c r="H11" s="1319">
        <f>C11*G11*$C$156</f>
        <v>1583.0400000000002</v>
      </c>
      <c r="I11" s="1318">
        <v>0</v>
      </c>
      <c r="J11" s="1327">
        <f>C11*I11/(1-I11)</f>
        <v>0</v>
      </c>
      <c r="K11" s="1328">
        <v>1</v>
      </c>
      <c r="L11" s="1111"/>
      <c r="M11" s="18"/>
      <c r="N11" s="1321">
        <f t="shared" si="7"/>
        <v>8.3333333333333329E-2</v>
      </c>
      <c r="O11" s="1321">
        <f t="shared" si="7"/>
        <v>8.3333333333333329E-2</v>
      </c>
      <c r="P11" s="1321">
        <f t="shared" si="7"/>
        <v>8.3333333333333329E-2</v>
      </c>
      <c r="Q11" s="1321">
        <f t="shared" si="7"/>
        <v>8.3333333333333329E-2</v>
      </c>
      <c r="R11" s="1321">
        <f t="shared" si="7"/>
        <v>8.3333333333333329E-2</v>
      </c>
      <c r="S11" s="1321">
        <f t="shared" si="7"/>
        <v>8.3333333333333329E-2</v>
      </c>
      <c r="T11" s="1321">
        <f t="shared" si="7"/>
        <v>8.3333333333333329E-2</v>
      </c>
      <c r="U11" s="1321">
        <f t="shared" si="7"/>
        <v>8.3333333333333329E-2</v>
      </c>
      <c r="V11" s="1321">
        <f t="shared" si="7"/>
        <v>8.3333333333333329E-2</v>
      </c>
      <c r="W11" s="1321">
        <f t="shared" si="7"/>
        <v>8.3333333333333329E-2</v>
      </c>
      <c r="X11" s="1321">
        <f t="shared" si="8"/>
        <v>8.3333333333333329E-2</v>
      </c>
      <c r="Y11" s="1321">
        <f t="shared" si="8"/>
        <v>8.3333333333333329E-2</v>
      </c>
      <c r="Z11" s="1321">
        <f t="shared" si="8"/>
        <v>0</v>
      </c>
      <c r="AA11" s="1321">
        <f t="shared" si="8"/>
        <v>0</v>
      </c>
      <c r="AB11" s="1321">
        <f t="shared" si="8"/>
        <v>0</v>
      </c>
      <c r="AC11" s="1321">
        <f t="shared" si="8"/>
        <v>0</v>
      </c>
      <c r="AD11" s="1321">
        <f t="shared" si="8"/>
        <v>0</v>
      </c>
      <c r="AE11" s="1321">
        <f t="shared" si="8"/>
        <v>0</v>
      </c>
      <c r="AF11" s="1321">
        <f t="shared" si="8"/>
        <v>0</v>
      </c>
      <c r="AG11" s="1321">
        <f t="shared" si="8"/>
        <v>0</v>
      </c>
      <c r="AH11" s="1321">
        <f t="shared" si="9"/>
        <v>0</v>
      </c>
      <c r="AI11" s="1321">
        <f t="shared" si="9"/>
        <v>0</v>
      </c>
      <c r="AJ11" s="1321">
        <f t="shared" si="9"/>
        <v>0</v>
      </c>
      <c r="AK11" s="1321">
        <f t="shared" si="9"/>
        <v>0</v>
      </c>
      <c r="AL11" s="1321">
        <f t="shared" si="9"/>
        <v>0</v>
      </c>
      <c r="AM11" s="1321">
        <f t="shared" si="9"/>
        <v>0</v>
      </c>
      <c r="AN11" s="1321">
        <f t="shared" si="9"/>
        <v>0</v>
      </c>
      <c r="AO11" s="1321">
        <f t="shared" si="9"/>
        <v>0</v>
      </c>
      <c r="AP11" s="1321">
        <f t="shared" si="9"/>
        <v>0</v>
      </c>
      <c r="AQ11" s="1321">
        <f t="shared" si="9"/>
        <v>0</v>
      </c>
      <c r="AR11" s="1316"/>
    </row>
    <row r="12" spans="1:44">
      <c r="A12" s="1283"/>
      <c r="B12" s="1668" t="s">
        <v>592</v>
      </c>
      <c r="C12" s="1669">
        <f>Scenarios!E50</f>
        <v>0</v>
      </c>
      <c r="D12" s="1308"/>
      <c r="E12" s="1318">
        <v>0.06</v>
      </c>
      <c r="F12" s="1173">
        <f>E12*C12</f>
        <v>0</v>
      </c>
      <c r="G12" s="1318">
        <v>1</v>
      </c>
      <c r="H12" s="1319">
        <f>C12*G12*$C$156</f>
        <v>0</v>
      </c>
      <c r="I12" s="1318">
        <v>0</v>
      </c>
      <c r="J12" s="1327">
        <f>C12*I12/(1-I12)</f>
        <v>0</v>
      </c>
      <c r="K12" s="1328">
        <v>1</v>
      </c>
      <c r="L12" s="1111"/>
      <c r="M12" s="18"/>
      <c r="N12" s="1321">
        <f t="shared" si="7"/>
        <v>8.3333333333333329E-2</v>
      </c>
      <c r="O12" s="1321">
        <f t="shared" si="7"/>
        <v>8.3333333333333329E-2</v>
      </c>
      <c r="P12" s="1321">
        <f t="shared" si="7"/>
        <v>8.3333333333333329E-2</v>
      </c>
      <c r="Q12" s="1321">
        <f t="shared" si="7"/>
        <v>8.3333333333333329E-2</v>
      </c>
      <c r="R12" s="1321">
        <f t="shared" si="7"/>
        <v>8.3333333333333329E-2</v>
      </c>
      <c r="S12" s="1321">
        <f t="shared" si="7"/>
        <v>8.3333333333333329E-2</v>
      </c>
      <c r="T12" s="1321">
        <f t="shared" si="7"/>
        <v>8.3333333333333329E-2</v>
      </c>
      <c r="U12" s="1321">
        <f t="shared" si="7"/>
        <v>8.3333333333333329E-2</v>
      </c>
      <c r="V12" s="1321">
        <f t="shared" si="7"/>
        <v>8.3333333333333329E-2</v>
      </c>
      <c r="W12" s="1321">
        <f t="shared" si="7"/>
        <v>8.3333333333333329E-2</v>
      </c>
      <c r="X12" s="1321">
        <f t="shared" si="8"/>
        <v>8.3333333333333329E-2</v>
      </c>
      <c r="Y12" s="1321">
        <f t="shared" si="8"/>
        <v>8.3333333333333329E-2</v>
      </c>
      <c r="Z12" s="1321">
        <f t="shared" si="8"/>
        <v>0</v>
      </c>
      <c r="AA12" s="1321">
        <f t="shared" si="8"/>
        <v>0</v>
      </c>
      <c r="AB12" s="1321">
        <f t="shared" si="8"/>
        <v>0</v>
      </c>
      <c r="AC12" s="1321">
        <f t="shared" si="8"/>
        <v>0</v>
      </c>
      <c r="AD12" s="1321">
        <f t="shared" si="8"/>
        <v>0</v>
      </c>
      <c r="AE12" s="1321">
        <f t="shared" si="8"/>
        <v>0</v>
      </c>
      <c r="AF12" s="1321">
        <f t="shared" si="8"/>
        <v>0</v>
      </c>
      <c r="AG12" s="1321">
        <f t="shared" si="8"/>
        <v>0</v>
      </c>
      <c r="AH12" s="1321">
        <f t="shared" si="9"/>
        <v>0</v>
      </c>
      <c r="AI12" s="1321">
        <f t="shared" si="9"/>
        <v>0</v>
      </c>
      <c r="AJ12" s="1321">
        <f t="shared" si="9"/>
        <v>0</v>
      </c>
      <c r="AK12" s="1321">
        <f t="shared" si="9"/>
        <v>0</v>
      </c>
      <c r="AL12" s="1321">
        <f t="shared" si="9"/>
        <v>0</v>
      </c>
      <c r="AM12" s="1321">
        <f t="shared" si="9"/>
        <v>0</v>
      </c>
      <c r="AN12" s="1321">
        <f t="shared" si="9"/>
        <v>0</v>
      </c>
      <c r="AO12" s="1321">
        <f t="shared" si="9"/>
        <v>0</v>
      </c>
      <c r="AP12" s="1321">
        <f t="shared" si="9"/>
        <v>0</v>
      </c>
      <c r="AQ12" s="1321">
        <f t="shared" si="9"/>
        <v>0</v>
      </c>
      <c r="AR12" s="1316"/>
    </row>
    <row r="13" spans="1:44" s="1107" customFormat="1">
      <c r="A13" s="1283" t="s">
        <v>919</v>
      </c>
      <c r="B13" s="1167" t="s">
        <v>599</v>
      </c>
      <c r="C13" s="1307">
        <f>SUM(C14:C17)</f>
        <v>2014</v>
      </c>
      <c r="D13" s="1308">
        <f t="shared" ref="D13:D34" si="10">C13/C$150</f>
        <v>26.760563380281688</v>
      </c>
      <c r="E13" s="1324"/>
      <c r="F13" s="1330"/>
      <c r="G13" s="1188"/>
      <c r="H13" s="1331"/>
      <c r="I13" s="1188"/>
      <c r="J13" s="1331"/>
      <c r="K13" s="1332"/>
      <c r="L13" s="1111"/>
      <c r="M13" s="1314">
        <f>(ABS(SUMIF(N$3:AQ$3,"&lt;="&amp;$C$149,N13:AQ13)-1)+ABS(SUM(N13:AQ13)-1))*(C13&lt;&gt;0)</f>
        <v>0</v>
      </c>
      <c r="N13" s="1315">
        <f t="shared" ref="N13:AQ13" si="11">SUMPRODUCT(N14:N17,$C14:$C17)/IF($C13&lt;&gt;0,$C13,1)</f>
        <v>8.3333333333333329E-2</v>
      </c>
      <c r="O13" s="1315">
        <f t="shared" si="11"/>
        <v>8.3333333333333329E-2</v>
      </c>
      <c r="P13" s="1315">
        <f t="shared" si="11"/>
        <v>8.3333333333333329E-2</v>
      </c>
      <c r="Q13" s="1315">
        <f t="shared" si="11"/>
        <v>8.3333333333333329E-2</v>
      </c>
      <c r="R13" s="1315">
        <f t="shared" si="11"/>
        <v>8.3333333333333329E-2</v>
      </c>
      <c r="S13" s="1315">
        <f t="shared" si="11"/>
        <v>8.3333333333333329E-2</v>
      </c>
      <c r="T13" s="1315">
        <f t="shared" si="11"/>
        <v>8.3333333333333329E-2</v>
      </c>
      <c r="U13" s="1315">
        <f t="shared" si="11"/>
        <v>8.3333333333333329E-2</v>
      </c>
      <c r="V13" s="1315">
        <f t="shared" si="11"/>
        <v>8.3333333333333329E-2</v>
      </c>
      <c r="W13" s="1315">
        <f t="shared" si="11"/>
        <v>8.3333333333333329E-2</v>
      </c>
      <c r="X13" s="1315">
        <f t="shared" si="11"/>
        <v>8.3333333333333329E-2</v>
      </c>
      <c r="Y13" s="1315">
        <f t="shared" si="11"/>
        <v>8.3333333333333329E-2</v>
      </c>
      <c r="Z13" s="1315">
        <f t="shared" si="11"/>
        <v>0</v>
      </c>
      <c r="AA13" s="1315">
        <f t="shared" si="11"/>
        <v>0</v>
      </c>
      <c r="AB13" s="1315">
        <f t="shared" si="11"/>
        <v>0</v>
      </c>
      <c r="AC13" s="1315">
        <f t="shared" si="11"/>
        <v>0</v>
      </c>
      <c r="AD13" s="1315">
        <f t="shared" si="11"/>
        <v>0</v>
      </c>
      <c r="AE13" s="1315">
        <f t="shared" si="11"/>
        <v>0</v>
      </c>
      <c r="AF13" s="1315">
        <f t="shared" si="11"/>
        <v>0</v>
      </c>
      <c r="AG13" s="1315">
        <f t="shared" si="11"/>
        <v>0</v>
      </c>
      <c r="AH13" s="1315">
        <f t="shared" si="11"/>
        <v>0</v>
      </c>
      <c r="AI13" s="1315">
        <f t="shared" si="11"/>
        <v>0</v>
      </c>
      <c r="AJ13" s="1315">
        <f t="shared" si="11"/>
        <v>0</v>
      </c>
      <c r="AK13" s="1315">
        <f t="shared" si="11"/>
        <v>0</v>
      </c>
      <c r="AL13" s="1315">
        <f t="shared" si="11"/>
        <v>0</v>
      </c>
      <c r="AM13" s="1315">
        <f t="shared" si="11"/>
        <v>0</v>
      </c>
      <c r="AN13" s="1315">
        <f t="shared" si="11"/>
        <v>0</v>
      </c>
      <c r="AO13" s="1315">
        <f t="shared" si="11"/>
        <v>0</v>
      </c>
      <c r="AP13" s="1315">
        <f t="shared" si="11"/>
        <v>0</v>
      </c>
      <c r="AQ13" s="1315">
        <f t="shared" si="11"/>
        <v>0</v>
      </c>
      <c r="AR13" s="1316"/>
    </row>
    <row r="14" spans="1:44" s="1107" customFormat="1">
      <c r="A14" s="1283" t="s">
        <v>920</v>
      </c>
      <c r="B14" s="1152" t="s">
        <v>600</v>
      </c>
      <c r="C14" s="1523">
        <f>Scenarios!E57</f>
        <v>1543</v>
      </c>
      <c r="D14" s="1308">
        <f t="shared" si="10"/>
        <v>20.502258836035075</v>
      </c>
      <c r="E14" s="1318">
        <v>0.06</v>
      </c>
      <c r="F14" s="1173">
        <f>E14*C14</f>
        <v>92.58</v>
      </c>
      <c r="G14" s="1318">
        <v>1</v>
      </c>
      <c r="H14" s="1319">
        <f>C14*G14*$C$156</f>
        <v>262.31</v>
      </c>
      <c r="I14" s="1318">
        <v>0</v>
      </c>
      <c r="J14" s="1319">
        <f>C14*I14/(1-I14)</f>
        <v>0</v>
      </c>
      <c r="K14" s="1320">
        <v>1</v>
      </c>
      <c r="L14" s="1111"/>
      <c r="M14" s="1333"/>
      <c r="N14" s="1321">
        <f t="shared" ref="N14:AQ14" si="12">1/$C$149*(N$3&lt;=$C$149)</f>
        <v>8.3333333333333329E-2</v>
      </c>
      <c r="O14" s="1321">
        <f t="shared" si="12"/>
        <v>8.3333333333333329E-2</v>
      </c>
      <c r="P14" s="1321">
        <f t="shared" si="12"/>
        <v>8.3333333333333329E-2</v>
      </c>
      <c r="Q14" s="1321">
        <f t="shared" si="12"/>
        <v>8.3333333333333329E-2</v>
      </c>
      <c r="R14" s="1321">
        <f t="shared" si="12"/>
        <v>8.3333333333333329E-2</v>
      </c>
      <c r="S14" s="1321">
        <f t="shared" si="12"/>
        <v>8.3333333333333329E-2</v>
      </c>
      <c r="T14" s="1321">
        <f t="shared" si="12"/>
        <v>8.3333333333333329E-2</v>
      </c>
      <c r="U14" s="1321">
        <f t="shared" si="12"/>
        <v>8.3333333333333329E-2</v>
      </c>
      <c r="V14" s="1321">
        <f t="shared" si="12"/>
        <v>8.3333333333333329E-2</v>
      </c>
      <c r="W14" s="1321">
        <f t="shared" si="12"/>
        <v>8.3333333333333329E-2</v>
      </c>
      <c r="X14" s="1321">
        <f t="shared" si="12"/>
        <v>8.3333333333333329E-2</v>
      </c>
      <c r="Y14" s="1321">
        <f t="shared" si="12"/>
        <v>8.3333333333333329E-2</v>
      </c>
      <c r="Z14" s="1321">
        <f t="shared" si="12"/>
        <v>0</v>
      </c>
      <c r="AA14" s="1321">
        <f t="shared" si="12"/>
        <v>0</v>
      </c>
      <c r="AB14" s="1321">
        <f t="shared" si="12"/>
        <v>0</v>
      </c>
      <c r="AC14" s="1321">
        <f t="shared" si="12"/>
        <v>0</v>
      </c>
      <c r="AD14" s="1321">
        <f t="shared" si="12"/>
        <v>0</v>
      </c>
      <c r="AE14" s="1321">
        <f t="shared" si="12"/>
        <v>0</v>
      </c>
      <c r="AF14" s="1321">
        <f t="shared" si="12"/>
        <v>0</v>
      </c>
      <c r="AG14" s="1321">
        <f t="shared" si="12"/>
        <v>0</v>
      </c>
      <c r="AH14" s="1321">
        <f t="shared" si="12"/>
        <v>0</v>
      </c>
      <c r="AI14" s="1321">
        <f t="shared" si="12"/>
        <v>0</v>
      </c>
      <c r="AJ14" s="1321">
        <f t="shared" si="12"/>
        <v>0</v>
      </c>
      <c r="AK14" s="1321">
        <f t="shared" si="12"/>
        <v>0</v>
      </c>
      <c r="AL14" s="1321">
        <f t="shared" si="12"/>
        <v>0</v>
      </c>
      <c r="AM14" s="1321">
        <f t="shared" si="12"/>
        <v>0</v>
      </c>
      <c r="AN14" s="1321">
        <f t="shared" si="12"/>
        <v>0</v>
      </c>
      <c r="AO14" s="1321">
        <f t="shared" si="12"/>
        <v>0</v>
      </c>
      <c r="AP14" s="1321">
        <f t="shared" si="12"/>
        <v>0</v>
      </c>
      <c r="AQ14" s="1321">
        <f t="shared" si="12"/>
        <v>0</v>
      </c>
      <c r="AR14" s="1316"/>
    </row>
    <row r="15" spans="1:44" s="1107" customFormat="1">
      <c r="A15" s="1283"/>
      <c r="B15" s="1152" t="s">
        <v>609</v>
      </c>
      <c r="C15" s="1523">
        <f>Scenarios!E66</f>
        <v>129</v>
      </c>
      <c r="D15" s="1308">
        <f t="shared" si="10"/>
        <v>1.7140579325006642</v>
      </c>
      <c r="E15" s="1318">
        <v>0.06</v>
      </c>
      <c r="F15" s="1173">
        <f t="shared" ref="F15" si="13">E15*C15</f>
        <v>7.7399999999999993</v>
      </c>
      <c r="G15" s="1318">
        <v>1</v>
      </c>
      <c r="H15" s="1319">
        <f>C15*G15*$C$156</f>
        <v>21.930000000000003</v>
      </c>
      <c r="I15" s="1318">
        <v>0</v>
      </c>
      <c r="J15" s="1319">
        <f t="shared" ref="J15" si="14">C15*I15/(1-I15)</f>
        <v>0</v>
      </c>
      <c r="K15" s="1323">
        <v>1</v>
      </c>
      <c r="L15" s="1329"/>
      <c r="M15" s="1333"/>
      <c r="N15" s="1321">
        <f t="shared" ref="N15:W17" si="15">1/$C$149*(N$3&lt;=$C$149)</f>
        <v>8.3333333333333329E-2</v>
      </c>
      <c r="O15" s="1321">
        <f t="shared" si="15"/>
        <v>8.3333333333333329E-2</v>
      </c>
      <c r="P15" s="1321">
        <f t="shared" si="15"/>
        <v>8.3333333333333329E-2</v>
      </c>
      <c r="Q15" s="1321">
        <f t="shared" si="15"/>
        <v>8.3333333333333329E-2</v>
      </c>
      <c r="R15" s="1321">
        <f t="shared" si="15"/>
        <v>8.3333333333333329E-2</v>
      </c>
      <c r="S15" s="1321">
        <f t="shared" si="15"/>
        <v>8.3333333333333329E-2</v>
      </c>
      <c r="T15" s="1321">
        <f t="shared" si="15"/>
        <v>8.3333333333333329E-2</v>
      </c>
      <c r="U15" s="1321">
        <f t="shared" si="15"/>
        <v>8.3333333333333329E-2</v>
      </c>
      <c r="V15" s="1321">
        <f t="shared" si="15"/>
        <v>8.3333333333333329E-2</v>
      </c>
      <c r="W15" s="1321">
        <f t="shared" si="15"/>
        <v>8.3333333333333329E-2</v>
      </c>
      <c r="X15" s="1321">
        <f t="shared" ref="X15:AE17" si="16">1/$C$149*(X$3&lt;=$C$149)</f>
        <v>8.3333333333333329E-2</v>
      </c>
      <c r="Y15" s="1321">
        <f t="shared" si="16"/>
        <v>8.3333333333333329E-2</v>
      </c>
      <c r="Z15" s="1321">
        <f t="shared" si="16"/>
        <v>0</v>
      </c>
      <c r="AA15" s="1321">
        <f t="shared" si="16"/>
        <v>0</v>
      </c>
      <c r="AB15" s="1321">
        <f t="shared" si="16"/>
        <v>0</v>
      </c>
      <c r="AC15" s="1321">
        <f t="shared" si="16"/>
        <v>0</v>
      </c>
      <c r="AD15" s="1321">
        <f t="shared" si="16"/>
        <v>0</v>
      </c>
      <c r="AE15" s="1321">
        <f t="shared" si="16"/>
        <v>0</v>
      </c>
      <c r="AF15" s="1321"/>
      <c r="AG15" s="1321"/>
      <c r="AH15" s="1321"/>
      <c r="AI15" s="1321"/>
      <c r="AJ15" s="1321"/>
      <c r="AK15" s="1321"/>
      <c r="AL15" s="1321"/>
      <c r="AM15" s="1321"/>
      <c r="AN15" s="1321"/>
      <c r="AO15" s="1321"/>
      <c r="AP15" s="1321"/>
      <c r="AQ15" s="1321"/>
      <c r="AR15" s="1316"/>
    </row>
    <row r="16" spans="1:44" s="1107" customFormat="1">
      <c r="A16" s="1283"/>
      <c r="B16" s="1152" t="s">
        <v>610</v>
      </c>
      <c r="C16" s="1523">
        <f>Scenarios!E67</f>
        <v>342</v>
      </c>
      <c r="D16" s="1308">
        <f t="shared" si="10"/>
        <v>4.5442466117459475</v>
      </c>
      <c r="E16" s="1318">
        <v>0.06</v>
      </c>
      <c r="F16" s="1173">
        <f>E16*C16</f>
        <v>20.52</v>
      </c>
      <c r="G16" s="1318">
        <v>1</v>
      </c>
      <c r="H16" s="1319">
        <f>C16*G16*$C$156</f>
        <v>58.140000000000008</v>
      </c>
      <c r="I16" s="1318">
        <v>0</v>
      </c>
      <c r="J16" s="1319">
        <f>C16*I16/(1-I16)</f>
        <v>0</v>
      </c>
      <c r="K16" s="1323">
        <v>1</v>
      </c>
      <c r="L16" s="1329"/>
      <c r="M16" s="1333"/>
      <c r="N16" s="1321">
        <f t="shared" si="15"/>
        <v>8.3333333333333329E-2</v>
      </c>
      <c r="O16" s="1321">
        <f t="shared" si="15"/>
        <v>8.3333333333333329E-2</v>
      </c>
      <c r="P16" s="1321">
        <f t="shared" si="15"/>
        <v>8.3333333333333329E-2</v>
      </c>
      <c r="Q16" s="1321">
        <f t="shared" si="15"/>
        <v>8.3333333333333329E-2</v>
      </c>
      <c r="R16" s="1321">
        <f t="shared" si="15"/>
        <v>8.3333333333333329E-2</v>
      </c>
      <c r="S16" s="1321">
        <f t="shared" si="15"/>
        <v>8.3333333333333329E-2</v>
      </c>
      <c r="T16" s="1321">
        <f t="shared" si="15"/>
        <v>8.3333333333333329E-2</v>
      </c>
      <c r="U16" s="1321">
        <f t="shared" si="15"/>
        <v>8.3333333333333329E-2</v>
      </c>
      <c r="V16" s="1321">
        <f t="shared" si="15"/>
        <v>8.3333333333333329E-2</v>
      </c>
      <c r="W16" s="1321">
        <f t="shared" si="15"/>
        <v>8.3333333333333329E-2</v>
      </c>
      <c r="X16" s="1321">
        <f t="shared" si="16"/>
        <v>8.3333333333333329E-2</v>
      </c>
      <c r="Y16" s="1321">
        <f t="shared" si="16"/>
        <v>8.3333333333333329E-2</v>
      </c>
      <c r="Z16" s="1321">
        <f t="shared" si="16"/>
        <v>0</v>
      </c>
      <c r="AA16" s="1321">
        <f t="shared" si="16"/>
        <v>0</v>
      </c>
      <c r="AB16" s="1321">
        <f t="shared" si="16"/>
        <v>0</v>
      </c>
      <c r="AC16" s="1321">
        <f t="shared" si="16"/>
        <v>0</v>
      </c>
      <c r="AD16" s="1321">
        <f t="shared" si="16"/>
        <v>0</v>
      </c>
      <c r="AE16" s="1321">
        <f t="shared" si="16"/>
        <v>0</v>
      </c>
      <c r="AF16" s="1321">
        <f t="shared" ref="AF16:AQ17" si="17">1/$C$149*(AF$3&lt;=$C$149)</f>
        <v>0</v>
      </c>
      <c r="AG16" s="1321">
        <f t="shared" si="17"/>
        <v>0</v>
      </c>
      <c r="AH16" s="1321">
        <f t="shared" si="17"/>
        <v>0</v>
      </c>
      <c r="AI16" s="1321">
        <f t="shared" si="17"/>
        <v>0</v>
      </c>
      <c r="AJ16" s="1321">
        <f t="shared" si="17"/>
        <v>0</v>
      </c>
      <c r="AK16" s="1321">
        <f t="shared" si="17"/>
        <v>0</v>
      </c>
      <c r="AL16" s="1321">
        <f t="shared" si="17"/>
        <v>0</v>
      </c>
      <c r="AM16" s="1321">
        <f t="shared" si="17"/>
        <v>0</v>
      </c>
      <c r="AN16" s="1321">
        <f t="shared" si="17"/>
        <v>0</v>
      </c>
      <c r="AO16" s="1321">
        <f t="shared" si="17"/>
        <v>0</v>
      </c>
      <c r="AP16" s="1321">
        <f t="shared" si="17"/>
        <v>0</v>
      </c>
      <c r="AQ16" s="1321">
        <f t="shared" si="17"/>
        <v>0</v>
      </c>
      <c r="AR16" s="1316"/>
    </row>
    <row r="17" spans="1:44" s="1107" customFormat="1">
      <c r="A17" s="1283" t="s">
        <v>921</v>
      </c>
      <c r="B17" s="1152" t="s">
        <v>612</v>
      </c>
      <c r="C17" s="1523">
        <f>Scenarios!E69</f>
        <v>0</v>
      </c>
      <c r="D17" s="1308">
        <f t="shared" si="10"/>
        <v>0</v>
      </c>
      <c r="E17" s="1318">
        <v>0.06</v>
      </c>
      <c r="F17" s="1173">
        <f>E17*C17</f>
        <v>0</v>
      </c>
      <c r="G17" s="1318">
        <v>1</v>
      </c>
      <c r="H17" s="1319">
        <f>C17*G17*$C$156</f>
        <v>0</v>
      </c>
      <c r="I17" s="1318">
        <v>0</v>
      </c>
      <c r="J17" s="1319">
        <f>C17*I17/(1-I17)</f>
        <v>0</v>
      </c>
      <c r="K17" s="1323">
        <v>1</v>
      </c>
      <c r="L17" s="1329"/>
      <c r="M17" s="1333"/>
      <c r="N17" s="1321">
        <f t="shared" si="15"/>
        <v>8.3333333333333329E-2</v>
      </c>
      <c r="O17" s="1321">
        <f t="shared" si="15"/>
        <v>8.3333333333333329E-2</v>
      </c>
      <c r="P17" s="1321">
        <f t="shared" si="15"/>
        <v>8.3333333333333329E-2</v>
      </c>
      <c r="Q17" s="1321">
        <f t="shared" si="15"/>
        <v>8.3333333333333329E-2</v>
      </c>
      <c r="R17" s="1321">
        <f t="shared" si="15"/>
        <v>8.3333333333333329E-2</v>
      </c>
      <c r="S17" s="1321">
        <f t="shared" si="15"/>
        <v>8.3333333333333329E-2</v>
      </c>
      <c r="T17" s="1321">
        <f t="shared" si="15"/>
        <v>8.3333333333333329E-2</v>
      </c>
      <c r="U17" s="1321">
        <f t="shared" si="15"/>
        <v>8.3333333333333329E-2</v>
      </c>
      <c r="V17" s="1321">
        <f t="shared" si="15"/>
        <v>8.3333333333333329E-2</v>
      </c>
      <c r="W17" s="1321">
        <f t="shared" si="15"/>
        <v>8.3333333333333329E-2</v>
      </c>
      <c r="X17" s="1321">
        <f t="shared" si="16"/>
        <v>8.3333333333333329E-2</v>
      </c>
      <c r="Y17" s="1321">
        <f t="shared" si="16"/>
        <v>8.3333333333333329E-2</v>
      </c>
      <c r="Z17" s="1321">
        <f t="shared" si="16"/>
        <v>0</v>
      </c>
      <c r="AA17" s="1321">
        <f t="shared" si="16"/>
        <v>0</v>
      </c>
      <c r="AB17" s="1321">
        <f t="shared" si="16"/>
        <v>0</v>
      </c>
      <c r="AC17" s="1321">
        <f t="shared" si="16"/>
        <v>0</v>
      </c>
      <c r="AD17" s="1321">
        <f t="shared" si="16"/>
        <v>0</v>
      </c>
      <c r="AE17" s="1321">
        <f t="shared" si="16"/>
        <v>0</v>
      </c>
      <c r="AF17" s="1321">
        <f t="shared" si="17"/>
        <v>0</v>
      </c>
      <c r="AG17" s="1321">
        <f t="shared" si="17"/>
        <v>0</v>
      </c>
      <c r="AH17" s="1321">
        <f t="shared" si="17"/>
        <v>0</v>
      </c>
      <c r="AI17" s="1321">
        <f t="shared" si="17"/>
        <v>0</v>
      </c>
      <c r="AJ17" s="1321">
        <f t="shared" si="17"/>
        <v>0</v>
      </c>
      <c r="AK17" s="1321">
        <f t="shared" si="17"/>
        <v>0</v>
      </c>
      <c r="AL17" s="1321">
        <f t="shared" si="17"/>
        <v>0</v>
      </c>
      <c r="AM17" s="1321">
        <f t="shared" si="17"/>
        <v>0</v>
      </c>
      <c r="AN17" s="1321">
        <f t="shared" si="17"/>
        <v>0</v>
      </c>
      <c r="AO17" s="1321">
        <f t="shared" si="17"/>
        <v>0</v>
      </c>
      <c r="AP17" s="1321">
        <f t="shared" si="17"/>
        <v>0</v>
      </c>
      <c r="AQ17" s="1321">
        <f t="shared" si="17"/>
        <v>0</v>
      </c>
      <c r="AR17" s="1316"/>
    </row>
    <row r="18" spans="1:44" s="1107" customFormat="1" collapsed="1">
      <c r="A18" s="1283" t="s">
        <v>922</v>
      </c>
      <c r="B18" s="1167" t="s">
        <v>614</v>
      </c>
      <c r="C18" s="1307">
        <f>SUM(C19:C23)</f>
        <v>4050</v>
      </c>
      <c r="D18" s="1308">
        <f t="shared" si="10"/>
        <v>53.813446718044112</v>
      </c>
      <c r="E18" s="1324"/>
      <c r="F18" s="1330"/>
      <c r="G18" s="1188"/>
      <c r="H18" s="1331"/>
      <c r="I18" s="1188"/>
      <c r="J18" s="1331"/>
      <c r="K18" s="1332"/>
      <c r="L18" s="1111"/>
      <c r="M18" s="1314">
        <f>(ABS(SUMIF(N$3:AQ$3,"&lt;="&amp;$C$149,N18:AQ18)-1)+ABS(SUM(N18:AQ18)-1))*(C18&lt;&gt;0)</f>
        <v>0</v>
      </c>
      <c r="N18" s="1315">
        <f t="shared" ref="N18:AQ18" si="18">SUMPRODUCT(N19:N23,$C19:$C23)/IF($C18&lt;&gt;0,$C18,1)</f>
        <v>8.3333333333333329E-2</v>
      </c>
      <c r="O18" s="1315">
        <f t="shared" si="18"/>
        <v>8.3333333333333329E-2</v>
      </c>
      <c r="P18" s="1315">
        <f t="shared" si="18"/>
        <v>8.3333333333333329E-2</v>
      </c>
      <c r="Q18" s="1315">
        <f t="shared" si="18"/>
        <v>8.3333333333333329E-2</v>
      </c>
      <c r="R18" s="1315">
        <f t="shared" si="18"/>
        <v>8.3333333333333329E-2</v>
      </c>
      <c r="S18" s="1315">
        <f t="shared" si="18"/>
        <v>8.3333333333333329E-2</v>
      </c>
      <c r="T18" s="1315">
        <f t="shared" si="18"/>
        <v>8.3333333333333329E-2</v>
      </c>
      <c r="U18" s="1315">
        <f t="shared" si="18"/>
        <v>8.3333333333333329E-2</v>
      </c>
      <c r="V18" s="1315">
        <f t="shared" si="18"/>
        <v>8.3333333333333329E-2</v>
      </c>
      <c r="W18" s="1315">
        <f t="shared" si="18"/>
        <v>8.3333333333333329E-2</v>
      </c>
      <c r="X18" s="1315">
        <f t="shared" si="18"/>
        <v>8.3333333333333329E-2</v>
      </c>
      <c r="Y18" s="1315">
        <f t="shared" si="18"/>
        <v>8.3333333333333329E-2</v>
      </c>
      <c r="Z18" s="1315">
        <f t="shared" si="18"/>
        <v>0</v>
      </c>
      <c r="AA18" s="1315">
        <f t="shared" si="18"/>
        <v>0</v>
      </c>
      <c r="AB18" s="1315">
        <f t="shared" si="18"/>
        <v>0</v>
      </c>
      <c r="AC18" s="1315">
        <f t="shared" si="18"/>
        <v>0</v>
      </c>
      <c r="AD18" s="1315">
        <f t="shared" si="18"/>
        <v>0</v>
      </c>
      <c r="AE18" s="1315">
        <f t="shared" si="18"/>
        <v>0</v>
      </c>
      <c r="AF18" s="1315">
        <f t="shared" si="18"/>
        <v>0</v>
      </c>
      <c r="AG18" s="1315">
        <f t="shared" si="18"/>
        <v>0</v>
      </c>
      <c r="AH18" s="1315">
        <f t="shared" si="18"/>
        <v>0</v>
      </c>
      <c r="AI18" s="1315">
        <f t="shared" si="18"/>
        <v>0</v>
      </c>
      <c r="AJ18" s="1315">
        <f t="shared" si="18"/>
        <v>0</v>
      </c>
      <c r="AK18" s="1315">
        <f t="shared" si="18"/>
        <v>0</v>
      </c>
      <c r="AL18" s="1315">
        <f t="shared" si="18"/>
        <v>0</v>
      </c>
      <c r="AM18" s="1315">
        <f t="shared" si="18"/>
        <v>0</v>
      </c>
      <c r="AN18" s="1315">
        <f t="shared" si="18"/>
        <v>0</v>
      </c>
      <c r="AO18" s="1315">
        <f t="shared" si="18"/>
        <v>0</v>
      </c>
      <c r="AP18" s="1315">
        <f t="shared" si="18"/>
        <v>0</v>
      </c>
      <c r="AQ18" s="1315">
        <f t="shared" si="18"/>
        <v>0</v>
      </c>
      <c r="AR18" s="1316"/>
    </row>
    <row r="19" spans="1:44" s="1107" customFormat="1">
      <c r="A19" s="1283" t="s">
        <v>923</v>
      </c>
      <c r="B19" s="1334" t="s">
        <v>616</v>
      </c>
      <c r="C19" s="1523">
        <f>Scenarios!E71</f>
        <v>0</v>
      </c>
      <c r="D19" s="1308">
        <f t="shared" si="10"/>
        <v>0</v>
      </c>
      <c r="E19" s="1318">
        <v>0.06</v>
      </c>
      <c r="F19" s="1173">
        <f>E19*C19</f>
        <v>0</v>
      </c>
      <c r="G19" s="1318">
        <v>1</v>
      </c>
      <c r="H19" s="1319">
        <f>C19*G19*$C$156</f>
        <v>0</v>
      </c>
      <c r="I19" s="1318">
        <v>0</v>
      </c>
      <c r="J19" s="1319">
        <f>C19*I19/(1-I19)</f>
        <v>0</v>
      </c>
      <c r="K19" s="1328">
        <v>1</v>
      </c>
      <c r="L19" s="1329"/>
      <c r="M19" s="1333"/>
      <c r="N19" s="1321">
        <f t="shared" ref="N19:AQ19" si="19">1/$C$149*(N$3&lt;=$C$149)</f>
        <v>8.3333333333333329E-2</v>
      </c>
      <c r="O19" s="1321">
        <f t="shared" si="19"/>
        <v>8.3333333333333329E-2</v>
      </c>
      <c r="P19" s="1321">
        <f t="shared" si="19"/>
        <v>8.3333333333333329E-2</v>
      </c>
      <c r="Q19" s="1321">
        <f t="shared" si="19"/>
        <v>8.3333333333333329E-2</v>
      </c>
      <c r="R19" s="1321">
        <f t="shared" si="19"/>
        <v>8.3333333333333329E-2</v>
      </c>
      <c r="S19" s="1321">
        <f t="shared" si="19"/>
        <v>8.3333333333333329E-2</v>
      </c>
      <c r="T19" s="1321">
        <f t="shared" si="19"/>
        <v>8.3333333333333329E-2</v>
      </c>
      <c r="U19" s="1321">
        <f t="shared" si="19"/>
        <v>8.3333333333333329E-2</v>
      </c>
      <c r="V19" s="1321">
        <f t="shared" si="19"/>
        <v>8.3333333333333329E-2</v>
      </c>
      <c r="W19" s="1321">
        <f t="shared" si="19"/>
        <v>8.3333333333333329E-2</v>
      </c>
      <c r="X19" s="1321">
        <f t="shared" si="19"/>
        <v>8.3333333333333329E-2</v>
      </c>
      <c r="Y19" s="1321">
        <f t="shared" si="19"/>
        <v>8.3333333333333329E-2</v>
      </c>
      <c r="Z19" s="1321">
        <f t="shared" si="19"/>
        <v>0</v>
      </c>
      <c r="AA19" s="1321">
        <f t="shared" si="19"/>
        <v>0</v>
      </c>
      <c r="AB19" s="1321">
        <f t="shared" si="19"/>
        <v>0</v>
      </c>
      <c r="AC19" s="1321">
        <f t="shared" si="19"/>
        <v>0</v>
      </c>
      <c r="AD19" s="1321">
        <f t="shared" si="19"/>
        <v>0</v>
      </c>
      <c r="AE19" s="1321">
        <f t="shared" si="19"/>
        <v>0</v>
      </c>
      <c r="AF19" s="1321">
        <f t="shared" si="19"/>
        <v>0</v>
      </c>
      <c r="AG19" s="1321">
        <f t="shared" si="19"/>
        <v>0</v>
      </c>
      <c r="AH19" s="1321">
        <f t="shared" si="19"/>
        <v>0</v>
      </c>
      <c r="AI19" s="1321">
        <f t="shared" si="19"/>
        <v>0</v>
      </c>
      <c r="AJ19" s="1321">
        <f t="shared" si="19"/>
        <v>0</v>
      </c>
      <c r="AK19" s="1321">
        <f t="shared" si="19"/>
        <v>0</v>
      </c>
      <c r="AL19" s="1321">
        <f t="shared" si="19"/>
        <v>0</v>
      </c>
      <c r="AM19" s="1321">
        <f t="shared" si="19"/>
        <v>0</v>
      </c>
      <c r="AN19" s="1321">
        <f t="shared" si="19"/>
        <v>0</v>
      </c>
      <c r="AO19" s="1321">
        <f t="shared" si="19"/>
        <v>0</v>
      </c>
      <c r="AP19" s="1321">
        <f t="shared" si="19"/>
        <v>0</v>
      </c>
      <c r="AQ19" s="1321">
        <f t="shared" si="19"/>
        <v>0</v>
      </c>
      <c r="AR19" s="1316"/>
    </row>
    <row r="20" spans="1:44" s="1107" customFormat="1">
      <c r="A20" s="1283"/>
      <c r="B20" s="1334" t="s">
        <v>617</v>
      </c>
      <c r="C20" s="1523">
        <f>Scenarios!E72</f>
        <v>0</v>
      </c>
      <c r="D20" s="1308">
        <f t="shared" si="10"/>
        <v>0</v>
      </c>
      <c r="E20" s="1318">
        <v>0.06</v>
      </c>
      <c r="F20" s="1173">
        <f>E20*C20</f>
        <v>0</v>
      </c>
      <c r="G20" s="1318">
        <v>1</v>
      </c>
      <c r="H20" s="1319">
        <f>C20*G20*$C$156</f>
        <v>0</v>
      </c>
      <c r="I20" s="1318">
        <v>0</v>
      </c>
      <c r="J20" s="1319">
        <f>C20*I20/(1-I20)</f>
        <v>0</v>
      </c>
      <c r="K20" s="1328">
        <v>1</v>
      </c>
      <c r="L20" s="1329"/>
      <c r="M20" s="1333"/>
      <c r="N20" s="1321">
        <f t="shared" ref="N20:W23" si="20">1/$C$149*(N$3&lt;=$C$149)</f>
        <v>8.3333333333333329E-2</v>
      </c>
      <c r="O20" s="1321">
        <f t="shared" si="20"/>
        <v>8.3333333333333329E-2</v>
      </c>
      <c r="P20" s="1321">
        <f t="shared" si="20"/>
        <v>8.3333333333333329E-2</v>
      </c>
      <c r="Q20" s="1321">
        <f t="shared" si="20"/>
        <v>8.3333333333333329E-2</v>
      </c>
      <c r="R20" s="1321">
        <f t="shared" si="20"/>
        <v>8.3333333333333329E-2</v>
      </c>
      <c r="S20" s="1321">
        <f t="shared" si="20"/>
        <v>8.3333333333333329E-2</v>
      </c>
      <c r="T20" s="1321">
        <f t="shared" si="20"/>
        <v>8.3333333333333329E-2</v>
      </c>
      <c r="U20" s="1321">
        <f t="shared" si="20"/>
        <v>8.3333333333333329E-2</v>
      </c>
      <c r="V20" s="1321">
        <f t="shared" si="20"/>
        <v>8.3333333333333329E-2</v>
      </c>
      <c r="W20" s="1321">
        <f t="shared" si="20"/>
        <v>8.3333333333333329E-2</v>
      </c>
      <c r="X20" s="1321">
        <f t="shared" ref="X20:AE23" si="21">1/$C$149*(X$3&lt;=$C$149)</f>
        <v>8.3333333333333329E-2</v>
      </c>
      <c r="Y20" s="1321">
        <f t="shared" si="21"/>
        <v>8.3333333333333329E-2</v>
      </c>
      <c r="Z20" s="1321">
        <f t="shared" si="21"/>
        <v>0</v>
      </c>
      <c r="AA20" s="1321">
        <f t="shared" si="21"/>
        <v>0</v>
      </c>
      <c r="AB20" s="1321">
        <f t="shared" si="21"/>
        <v>0</v>
      </c>
      <c r="AC20" s="1321">
        <f t="shared" si="21"/>
        <v>0</v>
      </c>
      <c r="AD20" s="1321">
        <f t="shared" si="21"/>
        <v>0</v>
      </c>
      <c r="AE20" s="1321">
        <f t="shared" si="21"/>
        <v>0</v>
      </c>
      <c r="AF20" s="1321"/>
      <c r="AG20" s="1321"/>
      <c r="AH20" s="1321"/>
      <c r="AI20" s="1321"/>
      <c r="AJ20" s="1321"/>
      <c r="AK20" s="1321"/>
      <c r="AL20" s="1321"/>
      <c r="AM20" s="1321"/>
      <c r="AN20" s="1321"/>
      <c r="AO20" s="1321"/>
      <c r="AP20" s="1321"/>
      <c r="AQ20" s="1321"/>
      <c r="AR20" s="1316"/>
    </row>
    <row r="21" spans="1:44" s="1107" customFormat="1">
      <c r="A21" s="1283"/>
      <c r="B21" s="1334" t="s">
        <v>618</v>
      </c>
      <c r="C21" s="1523">
        <f>Scenarios!E73</f>
        <v>150</v>
      </c>
      <c r="D21" s="1308">
        <f t="shared" si="10"/>
        <v>1.993090619186819</v>
      </c>
      <c r="E21" s="1318">
        <v>0.06</v>
      </c>
      <c r="F21" s="1173">
        <f>E21*C21</f>
        <v>9</v>
      </c>
      <c r="G21" s="1318">
        <v>1</v>
      </c>
      <c r="H21" s="1319">
        <f>C21*G21*$C$156</f>
        <v>25.500000000000004</v>
      </c>
      <c r="I21" s="1318">
        <v>0</v>
      </c>
      <c r="J21" s="1319">
        <f>C21*I21/(1-I21)</f>
        <v>0</v>
      </c>
      <c r="K21" s="1328">
        <v>1</v>
      </c>
      <c r="L21" s="1111"/>
      <c r="M21" s="1333"/>
      <c r="N21" s="1321">
        <f t="shared" si="20"/>
        <v>8.3333333333333329E-2</v>
      </c>
      <c r="O21" s="1321">
        <f t="shared" si="20"/>
        <v>8.3333333333333329E-2</v>
      </c>
      <c r="P21" s="1321">
        <f t="shared" si="20"/>
        <v>8.3333333333333329E-2</v>
      </c>
      <c r="Q21" s="1321">
        <f t="shared" si="20"/>
        <v>8.3333333333333329E-2</v>
      </c>
      <c r="R21" s="1321">
        <f t="shared" si="20"/>
        <v>8.3333333333333329E-2</v>
      </c>
      <c r="S21" s="1321">
        <f t="shared" si="20"/>
        <v>8.3333333333333329E-2</v>
      </c>
      <c r="T21" s="1321">
        <f t="shared" si="20"/>
        <v>8.3333333333333329E-2</v>
      </c>
      <c r="U21" s="1321">
        <f t="shared" si="20"/>
        <v>8.3333333333333329E-2</v>
      </c>
      <c r="V21" s="1321">
        <f t="shared" si="20"/>
        <v>8.3333333333333329E-2</v>
      </c>
      <c r="W21" s="1321">
        <f t="shared" si="20"/>
        <v>8.3333333333333329E-2</v>
      </c>
      <c r="X21" s="1321">
        <f t="shared" si="21"/>
        <v>8.3333333333333329E-2</v>
      </c>
      <c r="Y21" s="1321">
        <f t="shared" si="21"/>
        <v>8.3333333333333329E-2</v>
      </c>
      <c r="Z21" s="1321">
        <f t="shared" si="21"/>
        <v>0</v>
      </c>
      <c r="AA21" s="1321">
        <f t="shared" si="21"/>
        <v>0</v>
      </c>
      <c r="AB21" s="1321">
        <f t="shared" si="21"/>
        <v>0</v>
      </c>
      <c r="AC21" s="1321">
        <f t="shared" si="21"/>
        <v>0</v>
      </c>
      <c r="AD21" s="1321">
        <f t="shared" si="21"/>
        <v>0</v>
      </c>
      <c r="AE21" s="1321">
        <f t="shared" si="21"/>
        <v>0</v>
      </c>
      <c r="AF21" s="1321">
        <f t="shared" ref="AF21:AQ21" si="22">1/$C$149*(AF$3&lt;=$C$149)</f>
        <v>0</v>
      </c>
      <c r="AG21" s="1321">
        <f t="shared" si="22"/>
        <v>0</v>
      </c>
      <c r="AH21" s="1321">
        <f t="shared" si="22"/>
        <v>0</v>
      </c>
      <c r="AI21" s="1321">
        <f t="shared" si="22"/>
        <v>0</v>
      </c>
      <c r="AJ21" s="1321">
        <f t="shared" si="22"/>
        <v>0</v>
      </c>
      <c r="AK21" s="1321">
        <f t="shared" si="22"/>
        <v>0</v>
      </c>
      <c r="AL21" s="1321">
        <f t="shared" si="22"/>
        <v>0</v>
      </c>
      <c r="AM21" s="1321">
        <f t="shared" si="22"/>
        <v>0</v>
      </c>
      <c r="AN21" s="1321">
        <f t="shared" si="22"/>
        <v>0</v>
      </c>
      <c r="AO21" s="1321">
        <f t="shared" si="22"/>
        <v>0</v>
      </c>
      <c r="AP21" s="1321">
        <f t="shared" si="22"/>
        <v>0</v>
      </c>
      <c r="AQ21" s="1321">
        <f t="shared" si="22"/>
        <v>0</v>
      </c>
      <c r="AR21" s="1316"/>
    </row>
    <row r="22" spans="1:44" s="1107" customFormat="1">
      <c r="A22" s="1283"/>
      <c r="B22" s="1334" t="s">
        <v>621</v>
      </c>
      <c r="C22" s="1523">
        <f>Scenarios!E77</f>
        <v>3900</v>
      </c>
      <c r="D22" s="1308">
        <f t="shared" si="10"/>
        <v>51.820356098857289</v>
      </c>
      <c r="E22" s="1318">
        <v>0.06</v>
      </c>
      <c r="F22" s="1173">
        <f>E22*C22</f>
        <v>234</v>
      </c>
      <c r="G22" s="1318">
        <v>1</v>
      </c>
      <c r="H22" s="1319">
        <f>C22*G22*$C$156</f>
        <v>663</v>
      </c>
      <c r="I22" s="1318">
        <v>0</v>
      </c>
      <c r="J22" s="1319">
        <f>C22*I22/(1-I22)</f>
        <v>0</v>
      </c>
      <c r="K22" s="1323">
        <v>1</v>
      </c>
      <c r="L22" s="1329"/>
      <c r="M22" s="1333"/>
      <c r="N22" s="1321">
        <f t="shared" si="20"/>
        <v>8.3333333333333329E-2</v>
      </c>
      <c r="O22" s="1321">
        <f t="shared" si="20"/>
        <v>8.3333333333333329E-2</v>
      </c>
      <c r="P22" s="1321">
        <f t="shared" si="20"/>
        <v>8.3333333333333329E-2</v>
      </c>
      <c r="Q22" s="1321">
        <f t="shared" si="20"/>
        <v>8.3333333333333329E-2</v>
      </c>
      <c r="R22" s="1321">
        <f t="shared" si="20"/>
        <v>8.3333333333333329E-2</v>
      </c>
      <c r="S22" s="1321">
        <f t="shared" si="20"/>
        <v>8.3333333333333329E-2</v>
      </c>
      <c r="T22" s="1321">
        <f t="shared" si="20"/>
        <v>8.3333333333333329E-2</v>
      </c>
      <c r="U22" s="1321">
        <f t="shared" si="20"/>
        <v>8.3333333333333329E-2</v>
      </c>
      <c r="V22" s="1321">
        <f t="shared" si="20"/>
        <v>8.3333333333333329E-2</v>
      </c>
      <c r="W22" s="1321">
        <f t="shared" si="20"/>
        <v>8.3333333333333329E-2</v>
      </c>
      <c r="X22" s="1321">
        <f t="shared" si="21"/>
        <v>8.3333333333333329E-2</v>
      </c>
      <c r="Y22" s="1321">
        <f t="shared" si="21"/>
        <v>8.3333333333333329E-2</v>
      </c>
      <c r="Z22" s="1321">
        <f t="shared" si="21"/>
        <v>0</v>
      </c>
      <c r="AA22" s="1321">
        <f t="shared" si="21"/>
        <v>0</v>
      </c>
      <c r="AB22" s="1321">
        <f t="shared" si="21"/>
        <v>0</v>
      </c>
      <c r="AC22" s="1321">
        <f t="shared" si="21"/>
        <v>0</v>
      </c>
      <c r="AD22" s="1321">
        <f t="shared" si="21"/>
        <v>0</v>
      </c>
      <c r="AE22" s="1321">
        <f t="shared" si="21"/>
        <v>0</v>
      </c>
      <c r="AF22" s="1321"/>
      <c r="AG22" s="1321"/>
      <c r="AH22" s="1321"/>
      <c r="AI22" s="1321"/>
      <c r="AJ22" s="1321"/>
      <c r="AK22" s="1321"/>
      <c r="AL22" s="1321"/>
      <c r="AM22" s="1321"/>
      <c r="AN22" s="1321"/>
      <c r="AO22" s="1321"/>
      <c r="AP22" s="1321"/>
      <c r="AQ22" s="1321"/>
      <c r="AR22" s="1316"/>
    </row>
    <row r="23" spans="1:44" s="1107" customFormat="1">
      <c r="A23" s="1283"/>
      <c r="B23" s="1334" t="s">
        <v>623</v>
      </c>
      <c r="C23" s="1523">
        <f>Scenarios!E78</f>
        <v>0</v>
      </c>
      <c r="D23" s="1308">
        <f t="shared" si="10"/>
        <v>0</v>
      </c>
      <c r="E23" s="1318">
        <v>0.06</v>
      </c>
      <c r="F23" s="1173">
        <f>E23*C23</f>
        <v>0</v>
      </c>
      <c r="G23" s="1318">
        <v>1</v>
      </c>
      <c r="H23" s="1319">
        <f>C23*G23*$C$156</f>
        <v>0</v>
      </c>
      <c r="I23" s="1318">
        <v>0</v>
      </c>
      <c r="J23" s="1319">
        <f>C23*I23/(1-I23)</f>
        <v>0</v>
      </c>
      <c r="K23" s="1323">
        <v>1</v>
      </c>
      <c r="L23" s="1329"/>
      <c r="M23" s="1333"/>
      <c r="N23" s="1321">
        <f t="shared" si="20"/>
        <v>8.3333333333333329E-2</v>
      </c>
      <c r="O23" s="1321">
        <f t="shared" si="20"/>
        <v>8.3333333333333329E-2</v>
      </c>
      <c r="P23" s="1321">
        <f t="shared" si="20"/>
        <v>8.3333333333333329E-2</v>
      </c>
      <c r="Q23" s="1321">
        <f t="shared" si="20"/>
        <v>8.3333333333333329E-2</v>
      </c>
      <c r="R23" s="1321">
        <f t="shared" si="20"/>
        <v>8.3333333333333329E-2</v>
      </c>
      <c r="S23" s="1321">
        <f t="shared" si="20"/>
        <v>8.3333333333333329E-2</v>
      </c>
      <c r="T23" s="1321">
        <f t="shared" si="20"/>
        <v>8.3333333333333329E-2</v>
      </c>
      <c r="U23" s="1321">
        <f t="shared" si="20"/>
        <v>8.3333333333333329E-2</v>
      </c>
      <c r="V23" s="1321">
        <f t="shared" si="20"/>
        <v>8.3333333333333329E-2</v>
      </c>
      <c r="W23" s="1321">
        <f t="shared" si="20"/>
        <v>8.3333333333333329E-2</v>
      </c>
      <c r="X23" s="1321">
        <f t="shared" si="21"/>
        <v>8.3333333333333329E-2</v>
      </c>
      <c r="Y23" s="1321">
        <f t="shared" si="21"/>
        <v>8.3333333333333329E-2</v>
      </c>
      <c r="Z23" s="1321">
        <f t="shared" si="21"/>
        <v>0</v>
      </c>
      <c r="AA23" s="1321">
        <f t="shared" si="21"/>
        <v>0</v>
      </c>
      <c r="AB23" s="1321">
        <f t="shared" si="21"/>
        <v>0</v>
      </c>
      <c r="AC23" s="1321">
        <f t="shared" si="21"/>
        <v>0</v>
      </c>
      <c r="AD23" s="1321">
        <f t="shared" si="21"/>
        <v>0</v>
      </c>
      <c r="AE23" s="1321">
        <f t="shared" si="21"/>
        <v>0</v>
      </c>
      <c r="AF23" s="1321">
        <f t="shared" ref="AF23:AQ23" si="23">1/$C$149*(AF$3&lt;=$C$149)</f>
        <v>0</v>
      </c>
      <c r="AG23" s="1321">
        <f t="shared" si="23"/>
        <v>0</v>
      </c>
      <c r="AH23" s="1321">
        <f t="shared" si="23"/>
        <v>0</v>
      </c>
      <c r="AI23" s="1321">
        <f t="shared" si="23"/>
        <v>0</v>
      </c>
      <c r="AJ23" s="1321">
        <f t="shared" si="23"/>
        <v>0</v>
      </c>
      <c r="AK23" s="1321">
        <f t="shared" si="23"/>
        <v>0</v>
      </c>
      <c r="AL23" s="1321">
        <f t="shared" si="23"/>
        <v>0</v>
      </c>
      <c r="AM23" s="1321">
        <f t="shared" si="23"/>
        <v>0</v>
      </c>
      <c r="AN23" s="1321">
        <f t="shared" si="23"/>
        <v>0</v>
      </c>
      <c r="AO23" s="1321">
        <f t="shared" si="23"/>
        <v>0</v>
      </c>
      <c r="AP23" s="1321">
        <f t="shared" si="23"/>
        <v>0</v>
      </c>
      <c r="AQ23" s="1321">
        <f t="shared" si="23"/>
        <v>0</v>
      </c>
      <c r="AR23" s="1316"/>
    </row>
    <row r="24" spans="1:44" s="1107" customFormat="1">
      <c r="A24" s="1283" t="s">
        <v>919</v>
      </c>
      <c r="B24" s="1167" t="s">
        <v>624</v>
      </c>
      <c r="C24" s="1307">
        <f>SUM(C25:C30)</f>
        <v>70</v>
      </c>
      <c r="D24" s="1308">
        <f t="shared" si="10"/>
        <v>0.93010895562051543</v>
      </c>
      <c r="E24" s="1324"/>
      <c r="F24" s="1330"/>
      <c r="G24" s="1188"/>
      <c r="H24" s="1331"/>
      <c r="I24" s="1188"/>
      <c r="J24" s="1331"/>
      <c r="K24" s="1332"/>
      <c r="L24" s="1111"/>
      <c r="M24" s="1314">
        <f>(ABS(SUMIF(N$3:AQ$3,"&lt;="&amp;$C$149,N24:AQ24)-1)+ABS(SUM(N24:AQ24)-1))*(C24&lt;&gt;0)</f>
        <v>0</v>
      </c>
      <c r="N24" s="1315">
        <f>SUMPRODUCT(N25:N30,$C25:$C30)/IF($C24&lt;&gt;0,$C24,1)</f>
        <v>8.3333333333333329E-2</v>
      </c>
      <c r="O24" s="1315">
        <f t="shared" ref="O24:AQ24" si="24">SUMPRODUCT(O25:O30,$C25:$C30)/IF($C24&lt;&gt;0,$C24,1)</f>
        <v>8.3333333333333329E-2</v>
      </c>
      <c r="P24" s="1315">
        <f t="shared" si="24"/>
        <v>8.3333333333333329E-2</v>
      </c>
      <c r="Q24" s="1315">
        <f t="shared" si="24"/>
        <v>8.3333333333333329E-2</v>
      </c>
      <c r="R24" s="1315">
        <f t="shared" si="24"/>
        <v>8.3333333333333329E-2</v>
      </c>
      <c r="S24" s="1315">
        <f t="shared" si="24"/>
        <v>8.3333333333333329E-2</v>
      </c>
      <c r="T24" s="1315">
        <f t="shared" si="24"/>
        <v>8.3333333333333329E-2</v>
      </c>
      <c r="U24" s="1315">
        <f t="shared" si="24"/>
        <v>8.3333333333333329E-2</v>
      </c>
      <c r="V24" s="1315">
        <f t="shared" si="24"/>
        <v>8.3333333333333329E-2</v>
      </c>
      <c r="W24" s="1315">
        <f t="shared" si="24"/>
        <v>8.3333333333333329E-2</v>
      </c>
      <c r="X24" s="1315">
        <f t="shared" si="24"/>
        <v>8.3333333333333329E-2</v>
      </c>
      <c r="Y24" s="1315">
        <f t="shared" si="24"/>
        <v>8.3333333333333329E-2</v>
      </c>
      <c r="Z24" s="1315">
        <f t="shared" si="24"/>
        <v>0</v>
      </c>
      <c r="AA24" s="1315">
        <f t="shared" si="24"/>
        <v>0</v>
      </c>
      <c r="AB24" s="1315">
        <f t="shared" si="24"/>
        <v>0</v>
      </c>
      <c r="AC24" s="1315">
        <f t="shared" si="24"/>
        <v>0</v>
      </c>
      <c r="AD24" s="1315">
        <f t="shared" si="24"/>
        <v>0</v>
      </c>
      <c r="AE24" s="1315">
        <f t="shared" si="24"/>
        <v>0</v>
      </c>
      <c r="AF24" s="1315">
        <f t="shared" si="24"/>
        <v>0</v>
      </c>
      <c r="AG24" s="1315">
        <f t="shared" si="24"/>
        <v>0</v>
      </c>
      <c r="AH24" s="1315">
        <f t="shared" si="24"/>
        <v>0</v>
      </c>
      <c r="AI24" s="1315">
        <f t="shared" si="24"/>
        <v>0</v>
      </c>
      <c r="AJ24" s="1315">
        <f t="shared" si="24"/>
        <v>0</v>
      </c>
      <c r="AK24" s="1315">
        <f t="shared" si="24"/>
        <v>0</v>
      </c>
      <c r="AL24" s="1315">
        <f t="shared" si="24"/>
        <v>0</v>
      </c>
      <c r="AM24" s="1315">
        <f t="shared" si="24"/>
        <v>0</v>
      </c>
      <c r="AN24" s="1315">
        <f t="shared" si="24"/>
        <v>0</v>
      </c>
      <c r="AO24" s="1315">
        <f t="shared" si="24"/>
        <v>0</v>
      </c>
      <c r="AP24" s="1315">
        <f t="shared" si="24"/>
        <v>0</v>
      </c>
      <c r="AQ24" s="1315">
        <f t="shared" si="24"/>
        <v>0</v>
      </c>
      <c r="AR24" s="1316"/>
    </row>
    <row r="25" spans="1:44" s="1107" customFormat="1">
      <c r="A25" s="1283" t="s">
        <v>920</v>
      </c>
      <c r="B25" s="1152" t="s">
        <v>625</v>
      </c>
      <c r="C25" s="1523">
        <f>Scenarios!E80</f>
        <v>40</v>
      </c>
      <c r="D25" s="1308">
        <f t="shared" si="10"/>
        <v>0.53149083178315171</v>
      </c>
      <c r="E25" s="1318">
        <v>0.04</v>
      </c>
      <c r="F25" s="1173">
        <f>E25*C25</f>
        <v>1.6</v>
      </c>
      <c r="G25" s="1318">
        <v>1</v>
      </c>
      <c r="H25" s="1319">
        <f t="shared" ref="H25:H30" si="25">C25*G25*$C$156</f>
        <v>6.8000000000000007</v>
      </c>
      <c r="I25" s="1318">
        <v>0</v>
      </c>
      <c r="J25" s="1319">
        <f>C25*I25/(1-I25)</f>
        <v>0</v>
      </c>
      <c r="K25" s="1320">
        <v>1</v>
      </c>
      <c r="L25" s="1111"/>
      <c r="M25" s="1333"/>
      <c r="N25" s="1321">
        <f t="shared" ref="N25:AQ25" si="26">1/$C$149*(N$3&lt;=$C$149)</f>
        <v>8.3333333333333329E-2</v>
      </c>
      <c r="O25" s="1321">
        <f t="shared" si="26"/>
        <v>8.3333333333333329E-2</v>
      </c>
      <c r="P25" s="1321">
        <f t="shared" si="26"/>
        <v>8.3333333333333329E-2</v>
      </c>
      <c r="Q25" s="1321">
        <f t="shared" si="26"/>
        <v>8.3333333333333329E-2</v>
      </c>
      <c r="R25" s="1321">
        <f t="shared" si="26"/>
        <v>8.3333333333333329E-2</v>
      </c>
      <c r="S25" s="1321">
        <f t="shared" si="26"/>
        <v>8.3333333333333329E-2</v>
      </c>
      <c r="T25" s="1321">
        <f t="shared" si="26"/>
        <v>8.3333333333333329E-2</v>
      </c>
      <c r="U25" s="1321">
        <f t="shared" si="26"/>
        <v>8.3333333333333329E-2</v>
      </c>
      <c r="V25" s="1321">
        <f t="shared" si="26"/>
        <v>8.3333333333333329E-2</v>
      </c>
      <c r="W25" s="1321">
        <f t="shared" si="26"/>
        <v>8.3333333333333329E-2</v>
      </c>
      <c r="X25" s="1321">
        <f t="shared" si="26"/>
        <v>8.3333333333333329E-2</v>
      </c>
      <c r="Y25" s="1321">
        <f t="shared" si="26"/>
        <v>8.3333333333333329E-2</v>
      </c>
      <c r="Z25" s="1321">
        <f t="shared" si="26"/>
        <v>0</v>
      </c>
      <c r="AA25" s="1321">
        <f t="shared" si="26"/>
        <v>0</v>
      </c>
      <c r="AB25" s="1321">
        <f t="shared" si="26"/>
        <v>0</v>
      </c>
      <c r="AC25" s="1321">
        <f t="shared" si="26"/>
        <v>0</v>
      </c>
      <c r="AD25" s="1321">
        <f t="shared" si="26"/>
        <v>0</v>
      </c>
      <c r="AE25" s="1321">
        <f t="shared" si="26"/>
        <v>0</v>
      </c>
      <c r="AF25" s="1321">
        <f t="shared" si="26"/>
        <v>0</v>
      </c>
      <c r="AG25" s="1321">
        <f t="shared" si="26"/>
        <v>0</v>
      </c>
      <c r="AH25" s="1321">
        <f t="shared" si="26"/>
        <v>0</v>
      </c>
      <c r="AI25" s="1321">
        <f t="shared" si="26"/>
        <v>0</v>
      </c>
      <c r="AJ25" s="1321">
        <f t="shared" si="26"/>
        <v>0</v>
      </c>
      <c r="AK25" s="1321">
        <f t="shared" si="26"/>
        <v>0</v>
      </c>
      <c r="AL25" s="1321">
        <f t="shared" si="26"/>
        <v>0</v>
      </c>
      <c r="AM25" s="1321">
        <f t="shared" si="26"/>
        <v>0</v>
      </c>
      <c r="AN25" s="1321">
        <f t="shared" si="26"/>
        <v>0</v>
      </c>
      <c r="AO25" s="1321">
        <f t="shared" si="26"/>
        <v>0</v>
      </c>
      <c r="AP25" s="1321">
        <f t="shared" si="26"/>
        <v>0</v>
      </c>
      <c r="AQ25" s="1321">
        <f t="shared" si="26"/>
        <v>0</v>
      </c>
      <c r="AR25" s="1316"/>
    </row>
    <row r="26" spans="1:44" s="1107" customFormat="1">
      <c r="A26" s="1283"/>
      <c r="B26" s="1152" t="s">
        <v>626</v>
      </c>
      <c r="C26" s="1523">
        <f>Scenarios!E81</f>
        <v>0</v>
      </c>
      <c r="D26" s="1308">
        <f t="shared" si="10"/>
        <v>0</v>
      </c>
      <c r="E26" s="1318">
        <v>0.04</v>
      </c>
      <c r="F26" s="1173">
        <f t="shared" ref="F26:F28" si="27">E26*C26</f>
        <v>0</v>
      </c>
      <c r="G26" s="1318">
        <v>1</v>
      </c>
      <c r="H26" s="1319">
        <f t="shared" si="25"/>
        <v>0</v>
      </c>
      <c r="I26" s="1318">
        <v>0</v>
      </c>
      <c r="J26" s="1319">
        <f t="shared" ref="J26:J28" si="28">C26*I26/(1-I26)</f>
        <v>0</v>
      </c>
      <c r="K26" s="1323">
        <v>1</v>
      </c>
      <c r="L26" s="1329"/>
      <c r="M26" s="1333"/>
      <c r="N26" s="1321">
        <f t="shared" ref="N26:W30" si="29">1/$C$149*(N$3&lt;=$C$149)</f>
        <v>8.3333333333333329E-2</v>
      </c>
      <c r="O26" s="1321">
        <f t="shared" si="29"/>
        <v>8.3333333333333329E-2</v>
      </c>
      <c r="P26" s="1321">
        <f t="shared" si="29"/>
        <v>8.3333333333333329E-2</v>
      </c>
      <c r="Q26" s="1321">
        <f t="shared" si="29"/>
        <v>8.3333333333333329E-2</v>
      </c>
      <c r="R26" s="1321">
        <f t="shared" si="29"/>
        <v>8.3333333333333329E-2</v>
      </c>
      <c r="S26" s="1321">
        <f t="shared" si="29"/>
        <v>8.3333333333333329E-2</v>
      </c>
      <c r="T26" s="1321">
        <f t="shared" si="29"/>
        <v>8.3333333333333329E-2</v>
      </c>
      <c r="U26" s="1321">
        <f t="shared" si="29"/>
        <v>8.3333333333333329E-2</v>
      </c>
      <c r="V26" s="1321">
        <f t="shared" si="29"/>
        <v>8.3333333333333329E-2</v>
      </c>
      <c r="W26" s="1321">
        <f t="shared" si="29"/>
        <v>8.3333333333333329E-2</v>
      </c>
      <c r="X26" s="1321">
        <f t="shared" ref="X26:AE30" si="30">1/$C$149*(X$3&lt;=$C$149)</f>
        <v>8.3333333333333329E-2</v>
      </c>
      <c r="Y26" s="1321">
        <f t="shared" si="30"/>
        <v>8.3333333333333329E-2</v>
      </c>
      <c r="Z26" s="1321">
        <f t="shared" si="30"/>
        <v>0</v>
      </c>
      <c r="AA26" s="1321">
        <f t="shared" si="30"/>
        <v>0</v>
      </c>
      <c r="AB26" s="1321">
        <f t="shared" si="30"/>
        <v>0</v>
      </c>
      <c r="AC26" s="1321">
        <f t="shared" si="30"/>
        <v>0</v>
      </c>
      <c r="AD26" s="1321">
        <f t="shared" si="30"/>
        <v>0</v>
      </c>
      <c r="AE26" s="1321">
        <f t="shared" si="30"/>
        <v>0</v>
      </c>
      <c r="AF26" s="1321"/>
      <c r="AG26" s="1321"/>
      <c r="AH26" s="1321"/>
      <c r="AI26" s="1321"/>
      <c r="AJ26" s="1321"/>
      <c r="AK26" s="1321"/>
      <c r="AL26" s="1321"/>
      <c r="AM26" s="1321"/>
      <c r="AN26" s="1321"/>
      <c r="AO26" s="1321"/>
      <c r="AP26" s="1321"/>
      <c r="AQ26" s="1321"/>
      <c r="AR26" s="1316"/>
    </row>
    <row r="27" spans="1:44" s="1107" customFormat="1">
      <c r="A27" s="1283"/>
      <c r="B27" s="1152" t="s">
        <v>627</v>
      </c>
      <c r="C27" s="1523">
        <f>Scenarios!E82</f>
        <v>30</v>
      </c>
      <c r="D27" s="1308">
        <f t="shared" si="10"/>
        <v>0.39861812383736378</v>
      </c>
      <c r="E27" s="1318">
        <v>0.04</v>
      </c>
      <c r="F27" s="1173">
        <f t="shared" si="27"/>
        <v>1.2</v>
      </c>
      <c r="G27" s="1318">
        <v>1</v>
      </c>
      <c r="H27" s="1319">
        <f t="shared" si="25"/>
        <v>5.1000000000000005</v>
      </c>
      <c r="I27" s="1318">
        <v>0</v>
      </c>
      <c r="J27" s="1319">
        <f t="shared" si="28"/>
        <v>0</v>
      </c>
      <c r="K27" s="1323">
        <v>1</v>
      </c>
      <c r="L27" s="1329"/>
      <c r="M27" s="1333"/>
      <c r="N27" s="1321">
        <f t="shared" si="29"/>
        <v>8.3333333333333329E-2</v>
      </c>
      <c r="O27" s="1321">
        <f t="shared" si="29"/>
        <v>8.3333333333333329E-2</v>
      </c>
      <c r="P27" s="1321">
        <f t="shared" si="29"/>
        <v>8.3333333333333329E-2</v>
      </c>
      <c r="Q27" s="1321">
        <f t="shared" si="29"/>
        <v>8.3333333333333329E-2</v>
      </c>
      <c r="R27" s="1321">
        <f t="shared" si="29"/>
        <v>8.3333333333333329E-2</v>
      </c>
      <c r="S27" s="1321">
        <f t="shared" si="29"/>
        <v>8.3333333333333329E-2</v>
      </c>
      <c r="T27" s="1321">
        <f t="shared" si="29"/>
        <v>8.3333333333333329E-2</v>
      </c>
      <c r="U27" s="1321">
        <f t="shared" si="29"/>
        <v>8.3333333333333329E-2</v>
      </c>
      <c r="V27" s="1321">
        <f t="shared" si="29"/>
        <v>8.3333333333333329E-2</v>
      </c>
      <c r="W27" s="1321">
        <f t="shared" si="29"/>
        <v>8.3333333333333329E-2</v>
      </c>
      <c r="X27" s="1321">
        <f t="shared" si="30"/>
        <v>8.3333333333333329E-2</v>
      </c>
      <c r="Y27" s="1321">
        <f t="shared" si="30"/>
        <v>8.3333333333333329E-2</v>
      </c>
      <c r="Z27" s="1321">
        <f t="shared" si="30"/>
        <v>0</v>
      </c>
      <c r="AA27" s="1321">
        <f t="shared" si="30"/>
        <v>0</v>
      </c>
      <c r="AB27" s="1321">
        <f t="shared" si="30"/>
        <v>0</v>
      </c>
      <c r="AC27" s="1321">
        <f t="shared" si="30"/>
        <v>0</v>
      </c>
      <c r="AD27" s="1321">
        <f t="shared" si="30"/>
        <v>0</v>
      </c>
      <c r="AE27" s="1321">
        <f t="shared" si="30"/>
        <v>0</v>
      </c>
      <c r="AF27" s="1321"/>
      <c r="AG27" s="1321"/>
      <c r="AH27" s="1321"/>
      <c r="AI27" s="1321"/>
      <c r="AJ27" s="1321"/>
      <c r="AK27" s="1321"/>
      <c r="AL27" s="1321"/>
      <c r="AM27" s="1321"/>
      <c r="AN27" s="1321"/>
      <c r="AO27" s="1321"/>
      <c r="AP27" s="1321"/>
      <c r="AQ27" s="1321"/>
      <c r="AR27" s="1316"/>
    </row>
    <row r="28" spans="1:44" s="1107" customFormat="1">
      <c r="A28" s="1283"/>
      <c r="B28" s="1152" t="s">
        <v>662</v>
      </c>
      <c r="C28" s="1228">
        <v>0</v>
      </c>
      <c r="D28" s="1308">
        <f t="shared" si="10"/>
        <v>0</v>
      </c>
      <c r="E28" s="1318">
        <v>0.04</v>
      </c>
      <c r="F28" s="1173">
        <f t="shared" si="27"/>
        <v>0</v>
      </c>
      <c r="G28" s="1318">
        <v>1</v>
      </c>
      <c r="H28" s="1319">
        <f t="shared" si="25"/>
        <v>0</v>
      </c>
      <c r="I28" s="1318">
        <v>0</v>
      </c>
      <c r="J28" s="1319">
        <f t="shared" si="28"/>
        <v>0</v>
      </c>
      <c r="K28" s="1323">
        <v>1</v>
      </c>
      <c r="L28" s="1329"/>
      <c r="M28" s="1333"/>
      <c r="N28" s="1321">
        <f t="shared" si="29"/>
        <v>8.3333333333333329E-2</v>
      </c>
      <c r="O28" s="1321">
        <f t="shared" si="29"/>
        <v>8.3333333333333329E-2</v>
      </c>
      <c r="P28" s="1321">
        <f t="shared" si="29"/>
        <v>8.3333333333333329E-2</v>
      </c>
      <c r="Q28" s="1321">
        <f t="shared" si="29"/>
        <v>8.3333333333333329E-2</v>
      </c>
      <c r="R28" s="1321">
        <f t="shared" si="29"/>
        <v>8.3333333333333329E-2</v>
      </c>
      <c r="S28" s="1321">
        <f t="shared" si="29"/>
        <v>8.3333333333333329E-2</v>
      </c>
      <c r="T28" s="1321">
        <f t="shared" si="29"/>
        <v>8.3333333333333329E-2</v>
      </c>
      <c r="U28" s="1321">
        <f t="shared" si="29"/>
        <v>8.3333333333333329E-2</v>
      </c>
      <c r="V28" s="1321">
        <f t="shared" si="29"/>
        <v>8.3333333333333329E-2</v>
      </c>
      <c r="W28" s="1321">
        <f t="shared" si="29"/>
        <v>8.3333333333333329E-2</v>
      </c>
      <c r="X28" s="1321">
        <f t="shared" si="30"/>
        <v>8.3333333333333329E-2</v>
      </c>
      <c r="Y28" s="1321">
        <f t="shared" si="30"/>
        <v>8.3333333333333329E-2</v>
      </c>
      <c r="Z28" s="1321">
        <f t="shared" si="30"/>
        <v>0</v>
      </c>
      <c r="AA28" s="1321">
        <f t="shared" si="30"/>
        <v>0</v>
      </c>
      <c r="AB28" s="1321">
        <f t="shared" si="30"/>
        <v>0</v>
      </c>
      <c r="AC28" s="1321">
        <f t="shared" si="30"/>
        <v>0</v>
      </c>
      <c r="AD28" s="1321">
        <f t="shared" si="30"/>
        <v>0</v>
      </c>
      <c r="AE28" s="1321">
        <f t="shared" si="30"/>
        <v>0</v>
      </c>
      <c r="AF28" s="1321"/>
      <c r="AG28" s="1321"/>
      <c r="AH28" s="1321"/>
      <c r="AI28" s="1321"/>
      <c r="AJ28" s="1321"/>
      <c r="AK28" s="1321"/>
      <c r="AL28" s="1321"/>
      <c r="AM28" s="1321"/>
      <c r="AN28" s="1321"/>
      <c r="AO28" s="1321"/>
      <c r="AP28" s="1321"/>
      <c r="AQ28" s="1321"/>
      <c r="AR28" s="1316"/>
    </row>
    <row r="29" spans="1:44" s="1107" customFormat="1">
      <c r="A29" s="1283"/>
      <c r="B29" s="1152" t="s">
        <v>663</v>
      </c>
      <c r="C29" s="1228">
        <v>0</v>
      </c>
      <c r="D29" s="1308">
        <f t="shared" si="10"/>
        <v>0</v>
      </c>
      <c r="E29" s="1318">
        <v>0.04</v>
      </c>
      <c r="F29" s="1173">
        <f>E29*C29</f>
        <v>0</v>
      </c>
      <c r="G29" s="1318">
        <v>1</v>
      </c>
      <c r="H29" s="1319">
        <f t="shared" si="25"/>
        <v>0</v>
      </c>
      <c r="I29" s="1318">
        <v>0</v>
      </c>
      <c r="J29" s="1319">
        <f>C29*I29/(1-I29)</f>
        <v>0</v>
      </c>
      <c r="K29" s="1323">
        <v>1</v>
      </c>
      <c r="L29" s="1329"/>
      <c r="M29" s="1333"/>
      <c r="N29" s="1321">
        <f t="shared" si="29"/>
        <v>8.3333333333333329E-2</v>
      </c>
      <c r="O29" s="1321">
        <f t="shared" si="29"/>
        <v>8.3333333333333329E-2</v>
      </c>
      <c r="P29" s="1321">
        <f t="shared" si="29"/>
        <v>8.3333333333333329E-2</v>
      </c>
      <c r="Q29" s="1321">
        <f t="shared" si="29"/>
        <v>8.3333333333333329E-2</v>
      </c>
      <c r="R29" s="1321">
        <f t="shared" si="29"/>
        <v>8.3333333333333329E-2</v>
      </c>
      <c r="S29" s="1321">
        <f t="shared" si="29"/>
        <v>8.3333333333333329E-2</v>
      </c>
      <c r="T29" s="1321">
        <f t="shared" si="29"/>
        <v>8.3333333333333329E-2</v>
      </c>
      <c r="U29" s="1321">
        <f t="shared" si="29"/>
        <v>8.3333333333333329E-2</v>
      </c>
      <c r="V29" s="1321">
        <f t="shared" si="29"/>
        <v>8.3333333333333329E-2</v>
      </c>
      <c r="W29" s="1321">
        <f t="shared" si="29"/>
        <v>8.3333333333333329E-2</v>
      </c>
      <c r="X29" s="1321">
        <f t="shared" si="30"/>
        <v>8.3333333333333329E-2</v>
      </c>
      <c r="Y29" s="1321">
        <f t="shared" si="30"/>
        <v>8.3333333333333329E-2</v>
      </c>
      <c r="Z29" s="1321">
        <f t="shared" si="30"/>
        <v>0</v>
      </c>
      <c r="AA29" s="1321">
        <f t="shared" si="30"/>
        <v>0</v>
      </c>
      <c r="AB29" s="1321">
        <f t="shared" si="30"/>
        <v>0</v>
      </c>
      <c r="AC29" s="1321">
        <f t="shared" si="30"/>
        <v>0</v>
      </c>
      <c r="AD29" s="1321">
        <f t="shared" si="30"/>
        <v>0</v>
      </c>
      <c r="AE29" s="1321">
        <f t="shared" si="30"/>
        <v>0</v>
      </c>
      <c r="AF29" s="1321">
        <f t="shared" ref="AF29:AQ30" si="31">1/$C$149*(AF$3&lt;=$C$149)</f>
        <v>0</v>
      </c>
      <c r="AG29" s="1321">
        <f t="shared" si="31"/>
        <v>0</v>
      </c>
      <c r="AH29" s="1321">
        <f t="shared" si="31"/>
        <v>0</v>
      </c>
      <c r="AI29" s="1321">
        <f t="shared" si="31"/>
        <v>0</v>
      </c>
      <c r="AJ29" s="1321">
        <f t="shared" si="31"/>
        <v>0</v>
      </c>
      <c r="AK29" s="1321">
        <f t="shared" si="31"/>
        <v>0</v>
      </c>
      <c r="AL29" s="1321">
        <f t="shared" si="31"/>
        <v>0</v>
      </c>
      <c r="AM29" s="1321">
        <f t="shared" si="31"/>
        <v>0</v>
      </c>
      <c r="AN29" s="1321">
        <f t="shared" si="31"/>
        <v>0</v>
      </c>
      <c r="AO29" s="1321">
        <f t="shared" si="31"/>
        <v>0</v>
      </c>
      <c r="AP29" s="1321">
        <f t="shared" si="31"/>
        <v>0</v>
      </c>
      <c r="AQ29" s="1321">
        <f t="shared" si="31"/>
        <v>0</v>
      </c>
      <c r="AR29" s="1316"/>
    </row>
    <row r="30" spans="1:44" s="1107" customFormat="1">
      <c r="A30" s="1283" t="s">
        <v>921</v>
      </c>
      <c r="B30" s="1152" t="s">
        <v>628</v>
      </c>
      <c r="C30" s="1523">
        <f>Scenarios!E83</f>
        <v>0</v>
      </c>
      <c r="D30" s="1461">
        <f t="shared" si="10"/>
        <v>0</v>
      </c>
      <c r="E30" s="1318">
        <v>0.04</v>
      </c>
      <c r="F30" s="1173">
        <f>E30*C30</f>
        <v>0</v>
      </c>
      <c r="G30" s="1318">
        <v>1</v>
      </c>
      <c r="H30" s="1319">
        <f t="shared" si="25"/>
        <v>0</v>
      </c>
      <c r="I30" s="1318">
        <v>0</v>
      </c>
      <c r="J30" s="1319">
        <f>C30*I30/(1-I30)</f>
        <v>0</v>
      </c>
      <c r="K30" s="1323">
        <v>1</v>
      </c>
      <c r="L30" s="1329"/>
      <c r="M30" s="1333"/>
      <c r="N30" s="1321">
        <f t="shared" si="29"/>
        <v>8.3333333333333329E-2</v>
      </c>
      <c r="O30" s="1321">
        <f t="shared" si="29"/>
        <v>8.3333333333333329E-2</v>
      </c>
      <c r="P30" s="1321">
        <f t="shared" si="29"/>
        <v>8.3333333333333329E-2</v>
      </c>
      <c r="Q30" s="1321">
        <f t="shared" si="29"/>
        <v>8.3333333333333329E-2</v>
      </c>
      <c r="R30" s="1321">
        <f t="shared" si="29"/>
        <v>8.3333333333333329E-2</v>
      </c>
      <c r="S30" s="1321">
        <f t="shared" si="29"/>
        <v>8.3333333333333329E-2</v>
      </c>
      <c r="T30" s="1321">
        <f t="shared" si="29"/>
        <v>8.3333333333333329E-2</v>
      </c>
      <c r="U30" s="1321">
        <f t="shared" si="29"/>
        <v>8.3333333333333329E-2</v>
      </c>
      <c r="V30" s="1321">
        <f t="shared" si="29"/>
        <v>8.3333333333333329E-2</v>
      </c>
      <c r="W30" s="1321">
        <f t="shared" si="29"/>
        <v>8.3333333333333329E-2</v>
      </c>
      <c r="X30" s="1321">
        <f t="shared" si="30"/>
        <v>8.3333333333333329E-2</v>
      </c>
      <c r="Y30" s="1321">
        <f t="shared" si="30"/>
        <v>8.3333333333333329E-2</v>
      </c>
      <c r="Z30" s="1321">
        <f t="shared" si="30"/>
        <v>0</v>
      </c>
      <c r="AA30" s="1321">
        <f t="shared" si="30"/>
        <v>0</v>
      </c>
      <c r="AB30" s="1321">
        <f t="shared" si="30"/>
        <v>0</v>
      </c>
      <c r="AC30" s="1321">
        <f t="shared" si="30"/>
        <v>0</v>
      </c>
      <c r="AD30" s="1321">
        <f t="shared" si="30"/>
        <v>0</v>
      </c>
      <c r="AE30" s="1321">
        <f t="shared" si="30"/>
        <v>0</v>
      </c>
      <c r="AF30" s="1321">
        <f t="shared" si="31"/>
        <v>0</v>
      </c>
      <c r="AG30" s="1321">
        <f t="shared" si="31"/>
        <v>0</v>
      </c>
      <c r="AH30" s="1321">
        <f t="shared" si="31"/>
        <v>0</v>
      </c>
      <c r="AI30" s="1321">
        <f t="shared" si="31"/>
        <v>0</v>
      </c>
      <c r="AJ30" s="1321">
        <f t="shared" si="31"/>
        <v>0</v>
      </c>
      <c r="AK30" s="1321">
        <f t="shared" si="31"/>
        <v>0</v>
      </c>
      <c r="AL30" s="1321">
        <f t="shared" si="31"/>
        <v>0</v>
      </c>
      <c r="AM30" s="1321">
        <f t="shared" si="31"/>
        <v>0</v>
      </c>
      <c r="AN30" s="1321">
        <f t="shared" si="31"/>
        <v>0</v>
      </c>
      <c r="AO30" s="1321">
        <f t="shared" si="31"/>
        <v>0</v>
      </c>
      <c r="AP30" s="1321">
        <f t="shared" si="31"/>
        <v>0</v>
      </c>
      <c r="AQ30" s="1321">
        <f t="shared" si="31"/>
        <v>0</v>
      </c>
      <c r="AR30" s="1316"/>
    </row>
    <row r="31" spans="1:44">
      <c r="A31" s="1283" t="s">
        <v>924</v>
      </c>
      <c r="B31" s="1167" t="s">
        <v>629</v>
      </c>
      <c r="C31" s="1307">
        <f>SUM(C32:C46)</f>
        <v>80</v>
      </c>
      <c r="D31" s="1461">
        <f t="shared" si="10"/>
        <v>1.0629816635663034</v>
      </c>
      <c r="E31" s="1324"/>
      <c r="F31" s="1335"/>
      <c r="G31" s="1336"/>
      <c r="H31" s="1311"/>
      <c r="I31" s="1336"/>
      <c r="J31" s="1311"/>
      <c r="K31" s="1290"/>
      <c r="L31" s="1111"/>
      <c r="M31" s="1314">
        <f>(ABS(SUMIF(N$3:AQ$3,"&lt;="&amp;$C$149,N31:AQ31)-1)+ABS(SUM(N31:AQ31)-1))*(C31&lt;&gt;0)</f>
        <v>0</v>
      </c>
      <c r="N31" s="1315">
        <f t="shared" ref="N31:AQ31" si="32">SUMPRODUCT(N32:N46,$C32:$C46)/IF($C31&lt;&gt;0,$C31,1)</f>
        <v>8.3333333333333329E-2</v>
      </c>
      <c r="O31" s="1315">
        <f t="shared" si="32"/>
        <v>8.3333333333333329E-2</v>
      </c>
      <c r="P31" s="1315">
        <f t="shared" si="32"/>
        <v>8.3333333333333329E-2</v>
      </c>
      <c r="Q31" s="1315">
        <f t="shared" si="32"/>
        <v>8.3333333333333329E-2</v>
      </c>
      <c r="R31" s="1315">
        <f t="shared" si="32"/>
        <v>8.3333333333333329E-2</v>
      </c>
      <c r="S31" s="1315">
        <f t="shared" si="32"/>
        <v>8.3333333333333329E-2</v>
      </c>
      <c r="T31" s="1315">
        <f t="shared" si="32"/>
        <v>8.3333333333333329E-2</v>
      </c>
      <c r="U31" s="1315">
        <f t="shared" si="32"/>
        <v>8.3333333333333329E-2</v>
      </c>
      <c r="V31" s="1315">
        <f t="shared" si="32"/>
        <v>8.3333333333333329E-2</v>
      </c>
      <c r="W31" s="1315">
        <f t="shared" si="32"/>
        <v>8.3333333333333329E-2</v>
      </c>
      <c r="X31" s="1315">
        <f t="shared" si="32"/>
        <v>8.3333333333333329E-2</v>
      </c>
      <c r="Y31" s="1315">
        <f t="shared" si="32"/>
        <v>8.3333333333333329E-2</v>
      </c>
      <c r="Z31" s="1315">
        <f t="shared" si="32"/>
        <v>0</v>
      </c>
      <c r="AA31" s="1315">
        <f t="shared" si="32"/>
        <v>0</v>
      </c>
      <c r="AB31" s="1315">
        <f t="shared" si="32"/>
        <v>0</v>
      </c>
      <c r="AC31" s="1315">
        <f t="shared" si="32"/>
        <v>0</v>
      </c>
      <c r="AD31" s="1315">
        <f t="shared" si="32"/>
        <v>0</v>
      </c>
      <c r="AE31" s="1315">
        <f t="shared" si="32"/>
        <v>0</v>
      </c>
      <c r="AF31" s="1315">
        <f t="shared" si="32"/>
        <v>0</v>
      </c>
      <c r="AG31" s="1315">
        <f t="shared" si="32"/>
        <v>0</v>
      </c>
      <c r="AH31" s="1315">
        <f t="shared" si="32"/>
        <v>0</v>
      </c>
      <c r="AI31" s="1315">
        <f t="shared" si="32"/>
        <v>0</v>
      </c>
      <c r="AJ31" s="1315">
        <f t="shared" si="32"/>
        <v>0</v>
      </c>
      <c r="AK31" s="1315">
        <f t="shared" si="32"/>
        <v>0</v>
      </c>
      <c r="AL31" s="1315">
        <f t="shared" si="32"/>
        <v>0</v>
      </c>
      <c r="AM31" s="1315">
        <f t="shared" si="32"/>
        <v>0</v>
      </c>
      <c r="AN31" s="1315">
        <f t="shared" si="32"/>
        <v>0</v>
      </c>
      <c r="AO31" s="1315">
        <f t="shared" si="32"/>
        <v>0</v>
      </c>
      <c r="AP31" s="1315">
        <f t="shared" si="32"/>
        <v>0</v>
      </c>
      <c r="AQ31" s="1315">
        <f t="shared" si="32"/>
        <v>0</v>
      </c>
      <c r="AR31" s="1316"/>
    </row>
    <row r="32" spans="1:44" outlineLevel="1">
      <c r="A32" s="1283" t="s">
        <v>925</v>
      </c>
      <c r="B32" s="1334" t="s">
        <v>630</v>
      </c>
      <c r="C32" s="1523">
        <f>Scenarios!J85</f>
        <v>10</v>
      </c>
      <c r="D32" s="1461">
        <f t="shared" si="10"/>
        <v>0.13287270794578793</v>
      </c>
      <c r="E32" s="1318">
        <v>0.04</v>
      </c>
      <c r="F32" s="1173">
        <f>E32*C32</f>
        <v>0.4</v>
      </c>
      <c r="G32" s="1318">
        <v>1</v>
      </c>
      <c r="H32" s="1319">
        <f t="shared" ref="H32:H46" si="33">C32*G32*$C$156</f>
        <v>1.7000000000000002</v>
      </c>
      <c r="I32" s="1318">
        <v>0</v>
      </c>
      <c r="J32" s="1319">
        <f>C32*I32/(1-I32)</f>
        <v>0</v>
      </c>
      <c r="K32" s="1320">
        <v>1</v>
      </c>
      <c r="L32" s="1111"/>
      <c r="M32" s="18"/>
      <c r="N32" s="1321">
        <f t="shared" ref="N32:AQ32" si="34">1/$C$149*(N$3&lt;=$C$149)</f>
        <v>8.3333333333333329E-2</v>
      </c>
      <c r="O32" s="1321">
        <f t="shared" si="34"/>
        <v>8.3333333333333329E-2</v>
      </c>
      <c r="P32" s="1321">
        <f t="shared" si="34"/>
        <v>8.3333333333333329E-2</v>
      </c>
      <c r="Q32" s="1321">
        <f t="shared" si="34"/>
        <v>8.3333333333333329E-2</v>
      </c>
      <c r="R32" s="1321">
        <f t="shared" si="34"/>
        <v>8.3333333333333329E-2</v>
      </c>
      <c r="S32" s="1321">
        <f t="shared" si="34"/>
        <v>8.3333333333333329E-2</v>
      </c>
      <c r="T32" s="1321">
        <f t="shared" si="34"/>
        <v>8.3333333333333329E-2</v>
      </c>
      <c r="U32" s="1321">
        <f t="shared" si="34"/>
        <v>8.3333333333333329E-2</v>
      </c>
      <c r="V32" s="1321">
        <f t="shared" si="34"/>
        <v>8.3333333333333329E-2</v>
      </c>
      <c r="W32" s="1321">
        <f t="shared" si="34"/>
        <v>8.3333333333333329E-2</v>
      </c>
      <c r="X32" s="1321">
        <f t="shared" si="34"/>
        <v>8.3333333333333329E-2</v>
      </c>
      <c r="Y32" s="1321">
        <f t="shared" si="34"/>
        <v>8.3333333333333329E-2</v>
      </c>
      <c r="Z32" s="1321">
        <f t="shared" si="34"/>
        <v>0</v>
      </c>
      <c r="AA32" s="1321">
        <f t="shared" si="34"/>
        <v>0</v>
      </c>
      <c r="AB32" s="1321">
        <f t="shared" si="34"/>
        <v>0</v>
      </c>
      <c r="AC32" s="1321">
        <f t="shared" si="34"/>
        <v>0</v>
      </c>
      <c r="AD32" s="1321">
        <f t="shared" si="34"/>
        <v>0</v>
      </c>
      <c r="AE32" s="1321">
        <f t="shared" si="34"/>
        <v>0</v>
      </c>
      <c r="AF32" s="1321">
        <f t="shared" si="34"/>
        <v>0</v>
      </c>
      <c r="AG32" s="1321">
        <f t="shared" si="34"/>
        <v>0</v>
      </c>
      <c r="AH32" s="1321">
        <f t="shared" si="34"/>
        <v>0</v>
      </c>
      <c r="AI32" s="1321">
        <f t="shared" si="34"/>
        <v>0</v>
      </c>
      <c r="AJ32" s="1321">
        <f t="shared" si="34"/>
        <v>0</v>
      </c>
      <c r="AK32" s="1321">
        <f t="shared" si="34"/>
        <v>0</v>
      </c>
      <c r="AL32" s="1321">
        <f t="shared" si="34"/>
        <v>0</v>
      </c>
      <c r="AM32" s="1321">
        <f t="shared" si="34"/>
        <v>0</v>
      </c>
      <c r="AN32" s="1321">
        <f t="shared" si="34"/>
        <v>0</v>
      </c>
      <c r="AO32" s="1321">
        <f t="shared" si="34"/>
        <v>0</v>
      </c>
      <c r="AP32" s="1321">
        <f t="shared" si="34"/>
        <v>0</v>
      </c>
      <c r="AQ32" s="1321">
        <f t="shared" si="34"/>
        <v>0</v>
      </c>
      <c r="AR32" s="1316"/>
    </row>
    <row r="33" spans="1:44" outlineLevel="1">
      <c r="A33" s="1283"/>
      <c r="B33" s="1334" t="s">
        <v>631</v>
      </c>
      <c r="C33" s="1523">
        <f>Scenarios!J86</f>
        <v>5</v>
      </c>
      <c r="D33" s="1461">
        <f t="shared" si="10"/>
        <v>6.6436353972893963E-2</v>
      </c>
      <c r="E33" s="1318">
        <v>0.04</v>
      </c>
      <c r="F33" s="1173">
        <f t="shared" ref="F33:F44" si="35">E33*C33</f>
        <v>0.2</v>
      </c>
      <c r="G33" s="1318">
        <v>1</v>
      </c>
      <c r="H33" s="1319">
        <f t="shared" si="33"/>
        <v>0.85000000000000009</v>
      </c>
      <c r="I33" s="1318">
        <v>0</v>
      </c>
      <c r="J33" s="1319">
        <f t="shared" ref="J33:J44" si="36">C33*I33/(1-I33)</f>
        <v>0</v>
      </c>
      <c r="K33" s="1323">
        <v>1</v>
      </c>
      <c r="L33" s="1111"/>
      <c r="M33" s="18"/>
      <c r="N33" s="1321">
        <f t="shared" ref="N33:W46" si="37">1/$C$149*(N$3&lt;=$C$149)</f>
        <v>8.3333333333333329E-2</v>
      </c>
      <c r="O33" s="1321">
        <f t="shared" si="37"/>
        <v>8.3333333333333329E-2</v>
      </c>
      <c r="P33" s="1321">
        <f t="shared" si="37"/>
        <v>8.3333333333333329E-2</v>
      </c>
      <c r="Q33" s="1321">
        <f t="shared" si="37"/>
        <v>8.3333333333333329E-2</v>
      </c>
      <c r="R33" s="1321">
        <f t="shared" si="37"/>
        <v>8.3333333333333329E-2</v>
      </c>
      <c r="S33" s="1321">
        <f t="shared" si="37"/>
        <v>8.3333333333333329E-2</v>
      </c>
      <c r="T33" s="1321">
        <f t="shared" si="37"/>
        <v>8.3333333333333329E-2</v>
      </c>
      <c r="U33" s="1321">
        <f t="shared" si="37"/>
        <v>8.3333333333333329E-2</v>
      </c>
      <c r="V33" s="1321">
        <f t="shared" si="37"/>
        <v>8.3333333333333329E-2</v>
      </c>
      <c r="W33" s="1321">
        <f t="shared" si="37"/>
        <v>8.3333333333333329E-2</v>
      </c>
      <c r="X33" s="1321">
        <f t="shared" ref="X33:AE46" si="38">1/$C$149*(X$3&lt;=$C$149)</f>
        <v>8.3333333333333329E-2</v>
      </c>
      <c r="Y33" s="1321">
        <f t="shared" si="38"/>
        <v>8.3333333333333329E-2</v>
      </c>
      <c r="Z33" s="1321">
        <f t="shared" si="38"/>
        <v>0</v>
      </c>
      <c r="AA33" s="1321">
        <f t="shared" si="38"/>
        <v>0</v>
      </c>
      <c r="AB33" s="1321">
        <f t="shared" si="38"/>
        <v>0</v>
      </c>
      <c r="AC33" s="1321">
        <f t="shared" si="38"/>
        <v>0</v>
      </c>
      <c r="AD33" s="1321">
        <f t="shared" si="38"/>
        <v>0</v>
      </c>
      <c r="AE33" s="1321">
        <f t="shared" si="38"/>
        <v>0</v>
      </c>
      <c r="AF33" s="1321"/>
      <c r="AG33" s="1321"/>
      <c r="AH33" s="1321"/>
      <c r="AI33" s="1321"/>
      <c r="AJ33" s="1321"/>
      <c r="AK33" s="1321"/>
      <c r="AL33" s="1321"/>
      <c r="AM33" s="1321"/>
      <c r="AN33" s="1321"/>
      <c r="AO33" s="1321"/>
      <c r="AP33" s="1321"/>
      <c r="AQ33" s="1321"/>
      <c r="AR33" s="1316"/>
    </row>
    <row r="34" spans="1:44" outlineLevel="1">
      <c r="A34" s="1283"/>
      <c r="B34" s="1334" t="s">
        <v>632</v>
      </c>
      <c r="C34" s="1523">
        <f>Scenarios!E87</f>
        <v>0</v>
      </c>
      <c r="D34" s="1308">
        <f t="shared" si="10"/>
        <v>0</v>
      </c>
      <c r="E34" s="1318">
        <v>0.04</v>
      </c>
      <c r="F34" s="1173">
        <f t="shared" si="35"/>
        <v>0</v>
      </c>
      <c r="G34" s="1318">
        <v>1</v>
      </c>
      <c r="H34" s="1319">
        <f t="shared" si="33"/>
        <v>0</v>
      </c>
      <c r="I34" s="1318">
        <v>0</v>
      </c>
      <c r="J34" s="1319">
        <f t="shared" si="36"/>
        <v>0</v>
      </c>
      <c r="K34" s="1323">
        <v>1</v>
      </c>
      <c r="L34" s="1111"/>
      <c r="M34" s="18"/>
      <c r="N34" s="1321">
        <f t="shared" si="37"/>
        <v>8.3333333333333329E-2</v>
      </c>
      <c r="O34" s="1321">
        <f t="shared" si="37"/>
        <v>8.3333333333333329E-2</v>
      </c>
      <c r="P34" s="1321">
        <f t="shared" si="37"/>
        <v>8.3333333333333329E-2</v>
      </c>
      <c r="Q34" s="1321">
        <f t="shared" si="37"/>
        <v>8.3333333333333329E-2</v>
      </c>
      <c r="R34" s="1321">
        <f t="shared" si="37"/>
        <v>8.3333333333333329E-2</v>
      </c>
      <c r="S34" s="1321">
        <f t="shared" si="37"/>
        <v>8.3333333333333329E-2</v>
      </c>
      <c r="T34" s="1321">
        <f t="shared" si="37"/>
        <v>8.3333333333333329E-2</v>
      </c>
      <c r="U34" s="1321">
        <f t="shared" si="37"/>
        <v>8.3333333333333329E-2</v>
      </c>
      <c r="V34" s="1321">
        <f t="shared" si="37"/>
        <v>8.3333333333333329E-2</v>
      </c>
      <c r="W34" s="1321">
        <f t="shared" si="37"/>
        <v>8.3333333333333329E-2</v>
      </c>
      <c r="X34" s="1321">
        <f t="shared" si="38"/>
        <v>8.3333333333333329E-2</v>
      </c>
      <c r="Y34" s="1321">
        <f t="shared" si="38"/>
        <v>8.3333333333333329E-2</v>
      </c>
      <c r="Z34" s="1321">
        <f t="shared" si="38"/>
        <v>0</v>
      </c>
      <c r="AA34" s="1321">
        <f t="shared" si="38"/>
        <v>0</v>
      </c>
      <c r="AB34" s="1321">
        <f t="shared" si="38"/>
        <v>0</v>
      </c>
      <c r="AC34" s="1321">
        <f t="shared" si="38"/>
        <v>0</v>
      </c>
      <c r="AD34" s="1321">
        <f t="shared" si="38"/>
        <v>0</v>
      </c>
      <c r="AE34" s="1321">
        <f t="shared" si="38"/>
        <v>0</v>
      </c>
      <c r="AF34" s="1321"/>
      <c r="AG34" s="1321"/>
      <c r="AH34" s="1321"/>
      <c r="AI34" s="1321"/>
      <c r="AJ34" s="1321"/>
      <c r="AK34" s="1321"/>
      <c r="AL34" s="1321"/>
      <c r="AM34" s="1321"/>
      <c r="AN34" s="1321"/>
      <c r="AO34" s="1321"/>
      <c r="AP34" s="1321"/>
      <c r="AQ34" s="1321"/>
      <c r="AR34" s="1316"/>
    </row>
    <row r="35" spans="1:44" outlineLevel="1">
      <c r="A35" s="1283"/>
      <c r="B35" s="1334" t="s">
        <v>926</v>
      </c>
      <c r="C35" s="1228">
        <v>0</v>
      </c>
      <c r="D35" s="1308">
        <f t="shared" ref="D35:D66" si="39">C35/C$150</f>
        <v>0</v>
      </c>
      <c r="E35" s="1318">
        <v>0.04</v>
      </c>
      <c r="F35" s="1173">
        <f t="shared" si="35"/>
        <v>0</v>
      </c>
      <c r="G35" s="1318">
        <v>1</v>
      </c>
      <c r="H35" s="1319">
        <f t="shared" si="33"/>
        <v>0</v>
      </c>
      <c r="I35" s="1318">
        <v>0</v>
      </c>
      <c r="J35" s="1319">
        <f t="shared" si="36"/>
        <v>0</v>
      </c>
      <c r="K35" s="1323">
        <v>1</v>
      </c>
      <c r="L35" s="1111"/>
      <c r="M35" s="18"/>
      <c r="N35" s="1321">
        <f t="shared" si="37"/>
        <v>8.3333333333333329E-2</v>
      </c>
      <c r="O35" s="1321">
        <f t="shared" si="37"/>
        <v>8.3333333333333329E-2</v>
      </c>
      <c r="P35" s="1321">
        <f t="shared" si="37"/>
        <v>8.3333333333333329E-2</v>
      </c>
      <c r="Q35" s="1321">
        <f t="shared" si="37"/>
        <v>8.3333333333333329E-2</v>
      </c>
      <c r="R35" s="1321">
        <f t="shared" si="37"/>
        <v>8.3333333333333329E-2</v>
      </c>
      <c r="S35" s="1321">
        <f t="shared" si="37"/>
        <v>8.3333333333333329E-2</v>
      </c>
      <c r="T35" s="1321">
        <f t="shared" si="37"/>
        <v>8.3333333333333329E-2</v>
      </c>
      <c r="U35" s="1321">
        <f t="shared" si="37"/>
        <v>8.3333333333333329E-2</v>
      </c>
      <c r="V35" s="1321">
        <f t="shared" si="37"/>
        <v>8.3333333333333329E-2</v>
      </c>
      <c r="W35" s="1321">
        <f t="shared" si="37"/>
        <v>8.3333333333333329E-2</v>
      </c>
      <c r="X35" s="1321">
        <f t="shared" si="38"/>
        <v>8.3333333333333329E-2</v>
      </c>
      <c r="Y35" s="1321">
        <f t="shared" si="38"/>
        <v>8.3333333333333329E-2</v>
      </c>
      <c r="Z35" s="1321">
        <f t="shared" si="38"/>
        <v>0</v>
      </c>
      <c r="AA35" s="1321">
        <f t="shared" si="38"/>
        <v>0</v>
      </c>
      <c r="AB35" s="1321">
        <f t="shared" si="38"/>
        <v>0</v>
      </c>
      <c r="AC35" s="1321">
        <f t="shared" si="38"/>
        <v>0</v>
      </c>
      <c r="AD35" s="1321">
        <f t="shared" si="38"/>
        <v>0</v>
      </c>
      <c r="AE35" s="1321">
        <f t="shared" si="38"/>
        <v>0</v>
      </c>
      <c r="AF35" s="1321"/>
      <c r="AG35" s="1321"/>
      <c r="AH35" s="1321"/>
      <c r="AI35" s="1321"/>
      <c r="AJ35" s="1321"/>
      <c r="AK35" s="1321"/>
      <c r="AL35" s="1321"/>
      <c r="AM35" s="1321"/>
      <c r="AN35" s="1321"/>
      <c r="AO35" s="1321"/>
      <c r="AP35" s="1321"/>
      <c r="AQ35" s="1321"/>
      <c r="AR35" s="1316"/>
    </row>
    <row r="36" spans="1:44" outlineLevel="1">
      <c r="A36" s="1283"/>
      <c r="B36" s="1334" t="s">
        <v>927</v>
      </c>
      <c r="C36" s="1522">
        <v>0</v>
      </c>
      <c r="D36" s="1308">
        <f t="shared" si="39"/>
        <v>0</v>
      </c>
      <c r="E36" s="1318">
        <v>0.04</v>
      </c>
      <c r="F36" s="1173">
        <f t="shared" si="35"/>
        <v>0</v>
      </c>
      <c r="G36" s="1318">
        <v>1</v>
      </c>
      <c r="H36" s="1319">
        <f t="shared" si="33"/>
        <v>0</v>
      </c>
      <c r="I36" s="1318">
        <v>0</v>
      </c>
      <c r="J36" s="1319">
        <f t="shared" si="36"/>
        <v>0</v>
      </c>
      <c r="K36" s="1323">
        <v>1</v>
      </c>
      <c r="L36" s="1111"/>
      <c r="M36" s="18"/>
      <c r="N36" s="1321">
        <f t="shared" si="37"/>
        <v>8.3333333333333329E-2</v>
      </c>
      <c r="O36" s="1321">
        <f t="shared" si="37"/>
        <v>8.3333333333333329E-2</v>
      </c>
      <c r="P36" s="1321">
        <f t="shared" si="37"/>
        <v>8.3333333333333329E-2</v>
      </c>
      <c r="Q36" s="1321">
        <f t="shared" si="37"/>
        <v>8.3333333333333329E-2</v>
      </c>
      <c r="R36" s="1321">
        <f t="shared" si="37"/>
        <v>8.3333333333333329E-2</v>
      </c>
      <c r="S36" s="1321">
        <f t="shared" si="37"/>
        <v>8.3333333333333329E-2</v>
      </c>
      <c r="T36" s="1321">
        <f t="shared" si="37"/>
        <v>8.3333333333333329E-2</v>
      </c>
      <c r="U36" s="1321">
        <f t="shared" si="37"/>
        <v>8.3333333333333329E-2</v>
      </c>
      <c r="V36" s="1321">
        <f t="shared" si="37"/>
        <v>8.3333333333333329E-2</v>
      </c>
      <c r="W36" s="1321">
        <f t="shared" si="37"/>
        <v>8.3333333333333329E-2</v>
      </c>
      <c r="X36" s="1321">
        <f t="shared" si="38"/>
        <v>8.3333333333333329E-2</v>
      </c>
      <c r="Y36" s="1321">
        <f t="shared" si="38"/>
        <v>8.3333333333333329E-2</v>
      </c>
      <c r="Z36" s="1321">
        <f t="shared" si="38"/>
        <v>0</v>
      </c>
      <c r="AA36" s="1321">
        <f t="shared" si="38"/>
        <v>0</v>
      </c>
      <c r="AB36" s="1321">
        <f t="shared" si="38"/>
        <v>0</v>
      </c>
      <c r="AC36" s="1321">
        <f t="shared" si="38"/>
        <v>0</v>
      </c>
      <c r="AD36" s="1321">
        <f t="shared" si="38"/>
        <v>0</v>
      </c>
      <c r="AE36" s="1321">
        <f t="shared" si="38"/>
        <v>0</v>
      </c>
      <c r="AF36" s="1321"/>
      <c r="AG36" s="1321"/>
      <c r="AH36" s="1321"/>
      <c r="AI36" s="1321"/>
      <c r="AJ36" s="1321"/>
      <c r="AK36" s="1321"/>
      <c r="AL36" s="1321"/>
      <c r="AM36" s="1321"/>
      <c r="AN36" s="1321"/>
      <c r="AO36" s="1321"/>
      <c r="AP36" s="1321"/>
      <c r="AQ36" s="1321"/>
      <c r="AR36" s="1316"/>
    </row>
    <row r="37" spans="1:44" outlineLevel="1">
      <c r="A37" s="1283"/>
      <c r="B37" s="1334" t="s">
        <v>928</v>
      </c>
      <c r="C37" s="1228">
        <v>0</v>
      </c>
      <c r="D37" s="1308">
        <f t="shared" si="39"/>
        <v>0</v>
      </c>
      <c r="E37" s="1318">
        <v>0.04</v>
      </c>
      <c r="F37" s="1173">
        <f t="shared" si="35"/>
        <v>0</v>
      </c>
      <c r="G37" s="1318">
        <v>1</v>
      </c>
      <c r="H37" s="1319">
        <f t="shared" si="33"/>
        <v>0</v>
      </c>
      <c r="I37" s="1318">
        <v>0</v>
      </c>
      <c r="J37" s="1319">
        <f t="shared" si="36"/>
        <v>0</v>
      </c>
      <c r="K37" s="1323">
        <v>1</v>
      </c>
      <c r="L37" s="1111"/>
      <c r="M37" s="18"/>
      <c r="N37" s="1321">
        <f t="shared" si="37"/>
        <v>8.3333333333333329E-2</v>
      </c>
      <c r="O37" s="1321">
        <f t="shared" si="37"/>
        <v>8.3333333333333329E-2</v>
      </c>
      <c r="P37" s="1321">
        <f t="shared" si="37"/>
        <v>8.3333333333333329E-2</v>
      </c>
      <c r="Q37" s="1321">
        <f t="shared" si="37"/>
        <v>8.3333333333333329E-2</v>
      </c>
      <c r="R37" s="1321">
        <f t="shared" si="37"/>
        <v>8.3333333333333329E-2</v>
      </c>
      <c r="S37" s="1321">
        <f t="shared" si="37"/>
        <v>8.3333333333333329E-2</v>
      </c>
      <c r="T37" s="1321">
        <f t="shared" si="37"/>
        <v>8.3333333333333329E-2</v>
      </c>
      <c r="U37" s="1321">
        <f t="shared" si="37"/>
        <v>8.3333333333333329E-2</v>
      </c>
      <c r="V37" s="1321">
        <f t="shared" si="37"/>
        <v>8.3333333333333329E-2</v>
      </c>
      <c r="W37" s="1321">
        <f t="shared" si="37"/>
        <v>8.3333333333333329E-2</v>
      </c>
      <c r="X37" s="1321">
        <f t="shared" si="38"/>
        <v>8.3333333333333329E-2</v>
      </c>
      <c r="Y37" s="1321">
        <f t="shared" si="38"/>
        <v>8.3333333333333329E-2</v>
      </c>
      <c r="Z37" s="1321">
        <f t="shared" si="38"/>
        <v>0</v>
      </c>
      <c r="AA37" s="1321">
        <f t="shared" si="38"/>
        <v>0</v>
      </c>
      <c r="AB37" s="1321">
        <f t="shared" si="38"/>
        <v>0</v>
      </c>
      <c r="AC37" s="1321">
        <f t="shared" si="38"/>
        <v>0</v>
      </c>
      <c r="AD37" s="1321">
        <f t="shared" si="38"/>
        <v>0</v>
      </c>
      <c r="AE37" s="1321">
        <f t="shared" si="38"/>
        <v>0</v>
      </c>
      <c r="AF37" s="1321"/>
      <c r="AG37" s="1321"/>
      <c r="AH37" s="1321"/>
      <c r="AI37" s="1321"/>
      <c r="AJ37" s="1321"/>
      <c r="AK37" s="1321"/>
      <c r="AL37" s="1321"/>
      <c r="AM37" s="1321"/>
      <c r="AN37" s="1321"/>
      <c r="AO37" s="1321"/>
      <c r="AP37" s="1321"/>
      <c r="AQ37" s="1321"/>
      <c r="AR37" s="1316"/>
    </row>
    <row r="38" spans="1:44" outlineLevel="1">
      <c r="A38" s="1283"/>
      <c r="B38" s="1334" t="s">
        <v>929</v>
      </c>
      <c r="C38" s="1522">
        <v>0</v>
      </c>
      <c r="D38" s="1308">
        <f t="shared" si="39"/>
        <v>0</v>
      </c>
      <c r="E38" s="1318">
        <v>0.04</v>
      </c>
      <c r="F38" s="1173">
        <f t="shared" si="35"/>
        <v>0</v>
      </c>
      <c r="G38" s="1318">
        <v>1</v>
      </c>
      <c r="H38" s="1319">
        <f t="shared" si="33"/>
        <v>0</v>
      </c>
      <c r="I38" s="1318">
        <v>0</v>
      </c>
      <c r="J38" s="1319">
        <f t="shared" si="36"/>
        <v>0</v>
      </c>
      <c r="K38" s="1323">
        <v>1</v>
      </c>
      <c r="L38" s="1111"/>
      <c r="M38" s="18"/>
      <c r="N38" s="1321">
        <f t="shared" si="37"/>
        <v>8.3333333333333329E-2</v>
      </c>
      <c r="O38" s="1321">
        <f t="shared" si="37"/>
        <v>8.3333333333333329E-2</v>
      </c>
      <c r="P38" s="1321">
        <f t="shared" si="37"/>
        <v>8.3333333333333329E-2</v>
      </c>
      <c r="Q38" s="1321">
        <f t="shared" si="37"/>
        <v>8.3333333333333329E-2</v>
      </c>
      <c r="R38" s="1321">
        <f t="shared" si="37"/>
        <v>8.3333333333333329E-2</v>
      </c>
      <c r="S38" s="1321">
        <f t="shared" si="37"/>
        <v>8.3333333333333329E-2</v>
      </c>
      <c r="T38" s="1321">
        <f t="shared" si="37"/>
        <v>8.3333333333333329E-2</v>
      </c>
      <c r="U38" s="1321">
        <f t="shared" si="37"/>
        <v>8.3333333333333329E-2</v>
      </c>
      <c r="V38" s="1321">
        <f t="shared" si="37"/>
        <v>8.3333333333333329E-2</v>
      </c>
      <c r="W38" s="1321">
        <f t="shared" si="37"/>
        <v>8.3333333333333329E-2</v>
      </c>
      <c r="X38" s="1321">
        <f t="shared" si="38"/>
        <v>8.3333333333333329E-2</v>
      </c>
      <c r="Y38" s="1321">
        <f t="shared" si="38"/>
        <v>8.3333333333333329E-2</v>
      </c>
      <c r="Z38" s="1321">
        <f t="shared" si="38"/>
        <v>0</v>
      </c>
      <c r="AA38" s="1321">
        <f t="shared" si="38"/>
        <v>0</v>
      </c>
      <c r="AB38" s="1321">
        <f t="shared" si="38"/>
        <v>0</v>
      </c>
      <c r="AC38" s="1321">
        <f t="shared" si="38"/>
        <v>0</v>
      </c>
      <c r="AD38" s="1321">
        <f t="shared" si="38"/>
        <v>0</v>
      </c>
      <c r="AE38" s="1321">
        <f t="shared" si="38"/>
        <v>0</v>
      </c>
      <c r="AF38" s="1321"/>
      <c r="AG38" s="1321"/>
      <c r="AH38" s="1321"/>
      <c r="AI38" s="1321"/>
      <c r="AJ38" s="1321"/>
      <c r="AK38" s="1321"/>
      <c r="AL38" s="1321"/>
      <c r="AM38" s="1321"/>
      <c r="AN38" s="1321"/>
      <c r="AO38" s="1321"/>
      <c r="AP38" s="1321"/>
      <c r="AQ38" s="1321"/>
      <c r="AR38" s="1316"/>
    </row>
    <row r="39" spans="1:44" outlineLevel="1">
      <c r="A39" s="1283"/>
      <c r="B39" s="1334" t="s">
        <v>930</v>
      </c>
      <c r="C39" s="1228">
        <v>0</v>
      </c>
      <c r="D39" s="1308">
        <f t="shared" si="39"/>
        <v>0</v>
      </c>
      <c r="E39" s="1318">
        <v>0.04</v>
      </c>
      <c r="F39" s="1173">
        <f t="shared" si="35"/>
        <v>0</v>
      </c>
      <c r="G39" s="1318">
        <v>1</v>
      </c>
      <c r="H39" s="1319">
        <f t="shared" si="33"/>
        <v>0</v>
      </c>
      <c r="I39" s="1318">
        <v>0</v>
      </c>
      <c r="J39" s="1319">
        <f t="shared" si="36"/>
        <v>0</v>
      </c>
      <c r="K39" s="1323">
        <v>1</v>
      </c>
      <c r="L39" s="1111"/>
      <c r="M39" s="18"/>
      <c r="N39" s="1321">
        <f t="shared" si="37"/>
        <v>8.3333333333333329E-2</v>
      </c>
      <c r="O39" s="1321">
        <f t="shared" si="37"/>
        <v>8.3333333333333329E-2</v>
      </c>
      <c r="P39" s="1321">
        <f t="shared" si="37"/>
        <v>8.3333333333333329E-2</v>
      </c>
      <c r="Q39" s="1321">
        <f t="shared" si="37"/>
        <v>8.3333333333333329E-2</v>
      </c>
      <c r="R39" s="1321">
        <f t="shared" si="37"/>
        <v>8.3333333333333329E-2</v>
      </c>
      <c r="S39" s="1321">
        <f t="shared" si="37"/>
        <v>8.3333333333333329E-2</v>
      </c>
      <c r="T39" s="1321">
        <f t="shared" si="37"/>
        <v>8.3333333333333329E-2</v>
      </c>
      <c r="U39" s="1321">
        <f t="shared" si="37"/>
        <v>8.3333333333333329E-2</v>
      </c>
      <c r="V39" s="1321">
        <f t="shared" si="37"/>
        <v>8.3333333333333329E-2</v>
      </c>
      <c r="W39" s="1321">
        <f t="shared" si="37"/>
        <v>8.3333333333333329E-2</v>
      </c>
      <c r="X39" s="1321">
        <f t="shared" si="38"/>
        <v>8.3333333333333329E-2</v>
      </c>
      <c r="Y39" s="1321">
        <f t="shared" si="38"/>
        <v>8.3333333333333329E-2</v>
      </c>
      <c r="Z39" s="1321">
        <f t="shared" si="38"/>
        <v>0</v>
      </c>
      <c r="AA39" s="1321">
        <f t="shared" si="38"/>
        <v>0</v>
      </c>
      <c r="AB39" s="1321">
        <f t="shared" si="38"/>
        <v>0</v>
      </c>
      <c r="AC39" s="1321">
        <f t="shared" si="38"/>
        <v>0</v>
      </c>
      <c r="AD39" s="1321">
        <f t="shared" si="38"/>
        <v>0</v>
      </c>
      <c r="AE39" s="1321">
        <f t="shared" si="38"/>
        <v>0</v>
      </c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16"/>
    </row>
    <row r="40" spans="1:44" outlineLevel="1">
      <c r="A40" s="1283"/>
      <c r="B40" s="1334" t="s">
        <v>633</v>
      </c>
      <c r="C40" s="1523">
        <f>Scenarios!E88</f>
        <v>30</v>
      </c>
      <c r="D40" s="1308">
        <f t="shared" si="39"/>
        <v>0.39861812383736378</v>
      </c>
      <c r="E40" s="1318">
        <v>0.04</v>
      </c>
      <c r="F40" s="1173">
        <f t="shared" si="35"/>
        <v>1.2</v>
      </c>
      <c r="G40" s="1318">
        <v>1</v>
      </c>
      <c r="H40" s="1319">
        <f t="shared" si="33"/>
        <v>5.1000000000000005</v>
      </c>
      <c r="I40" s="1318">
        <v>0</v>
      </c>
      <c r="J40" s="1319">
        <f t="shared" si="36"/>
        <v>0</v>
      </c>
      <c r="K40" s="1323">
        <v>1</v>
      </c>
      <c r="L40" s="1111"/>
      <c r="M40" s="18"/>
      <c r="N40" s="1321">
        <f t="shared" si="37"/>
        <v>8.3333333333333329E-2</v>
      </c>
      <c r="O40" s="1321">
        <f t="shared" si="37"/>
        <v>8.3333333333333329E-2</v>
      </c>
      <c r="P40" s="1321">
        <f t="shared" si="37"/>
        <v>8.3333333333333329E-2</v>
      </c>
      <c r="Q40" s="1321">
        <f t="shared" si="37"/>
        <v>8.3333333333333329E-2</v>
      </c>
      <c r="R40" s="1321">
        <f t="shared" si="37"/>
        <v>8.3333333333333329E-2</v>
      </c>
      <c r="S40" s="1321">
        <f t="shared" si="37"/>
        <v>8.3333333333333329E-2</v>
      </c>
      <c r="T40" s="1321">
        <f t="shared" si="37"/>
        <v>8.3333333333333329E-2</v>
      </c>
      <c r="U40" s="1321">
        <f t="shared" si="37"/>
        <v>8.3333333333333329E-2</v>
      </c>
      <c r="V40" s="1321">
        <f t="shared" si="37"/>
        <v>8.3333333333333329E-2</v>
      </c>
      <c r="W40" s="1321">
        <f t="shared" si="37"/>
        <v>8.3333333333333329E-2</v>
      </c>
      <c r="X40" s="1321">
        <f t="shared" si="38"/>
        <v>8.3333333333333329E-2</v>
      </c>
      <c r="Y40" s="1321">
        <f t="shared" si="38"/>
        <v>8.3333333333333329E-2</v>
      </c>
      <c r="Z40" s="1321">
        <f t="shared" si="38"/>
        <v>0</v>
      </c>
      <c r="AA40" s="1321">
        <f t="shared" si="38"/>
        <v>0</v>
      </c>
      <c r="AB40" s="1321">
        <f t="shared" si="38"/>
        <v>0</v>
      </c>
      <c r="AC40" s="1321">
        <f t="shared" si="38"/>
        <v>0</v>
      </c>
      <c r="AD40" s="1321">
        <f t="shared" si="38"/>
        <v>0</v>
      </c>
      <c r="AE40" s="1321">
        <f t="shared" si="38"/>
        <v>0</v>
      </c>
      <c r="AF40" s="1321"/>
      <c r="AG40" s="1321"/>
      <c r="AH40" s="1321"/>
      <c r="AI40" s="1321"/>
      <c r="AJ40" s="1321"/>
      <c r="AK40" s="1321"/>
      <c r="AL40" s="1321"/>
      <c r="AM40" s="1321"/>
      <c r="AN40" s="1321"/>
      <c r="AO40" s="1321"/>
      <c r="AP40" s="1321"/>
      <c r="AQ40" s="1321"/>
      <c r="AR40" s="1316"/>
    </row>
    <row r="41" spans="1:44" outlineLevel="1">
      <c r="A41" s="1283"/>
      <c r="B41" s="1334" t="s">
        <v>931</v>
      </c>
      <c r="C41" s="1522">
        <v>0</v>
      </c>
      <c r="D41" s="1308">
        <f t="shared" si="39"/>
        <v>0</v>
      </c>
      <c r="E41" s="1318">
        <v>0.04</v>
      </c>
      <c r="F41" s="1173">
        <f t="shared" si="35"/>
        <v>0</v>
      </c>
      <c r="G41" s="1318">
        <v>1</v>
      </c>
      <c r="H41" s="1319">
        <f t="shared" si="33"/>
        <v>0</v>
      </c>
      <c r="I41" s="1318">
        <v>0</v>
      </c>
      <c r="J41" s="1319">
        <f t="shared" si="36"/>
        <v>0</v>
      </c>
      <c r="K41" s="1323">
        <v>1</v>
      </c>
      <c r="L41" s="1111"/>
      <c r="M41" s="18"/>
      <c r="N41" s="1321">
        <f t="shared" si="37"/>
        <v>8.3333333333333329E-2</v>
      </c>
      <c r="O41" s="1321">
        <f t="shared" si="37"/>
        <v>8.3333333333333329E-2</v>
      </c>
      <c r="P41" s="1321">
        <f t="shared" si="37"/>
        <v>8.3333333333333329E-2</v>
      </c>
      <c r="Q41" s="1321">
        <f t="shared" si="37"/>
        <v>8.3333333333333329E-2</v>
      </c>
      <c r="R41" s="1321">
        <f t="shared" si="37"/>
        <v>8.3333333333333329E-2</v>
      </c>
      <c r="S41" s="1321">
        <f t="shared" si="37"/>
        <v>8.3333333333333329E-2</v>
      </c>
      <c r="T41" s="1321">
        <f t="shared" si="37"/>
        <v>8.3333333333333329E-2</v>
      </c>
      <c r="U41" s="1321">
        <f t="shared" si="37"/>
        <v>8.3333333333333329E-2</v>
      </c>
      <c r="V41" s="1321">
        <f t="shared" si="37"/>
        <v>8.3333333333333329E-2</v>
      </c>
      <c r="W41" s="1321">
        <f t="shared" si="37"/>
        <v>8.3333333333333329E-2</v>
      </c>
      <c r="X41" s="1321">
        <f t="shared" si="38"/>
        <v>8.3333333333333329E-2</v>
      </c>
      <c r="Y41" s="1321">
        <f t="shared" si="38"/>
        <v>8.3333333333333329E-2</v>
      </c>
      <c r="Z41" s="1321">
        <f t="shared" si="38"/>
        <v>0</v>
      </c>
      <c r="AA41" s="1321">
        <f t="shared" si="38"/>
        <v>0</v>
      </c>
      <c r="AB41" s="1321">
        <f t="shared" si="38"/>
        <v>0</v>
      </c>
      <c r="AC41" s="1321">
        <f t="shared" si="38"/>
        <v>0</v>
      </c>
      <c r="AD41" s="1321">
        <f t="shared" si="38"/>
        <v>0</v>
      </c>
      <c r="AE41" s="1321">
        <f t="shared" si="38"/>
        <v>0</v>
      </c>
      <c r="AF41" s="1321"/>
      <c r="AG41" s="1321"/>
      <c r="AH41" s="1321"/>
      <c r="AI41" s="1321"/>
      <c r="AJ41" s="1321"/>
      <c r="AK41" s="1321"/>
      <c r="AL41" s="1321"/>
      <c r="AM41" s="1321"/>
      <c r="AN41" s="1321"/>
      <c r="AO41" s="1321"/>
      <c r="AP41" s="1321"/>
      <c r="AQ41" s="1321"/>
      <c r="AR41" s="1316"/>
    </row>
    <row r="42" spans="1:44" outlineLevel="1">
      <c r="A42" s="1283"/>
      <c r="B42" s="1334" t="s">
        <v>634</v>
      </c>
      <c r="C42" s="1523">
        <f>Scenarios!E89</f>
        <v>20</v>
      </c>
      <c r="D42" s="1461">
        <f t="shared" si="39"/>
        <v>0.26574541589157585</v>
      </c>
      <c r="E42" s="1318">
        <v>0.04</v>
      </c>
      <c r="F42" s="1173">
        <f t="shared" si="35"/>
        <v>0.8</v>
      </c>
      <c r="G42" s="1318">
        <v>1</v>
      </c>
      <c r="H42" s="1319">
        <f t="shared" si="33"/>
        <v>3.4000000000000004</v>
      </c>
      <c r="I42" s="1318">
        <v>0</v>
      </c>
      <c r="J42" s="1319">
        <f t="shared" si="36"/>
        <v>0</v>
      </c>
      <c r="K42" s="1323">
        <v>1</v>
      </c>
      <c r="L42" s="1111"/>
      <c r="M42" s="18"/>
      <c r="N42" s="1321">
        <f t="shared" si="37"/>
        <v>8.3333333333333329E-2</v>
      </c>
      <c r="O42" s="1321">
        <f t="shared" si="37"/>
        <v>8.3333333333333329E-2</v>
      </c>
      <c r="P42" s="1321">
        <f t="shared" si="37"/>
        <v>8.3333333333333329E-2</v>
      </c>
      <c r="Q42" s="1321">
        <f t="shared" si="37"/>
        <v>8.3333333333333329E-2</v>
      </c>
      <c r="R42" s="1321">
        <f t="shared" si="37"/>
        <v>8.3333333333333329E-2</v>
      </c>
      <c r="S42" s="1321">
        <f t="shared" si="37"/>
        <v>8.3333333333333329E-2</v>
      </c>
      <c r="T42" s="1321">
        <f t="shared" si="37"/>
        <v>8.3333333333333329E-2</v>
      </c>
      <c r="U42" s="1321">
        <f t="shared" si="37"/>
        <v>8.3333333333333329E-2</v>
      </c>
      <c r="V42" s="1321">
        <f t="shared" si="37"/>
        <v>8.3333333333333329E-2</v>
      </c>
      <c r="W42" s="1321">
        <f t="shared" si="37"/>
        <v>8.3333333333333329E-2</v>
      </c>
      <c r="X42" s="1321">
        <f t="shared" si="38"/>
        <v>8.3333333333333329E-2</v>
      </c>
      <c r="Y42" s="1321">
        <f t="shared" si="38"/>
        <v>8.3333333333333329E-2</v>
      </c>
      <c r="Z42" s="1321">
        <f t="shared" si="38"/>
        <v>0</v>
      </c>
      <c r="AA42" s="1321">
        <f t="shared" si="38"/>
        <v>0</v>
      </c>
      <c r="AB42" s="1321">
        <f t="shared" si="38"/>
        <v>0</v>
      </c>
      <c r="AC42" s="1321">
        <f t="shared" si="38"/>
        <v>0</v>
      </c>
      <c r="AD42" s="1321">
        <f t="shared" si="38"/>
        <v>0</v>
      </c>
      <c r="AE42" s="1321">
        <f t="shared" si="38"/>
        <v>0</v>
      </c>
      <c r="AF42" s="1321"/>
      <c r="AG42" s="1321"/>
      <c r="AH42" s="1321"/>
      <c r="AI42" s="1321"/>
      <c r="AJ42" s="1321"/>
      <c r="AK42" s="1321"/>
      <c r="AL42" s="1321"/>
      <c r="AM42" s="1321"/>
      <c r="AN42" s="1321"/>
      <c r="AO42" s="1321"/>
      <c r="AP42" s="1321"/>
      <c r="AQ42" s="1321"/>
      <c r="AR42" s="1316"/>
    </row>
    <row r="43" spans="1:44" outlineLevel="1">
      <c r="A43" s="1283"/>
      <c r="B43" s="1334" t="s">
        <v>635</v>
      </c>
      <c r="C43" s="1523">
        <f>Scenarios!E90</f>
        <v>15</v>
      </c>
      <c r="D43" s="1461">
        <f t="shared" si="39"/>
        <v>0.19930906191868189</v>
      </c>
      <c r="E43" s="1318">
        <v>0.04</v>
      </c>
      <c r="F43" s="1173">
        <f t="shared" si="35"/>
        <v>0.6</v>
      </c>
      <c r="G43" s="1318">
        <v>1</v>
      </c>
      <c r="H43" s="1319">
        <f t="shared" si="33"/>
        <v>2.5500000000000003</v>
      </c>
      <c r="I43" s="1318">
        <v>0</v>
      </c>
      <c r="J43" s="1319">
        <f t="shared" si="36"/>
        <v>0</v>
      </c>
      <c r="K43" s="1323">
        <v>1</v>
      </c>
      <c r="L43" s="1111"/>
      <c r="M43" s="18"/>
      <c r="N43" s="1321">
        <f t="shared" si="37"/>
        <v>8.3333333333333329E-2</v>
      </c>
      <c r="O43" s="1321">
        <f t="shared" si="37"/>
        <v>8.3333333333333329E-2</v>
      </c>
      <c r="P43" s="1321">
        <f t="shared" si="37"/>
        <v>8.3333333333333329E-2</v>
      </c>
      <c r="Q43" s="1321">
        <f t="shared" si="37"/>
        <v>8.3333333333333329E-2</v>
      </c>
      <c r="R43" s="1321">
        <f t="shared" si="37"/>
        <v>8.3333333333333329E-2</v>
      </c>
      <c r="S43" s="1321">
        <f t="shared" si="37"/>
        <v>8.3333333333333329E-2</v>
      </c>
      <c r="T43" s="1321">
        <f t="shared" si="37"/>
        <v>8.3333333333333329E-2</v>
      </c>
      <c r="U43" s="1321">
        <f t="shared" si="37"/>
        <v>8.3333333333333329E-2</v>
      </c>
      <c r="V43" s="1321">
        <f t="shared" si="37"/>
        <v>8.3333333333333329E-2</v>
      </c>
      <c r="W43" s="1321">
        <f t="shared" si="37"/>
        <v>8.3333333333333329E-2</v>
      </c>
      <c r="X43" s="1321">
        <f t="shared" si="38"/>
        <v>8.3333333333333329E-2</v>
      </c>
      <c r="Y43" s="1321">
        <f t="shared" si="38"/>
        <v>8.3333333333333329E-2</v>
      </c>
      <c r="Z43" s="1321">
        <f t="shared" si="38"/>
        <v>0</v>
      </c>
      <c r="AA43" s="1321">
        <f t="shared" si="38"/>
        <v>0</v>
      </c>
      <c r="AB43" s="1321">
        <f t="shared" si="38"/>
        <v>0</v>
      </c>
      <c r="AC43" s="1321">
        <f t="shared" si="38"/>
        <v>0</v>
      </c>
      <c r="AD43" s="1321">
        <f t="shared" si="38"/>
        <v>0</v>
      </c>
      <c r="AE43" s="1321">
        <f t="shared" si="38"/>
        <v>0</v>
      </c>
      <c r="AF43" s="1321"/>
      <c r="AG43" s="1321"/>
      <c r="AH43" s="1321"/>
      <c r="AI43" s="1321"/>
      <c r="AJ43" s="1321"/>
      <c r="AK43" s="1321"/>
      <c r="AL43" s="1321"/>
      <c r="AM43" s="1321"/>
      <c r="AN43" s="1321"/>
      <c r="AO43" s="1321"/>
      <c r="AP43" s="1321"/>
      <c r="AQ43" s="1321"/>
      <c r="AR43" s="1316"/>
    </row>
    <row r="44" spans="1:44" outlineLevel="1">
      <c r="A44" s="1283"/>
      <c r="B44" s="1334" t="s">
        <v>932</v>
      </c>
      <c r="C44" s="1228">
        <v>0</v>
      </c>
      <c r="D44" s="1308">
        <f t="shared" si="39"/>
        <v>0</v>
      </c>
      <c r="E44" s="1318">
        <v>0.04</v>
      </c>
      <c r="F44" s="1173">
        <f t="shared" si="35"/>
        <v>0</v>
      </c>
      <c r="G44" s="1318">
        <v>1</v>
      </c>
      <c r="H44" s="1319">
        <f t="shared" si="33"/>
        <v>0</v>
      </c>
      <c r="I44" s="1318">
        <v>0</v>
      </c>
      <c r="J44" s="1319">
        <f t="shared" si="36"/>
        <v>0</v>
      </c>
      <c r="K44" s="1323">
        <v>1</v>
      </c>
      <c r="L44" s="1111"/>
      <c r="M44" s="18"/>
      <c r="N44" s="1321">
        <f t="shared" si="37"/>
        <v>8.3333333333333329E-2</v>
      </c>
      <c r="O44" s="1321">
        <f t="shared" si="37"/>
        <v>8.3333333333333329E-2</v>
      </c>
      <c r="P44" s="1321">
        <f t="shared" si="37"/>
        <v>8.3333333333333329E-2</v>
      </c>
      <c r="Q44" s="1321">
        <f t="shared" si="37"/>
        <v>8.3333333333333329E-2</v>
      </c>
      <c r="R44" s="1321">
        <f t="shared" si="37"/>
        <v>8.3333333333333329E-2</v>
      </c>
      <c r="S44" s="1321">
        <f t="shared" si="37"/>
        <v>8.3333333333333329E-2</v>
      </c>
      <c r="T44" s="1321">
        <f t="shared" si="37"/>
        <v>8.3333333333333329E-2</v>
      </c>
      <c r="U44" s="1321">
        <f t="shared" si="37"/>
        <v>8.3333333333333329E-2</v>
      </c>
      <c r="V44" s="1321">
        <f t="shared" si="37"/>
        <v>8.3333333333333329E-2</v>
      </c>
      <c r="W44" s="1321">
        <f t="shared" si="37"/>
        <v>8.3333333333333329E-2</v>
      </c>
      <c r="X44" s="1321">
        <f t="shared" si="38"/>
        <v>8.3333333333333329E-2</v>
      </c>
      <c r="Y44" s="1321">
        <f t="shared" si="38"/>
        <v>8.3333333333333329E-2</v>
      </c>
      <c r="Z44" s="1321">
        <f t="shared" si="38"/>
        <v>0</v>
      </c>
      <c r="AA44" s="1321">
        <f t="shared" si="38"/>
        <v>0</v>
      </c>
      <c r="AB44" s="1321">
        <f t="shared" si="38"/>
        <v>0</v>
      </c>
      <c r="AC44" s="1321">
        <f t="shared" si="38"/>
        <v>0</v>
      </c>
      <c r="AD44" s="1321">
        <f t="shared" si="38"/>
        <v>0</v>
      </c>
      <c r="AE44" s="1321">
        <f t="shared" si="38"/>
        <v>0</v>
      </c>
      <c r="AF44" s="1321"/>
      <c r="AG44" s="1321"/>
      <c r="AH44" s="1321"/>
      <c r="AI44" s="1321"/>
      <c r="AJ44" s="1321"/>
      <c r="AK44" s="1321"/>
      <c r="AL44" s="1321"/>
      <c r="AM44" s="1321"/>
      <c r="AN44" s="1321"/>
      <c r="AO44" s="1321"/>
      <c r="AP44" s="1321"/>
      <c r="AQ44" s="1321"/>
      <c r="AR44" s="1316"/>
    </row>
    <row r="45" spans="1:44" outlineLevel="1">
      <c r="A45" s="1283" t="s">
        <v>933</v>
      </c>
      <c r="B45" s="1334" t="s">
        <v>934</v>
      </c>
      <c r="C45" s="1228">
        <v>0</v>
      </c>
      <c r="D45" s="1308">
        <f t="shared" si="39"/>
        <v>0</v>
      </c>
      <c r="E45" s="1318">
        <v>0.04</v>
      </c>
      <c r="F45" s="1173">
        <f>E45*C45</f>
        <v>0</v>
      </c>
      <c r="G45" s="1318">
        <v>1</v>
      </c>
      <c r="H45" s="1319">
        <f t="shared" si="33"/>
        <v>0</v>
      </c>
      <c r="I45" s="1318">
        <v>0</v>
      </c>
      <c r="J45" s="1319">
        <f>C45*I45/(1-I45)</f>
        <v>0</v>
      </c>
      <c r="K45" s="1323">
        <v>1</v>
      </c>
      <c r="L45" s="1111"/>
      <c r="M45" s="18"/>
      <c r="N45" s="1321">
        <f t="shared" si="37"/>
        <v>8.3333333333333329E-2</v>
      </c>
      <c r="O45" s="1321">
        <f t="shared" si="37"/>
        <v>8.3333333333333329E-2</v>
      </c>
      <c r="P45" s="1321">
        <f t="shared" si="37"/>
        <v>8.3333333333333329E-2</v>
      </c>
      <c r="Q45" s="1321">
        <f t="shared" si="37"/>
        <v>8.3333333333333329E-2</v>
      </c>
      <c r="R45" s="1321">
        <f t="shared" si="37"/>
        <v>8.3333333333333329E-2</v>
      </c>
      <c r="S45" s="1321">
        <f t="shared" si="37"/>
        <v>8.3333333333333329E-2</v>
      </c>
      <c r="T45" s="1321">
        <f t="shared" si="37"/>
        <v>8.3333333333333329E-2</v>
      </c>
      <c r="U45" s="1321">
        <f t="shared" si="37"/>
        <v>8.3333333333333329E-2</v>
      </c>
      <c r="V45" s="1321">
        <f t="shared" si="37"/>
        <v>8.3333333333333329E-2</v>
      </c>
      <c r="W45" s="1321">
        <f t="shared" si="37"/>
        <v>8.3333333333333329E-2</v>
      </c>
      <c r="X45" s="1321">
        <f t="shared" si="38"/>
        <v>8.3333333333333329E-2</v>
      </c>
      <c r="Y45" s="1321">
        <f t="shared" si="38"/>
        <v>8.3333333333333329E-2</v>
      </c>
      <c r="Z45" s="1321">
        <f t="shared" si="38"/>
        <v>0</v>
      </c>
      <c r="AA45" s="1321">
        <f t="shared" si="38"/>
        <v>0</v>
      </c>
      <c r="AB45" s="1321">
        <f t="shared" si="38"/>
        <v>0</v>
      </c>
      <c r="AC45" s="1321">
        <f t="shared" si="38"/>
        <v>0</v>
      </c>
      <c r="AD45" s="1321">
        <f t="shared" si="38"/>
        <v>0</v>
      </c>
      <c r="AE45" s="1321">
        <f t="shared" si="38"/>
        <v>0</v>
      </c>
      <c r="AF45" s="1321">
        <f t="shared" ref="AF45:AQ46" si="40">1/$C$149*(AF$3&lt;=$C$149)</f>
        <v>0</v>
      </c>
      <c r="AG45" s="1321">
        <f t="shared" si="40"/>
        <v>0</v>
      </c>
      <c r="AH45" s="1321">
        <f t="shared" si="40"/>
        <v>0</v>
      </c>
      <c r="AI45" s="1321">
        <f t="shared" si="40"/>
        <v>0</v>
      </c>
      <c r="AJ45" s="1321">
        <f t="shared" si="40"/>
        <v>0</v>
      </c>
      <c r="AK45" s="1321">
        <f t="shared" si="40"/>
        <v>0</v>
      </c>
      <c r="AL45" s="1321">
        <f t="shared" si="40"/>
        <v>0</v>
      </c>
      <c r="AM45" s="1321">
        <f t="shared" si="40"/>
        <v>0</v>
      </c>
      <c r="AN45" s="1321">
        <f t="shared" si="40"/>
        <v>0</v>
      </c>
      <c r="AO45" s="1321">
        <f t="shared" si="40"/>
        <v>0</v>
      </c>
      <c r="AP45" s="1321">
        <f t="shared" si="40"/>
        <v>0</v>
      </c>
      <c r="AQ45" s="1321">
        <f t="shared" si="40"/>
        <v>0</v>
      </c>
      <c r="AR45" s="1316"/>
    </row>
    <row r="46" spans="1:44" outlineLevel="1">
      <c r="A46" s="1283" t="s">
        <v>935</v>
      </c>
      <c r="B46" s="1334" t="s">
        <v>608</v>
      </c>
      <c r="C46" s="1228">
        <v>0</v>
      </c>
      <c r="D46" s="1308">
        <f t="shared" si="39"/>
        <v>0</v>
      </c>
      <c r="E46" s="1318">
        <v>0.04</v>
      </c>
      <c r="F46" s="1173">
        <f>E46*C46</f>
        <v>0</v>
      </c>
      <c r="G46" s="1318">
        <v>1</v>
      </c>
      <c r="H46" s="1319">
        <f t="shared" si="33"/>
        <v>0</v>
      </c>
      <c r="I46" s="1318">
        <v>0</v>
      </c>
      <c r="J46" s="1319">
        <f>C46*I46/(1-I46)</f>
        <v>0</v>
      </c>
      <c r="K46" s="1323">
        <v>1</v>
      </c>
      <c r="L46" s="1111"/>
      <c r="M46" s="18"/>
      <c r="N46" s="1321">
        <f t="shared" si="37"/>
        <v>8.3333333333333329E-2</v>
      </c>
      <c r="O46" s="1321">
        <f t="shared" si="37"/>
        <v>8.3333333333333329E-2</v>
      </c>
      <c r="P46" s="1321">
        <f t="shared" si="37"/>
        <v>8.3333333333333329E-2</v>
      </c>
      <c r="Q46" s="1321">
        <f t="shared" si="37"/>
        <v>8.3333333333333329E-2</v>
      </c>
      <c r="R46" s="1321">
        <f t="shared" si="37"/>
        <v>8.3333333333333329E-2</v>
      </c>
      <c r="S46" s="1321">
        <f t="shared" si="37"/>
        <v>8.3333333333333329E-2</v>
      </c>
      <c r="T46" s="1321">
        <f t="shared" si="37"/>
        <v>8.3333333333333329E-2</v>
      </c>
      <c r="U46" s="1321">
        <f t="shared" si="37"/>
        <v>8.3333333333333329E-2</v>
      </c>
      <c r="V46" s="1321">
        <f t="shared" si="37"/>
        <v>8.3333333333333329E-2</v>
      </c>
      <c r="W46" s="1321">
        <f t="shared" si="37"/>
        <v>8.3333333333333329E-2</v>
      </c>
      <c r="X46" s="1321">
        <f t="shared" si="38"/>
        <v>8.3333333333333329E-2</v>
      </c>
      <c r="Y46" s="1321">
        <f t="shared" si="38"/>
        <v>8.3333333333333329E-2</v>
      </c>
      <c r="Z46" s="1321">
        <f t="shared" si="38"/>
        <v>0</v>
      </c>
      <c r="AA46" s="1321">
        <f t="shared" si="38"/>
        <v>0</v>
      </c>
      <c r="AB46" s="1321">
        <f t="shared" si="38"/>
        <v>0</v>
      </c>
      <c r="AC46" s="1321">
        <f t="shared" si="38"/>
        <v>0</v>
      </c>
      <c r="AD46" s="1321">
        <f t="shared" si="38"/>
        <v>0</v>
      </c>
      <c r="AE46" s="1321">
        <f t="shared" si="38"/>
        <v>0</v>
      </c>
      <c r="AF46" s="1321">
        <f t="shared" si="40"/>
        <v>0</v>
      </c>
      <c r="AG46" s="1321">
        <f t="shared" si="40"/>
        <v>0</v>
      </c>
      <c r="AH46" s="1321">
        <f t="shared" si="40"/>
        <v>0</v>
      </c>
      <c r="AI46" s="1321">
        <f t="shared" si="40"/>
        <v>0</v>
      </c>
      <c r="AJ46" s="1321">
        <f t="shared" si="40"/>
        <v>0</v>
      </c>
      <c r="AK46" s="1321">
        <f t="shared" si="40"/>
        <v>0</v>
      </c>
      <c r="AL46" s="1321">
        <f t="shared" si="40"/>
        <v>0</v>
      </c>
      <c r="AM46" s="1321">
        <f t="shared" si="40"/>
        <v>0</v>
      </c>
      <c r="AN46" s="1321">
        <f t="shared" si="40"/>
        <v>0</v>
      </c>
      <c r="AO46" s="1321">
        <f t="shared" si="40"/>
        <v>0</v>
      </c>
      <c r="AP46" s="1321">
        <f t="shared" si="40"/>
        <v>0</v>
      </c>
      <c r="AQ46" s="1321">
        <f t="shared" si="40"/>
        <v>0</v>
      </c>
      <c r="AR46" s="1316"/>
    </row>
    <row r="47" spans="1:44" s="1107" customFormat="1">
      <c r="A47" s="1306" t="s">
        <v>936</v>
      </c>
      <c r="B47" s="1167" t="s">
        <v>636</v>
      </c>
      <c r="C47" s="1307">
        <f>SUM(C48:C53)</f>
        <v>320</v>
      </c>
      <c r="D47" s="1308">
        <f t="shared" si="39"/>
        <v>4.2519266542652137</v>
      </c>
      <c r="E47" s="1324"/>
      <c r="F47" s="1330"/>
      <c r="G47" s="1188"/>
      <c r="H47" s="1331"/>
      <c r="I47" s="1188"/>
      <c r="J47" s="1331"/>
      <c r="K47" s="1332"/>
      <c r="L47" s="1111"/>
      <c r="M47" s="1314">
        <f>(ABS(SUMIF(N$3:AQ$3,"&lt;="&amp;$C$149,N47:AQ47)-1)+ABS(SUM(N47:AQ47)-1))*(C47&lt;&gt;0)</f>
        <v>0</v>
      </c>
      <c r="N47" s="1315">
        <f>SUMPRODUCT(N48:N53,$C48:$C53)/IF($C47&lt;&gt;0,$C47,1)</f>
        <v>1</v>
      </c>
      <c r="O47" s="1315">
        <f t="shared" ref="O47:AK47" si="41">SUMPRODUCT(O48:O53,$C48:$C53)/IF($C47&lt;&gt;0,$C47,1)</f>
        <v>0</v>
      </c>
      <c r="P47" s="1315">
        <f t="shared" si="41"/>
        <v>0</v>
      </c>
      <c r="Q47" s="1315">
        <f t="shared" si="41"/>
        <v>0</v>
      </c>
      <c r="R47" s="1315">
        <f t="shared" si="41"/>
        <v>0</v>
      </c>
      <c r="S47" s="1315">
        <f t="shared" si="41"/>
        <v>0</v>
      </c>
      <c r="T47" s="1315">
        <f t="shared" si="41"/>
        <v>0</v>
      </c>
      <c r="U47" s="1315">
        <f t="shared" si="41"/>
        <v>0</v>
      </c>
      <c r="V47" s="1315">
        <f t="shared" si="41"/>
        <v>0</v>
      </c>
      <c r="W47" s="1315">
        <f t="shared" si="41"/>
        <v>0</v>
      </c>
      <c r="X47" s="1315">
        <f t="shared" si="41"/>
        <v>0</v>
      </c>
      <c r="Y47" s="1315">
        <f t="shared" si="41"/>
        <v>0</v>
      </c>
      <c r="Z47" s="1315">
        <f t="shared" si="41"/>
        <v>0</v>
      </c>
      <c r="AA47" s="1315">
        <f t="shared" si="41"/>
        <v>0</v>
      </c>
      <c r="AB47" s="1315">
        <f t="shared" si="41"/>
        <v>0</v>
      </c>
      <c r="AC47" s="1315">
        <f t="shared" si="41"/>
        <v>0</v>
      </c>
      <c r="AD47" s="1315">
        <f t="shared" si="41"/>
        <v>0</v>
      </c>
      <c r="AE47" s="1315">
        <f t="shared" si="41"/>
        <v>0</v>
      </c>
      <c r="AF47" s="1315">
        <f t="shared" si="41"/>
        <v>0</v>
      </c>
      <c r="AG47" s="1315">
        <f t="shared" si="41"/>
        <v>0</v>
      </c>
      <c r="AH47" s="1315">
        <f t="shared" si="41"/>
        <v>0</v>
      </c>
      <c r="AI47" s="1315">
        <f t="shared" si="41"/>
        <v>0</v>
      </c>
      <c r="AJ47" s="1315">
        <f t="shared" si="41"/>
        <v>0</v>
      </c>
      <c r="AK47" s="1315">
        <f t="shared" si="41"/>
        <v>0</v>
      </c>
      <c r="AL47" s="1315">
        <f t="shared" ref="AL47:AQ47" si="42">SUMPRODUCT(AL48:AL53,$C48:$C53)/IF($C47&lt;&gt;0,$C47,1)</f>
        <v>0</v>
      </c>
      <c r="AM47" s="1315">
        <f t="shared" si="42"/>
        <v>0</v>
      </c>
      <c r="AN47" s="1315">
        <f t="shared" si="42"/>
        <v>0</v>
      </c>
      <c r="AO47" s="1315">
        <f t="shared" si="42"/>
        <v>0</v>
      </c>
      <c r="AP47" s="1315">
        <f t="shared" si="42"/>
        <v>0</v>
      </c>
      <c r="AQ47" s="1315">
        <f t="shared" si="42"/>
        <v>0</v>
      </c>
      <c r="AR47" s="1316"/>
    </row>
    <row r="48" spans="1:44" s="1107" customFormat="1" outlineLevel="1">
      <c r="A48" s="1306" t="s">
        <v>937</v>
      </c>
      <c r="B48" s="1334" t="s">
        <v>638</v>
      </c>
      <c r="C48" s="1523">
        <f>Scenarios!E92</f>
        <v>320</v>
      </c>
      <c r="D48" s="1308">
        <f t="shared" si="39"/>
        <v>4.2519266542652137</v>
      </c>
      <c r="E48" s="1318">
        <v>0.06</v>
      </c>
      <c r="F48" s="1173">
        <f t="shared" ref="F48:F53" si="43">E48*C48</f>
        <v>19.2</v>
      </c>
      <c r="G48" s="1318">
        <v>1</v>
      </c>
      <c r="H48" s="1319">
        <f t="shared" ref="H48:H53" si="44">C48*G48*$C$156</f>
        <v>54.400000000000006</v>
      </c>
      <c r="I48" s="1318">
        <v>0</v>
      </c>
      <c r="J48" s="1319">
        <f t="shared" ref="J48:J53" si="45">C48*I48/(1-I48)</f>
        <v>0</v>
      </c>
      <c r="K48" s="1320">
        <v>1</v>
      </c>
      <c r="L48" s="1329"/>
      <c r="M48" s="1333"/>
      <c r="N48" s="1321">
        <f t="shared" ref="N48:N51" si="46">1*(N$3=1)</f>
        <v>1</v>
      </c>
      <c r="O48" s="1321">
        <v>0</v>
      </c>
      <c r="P48" s="1321">
        <v>0</v>
      </c>
      <c r="Q48" s="1321">
        <v>0</v>
      </c>
      <c r="R48" s="1321">
        <v>0</v>
      </c>
      <c r="S48" s="1321">
        <v>0</v>
      </c>
      <c r="T48" s="1321">
        <v>0</v>
      </c>
      <c r="U48" s="1321">
        <v>0</v>
      </c>
      <c r="V48" s="1321">
        <v>0</v>
      </c>
      <c r="W48" s="1321">
        <v>0</v>
      </c>
      <c r="X48" s="1321">
        <v>0</v>
      </c>
      <c r="Y48" s="1321">
        <v>0</v>
      </c>
      <c r="Z48" s="1321">
        <v>0</v>
      </c>
      <c r="AA48" s="1321">
        <v>0</v>
      </c>
      <c r="AB48" s="1321">
        <v>0</v>
      </c>
      <c r="AC48" s="1321">
        <v>0</v>
      </c>
      <c r="AD48" s="1321">
        <v>0</v>
      </c>
      <c r="AE48" s="1321">
        <v>0</v>
      </c>
      <c r="AF48" s="1321">
        <v>0</v>
      </c>
      <c r="AG48" s="1321">
        <v>0</v>
      </c>
      <c r="AH48" s="1321">
        <v>0</v>
      </c>
      <c r="AI48" s="1321">
        <v>0</v>
      </c>
      <c r="AJ48" s="1321">
        <v>0</v>
      </c>
      <c r="AK48" s="1321">
        <v>0</v>
      </c>
      <c r="AL48" s="1321">
        <v>0</v>
      </c>
      <c r="AM48" s="1321">
        <v>0</v>
      </c>
      <c r="AN48" s="1321">
        <v>0</v>
      </c>
      <c r="AO48" s="1321">
        <v>0</v>
      </c>
      <c r="AP48" s="1321">
        <v>0</v>
      </c>
      <c r="AQ48" s="1321">
        <v>0</v>
      </c>
      <c r="AR48" s="1316"/>
    </row>
    <row r="49" spans="1:44" s="1107" customFormat="1" outlineLevel="1">
      <c r="A49" s="1306" t="s">
        <v>938</v>
      </c>
      <c r="B49" s="1334" t="s">
        <v>639</v>
      </c>
      <c r="C49" s="1523">
        <f>Scenarios!H93</f>
        <v>0</v>
      </c>
      <c r="D49" s="1308">
        <f t="shared" si="39"/>
        <v>0</v>
      </c>
      <c r="E49" s="1318">
        <v>0</v>
      </c>
      <c r="F49" s="1173">
        <f t="shared" si="43"/>
        <v>0</v>
      </c>
      <c r="G49" s="1318">
        <v>1</v>
      </c>
      <c r="H49" s="1319">
        <f t="shared" si="44"/>
        <v>0</v>
      </c>
      <c r="I49" s="1318">
        <v>0</v>
      </c>
      <c r="J49" s="1319">
        <f t="shared" si="45"/>
        <v>0</v>
      </c>
      <c r="K49" s="1323">
        <v>1</v>
      </c>
      <c r="L49" s="1329"/>
      <c r="M49" s="1333"/>
      <c r="N49" s="1321">
        <f t="shared" si="46"/>
        <v>1</v>
      </c>
      <c r="O49" s="1321">
        <v>0</v>
      </c>
      <c r="P49" s="1321">
        <v>0</v>
      </c>
      <c r="Q49" s="1321">
        <v>0</v>
      </c>
      <c r="R49" s="1321">
        <v>0</v>
      </c>
      <c r="S49" s="1321">
        <v>0</v>
      </c>
      <c r="T49" s="1321">
        <v>0</v>
      </c>
      <c r="U49" s="1321">
        <v>0</v>
      </c>
      <c r="V49" s="1321">
        <v>0</v>
      </c>
      <c r="W49" s="1321">
        <v>0</v>
      </c>
      <c r="X49" s="1321">
        <v>0</v>
      </c>
      <c r="Y49" s="1321">
        <v>0</v>
      </c>
      <c r="Z49" s="1321">
        <v>0</v>
      </c>
      <c r="AA49" s="1321">
        <v>0</v>
      </c>
      <c r="AB49" s="1321">
        <v>0</v>
      </c>
      <c r="AC49" s="1321">
        <v>0</v>
      </c>
      <c r="AD49" s="1321">
        <v>0</v>
      </c>
      <c r="AE49" s="1321">
        <v>0</v>
      </c>
      <c r="AF49" s="1321">
        <v>0</v>
      </c>
      <c r="AG49" s="1321">
        <v>0</v>
      </c>
      <c r="AH49" s="1321">
        <v>0</v>
      </c>
      <c r="AI49" s="1321">
        <v>0</v>
      </c>
      <c r="AJ49" s="1321">
        <v>0</v>
      </c>
      <c r="AK49" s="1321">
        <v>0</v>
      </c>
      <c r="AL49" s="1321">
        <v>0</v>
      </c>
      <c r="AM49" s="1321">
        <v>0</v>
      </c>
      <c r="AN49" s="1321">
        <v>0</v>
      </c>
      <c r="AO49" s="1321">
        <v>0</v>
      </c>
      <c r="AP49" s="1321">
        <v>0</v>
      </c>
      <c r="AQ49" s="1321">
        <v>0</v>
      </c>
      <c r="AR49" s="1316"/>
    </row>
    <row r="50" spans="1:44" s="1107" customFormat="1" outlineLevel="1">
      <c r="A50" s="1306"/>
      <c r="B50" s="1334" t="s">
        <v>939</v>
      </c>
      <c r="C50" s="1228">
        <v>0</v>
      </c>
      <c r="D50" s="1308">
        <f t="shared" si="39"/>
        <v>0</v>
      </c>
      <c r="E50" s="1318">
        <v>0</v>
      </c>
      <c r="F50" s="1173">
        <f t="shared" si="43"/>
        <v>0</v>
      </c>
      <c r="G50" s="1318">
        <v>1</v>
      </c>
      <c r="H50" s="1319">
        <f t="shared" si="44"/>
        <v>0</v>
      </c>
      <c r="I50" s="1318">
        <v>0</v>
      </c>
      <c r="J50" s="1319">
        <f t="shared" si="45"/>
        <v>0</v>
      </c>
      <c r="K50" s="1323">
        <v>1</v>
      </c>
      <c r="L50" s="1329"/>
      <c r="M50" s="1333"/>
      <c r="N50" s="1321">
        <f t="shared" si="46"/>
        <v>1</v>
      </c>
      <c r="O50" s="1321">
        <v>0</v>
      </c>
      <c r="P50" s="1321">
        <v>0</v>
      </c>
      <c r="Q50" s="1321">
        <v>0</v>
      </c>
      <c r="R50" s="1321">
        <v>0</v>
      </c>
      <c r="S50" s="1321">
        <v>0</v>
      </c>
      <c r="T50" s="1321">
        <v>0</v>
      </c>
      <c r="U50" s="1321">
        <v>0</v>
      </c>
      <c r="V50" s="1321">
        <v>0</v>
      </c>
      <c r="W50" s="1321">
        <v>0</v>
      </c>
      <c r="X50" s="1321">
        <v>0</v>
      </c>
      <c r="Y50" s="1321">
        <v>0</v>
      </c>
      <c r="Z50" s="1321">
        <v>0</v>
      </c>
      <c r="AA50" s="1321">
        <v>0</v>
      </c>
      <c r="AB50" s="1321">
        <v>0</v>
      </c>
      <c r="AC50" s="1321">
        <v>0</v>
      </c>
      <c r="AD50" s="1321">
        <v>0</v>
      </c>
      <c r="AE50" s="1321">
        <v>0</v>
      </c>
      <c r="AF50" s="1321">
        <v>0</v>
      </c>
      <c r="AG50" s="1321">
        <v>0</v>
      </c>
      <c r="AH50" s="1321">
        <v>0</v>
      </c>
      <c r="AI50" s="1321">
        <v>0</v>
      </c>
      <c r="AJ50" s="1321">
        <v>0</v>
      </c>
      <c r="AK50" s="1321">
        <v>0</v>
      </c>
      <c r="AL50" s="1321">
        <v>0</v>
      </c>
      <c r="AM50" s="1321">
        <v>0</v>
      </c>
      <c r="AN50" s="1321">
        <v>0</v>
      </c>
      <c r="AO50" s="1321">
        <v>0</v>
      </c>
      <c r="AP50" s="1321">
        <v>0</v>
      </c>
      <c r="AQ50" s="1321">
        <v>0</v>
      </c>
      <c r="AR50" s="1316"/>
    </row>
    <row r="51" spans="1:44" s="1107" customFormat="1" outlineLevel="1">
      <c r="A51" s="1306"/>
      <c r="B51" s="1334" t="s">
        <v>940</v>
      </c>
      <c r="C51" s="1228">
        <v>0</v>
      </c>
      <c r="D51" s="1308">
        <f t="shared" si="39"/>
        <v>0</v>
      </c>
      <c r="E51" s="1318">
        <v>0</v>
      </c>
      <c r="F51" s="1173">
        <f t="shared" si="43"/>
        <v>0</v>
      </c>
      <c r="G51" s="1318">
        <v>1</v>
      </c>
      <c r="H51" s="1319">
        <f t="shared" si="44"/>
        <v>0</v>
      </c>
      <c r="I51" s="1318">
        <v>0</v>
      </c>
      <c r="J51" s="1319">
        <f t="shared" si="45"/>
        <v>0</v>
      </c>
      <c r="K51" s="1323">
        <v>1</v>
      </c>
      <c r="L51" s="1329"/>
      <c r="M51" s="1333"/>
      <c r="N51" s="1321">
        <f t="shared" si="46"/>
        <v>1</v>
      </c>
      <c r="O51" s="1321">
        <v>0</v>
      </c>
      <c r="P51" s="1321">
        <v>0</v>
      </c>
      <c r="Q51" s="1321">
        <v>0</v>
      </c>
      <c r="R51" s="1321">
        <v>0</v>
      </c>
      <c r="S51" s="1321">
        <v>0</v>
      </c>
      <c r="T51" s="1321">
        <v>0</v>
      </c>
      <c r="U51" s="1321">
        <v>0</v>
      </c>
      <c r="V51" s="1321">
        <v>0</v>
      </c>
      <c r="W51" s="1321">
        <v>0</v>
      </c>
      <c r="X51" s="1321">
        <v>0</v>
      </c>
      <c r="Y51" s="1321">
        <v>0</v>
      </c>
      <c r="Z51" s="1321">
        <v>0</v>
      </c>
      <c r="AA51" s="1321">
        <v>0</v>
      </c>
      <c r="AB51" s="1321">
        <v>0</v>
      </c>
      <c r="AC51" s="1321">
        <v>0</v>
      </c>
      <c r="AD51" s="1321">
        <v>0</v>
      </c>
      <c r="AE51" s="1321">
        <v>0</v>
      </c>
      <c r="AF51" s="1321">
        <v>0</v>
      </c>
      <c r="AG51" s="1321">
        <v>0</v>
      </c>
      <c r="AH51" s="1321">
        <v>0</v>
      </c>
      <c r="AI51" s="1321">
        <v>0</v>
      </c>
      <c r="AJ51" s="1321">
        <v>0</v>
      </c>
      <c r="AK51" s="1321">
        <v>0</v>
      </c>
      <c r="AL51" s="1321">
        <v>0</v>
      </c>
      <c r="AM51" s="1321">
        <v>0</v>
      </c>
      <c r="AN51" s="1321">
        <v>0</v>
      </c>
      <c r="AO51" s="1321">
        <v>0</v>
      </c>
      <c r="AP51" s="1321">
        <v>0</v>
      </c>
      <c r="AQ51" s="1321">
        <v>0</v>
      </c>
      <c r="AR51" s="1316"/>
    </row>
    <row r="52" spans="1:44" s="1107" customFormat="1" outlineLevel="1">
      <c r="A52" s="1306" t="s">
        <v>941</v>
      </c>
      <c r="B52" s="1334" t="s">
        <v>640</v>
      </c>
      <c r="C52" s="1523">
        <f>Scenarios!H94</f>
        <v>0</v>
      </c>
      <c r="D52" s="1308">
        <f t="shared" si="39"/>
        <v>0</v>
      </c>
      <c r="E52" s="1318">
        <v>0</v>
      </c>
      <c r="F52" s="1173">
        <f t="shared" si="43"/>
        <v>0</v>
      </c>
      <c r="G52" s="1318">
        <v>1</v>
      </c>
      <c r="H52" s="1319">
        <f t="shared" si="44"/>
        <v>0</v>
      </c>
      <c r="I52" s="1318">
        <v>0</v>
      </c>
      <c r="J52" s="1319">
        <f t="shared" si="45"/>
        <v>0</v>
      </c>
      <c r="K52" s="1323">
        <v>1</v>
      </c>
      <c r="L52" s="1329"/>
      <c r="M52" s="1333"/>
      <c r="N52" s="1321">
        <v>1</v>
      </c>
      <c r="O52" s="1321">
        <v>0</v>
      </c>
      <c r="P52" s="1321">
        <v>0</v>
      </c>
      <c r="Q52" s="1321">
        <v>0</v>
      </c>
      <c r="R52" s="1321">
        <v>0</v>
      </c>
      <c r="S52" s="1321">
        <v>0</v>
      </c>
      <c r="T52" s="1321">
        <v>0</v>
      </c>
      <c r="U52" s="1321">
        <v>0</v>
      </c>
      <c r="V52" s="1321">
        <v>0</v>
      </c>
      <c r="W52" s="1321">
        <v>0</v>
      </c>
      <c r="X52" s="1321">
        <v>0</v>
      </c>
      <c r="Y52" s="1321">
        <v>0</v>
      </c>
      <c r="Z52" s="1321">
        <v>0</v>
      </c>
      <c r="AA52" s="1321">
        <v>0</v>
      </c>
      <c r="AB52" s="1321">
        <v>0</v>
      </c>
      <c r="AC52" s="1321">
        <v>0</v>
      </c>
      <c r="AD52" s="1321">
        <v>0</v>
      </c>
      <c r="AE52" s="1321">
        <v>0</v>
      </c>
      <c r="AF52" s="1321">
        <v>0</v>
      </c>
      <c r="AG52" s="1321">
        <v>0</v>
      </c>
      <c r="AH52" s="1321">
        <v>0</v>
      </c>
      <c r="AI52" s="1321">
        <v>0</v>
      </c>
      <c r="AJ52" s="1321">
        <v>0</v>
      </c>
      <c r="AK52" s="1321">
        <v>0</v>
      </c>
      <c r="AL52" s="1321">
        <v>0</v>
      </c>
      <c r="AM52" s="1321">
        <v>0</v>
      </c>
      <c r="AN52" s="1321">
        <v>0</v>
      </c>
      <c r="AO52" s="1321">
        <v>0</v>
      </c>
      <c r="AP52" s="1321">
        <v>0</v>
      </c>
      <c r="AQ52" s="1321">
        <v>0</v>
      </c>
      <c r="AR52" s="1316"/>
    </row>
    <row r="53" spans="1:44" s="1107" customFormat="1" outlineLevel="1">
      <c r="A53" s="1306"/>
      <c r="B53" s="1334" t="s">
        <v>608</v>
      </c>
      <c r="C53" s="1228">
        <v>0</v>
      </c>
      <c r="D53" s="1308">
        <f t="shared" si="39"/>
        <v>0</v>
      </c>
      <c r="E53" s="1318">
        <v>0</v>
      </c>
      <c r="F53" s="1173">
        <f t="shared" si="43"/>
        <v>0</v>
      </c>
      <c r="G53" s="1318">
        <v>1</v>
      </c>
      <c r="H53" s="1319">
        <f t="shared" si="44"/>
        <v>0</v>
      </c>
      <c r="I53" s="1318">
        <v>0</v>
      </c>
      <c r="J53" s="1319">
        <f t="shared" si="45"/>
        <v>0</v>
      </c>
      <c r="K53" s="1323">
        <v>1</v>
      </c>
      <c r="L53" s="1111"/>
      <c r="M53" s="1333"/>
      <c r="N53" s="1321">
        <f t="shared" ref="N53" si="47">1*(N$3=1)</f>
        <v>1</v>
      </c>
      <c r="O53" s="1321">
        <v>0</v>
      </c>
      <c r="P53" s="1321">
        <v>0</v>
      </c>
      <c r="Q53" s="1321">
        <v>0</v>
      </c>
      <c r="R53" s="1321">
        <v>0</v>
      </c>
      <c r="S53" s="1321">
        <v>0</v>
      </c>
      <c r="T53" s="1321">
        <v>0</v>
      </c>
      <c r="U53" s="1321">
        <v>0</v>
      </c>
      <c r="V53" s="1321">
        <v>0</v>
      </c>
      <c r="W53" s="1321">
        <v>0</v>
      </c>
      <c r="X53" s="1321">
        <v>0</v>
      </c>
      <c r="Y53" s="1321">
        <v>0</v>
      </c>
      <c r="Z53" s="1321">
        <v>0</v>
      </c>
      <c r="AA53" s="1321">
        <v>0</v>
      </c>
      <c r="AB53" s="1321">
        <v>0</v>
      </c>
      <c r="AC53" s="1321">
        <v>0</v>
      </c>
      <c r="AD53" s="1321">
        <v>0</v>
      </c>
      <c r="AE53" s="1321">
        <v>0</v>
      </c>
      <c r="AF53" s="1321">
        <v>0</v>
      </c>
      <c r="AG53" s="1321">
        <v>0</v>
      </c>
      <c r="AH53" s="1321">
        <v>0</v>
      </c>
      <c r="AI53" s="1321">
        <v>0</v>
      </c>
      <c r="AJ53" s="1321">
        <v>0</v>
      </c>
      <c r="AK53" s="1321">
        <v>0</v>
      </c>
      <c r="AL53" s="1321">
        <v>0</v>
      </c>
      <c r="AM53" s="1321">
        <v>0</v>
      </c>
      <c r="AN53" s="1321">
        <v>0</v>
      </c>
      <c r="AO53" s="1321">
        <v>0</v>
      </c>
      <c r="AP53" s="1321">
        <v>0</v>
      </c>
      <c r="AQ53" s="1321">
        <v>0</v>
      </c>
      <c r="AR53" s="1316"/>
    </row>
    <row r="54" spans="1:44" s="1107" customFormat="1">
      <c r="A54" s="1306" t="s">
        <v>942</v>
      </c>
      <c r="B54" s="1167" t="s">
        <v>641</v>
      </c>
      <c r="C54" s="1307">
        <f>SUM(C55:C56)</f>
        <v>0</v>
      </c>
      <c r="D54" s="1308">
        <f t="shared" si="39"/>
        <v>0</v>
      </c>
      <c r="E54" s="1324"/>
      <c r="F54" s="1330"/>
      <c r="G54" s="1188"/>
      <c r="H54" s="1331"/>
      <c r="I54" s="1188"/>
      <c r="J54" s="1331"/>
      <c r="K54" s="1332"/>
      <c r="L54" s="1111"/>
      <c r="M54" s="1314">
        <f>(ABS(SUMIF(N$3:AQ$3,"&lt;="&amp;$C$149,N54:AQ54)-1)+ABS(SUM(N54:AQ54)-1))*(C54&lt;&gt;0)</f>
        <v>0</v>
      </c>
      <c r="N54" s="1315">
        <f>SUMPRODUCT(N55:N56,$C55:$C56)/IF($C54&lt;&gt;0,$C54,1)</f>
        <v>0</v>
      </c>
      <c r="O54" s="1315">
        <f t="shared" ref="O54:AQ54" si="48">SUMPRODUCT(O55:O56,$C55:$C56)/IF($C54&lt;&gt;0,$C54,1)</f>
        <v>0</v>
      </c>
      <c r="P54" s="1315">
        <f t="shared" si="48"/>
        <v>0</v>
      </c>
      <c r="Q54" s="1315">
        <f t="shared" si="48"/>
        <v>0</v>
      </c>
      <c r="R54" s="1315">
        <f t="shared" si="48"/>
        <v>0</v>
      </c>
      <c r="S54" s="1315">
        <f t="shared" si="48"/>
        <v>0</v>
      </c>
      <c r="T54" s="1315">
        <f t="shared" si="48"/>
        <v>0</v>
      </c>
      <c r="U54" s="1315">
        <f t="shared" si="48"/>
        <v>0</v>
      </c>
      <c r="V54" s="1315">
        <f t="shared" si="48"/>
        <v>0</v>
      </c>
      <c r="W54" s="1315">
        <f t="shared" si="48"/>
        <v>0</v>
      </c>
      <c r="X54" s="1315">
        <f t="shared" si="48"/>
        <v>0</v>
      </c>
      <c r="Y54" s="1315">
        <f t="shared" si="48"/>
        <v>0</v>
      </c>
      <c r="Z54" s="1315">
        <f t="shared" si="48"/>
        <v>0</v>
      </c>
      <c r="AA54" s="1315">
        <f t="shared" si="48"/>
        <v>0</v>
      </c>
      <c r="AB54" s="1315">
        <f t="shared" si="48"/>
        <v>0</v>
      </c>
      <c r="AC54" s="1315">
        <f t="shared" si="48"/>
        <v>0</v>
      </c>
      <c r="AD54" s="1315">
        <f t="shared" si="48"/>
        <v>0</v>
      </c>
      <c r="AE54" s="1315">
        <f t="shared" si="48"/>
        <v>0</v>
      </c>
      <c r="AF54" s="1315">
        <f t="shared" si="48"/>
        <v>0</v>
      </c>
      <c r="AG54" s="1315">
        <f t="shared" si="48"/>
        <v>0</v>
      </c>
      <c r="AH54" s="1315">
        <f t="shared" si="48"/>
        <v>0</v>
      </c>
      <c r="AI54" s="1315">
        <f t="shared" si="48"/>
        <v>0</v>
      </c>
      <c r="AJ54" s="1315">
        <f t="shared" si="48"/>
        <v>0</v>
      </c>
      <c r="AK54" s="1315">
        <f t="shared" si="48"/>
        <v>0</v>
      </c>
      <c r="AL54" s="1315">
        <f t="shared" si="48"/>
        <v>0</v>
      </c>
      <c r="AM54" s="1315">
        <f t="shared" si="48"/>
        <v>0</v>
      </c>
      <c r="AN54" s="1315">
        <f t="shared" si="48"/>
        <v>0</v>
      </c>
      <c r="AO54" s="1315">
        <f t="shared" si="48"/>
        <v>0</v>
      </c>
      <c r="AP54" s="1315">
        <f t="shared" si="48"/>
        <v>0</v>
      </c>
      <c r="AQ54" s="1315">
        <f t="shared" si="48"/>
        <v>0</v>
      </c>
      <c r="AR54" s="1316"/>
    </row>
    <row r="55" spans="1:44" s="1107" customFormat="1" outlineLevel="1">
      <c r="A55" s="1306" t="s">
        <v>943</v>
      </c>
      <c r="B55" s="1334" t="s">
        <v>642</v>
      </c>
      <c r="C55" s="1523">
        <f>Scenarios!E96</f>
        <v>0</v>
      </c>
      <c r="D55" s="1308">
        <f t="shared" si="39"/>
        <v>0</v>
      </c>
      <c r="E55" s="1318">
        <v>0</v>
      </c>
      <c r="F55" s="1173">
        <f>E55*C55</f>
        <v>0</v>
      </c>
      <c r="G55" s="1318">
        <v>1</v>
      </c>
      <c r="H55" s="1319">
        <f>C55*G55*$C$156</f>
        <v>0</v>
      </c>
      <c r="I55" s="1318">
        <v>0</v>
      </c>
      <c r="J55" s="1319">
        <f>C55*I55/(1-I55)</f>
        <v>0</v>
      </c>
      <c r="K55" s="1320">
        <v>1</v>
      </c>
      <c r="L55" s="1329"/>
      <c r="M55" s="1333"/>
      <c r="N55" s="1321">
        <v>1</v>
      </c>
      <c r="O55" s="1321">
        <v>0</v>
      </c>
      <c r="P55" s="1321">
        <v>0</v>
      </c>
      <c r="Q55" s="1321">
        <v>0</v>
      </c>
      <c r="R55" s="1321">
        <v>0</v>
      </c>
      <c r="S55" s="1321">
        <v>0</v>
      </c>
      <c r="T55" s="1321">
        <v>0</v>
      </c>
      <c r="U55" s="1321">
        <v>0</v>
      </c>
      <c r="V55" s="1321">
        <v>0</v>
      </c>
      <c r="W55" s="1321">
        <v>0</v>
      </c>
      <c r="X55" s="1321">
        <v>0</v>
      </c>
      <c r="Y55" s="1321">
        <v>0</v>
      </c>
      <c r="Z55" s="1321">
        <v>0</v>
      </c>
      <c r="AA55" s="1321">
        <v>0</v>
      </c>
      <c r="AB55" s="1321">
        <v>0</v>
      </c>
      <c r="AC55" s="1321">
        <v>0</v>
      </c>
      <c r="AD55" s="1321">
        <v>0</v>
      </c>
      <c r="AE55" s="1321">
        <v>0</v>
      </c>
      <c r="AF55" s="1321">
        <v>0</v>
      </c>
      <c r="AG55" s="1321">
        <v>0</v>
      </c>
      <c r="AH55" s="1321">
        <v>0</v>
      </c>
      <c r="AI55" s="1321">
        <v>0</v>
      </c>
      <c r="AJ55" s="1321">
        <v>0</v>
      </c>
      <c r="AK55" s="1321">
        <v>0</v>
      </c>
      <c r="AL55" s="1321">
        <v>0</v>
      </c>
      <c r="AM55" s="1321">
        <v>0</v>
      </c>
      <c r="AN55" s="1321">
        <v>0</v>
      </c>
      <c r="AO55" s="1321">
        <v>0</v>
      </c>
      <c r="AP55" s="1321">
        <v>0</v>
      </c>
      <c r="AQ55" s="1321">
        <v>0</v>
      </c>
      <c r="AR55" s="1316"/>
    </row>
    <row r="56" spans="1:44" s="1107" customFormat="1" outlineLevel="1">
      <c r="A56" s="1306" t="s">
        <v>944</v>
      </c>
      <c r="B56" s="1334" t="s">
        <v>643</v>
      </c>
      <c r="C56" s="1523">
        <f>Scenarios!E97</f>
        <v>0</v>
      </c>
      <c r="D56" s="1308">
        <f t="shared" si="39"/>
        <v>0</v>
      </c>
      <c r="E56" s="1318">
        <v>0</v>
      </c>
      <c r="F56" s="1173">
        <f>E56*C56</f>
        <v>0</v>
      </c>
      <c r="G56" s="1318">
        <v>1</v>
      </c>
      <c r="H56" s="1319">
        <f>C56*G56*$C$156</f>
        <v>0</v>
      </c>
      <c r="I56" s="1318">
        <v>0</v>
      </c>
      <c r="J56" s="1319">
        <f>C56*I56/(1-I56)</f>
        <v>0</v>
      </c>
      <c r="K56" s="1323">
        <v>1</v>
      </c>
      <c r="L56" s="1111"/>
      <c r="M56" s="1333"/>
      <c r="N56" s="1321">
        <f t="shared" ref="N56" si="49">1*(N$3=1)</f>
        <v>1</v>
      </c>
      <c r="O56" s="1321">
        <v>0</v>
      </c>
      <c r="P56" s="1321">
        <v>0</v>
      </c>
      <c r="Q56" s="1321">
        <v>0</v>
      </c>
      <c r="R56" s="1321">
        <v>0</v>
      </c>
      <c r="S56" s="1321">
        <v>0</v>
      </c>
      <c r="T56" s="1321">
        <v>0</v>
      </c>
      <c r="U56" s="1321">
        <v>0</v>
      </c>
      <c r="V56" s="1321">
        <v>0</v>
      </c>
      <c r="W56" s="1321">
        <v>0</v>
      </c>
      <c r="X56" s="1321">
        <v>0</v>
      </c>
      <c r="Y56" s="1321">
        <v>0</v>
      </c>
      <c r="Z56" s="1321">
        <v>0</v>
      </c>
      <c r="AA56" s="1321">
        <v>0</v>
      </c>
      <c r="AB56" s="1321">
        <v>0</v>
      </c>
      <c r="AC56" s="1321">
        <v>0</v>
      </c>
      <c r="AD56" s="1321">
        <v>0</v>
      </c>
      <c r="AE56" s="1321">
        <v>0</v>
      </c>
      <c r="AF56" s="1321">
        <v>0</v>
      </c>
      <c r="AG56" s="1321">
        <v>0</v>
      </c>
      <c r="AH56" s="1321">
        <v>0</v>
      </c>
      <c r="AI56" s="1321">
        <v>0</v>
      </c>
      <c r="AJ56" s="1321">
        <v>0</v>
      </c>
      <c r="AK56" s="1321">
        <v>0</v>
      </c>
      <c r="AL56" s="1321">
        <v>0</v>
      </c>
      <c r="AM56" s="1321">
        <v>0</v>
      </c>
      <c r="AN56" s="1321">
        <v>0</v>
      </c>
      <c r="AO56" s="1321">
        <v>0</v>
      </c>
      <c r="AP56" s="1321">
        <v>0</v>
      </c>
      <c r="AQ56" s="1321">
        <v>0</v>
      </c>
      <c r="AR56" s="1316"/>
    </row>
    <row r="57" spans="1:44" ht="10.35" customHeight="1">
      <c r="A57" s="1306" t="s">
        <v>945</v>
      </c>
      <c r="B57" s="1167" t="s">
        <v>644</v>
      </c>
      <c r="C57" s="1307">
        <f>SUM(C58:C80)</f>
        <v>355</v>
      </c>
      <c r="D57" s="1308">
        <f t="shared" si="39"/>
        <v>4.7169811320754711</v>
      </c>
      <c r="E57" s="1324"/>
      <c r="F57" s="18"/>
      <c r="G57" s="1324"/>
      <c r="H57" s="18"/>
      <c r="I57" s="1324"/>
      <c r="J57" s="18"/>
      <c r="K57" s="1290"/>
      <c r="L57" s="1111"/>
      <c r="M57" s="1314">
        <f>(ABS(SUMIF(N$3:AQ$3,"&lt;="&amp;$C$149,N57:AQ57)-1)+ABS(SUM(N57:AQ57)-1))*(C57&lt;&gt;0)</f>
        <v>0</v>
      </c>
      <c r="N57" s="1315">
        <f>SUMPRODUCT(N58:N80,$C58:$C80)/IF($C57&lt;&gt;0,$C57,1)</f>
        <v>1</v>
      </c>
      <c r="O57" s="1315">
        <f t="shared" ref="O57:AK57" si="50">SUMPRODUCT(O58:O80,$C58:$C80)/IF($C57&lt;&gt;0,$C57,1)</f>
        <v>0</v>
      </c>
      <c r="P57" s="1315">
        <f t="shared" si="50"/>
        <v>0</v>
      </c>
      <c r="Q57" s="1315">
        <f t="shared" si="50"/>
        <v>0</v>
      </c>
      <c r="R57" s="1315">
        <f t="shared" si="50"/>
        <v>0</v>
      </c>
      <c r="S57" s="1315">
        <f t="shared" si="50"/>
        <v>0</v>
      </c>
      <c r="T57" s="1315">
        <f t="shared" si="50"/>
        <v>0</v>
      </c>
      <c r="U57" s="1315">
        <f t="shared" si="50"/>
        <v>0</v>
      </c>
      <c r="V57" s="1315">
        <f t="shared" si="50"/>
        <v>0</v>
      </c>
      <c r="W57" s="1315">
        <f t="shared" si="50"/>
        <v>0</v>
      </c>
      <c r="X57" s="1315">
        <f t="shared" si="50"/>
        <v>0</v>
      </c>
      <c r="Y57" s="1315">
        <f t="shared" si="50"/>
        <v>0</v>
      </c>
      <c r="Z57" s="1315">
        <f t="shared" si="50"/>
        <v>0</v>
      </c>
      <c r="AA57" s="1315">
        <f t="shared" si="50"/>
        <v>0</v>
      </c>
      <c r="AB57" s="1315">
        <f t="shared" si="50"/>
        <v>0</v>
      </c>
      <c r="AC57" s="1315">
        <f t="shared" si="50"/>
        <v>0</v>
      </c>
      <c r="AD57" s="1315">
        <f t="shared" si="50"/>
        <v>0</v>
      </c>
      <c r="AE57" s="1315">
        <f t="shared" si="50"/>
        <v>0</v>
      </c>
      <c r="AF57" s="1315">
        <f t="shared" si="50"/>
        <v>0</v>
      </c>
      <c r="AG57" s="1315">
        <f t="shared" si="50"/>
        <v>0</v>
      </c>
      <c r="AH57" s="1315">
        <f t="shared" si="50"/>
        <v>0</v>
      </c>
      <c r="AI57" s="1315">
        <f t="shared" si="50"/>
        <v>0</v>
      </c>
      <c r="AJ57" s="1315">
        <f t="shared" si="50"/>
        <v>0</v>
      </c>
      <c r="AK57" s="1315">
        <f t="shared" si="50"/>
        <v>0</v>
      </c>
      <c r="AL57" s="1315">
        <f t="shared" ref="AL57:AQ57" si="51">SUMPRODUCT(AL58:AL80,$C58:$C80)/IF($C57&lt;&gt;0,$C57,1)</f>
        <v>0</v>
      </c>
      <c r="AM57" s="1315">
        <f t="shared" si="51"/>
        <v>0</v>
      </c>
      <c r="AN57" s="1315">
        <f t="shared" si="51"/>
        <v>0</v>
      </c>
      <c r="AO57" s="1315">
        <f t="shared" si="51"/>
        <v>0</v>
      </c>
      <c r="AP57" s="1315">
        <f t="shared" si="51"/>
        <v>0</v>
      </c>
      <c r="AQ57" s="1315">
        <f t="shared" si="51"/>
        <v>0</v>
      </c>
      <c r="AR57" s="1316"/>
    </row>
    <row r="58" spans="1:44" outlineLevel="1">
      <c r="A58" s="1306" t="s">
        <v>946</v>
      </c>
      <c r="B58" s="1334" t="s">
        <v>645</v>
      </c>
      <c r="C58" s="1173"/>
      <c r="D58" s="1308">
        <f t="shared" si="39"/>
        <v>0</v>
      </c>
      <c r="E58" s="1337"/>
      <c r="F58" s="1215"/>
      <c r="G58" s="1337"/>
      <c r="H58" s="1215"/>
      <c r="I58" s="1337"/>
      <c r="J58" s="1215"/>
      <c r="K58" s="1215"/>
      <c r="L58" s="1111"/>
      <c r="M58" s="18"/>
      <c r="N58" s="1321">
        <v>0</v>
      </c>
      <c r="O58" s="1321">
        <v>0</v>
      </c>
      <c r="P58" s="1321">
        <v>0</v>
      </c>
      <c r="Q58" s="1321">
        <v>0</v>
      </c>
      <c r="R58" s="1321">
        <v>0</v>
      </c>
      <c r="S58" s="1321">
        <v>0</v>
      </c>
      <c r="T58" s="1321">
        <v>0</v>
      </c>
      <c r="U58" s="1321">
        <v>0</v>
      </c>
      <c r="V58" s="1321">
        <v>0</v>
      </c>
      <c r="W58" s="1321">
        <v>0</v>
      </c>
      <c r="X58" s="1321">
        <v>0</v>
      </c>
      <c r="Y58" s="1321">
        <v>0</v>
      </c>
      <c r="Z58" s="1321">
        <v>0</v>
      </c>
      <c r="AA58" s="1321">
        <v>0</v>
      </c>
      <c r="AB58" s="1321">
        <v>0</v>
      </c>
      <c r="AC58" s="1321">
        <v>0</v>
      </c>
      <c r="AD58" s="1321">
        <v>0</v>
      </c>
      <c r="AE58" s="1321">
        <v>0</v>
      </c>
      <c r="AF58" s="1321">
        <v>0</v>
      </c>
      <c r="AG58" s="1321">
        <v>0</v>
      </c>
      <c r="AH58" s="1321">
        <v>0</v>
      </c>
      <c r="AI58" s="1321">
        <v>0</v>
      </c>
      <c r="AJ58" s="1321">
        <v>0</v>
      </c>
      <c r="AK58" s="1321">
        <v>0</v>
      </c>
      <c r="AL58" s="1321">
        <v>0</v>
      </c>
      <c r="AM58" s="1321">
        <v>0</v>
      </c>
      <c r="AN58" s="1321">
        <v>0</v>
      </c>
      <c r="AO58" s="1321">
        <v>0</v>
      </c>
      <c r="AP58" s="1321">
        <v>0</v>
      </c>
      <c r="AQ58" s="1321">
        <v>0</v>
      </c>
      <c r="AR58" s="1316"/>
    </row>
    <row r="59" spans="1:44" outlineLevel="1">
      <c r="A59" s="1306"/>
      <c r="B59" s="1177" t="s">
        <v>647</v>
      </c>
      <c r="C59" s="1523">
        <f>Scenarios!E100</f>
        <v>0</v>
      </c>
      <c r="D59" s="1308">
        <f t="shared" si="39"/>
        <v>0</v>
      </c>
      <c r="E59" s="1318">
        <v>0.04</v>
      </c>
      <c r="F59" s="1173">
        <f t="shared" ref="F59:F68" si="52">E59*C59</f>
        <v>0</v>
      </c>
      <c r="G59" s="1318">
        <v>1</v>
      </c>
      <c r="H59" s="1173">
        <f t="shared" ref="H59:H68" si="53">C59*G59*$C$156</f>
        <v>0</v>
      </c>
      <c r="I59" s="1318">
        <v>0</v>
      </c>
      <c r="J59" s="1319">
        <f t="shared" ref="J59:J68" si="54">C59*I59/(1-I59)</f>
        <v>0</v>
      </c>
      <c r="K59" s="1320">
        <v>1</v>
      </c>
      <c r="L59" s="1111"/>
      <c r="M59" s="18"/>
      <c r="N59" s="1338">
        <f t="shared" ref="N59:W68" si="55">1*(N$3=1)</f>
        <v>1</v>
      </c>
      <c r="O59" s="1338">
        <f t="shared" si="55"/>
        <v>0</v>
      </c>
      <c r="P59" s="1338">
        <f t="shared" si="55"/>
        <v>0</v>
      </c>
      <c r="Q59" s="1338">
        <f t="shared" si="55"/>
        <v>0</v>
      </c>
      <c r="R59" s="1338">
        <f t="shared" si="55"/>
        <v>0</v>
      </c>
      <c r="S59" s="1338">
        <f t="shared" si="55"/>
        <v>0</v>
      </c>
      <c r="T59" s="1338">
        <f t="shared" si="55"/>
        <v>0</v>
      </c>
      <c r="U59" s="1338">
        <f t="shared" si="55"/>
        <v>0</v>
      </c>
      <c r="V59" s="1338">
        <f t="shared" si="55"/>
        <v>0</v>
      </c>
      <c r="W59" s="1338">
        <f t="shared" si="55"/>
        <v>0</v>
      </c>
      <c r="X59" s="1338">
        <f t="shared" ref="X59:AG68" si="56">1*(X$3=1)</f>
        <v>0</v>
      </c>
      <c r="Y59" s="1338">
        <f t="shared" si="56"/>
        <v>0</v>
      </c>
      <c r="Z59" s="1338">
        <f t="shared" si="56"/>
        <v>0</v>
      </c>
      <c r="AA59" s="1338">
        <f t="shared" si="56"/>
        <v>0</v>
      </c>
      <c r="AB59" s="1338">
        <f t="shared" si="56"/>
        <v>0</v>
      </c>
      <c r="AC59" s="1338">
        <f t="shared" si="56"/>
        <v>0</v>
      </c>
      <c r="AD59" s="1338">
        <f t="shared" si="56"/>
        <v>0</v>
      </c>
      <c r="AE59" s="1338">
        <f t="shared" si="56"/>
        <v>0</v>
      </c>
      <c r="AF59" s="1338">
        <f t="shared" si="56"/>
        <v>0</v>
      </c>
      <c r="AG59" s="1338">
        <f t="shared" si="56"/>
        <v>0</v>
      </c>
      <c r="AH59" s="1338">
        <f t="shared" ref="AH59:AQ68" si="57">1*(AH$3=1)</f>
        <v>0</v>
      </c>
      <c r="AI59" s="1338">
        <f t="shared" si="57"/>
        <v>0</v>
      </c>
      <c r="AJ59" s="1338">
        <f t="shared" si="57"/>
        <v>0</v>
      </c>
      <c r="AK59" s="1338">
        <f t="shared" si="57"/>
        <v>0</v>
      </c>
      <c r="AL59" s="1338">
        <f t="shared" si="57"/>
        <v>0</v>
      </c>
      <c r="AM59" s="1338">
        <f t="shared" si="57"/>
        <v>0</v>
      </c>
      <c r="AN59" s="1338">
        <f t="shared" si="57"/>
        <v>0</v>
      </c>
      <c r="AO59" s="1338">
        <f t="shared" si="57"/>
        <v>0</v>
      </c>
      <c r="AP59" s="1338">
        <f t="shared" si="57"/>
        <v>0</v>
      </c>
      <c r="AQ59" s="1338">
        <f t="shared" si="57"/>
        <v>0</v>
      </c>
      <c r="AR59" s="1316"/>
    </row>
    <row r="60" spans="1:44" outlineLevel="1">
      <c r="A60" s="1306"/>
      <c r="B60" s="1177" t="s">
        <v>648</v>
      </c>
      <c r="C60" s="1523">
        <f>Scenarios!E101</f>
        <v>10</v>
      </c>
      <c r="D60" s="1308">
        <f t="shared" si="39"/>
        <v>0.13287270794578793</v>
      </c>
      <c r="E60" s="1318">
        <v>0.04</v>
      </c>
      <c r="F60" s="1173">
        <f t="shared" si="52"/>
        <v>0.4</v>
      </c>
      <c r="G60" s="1318">
        <v>1</v>
      </c>
      <c r="H60" s="1319">
        <f t="shared" si="53"/>
        <v>1.7000000000000002</v>
      </c>
      <c r="I60" s="1318">
        <v>0</v>
      </c>
      <c r="J60" s="1319">
        <f t="shared" si="54"/>
        <v>0</v>
      </c>
      <c r="K60" s="1320">
        <v>1</v>
      </c>
      <c r="L60" s="1111"/>
      <c r="M60" s="18"/>
      <c r="N60" s="1338">
        <f t="shared" si="55"/>
        <v>1</v>
      </c>
      <c r="O60" s="1338">
        <f t="shared" si="55"/>
        <v>0</v>
      </c>
      <c r="P60" s="1338">
        <f t="shared" si="55"/>
        <v>0</v>
      </c>
      <c r="Q60" s="1338">
        <f t="shared" si="55"/>
        <v>0</v>
      </c>
      <c r="R60" s="1338">
        <f t="shared" si="55"/>
        <v>0</v>
      </c>
      <c r="S60" s="1338">
        <f t="shared" si="55"/>
        <v>0</v>
      </c>
      <c r="T60" s="1338">
        <f t="shared" si="55"/>
        <v>0</v>
      </c>
      <c r="U60" s="1338">
        <f t="shared" si="55"/>
        <v>0</v>
      </c>
      <c r="V60" s="1338">
        <f t="shared" si="55"/>
        <v>0</v>
      </c>
      <c r="W60" s="1338">
        <f t="shared" si="55"/>
        <v>0</v>
      </c>
      <c r="X60" s="1338">
        <f t="shared" si="56"/>
        <v>0</v>
      </c>
      <c r="Y60" s="1338">
        <f t="shared" si="56"/>
        <v>0</v>
      </c>
      <c r="Z60" s="1338">
        <f t="shared" si="56"/>
        <v>0</v>
      </c>
      <c r="AA60" s="1338">
        <f t="shared" si="56"/>
        <v>0</v>
      </c>
      <c r="AB60" s="1338">
        <f t="shared" si="56"/>
        <v>0</v>
      </c>
      <c r="AC60" s="1338">
        <f t="shared" si="56"/>
        <v>0</v>
      </c>
      <c r="AD60" s="1338">
        <f t="shared" si="56"/>
        <v>0</v>
      </c>
      <c r="AE60" s="1338">
        <f t="shared" si="56"/>
        <v>0</v>
      </c>
      <c r="AF60" s="1338">
        <f t="shared" si="56"/>
        <v>0</v>
      </c>
      <c r="AG60" s="1338">
        <f t="shared" si="56"/>
        <v>0</v>
      </c>
      <c r="AH60" s="1338">
        <f t="shared" si="57"/>
        <v>0</v>
      </c>
      <c r="AI60" s="1338">
        <f t="shared" si="57"/>
        <v>0</v>
      </c>
      <c r="AJ60" s="1338">
        <f t="shared" si="57"/>
        <v>0</v>
      </c>
      <c r="AK60" s="1338">
        <f t="shared" si="57"/>
        <v>0</v>
      </c>
      <c r="AL60" s="1338">
        <f t="shared" si="57"/>
        <v>0</v>
      </c>
      <c r="AM60" s="1338">
        <f t="shared" si="57"/>
        <v>0</v>
      </c>
      <c r="AN60" s="1338">
        <f t="shared" si="57"/>
        <v>0</v>
      </c>
      <c r="AO60" s="1338">
        <f t="shared" si="57"/>
        <v>0</v>
      </c>
      <c r="AP60" s="1338">
        <f t="shared" si="57"/>
        <v>0</v>
      </c>
      <c r="AQ60" s="1338">
        <f t="shared" si="57"/>
        <v>0</v>
      </c>
      <c r="AR60" s="1316"/>
    </row>
    <row r="61" spans="1:44" outlineLevel="1">
      <c r="A61" s="1306"/>
      <c r="B61" s="1177" t="s">
        <v>649</v>
      </c>
      <c r="C61" s="1523">
        <f>Scenarios!E102</f>
        <v>5</v>
      </c>
      <c r="D61" s="1308">
        <f t="shared" si="39"/>
        <v>6.6436353972893963E-2</v>
      </c>
      <c r="E61" s="1318">
        <v>0.04</v>
      </c>
      <c r="F61" s="1173">
        <f t="shared" si="52"/>
        <v>0.2</v>
      </c>
      <c r="G61" s="1318">
        <v>1</v>
      </c>
      <c r="H61" s="1173">
        <f t="shared" si="53"/>
        <v>0.85000000000000009</v>
      </c>
      <c r="I61" s="1318">
        <v>0</v>
      </c>
      <c r="J61" s="1319">
        <f t="shared" si="54"/>
        <v>0</v>
      </c>
      <c r="K61" s="1320">
        <v>1</v>
      </c>
      <c r="L61" s="1111"/>
      <c r="M61" s="18"/>
      <c r="N61" s="1338">
        <f t="shared" si="55"/>
        <v>1</v>
      </c>
      <c r="O61" s="1338">
        <f t="shared" si="55"/>
        <v>0</v>
      </c>
      <c r="P61" s="1338">
        <f t="shared" si="55"/>
        <v>0</v>
      </c>
      <c r="Q61" s="1338">
        <f t="shared" si="55"/>
        <v>0</v>
      </c>
      <c r="R61" s="1338">
        <f t="shared" si="55"/>
        <v>0</v>
      </c>
      <c r="S61" s="1338">
        <f t="shared" si="55"/>
        <v>0</v>
      </c>
      <c r="T61" s="1338">
        <f t="shared" si="55"/>
        <v>0</v>
      </c>
      <c r="U61" s="1338">
        <f t="shared" si="55"/>
        <v>0</v>
      </c>
      <c r="V61" s="1338">
        <f t="shared" si="55"/>
        <v>0</v>
      </c>
      <c r="W61" s="1338">
        <f t="shared" si="55"/>
        <v>0</v>
      </c>
      <c r="X61" s="1338">
        <f t="shared" si="56"/>
        <v>0</v>
      </c>
      <c r="Y61" s="1338">
        <f t="shared" si="56"/>
        <v>0</v>
      </c>
      <c r="Z61" s="1338">
        <f t="shared" si="56"/>
        <v>0</v>
      </c>
      <c r="AA61" s="1338">
        <f t="shared" si="56"/>
        <v>0</v>
      </c>
      <c r="AB61" s="1338">
        <f t="shared" si="56"/>
        <v>0</v>
      </c>
      <c r="AC61" s="1338">
        <f t="shared" si="56"/>
        <v>0</v>
      </c>
      <c r="AD61" s="1338">
        <f t="shared" si="56"/>
        <v>0</v>
      </c>
      <c r="AE61" s="1338">
        <f t="shared" si="56"/>
        <v>0</v>
      </c>
      <c r="AF61" s="1338">
        <f t="shared" si="56"/>
        <v>0</v>
      </c>
      <c r="AG61" s="1338">
        <f t="shared" si="56"/>
        <v>0</v>
      </c>
      <c r="AH61" s="1338">
        <f t="shared" si="57"/>
        <v>0</v>
      </c>
      <c r="AI61" s="1338">
        <f t="shared" si="57"/>
        <v>0</v>
      </c>
      <c r="AJ61" s="1338">
        <f t="shared" si="57"/>
        <v>0</v>
      </c>
      <c r="AK61" s="1338">
        <f t="shared" si="57"/>
        <v>0</v>
      </c>
      <c r="AL61" s="1338">
        <f t="shared" si="57"/>
        <v>0</v>
      </c>
      <c r="AM61" s="1338">
        <f t="shared" si="57"/>
        <v>0</v>
      </c>
      <c r="AN61" s="1338">
        <f t="shared" si="57"/>
        <v>0</v>
      </c>
      <c r="AO61" s="1338">
        <f t="shared" si="57"/>
        <v>0</v>
      </c>
      <c r="AP61" s="1338">
        <f t="shared" si="57"/>
        <v>0</v>
      </c>
      <c r="AQ61" s="1338">
        <f t="shared" si="57"/>
        <v>0</v>
      </c>
      <c r="AR61" s="1316"/>
    </row>
    <row r="62" spans="1:44" outlineLevel="1">
      <c r="A62" s="1306"/>
      <c r="B62" s="1177" t="s">
        <v>650</v>
      </c>
      <c r="C62" s="1523">
        <f>Scenarios!E103</f>
        <v>10</v>
      </c>
      <c r="D62" s="1308">
        <f t="shared" si="39"/>
        <v>0.13287270794578793</v>
      </c>
      <c r="E62" s="1318">
        <v>0.04</v>
      </c>
      <c r="F62" s="1173">
        <f t="shared" si="52"/>
        <v>0.4</v>
      </c>
      <c r="G62" s="1318">
        <v>1</v>
      </c>
      <c r="H62" s="1173">
        <f t="shared" si="53"/>
        <v>1.7000000000000002</v>
      </c>
      <c r="I62" s="1318">
        <v>0</v>
      </c>
      <c r="J62" s="1319">
        <f t="shared" si="54"/>
        <v>0</v>
      </c>
      <c r="K62" s="1320">
        <v>1</v>
      </c>
      <c r="L62" s="1111"/>
      <c r="M62" s="18"/>
      <c r="N62" s="1338">
        <f t="shared" si="55"/>
        <v>1</v>
      </c>
      <c r="O62" s="1338">
        <f t="shared" si="55"/>
        <v>0</v>
      </c>
      <c r="P62" s="1338">
        <f t="shared" si="55"/>
        <v>0</v>
      </c>
      <c r="Q62" s="1338">
        <f t="shared" si="55"/>
        <v>0</v>
      </c>
      <c r="R62" s="1338">
        <f t="shared" si="55"/>
        <v>0</v>
      </c>
      <c r="S62" s="1338">
        <f t="shared" si="55"/>
        <v>0</v>
      </c>
      <c r="T62" s="1338">
        <f t="shared" si="55"/>
        <v>0</v>
      </c>
      <c r="U62" s="1338">
        <f t="shared" si="55"/>
        <v>0</v>
      </c>
      <c r="V62" s="1338">
        <f t="shared" si="55"/>
        <v>0</v>
      </c>
      <c r="W62" s="1338">
        <f t="shared" si="55"/>
        <v>0</v>
      </c>
      <c r="X62" s="1338">
        <f t="shared" si="56"/>
        <v>0</v>
      </c>
      <c r="Y62" s="1338">
        <f t="shared" si="56"/>
        <v>0</v>
      </c>
      <c r="Z62" s="1338">
        <f t="shared" si="56"/>
        <v>0</v>
      </c>
      <c r="AA62" s="1338">
        <f t="shared" si="56"/>
        <v>0</v>
      </c>
      <c r="AB62" s="1338">
        <f t="shared" si="56"/>
        <v>0</v>
      </c>
      <c r="AC62" s="1338">
        <f t="shared" si="56"/>
        <v>0</v>
      </c>
      <c r="AD62" s="1338">
        <f t="shared" si="56"/>
        <v>0</v>
      </c>
      <c r="AE62" s="1338">
        <f t="shared" si="56"/>
        <v>0</v>
      </c>
      <c r="AF62" s="1338">
        <f t="shared" si="56"/>
        <v>0</v>
      </c>
      <c r="AG62" s="1338">
        <f t="shared" si="56"/>
        <v>0</v>
      </c>
      <c r="AH62" s="1338">
        <f t="shared" si="57"/>
        <v>0</v>
      </c>
      <c r="AI62" s="1338">
        <f t="shared" si="57"/>
        <v>0</v>
      </c>
      <c r="AJ62" s="1338">
        <f t="shared" si="57"/>
        <v>0</v>
      </c>
      <c r="AK62" s="1338">
        <f t="shared" si="57"/>
        <v>0</v>
      </c>
      <c r="AL62" s="1338">
        <f t="shared" si="57"/>
        <v>0</v>
      </c>
      <c r="AM62" s="1338">
        <f t="shared" si="57"/>
        <v>0</v>
      </c>
      <c r="AN62" s="1338">
        <f t="shared" si="57"/>
        <v>0</v>
      </c>
      <c r="AO62" s="1338">
        <f t="shared" si="57"/>
        <v>0</v>
      </c>
      <c r="AP62" s="1338">
        <f t="shared" si="57"/>
        <v>0</v>
      </c>
      <c r="AQ62" s="1338">
        <f t="shared" si="57"/>
        <v>0</v>
      </c>
      <c r="AR62" s="1316"/>
    </row>
    <row r="63" spans="1:44" outlineLevel="1">
      <c r="A63" s="1306"/>
      <c r="B63" s="1177" t="s">
        <v>651</v>
      </c>
      <c r="C63" s="1523">
        <f>Scenarios!E104</f>
        <v>10</v>
      </c>
      <c r="D63" s="1308">
        <f t="shared" si="39"/>
        <v>0.13287270794578793</v>
      </c>
      <c r="E63" s="1318">
        <v>0.04</v>
      </c>
      <c r="F63" s="1173">
        <f t="shared" si="52"/>
        <v>0.4</v>
      </c>
      <c r="G63" s="1318">
        <v>1</v>
      </c>
      <c r="H63" s="1319">
        <f t="shared" si="53"/>
        <v>1.7000000000000002</v>
      </c>
      <c r="I63" s="1318">
        <v>0</v>
      </c>
      <c r="J63" s="1319">
        <f t="shared" si="54"/>
        <v>0</v>
      </c>
      <c r="K63" s="1320">
        <v>1</v>
      </c>
      <c r="L63" s="1111"/>
      <c r="M63" s="18"/>
      <c r="N63" s="1338">
        <f t="shared" si="55"/>
        <v>1</v>
      </c>
      <c r="O63" s="1338">
        <f t="shared" si="55"/>
        <v>0</v>
      </c>
      <c r="P63" s="1338">
        <f t="shared" si="55"/>
        <v>0</v>
      </c>
      <c r="Q63" s="1338">
        <f t="shared" si="55"/>
        <v>0</v>
      </c>
      <c r="R63" s="1338">
        <f t="shared" si="55"/>
        <v>0</v>
      </c>
      <c r="S63" s="1338">
        <f t="shared" si="55"/>
        <v>0</v>
      </c>
      <c r="T63" s="1338">
        <f t="shared" si="55"/>
        <v>0</v>
      </c>
      <c r="U63" s="1338">
        <f t="shared" si="55"/>
        <v>0</v>
      </c>
      <c r="V63" s="1338">
        <f t="shared" si="55"/>
        <v>0</v>
      </c>
      <c r="W63" s="1338">
        <f t="shared" si="55"/>
        <v>0</v>
      </c>
      <c r="X63" s="1338">
        <f t="shared" si="56"/>
        <v>0</v>
      </c>
      <c r="Y63" s="1338">
        <f t="shared" si="56"/>
        <v>0</v>
      </c>
      <c r="Z63" s="1338">
        <f t="shared" si="56"/>
        <v>0</v>
      </c>
      <c r="AA63" s="1338">
        <f t="shared" si="56"/>
        <v>0</v>
      </c>
      <c r="AB63" s="1338">
        <f t="shared" si="56"/>
        <v>0</v>
      </c>
      <c r="AC63" s="1338">
        <f t="shared" si="56"/>
        <v>0</v>
      </c>
      <c r="AD63" s="1338">
        <f t="shared" si="56"/>
        <v>0</v>
      </c>
      <c r="AE63" s="1338">
        <f t="shared" si="56"/>
        <v>0</v>
      </c>
      <c r="AF63" s="1338">
        <f t="shared" si="56"/>
        <v>0</v>
      </c>
      <c r="AG63" s="1338">
        <f t="shared" si="56"/>
        <v>0</v>
      </c>
      <c r="AH63" s="1338">
        <f t="shared" si="57"/>
        <v>0</v>
      </c>
      <c r="AI63" s="1338">
        <f t="shared" si="57"/>
        <v>0</v>
      </c>
      <c r="AJ63" s="1338">
        <f t="shared" si="57"/>
        <v>0</v>
      </c>
      <c r="AK63" s="1338">
        <f t="shared" si="57"/>
        <v>0</v>
      </c>
      <c r="AL63" s="1338">
        <f t="shared" si="57"/>
        <v>0</v>
      </c>
      <c r="AM63" s="1338">
        <f t="shared" si="57"/>
        <v>0</v>
      </c>
      <c r="AN63" s="1338">
        <f t="shared" si="57"/>
        <v>0</v>
      </c>
      <c r="AO63" s="1338">
        <f t="shared" si="57"/>
        <v>0</v>
      </c>
      <c r="AP63" s="1338">
        <f t="shared" si="57"/>
        <v>0</v>
      </c>
      <c r="AQ63" s="1338">
        <f t="shared" si="57"/>
        <v>0</v>
      </c>
      <c r="AR63" s="1316"/>
    </row>
    <row r="64" spans="1:44" outlineLevel="1">
      <c r="A64" s="1306"/>
      <c r="B64" s="1177" t="s">
        <v>652</v>
      </c>
      <c r="C64" s="1523">
        <f>Scenarios!E105</f>
        <v>10</v>
      </c>
      <c r="D64" s="1308">
        <f t="shared" si="39"/>
        <v>0.13287270794578793</v>
      </c>
      <c r="E64" s="1318">
        <v>0.04</v>
      </c>
      <c r="F64" s="1173">
        <f t="shared" si="52"/>
        <v>0.4</v>
      </c>
      <c r="G64" s="1318">
        <v>1</v>
      </c>
      <c r="H64" s="1319">
        <f t="shared" si="53"/>
        <v>1.7000000000000002</v>
      </c>
      <c r="I64" s="1318">
        <v>0</v>
      </c>
      <c r="J64" s="1319">
        <f t="shared" si="54"/>
        <v>0</v>
      </c>
      <c r="K64" s="1320">
        <v>1</v>
      </c>
      <c r="L64" s="1111"/>
      <c r="M64" s="18"/>
      <c r="N64" s="1338">
        <f t="shared" si="55"/>
        <v>1</v>
      </c>
      <c r="O64" s="1338">
        <f t="shared" si="55"/>
        <v>0</v>
      </c>
      <c r="P64" s="1338">
        <f t="shared" si="55"/>
        <v>0</v>
      </c>
      <c r="Q64" s="1338">
        <f t="shared" si="55"/>
        <v>0</v>
      </c>
      <c r="R64" s="1338">
        <f t="shared" si="55"/>
        <v>0</v>
      </c>
      <c r="S64" s="1338">
        <f t="shared" si="55"/>
        <v>0</v>
      </c>
      <c r="T64" s="1338">
        <f t="shared" si="55"/>
        <v>0</v>
      </c>
      <c r="U64" s="1338">
        <f t="shared" si="55"/>
        <v>0</v>
      </c>
      <c r="V64" s="1338">
        <f t="shared" si="55"/>
        <v>0</v>
      </c>
      <c r="W64" s="1338">
        <f t="shared" si="55"/>
        <v>0</v>
      </c>
      <c r="X64" s="1338">
        <f t="shared" si="56"/>
        <v>0</v>
      </c>
      <c r="Y64" s="1338">
        <f t="shared" si="56"/>
        <v>0</v>
      </c>
      <c r="Z64" s="1338">
        <f t="shared" si="56"/>
        <v>0</v>
      </c>
      <c r="AA64" s="1338">
        <f t="shared" si="56"/>
        <v>0</v>
      </c>
      <c r="AB64" s="1338">
        <f t="shared" si="56"/>
        <v>0</v>
      </c>
      <c r="AC64" s="1338">
        <f t="shared" si="56"/>
        <v>0</v>
      </c>
      <c r="AD64" s="1338">
        <f t="shared" si="56"/>
        <v>0</v>
      </c>
      <c r="AE64" s="1338">
        <f t="shared" si="56"/>
        <v>0</v>
      </c>
      <c r="AF64" s="1338">
        <f t="shared" si="56"/>
        <v>0</v>
      </c>
      <c r="AG64" s="1338">
        <f t="shared" si="56"/>
        <v>0</v>
      </c>
      <c r="AH64" s="1338">
        <f t="shared" si="57"/>
        <v>0</v>
      </c>
      <c r="AI64" s="1338">
        <f t="shared" si="57"/>
        <v>0</v>
      </c>
      <c r="AJ64" s="1338">
        <f t="shared" si="57"/>
        <v>0</v>
      </c>
      <c r="AK64" s="1338">
        <f t="shared" si="57"/>
        <v>0</v>
      </c>
      <c r="AL64" s="1338">
        <f t="shared" si="57"/>
        <v>0</v>
      </c>
      <c r="AM64" s="1338">
        <f t="shared" si="57"/>
        <v>0</v>
      </c>
      <c r="AN64" s="1338">
        <f t="shared" si="57"/>
        <v>0</v>
      </c>
      <c r="AO64" s="1338">
        <f t="shared" si="57"/>
        <v>0</v>
      </c>
      <c r="AP64" s="1338">
        <f t="shared" si="57"/>
        <v>0</v>
      </c>
      <c r="AQ64" s="1338">
        <f t="shared" si="57"/>
        <v>0</v>
      </c>
      <c r="AR64" s="1316"/>
    </row>
    <row r="65" spans="1:44" outlineLevel="1">
      <c r="A65" s="1306"/>
      <c r="B65" s="1177" t="s">
        <v>653</v>
      </c>
      <c r="C65" s="1523">
        <f>Scenarios!E106</f>
        <v>60</v>
      </c>
      <c r="D65" s="1308">
        <f t="shared" si="39"/>
        <v>0.79723624767472756</v>
      </c>
      <c r="E65" s="1318">
        <v>0.04</v>
      </c>
      <c r="F65" s="1173">
        <f t="shared" si="52"/>
        <v>2.4</v>
      </c>
      <c r="G65" s="1318">
        <v>1</v>
      </c>
      <c r="H65" s="1319">
        <f t="shared" si="53"/>
        <v>10.200000000000001</v>
      </c>
      <c r="I65" s="1318">
        <v>0</v>
      </c>
      <c r="J65" s="1319">
        <f t="shared" si="54"/>
        <v>0</v>
      </c>
      <c r="K65" s="1320">
        <v>1</v>
      </c>
      <c r="L65" s="1111"/>
      <c r="M65" s="18"/>
      <c r="N65" s="1338">
        <f t="shared" si="55"/>
        <v>1</v>
      </c>
      <c r="O65" s="1338">
        <f t="shared" si="55"/>
        <v>0</v>
      </c>
      <c r="P65" s="1338">
        <f t="shared" si="55"/>
        <v>0</v>
      </c>
      <c r="Q65" s="1338">
        <f t="shared" si="55"/>
        <v>0</v>
      </c>
      <c r="R65" s="1338">
        <f t="shared" si="55"/>
        <v>0</v>
      </c>
      <c r="S65" s="1338">
        <f t="shared" si="55"/>
        <v>0</v>
      </c>
      <c r="T65" s="1338">
        <f t="shared" si="55"/>
        <v>0</v>
      </c>
      <c r="U65" s="1338">
        <f t="shared" si="55"/>
        <v>0</v>
      </c>
      <c r="V65" s="1338">
        <f t="shared" si="55"/>
        <v>0</v>
      </c>
      <c r="W65" s="1338">
        <f t="shared" si="55"/>
        <v>0</v>
      </c>
      <c r="X65" s="1338">
        <f t="shared" si="56"/>
        <v>0</v>
      </c>
      <c r="Y65" s="1338">
        <f t="shared" si="56"/>
        <v>0</v>
      </c>
      <c r="Z65" s="1338">
        <f t="shared" si="56"/>
        <v>0</v>
      </c>
      <c r="AA65" s="1338">
        <f t="shared" si="56"/>
        <v>0</v>
      </c>
      <c r="AB65" s="1338">
        <f t="shared" si="56"/>
        <v>0</v>
      </c>
      <c r="AC65" s="1338">
        <f t="shared" si="56"/>
        <v>0</v>
      </c>
      <c r="AD65" s="1338">
        <f t="shared" si="56"/>
        <v>0</v>
      </c>
      <c r="AE65" s="1338">
        <f t="shared" si="56"/>
        <v>0</v>
      </c>
      <c r="AF65" s="1338">
        <f t="shared" si="56"/>
        <v>0</v>
      </c>
      <c r="AG65" s="1338">
        <f t="shared" si="56"/>
        <v>0</v>
      </c>
      <c r="AH65" s="1338">
        <f t="shared" si="57"/>
        <v>0</v>
      </c>
      <c r="AI65" s="1338">
        <f t="shared" si="57"/>
        <v>0</v>
      </c>
      <c r="AJ65" s="1338">
        <f t="shared" si="57"/>
        <v>0</v>
      </c>
      <c r="AK65" s="1338">
        <f t="shared" si="57"/>
        <v>0</v>
      </c>
      <c r="AL65" s="1338">
        <f t="shared" si="57"/>
        <v>0</v>
      </c>
      <c r="AM65" s="1338">
        <f t="shared" si="57"/>
        <v>0</v>
      </c>
      <c r="AN65" s="1338">
        <f t="shared" si="57"/>
        <v>0</v>
      </c>
      <c r="AO65" s="1338">
        <f t="shared" si="57"/>
        <v>0</v>
      </c>
      <c r="AP65" s="1338">
        <f t="shared" si="57"/>
        <v>0</v>
      </c>
      <c r="AQ65" s="1338">
        <f t="shared" si="57"/>
        <v>0</v>
      </c>
      <c r="AR65" s="1316"/>
    </row>
    <row r="66" spans="1:44" outlineLevel="1">
      <c r="A66" s="1306"/>
      <c r="B66" s="1177" t="s">
        <v>654</v>
      </c>
      <c r="C66" s="1523">
        <f>Scenarios!E107</f>
        <v>60</v>
      </c>
      <c r="D66" s="1308">
        <f t="shared" si="39"/>
        <v>0.79723624767472756</v>
      </c>
      <c r="E66" s="1318">
        <v>0.04</v>
      </c>
      <c r="F66" s="1173">
        <f t="shared" si="52"/>
        <v>2.4</v>
      </c>
      <c r="G66" s="1318">
        <v>1</v>
      </c>
      <c r="H66" s="1319">
        <f t="shared" si="53"/>
        <v>10.200000000000001</v>
      </c>
      <c r="I66" s="1318">
        <v>0</v>
      </c>
      <c r="J66" s="1319">
        <f t="shared" si="54"/>
        <v>0</v>
      </c>
      <c r="K66" s="1320">
        <v>1</v>
      </c>
      <c r="L66" s="1111"/>
      <c r="M66" s="18"/>
      <c r="N66" s="1338">
        <f t="shared" si="55"/>
        <v>1</v>
      </c>
      <c r="O66" s="1338">
        <f t="shared" si="55"/>
        <v>0</v>
      </c>
      <c r="P66" s="1338">
        <f t="shared" si="55"/>
        <v>0</v>
      </c>
      <c r="Q66" s="1338">
        <f t="shared" si="55"/>
        <v>0</v>
      </c>
      <c r="R66" s="1338">
        <f t="shared" si="55"/>
        <v>0</v>
      </c>
      <c r="S66" s="1338">
        <f t="shared" si="55"/>
        <v>0</v>
      </c>
      <c r="T66" s="1338">
        <f t="shared" si="55"/>
        <v>0</v>
      </c>
      <c r="U66" s="1338">
        <f t="shared" si="55"/>
        <v>0</v>
      </c>
      <c r="V66" s="1338">
        <f t="shared" si="55"/>
        <v>0</v>
      </c>
      <c r="W66" s="1338">
        <f t="shared" si="55"/>
        <v>0</v>
      </c>
      <c r="X66" s="1338">
        <f t="shared" si="56"/>
        <v>0</v>
      </c>
      <c r="Y66" s="1338">
        <f t="shared" si="56"/>
        <v>0</v>
      </c>
      <c r="Z66" s="1338">
        <f t="shared" si="56"/>
        <v>0</v>
      </c>
      <c r="AA66" s="1338">
        <f t="shared" si="56"/>
        <v>0</v>
      </c>
      <c r="AB66" s="1338">
        <f t="shared" si="56"/>
        <v>0</v>
      </c>
      <c r="AC66" s="1338">
        <f t="shared" si="56"/>
        <v>0</v>
      </c>
      <c r="AD66" s="1338">
        <f t="shared" si="56"/>
        <v>0</v>
      </c>
      <c r="AE66" s="1338">
        <f t="shared" si="56"/>
        <v>0</v>
      </c>
      <c r="AF66" s="1338">
        <f t="shared" si="56"/>
        <v>0</v>
      </c>
      <c r="AG66" s="1338">
        <f t="shared" si="56"/>
        <v>0</v>
      </c>
      <c r="AH66" s="1338">
        <f t="shared" si="57"/>
        <v>0</v>
      </c>
      <c r="AI66" s="1338">
        <f t="shared" si="57"/>
        <v>0</v>
      </c>
      <c r="AJ66" s="1338">
        <f t="shared" si="57"/>
        <v>0</v>
      </c>
      <c r="AK66" s="1338">
        <f t="shared" si="57"/>
        <v>0</v>
      </c>
      <c r="AL66" s="1338">
        <f t="shared" si="57"/>
        <v>0</v>
      </c>
      <c r="AM66" s="1338">
        <f t="shared" si="57"/>
        <v>0</v>
      </c>
      <c r="AN66" s="1338">
        <f t="shared" si="57"/>
        <v>0</v>
      </c>
      <c r="AO66" s="1338">
        <f t="shared" si="57"/>
        <v>0</v>
      </c>
      <c r="AP66" s="1338">
        <f t="shared" si="57"/>
        <v>0</v>
      </c>
      <c r="AQ66" s="1338">
        <f t="shared" si="57"/>
        <v>0</v>
      </c>
      <c r="AR66" s="1316"/>
    </row>
    <row r="67" spans="1:44" outlineLevel="1">
      <c r="A67" s="1306"/>
      <c r="B67" s="1177" t="s">
        <v>655</v>
      </c>
      <c r="C67" s="1523">
        <f>Scenarios!E108</f>
        <v>10</v>
      </c>
      <c r="D67" s="1308">
        <f t="shared" ref="D67:D98" si="58">C67/C$150</f>
        <v>0.13287270794578793</v>
      </c>
      <c r="E67" s="1318">
        <v>0.04</v>
      </c>
      <c r="F67" s="1173">
        <f t="shared" si="52"/>
        <v>0.4</v>
      </c>
      <c r="G67" s="1318">
        <v>1</v>
      </c>
      <c r="H67" s="1319">
        <f t="shared" si="53"/>
        <v>1.7000000000000002</v>
      </c>
      <c r="I67" s="1318">
        <v>0</v>
      </c>
      <c r="J67" s="1319">
        <f t="shared" si="54"/>
        <v>0</v>
      </c>
      <c r="K67" s="1320">
        <v>1</v>
      </c>
      <c r="L67" s="1111"/>
      <c r="M67" s="18"/>
      <c r="N67" s="1338">
        <f t="shared" si="55"/>
        <v>1</v>
      </c>
      <c r="O67" s="1338">
        <f t="shared" si="55"/>
        <v>0</v>
      </c>
      <c r="P67" s="1338">
        <f t="shared" si="55"/>
        <v>0</v>
      </c>
      <c r="Q67" s="1338">
        <f t="shared" si="55"/>
        <v>0</v>
      </c>
      <c r="R67" s="1338">
        <f t="shared" si="55"/>
        <v>0</v>
      </c>
      <c r="S67" s="1338">
        <f t="shared" si="55"/>
        <v>0</v>
      </c>
      <c r="T67" s="1338">
        <f t="shared" si="55"/>
        <v>0</v>
      </c>
      <c r="U67" s="1338">
        <f t="shared" si="55"/>
        <v>0</v>
      </c>
      <c r="V67" s="1338">
        <f t="shared" si="55"/>
        <v>0</v>
      </c>
      <c r="W67" s="1338">
        <f t="shared" si="55"/>
        <v>0</v>
      </c>
      <c r="X67" s="1338">
        <f t="shared" si="56"/>
        <v>0</v>
      </c>
      <c r="Y67" s="1338">
        <f t="shared" si="56"/>
        <v>0</v>
      </c>
      <c r="Z67" s="1338">
        <f t="shared" si="56"/>
        <v>0</v>
      </c>
      <c r="AA67" s="1338">
        <f t="shared" si="56"/>
        <v>0</v>
      </c>
      <c r="AB67" s="1338">
        <f t="shared" si="56"/>
        <v>0</v>
      </c>
      <c r="AC67" s="1338">
        <f t="shared" si="56"/>
        <v>0</v>
      </c>
      <c r="AD67" s="1338">
        <f t="shared" si="56"/>
        <v>0</v>
      </c>
      <c r="AE67" s="1338">
        <f t="shared" si="56"/>
        <v>0</v>
      </c>
      <c r="AF67" s="1338">
        <f t="shared" si="56"/>
        <v>0</v>
      </c>
      <c r="AG67" s="1338">
        <f t="shared" si="56"/>
        <v>0</v>
      </c>
      <c r="AH67" s="1338">
        <f t="shared" si="57"/>
        <v>0</v>
      </c>
      <c r="AI67" s="1338">
        <f t="shared" si="57"/>
        <v>0</v>
      </c>
      <c r="AJ67" s="1338">
        <f t="shared" si="57"/>
        <v>0</v>
      </c>
      <c r="AK67" s="1338">
        <f t="shared" si="57"/>
        <v>0</v>
      </c>
      <c r="AL67" s="1338">
        <f t="shared" si="57"/>
        <v>0</v>
      </c>
      <c r="AM67" s="1338">
        <f t="shared" si="57"/>
        <v>0</v>
      </c>
      <c r="AN67" s="1338">
        <f t="shared" si="57"/>
        <v>0</v>
      </c>
      <c r="AO67" s="1338">
        <f t="shared" si="57"/>
        <v>0</v>
      </c>
      <c r="AP67" s="1338">
        <f t="shared" si="57"/>
        <v>0</v>
      </c>
      <c r="AQ67" s="1338">
        <f t="shared" si="57"/>
        <v>0</v>
      </c>
      <c r="AR67" s="1316"/>
    </row>
    <row r="68" spans="1:44" outlineLevel="1">
      <c r="A68" s="1306"/>
      <c r="B68" s="1177" t="s">
        <v>656</v>
      </c>
      <c r="C68" s="1523">
        <f>Scenarios!E109</f>
        <v>0</v>
      </c>
      <c r="D68" s="1308">
        <f t="shared" si="58"/>
        <v>0</v>
      </c>
      <c r="E68" s="1318">
        <v>0.04</v>
      </c>
      <c r="F68" s="1173">
        <f t="shared" si="52"/>
        <v>0</v>
      </c>
      <c r="G68" s="1318">
        <v>1</v>
      </c>
      <c r="H68" s="1319">
        <f t="shared" si="53"/>
        <v>0</v>
      </c>
      <c r="I68" s="1318">
        <v>0</v>
      </c>
      <c r="J68" s="1319">
        <f t="shared" si="54"/>
        <v>0</v>
      </c>
      <c r="K68" s="1320">
        <v>1</v>
      </c>
      <c r="L68" s="1111"/>
      <c r="M68" s="18"/>
      <c r="N68" s="1338">
        <f t="shared" si="55"/>
        <v>1</v>
      </c>
      <c r="O68" s="1338">
        <f t="shared" si="55"/>
        <v>0</v>
      </c>
      <c r="P68" s="1338">
        <f t="shared" si="55"/>
        <v>0</v>
      </c>
      <c r="Q68" s="1338">
        <f t="shared" si="55"/>
        <v>0</v>
      </c>
      <c r="R68" s="1338">
        <f t="shared" si="55"/>
        <v>0</v>
      </c>
      <c r="S68" s="1338">
        <f t="shared" si="55"/>
        <v>0</v>
      </c>
      <c r="T68" s="1338">
        <f t="shared" si="55"/>
        <v>0</v>
      </c>
      <c r="U68" s="1338">
        <f t="shared" si="55"/>
        <v>0</v>
      </c>
      <c r="V68" s="1338">
        <f t="shared" si="55"/>
        <v>0</v>
      </c>
      <c r="W68" s="1338">
        <f t="shared" si="55"/>
        <v>0</v>
      </c>
      <c r="X68" s="1338">
        <f t="shared" si="56"/>
        <v>0</v>
      </c>
      <c r="Y68" s="1338">
        <f t="shared" si="56"/>
        <v>0</v>
      </c>
      <c r="Z68" s="1338">
        <f t="shared" si="56"/>
        <v>0</v>
      </c>
      <c r="AA68" s="1338">
        <f t="shared" si="56"/>
        <v>0</v>
      </c>
      <c r="AB68" s="1338">
        <f t="shared" si="56"/>
        <v>0</v>
      </c>
      <c r="AC68" s="1338">
        <f t="shared" si="56"/>
        <v>0</v>
      </c>
      <c r="AD68" s="1338">
        <f t="shared" si="56"/>
        <v>0</v>
      </c>
      <c r="AE68" s="1338">
        <f t="shared" si="56"/>
        <v>0</v>
      </c>
      <c r="AF68" s="1338">
        <f t="shared" si="56"/>
        <v>0</v>
      </c>
      <c r="AG68" s="1338">
        <f t="shared" si="56"/>
        <v>0</v>
      </c>
      <c r="AH68" s="1338">
        <f t="shared" si="57"/>
        <v>0</v>
      </c>
      <c r="AI68" s="1338">
        <f t="shared" si="57"/>
        <v>0</v>
      </c>
      <c r="AJ68" s="1338">
        <f t="shared" si="57"/>
        <v>0</v>
      </c>
      <c r="AK68" s="1338">
        <f t="shared" si="57"/>
        <v>0</v>
      </c>
      <c r="AL68" s="1338">
        <f t="shared" si="57"/>
        <v>0</v>
      </c>
      <c r="AM68" s="1338">
        <f t="shared" si="57"/>
        <v>0</v>
      </c>
      <c r="AN68" s="1338">
        <f t="shared" si="57"/>
        <v>0</v>
      </c>
      <c r="AO68" s="1338">
        <f t="shared" si="57"/>
        <v>0</v>
      </c>
      <c r="AP68" s="1338">
        <f t="shared" si="57"/>
        <v>0</v>
      </c>
      <c r="AQ68" s="1338">
        <f t="shared" si="57"/>
        <v>0</v>
      </c>
      <c r="AR68" s="1316"/>
    </row>
    <row r="69" spans="1:44" outlineLevel="1">
      <c r="A69" s="1306" t="s">
        <v>947</v>
      </c>
      <c r="B69" s="1334" t="s">
        <v>657</v>
      </c>
      <c r="C69" s="1173"/>
      <c r="D69" s="1308">
        <f t="shared" si="58"/>
        <v>0</v>
      </c>
      <c r="E69" s="1337"/>
      <c r="F69" s="1215"/>
      <c r="G69" s="1337"/>
      <c r="H69" s="1215"/>
      <c r="I69" s="1337"/>
      <c r="J69" s="1215"/>
      <c r="K69" s="1215"/>
      <c r="L69" s="1329"/>
      <c r="M69" s="18"/>
      <c r="N69" s="1321">
        <v>0</v>
      </c>
      <c r="O69" s="1321">
        <v>0</v>
      </c>
      <c r="P69" s="1321">
        <v>0</v>
      </c>
      <c r="Q69" s="1321">
        <v>0</v>
      </c>
      <c r="R69" s="1321">
        <v>0</v>
      </c>
      <c r="S69" s="1321">
        <v>0</v>
      </c>
      <c r="T69" s="1321">
        <v>0</v>
      </c>
      <c r="U69" s="1321">
        <v>0</v>
      </c>
      <c r="V69" s="1321">
        <v>0</v>
      </c>
      <c r="W69" s="1321">
        <v>0</v>
      </c>
      <c r="X69" s="1321">
        <v>0</v>
      </c>
      <c r="Y69" s="1321">
        <v>0</v>
      </c>
      <c r="Z69" s="1321">
        <v>0</v>
      </c>
      <c r="AA69" s="1321">
        <v>0</v>
      </c>
      <c r="AB69" s="1321">
        <v>0</v>
      </c>
      <c r="AC69" s="1321">
        <v>0</v>
      </c>
      <c r="AD69" s="1321">
        <v>0</v>
      </c>
      <c r="AE69" s="1321">
        <v>0</v>
      </c>
      <c r="AF69" s="1321">
        <v>0</v>
      </c>
      <c r="AG69" s="1321">
        <v>0</v>
      </c>
      <c r="AH69" s="1321">
        <v>0</v>
      </c>
      <c r="AI69" s="1321">
        <v>0</v>
      </c>
      <c r="AJ69" s="1321">
        <v>0</v>
      </c>
      <c r="AK69" s="1321">
        <v>0</v>
      </c>
      <c r="AL69" s="1321">
        <v>0</v>
      </c>
      <c r="AM69" s="1321">
        <v>0</v>
      </c>
      <c r="AN69" s="1321">
        <v>0</v>
      </c>
      <c r="AO69" s="1321">
        <v>0</v>
      </c>
      <c r="AP69" s="1321">
        <v>0</v>
      </c>
      <c r="AQ69" s="1321">
        <v>0</v>
      </c>
      <c r="AR69" s="1316"/>
    </row>
    <row r="70" spans="1:44" outlineLevel="1">
      <c r="A70" s="1306"/>
      <c r="B70" s="1177" t="s">
        <v>647</v>
      </c>
      <c r="C70" s="1523">
        <f>Scenarios!E111</f>
        <v>0</v>
      </c>
      <c r="D70" s="1308">
        <f t="shared" si="58"/>
        <v>0</v>
      </c>
      <c r="E70" s="1318">
        <f t="shared" ref="E70:E79" si="59">$E$7</f>
        <v>0</v>
      </c>
      <c r="F70" s="1173">
        <f t="shared" ref="F70:F79" si="60">E70*C70</f>
        <v>0</v>
      </c>
      <c r="G70" s="1318">
        <v>1</v>
      </c>
      <c r="H70" s="1173">
        <f t="shared" ref="H70:H79" si="61">C70*G70*$C$156</f>
        <v>0</v>
      </c>
      <c r="I70" s="1318">
        <v>0</v>
      </c>
      <c r="J70" s="1319">
        <f t="shared" ref="J70:J79" si="62">C70*I70/(1-I70)</f>
        <v>0</v>
      </c>
      <c r="K70" s="1320">
        <v>1</v>
      </c>
      <c r="L70" s="1111"/>
      <c r="M70" s="18"/>
      <c r="N70" s="1338">
        <f t="shared" ref="N70:W74" si="63">1*(N$3=1)</f>
        <v>1</v>
      </c>
      <c r="O70" s="1338">
        <f t="shared" si="63"/>
        <v>0</v>
      </c>
      <c r="P70" s="1338">
        <f t="shared" si="63"/>
        <v>0</v>
      </c>
      <c r="Q70" s="1338">
        <f t="shared" si="63"/>
        <v>0</v>
      </c>
      <c r="R70" s="1338">
        <f t="shared" si="63"/>
        <v>0</v>
      </c>
      <c r="S70" s="1338">
        <f t="shared" si="63"/>
        <v>0</v>
      </c>
      <c r="T70" s="1338">
        <f t="shared" si="63"/>
        <v>0</v>
      </c>
      <c r="U70" s="1338">
        <f t="shared" si="63"/>
        <v>0</v>
      </c>
      <c r="V70" s="1338">
        <f t="shared" si="63"/>
        <v>0</v>
      </c>
      <c r="W70" s="1338">
        <f t="shared" si="63"/>
        <v>0</v>
      </c>
      <c r="X70" s="1338">
        <f t="shared" ref="X70:AM77" si="64">1*(X$3=1)</f>
        <v>0</v>
      </c>
      <c r="Y70" s="1338">
        <f t="shared" si="64"/>
        <v>0</v>
      </c>
      <c r="Z70" s="1338">
        <f t="shared" si="64"/>
        <v>0</v>
      </c>
      <c r="AA70" s="1338">
        <f t="shared" si="64"/>
        <v>0</v>
      </c>
      <c r="AB70" s="1338">
        <f t="shared" si="64"/>
        <v>0</v>
      </c>
      <c r="AC70" s="1338">
        <f t="shared" si="64"/>
        <v>0</v>
      </c>
      <c r="AD70" s="1338">
        <f t="shared" si="64"/>
        <v>0</v>
      </c>
      <c r="AE70" s="1338">
        <f t="shared" si="64"/>
        <v>0</v>
      </c>
      <c r="AF70" s="1338">
        <f t="shared" si="64"/>
        <v>0</v>
      </c>
      <c r="AG70" s="1338">
        <f t="shared" si="64"/>
        <v>0</v>
      </c>
      <c r="AH70" s="1338">
        <f t="shared" ref="AH70:AQ77" si="65">1*(AH$3=1)</f>
        <v>0</v>
      </c>
      <c r="AI70" s="1338">
        <f t="shared" si="65"/>
        <v>0</v>
      </c>
      <c r="AJ70" s="1338">
        <f t="shared" si="65"/>
        <v>0</v>
      </c>
      <c r="AK70" s="1338">
        <f t="shared" si="65"/>
        <v>0</v>
      </c>
      <c r="AL70" s="1338">
        <f t="shared" si="65"/>
        <v>0</v>
      </c>
      <c r="AM70" s="1338">
        <f t="shared" si="65"/>
        <v>0</v>
      </c>
      <c r="AN70" s="1338">
        <f t="shared" si="65"/>
        <v>0</v>
      </c>
      <c r="AO70" s="1338">
        <f t="shared" si="65"/>
        <v>0</v>
      </c>
      <c r="AP70" s="1338">
        <f t="shared" si="65"/>
        <v>0</v>
      </c>
      <c r="AQ70" s="1338">
        <f t="shared" si="65"/>
        <v>0</v>
      </c>
      <c r="AR70" s="1316"/>
    </row>
    <row r="71" spans="1:44" outlineLevel="1">
      <c r="A71" s="1306"/>
      <c r="B71" s="1177" t="s">
        <v>648</v>
      </c>
      <c r="C71" s="1523">
        <f>Scenarios!E112</f>
        <v>0</v>
      </c>
      <c r="D71" s="1308">
        <f t="shared" si="58"/>
        <v>0</v>
      </c>
      <c r="E71" s="1318">
        <f t="shared" si="59"/>
        <v>0</v>
      </c>
      <c r="F71" s="1173">
        <f t="shared" si="60"/>
        <v>0</v>
      </c>
      <c r="G71" s="1318">
        <v>1</v>
      </c>
      <c r="H71" s="1173">
        <f t="shared" si="61"/>
        <v>0</v>
      </c>
      <c r="I71" s="1318">
        <v>0</v>
      </c>
      <c r="J71" s="1319">
        <f t="shared" si="62"/>
        <v>0</v>
      </c>
      <c r="K71" s="1320">
        <v>1</v>
      </c>
      <c r="L71" s="1329"/>
      <c r="M71" s="18"/>
      <c r="N71" s="1338">
        <f t="shared" si="63"/>
        <v>1</v>
      </c>
      <c r="O71" s="1338">
        <f t="shared" si="63"/>
        <v>0</v>
      </c>
      <c r="P71" s="1338">
        <f t="shared" si="63"/>
        <v>0</v>
      </c>
      <c r="Q71" s="1338">
        <f t="shared" si="63"/>
        <v>0</v>
      </c>
      <c r="R71" s="1338">
        <f t="shared" si="63"/>
        <v>0</v>
      </c>
      <c r="S71" s="1338">
        <f t="shared" si="63"/>
        <v>0</v>
      </c>
      <c r="T71" s="1338">
        <f t="shared" si="63"/>
        <v>0</v>
      </c>
      <c r="U71" s="1338">
        <f t="shared" si="63"/>
        <v>0</v>
      </c>
      <c r="V71" s="1338">
        <f t="shared" si="63"/>
        <v>0</v>
      </c>
      <c r="W71" s="1338">
        <f t="shared" si="63"/>
        <v>0</v>
      </c>
      <c r="X71" s="1338">
        <f t="shared" si="64"/>
        <v>0</v>
      </c>
      <c r="Y71" s="1338">
        <f t="shared" si="64"/>
        <v>0</v>
      </c>
      <c r="Z71" s="1338">
        <f t="shared" si="64"/>
        <v>0</v>
      </c>
      <c r="AA71" s="1338">
        <f t="shared" si="64"/>
        <v>0</v>
      </c>
      <c r="AB71" s="1338">
        <f t="shared" si="64"/>
        <v>0</v>
      </c>
      <c r="AC71" s="1338">
        <f t="shared" si="64"/>
        <v>0</v>
      </c>
      <c r="AD71" s="1338">
        <f t="shared" si="64"/>
        <v>0</v>
      </c>
      <c r="AE71" s="1338">
        <f t="shared" si="64"/>
        <v>0</v>
      </c>
      <c r="AF71" s="1338">
        <f t="shared" si="64"/>
        <v>0</v>
      </c>
      <c r="AG71" s="1338">
        <f t="shared" si="64"/>
        <v>0</v>
      </c>
      <c r="AH71" s="1338">
        <f t="shared" si="65"/>
        <v>0</v>
      </c>
      <c r="AI71" s="1338">
        <f t="shared" si="65"/>
        <v>0</v>
      </c>
      <c r="AJ71" s="1338">
        <f t="shared" si="65"/>
        <v>0</v>
      </c>
      <c r="AK71" s="1338">
        <f t="shared" si="65"/>
        <v>0</v>
      </c>
      <c r="AL71" s="1338">
        <f t="shared" si="65"/>
        <v>0</v>
      </c>
      <c r="AM71" s="1338">
        <f t="shared" si="65"/>
        <v>0</v>
      </c>
      <c r="AN71" s="1338">
        <f t="shared" si="65"/>
        <v>0</v>
      </c>
      <c r="AO71" s="1338">
        <f t="shared" si="65"/>
        <v>0</v>
      </c>
      <c r="AP71" s="1338">
        <f t="shared" si="65"/>
        <v>0</v>
      </c>
      <c r="AQ71" s="1338">
        <f t="shared" si="65"/>
        <v>0</v>
      </c>
      <c r="AR71" s="1316"/>
    </row>
    <row r="72" spans="1:44" outlineLevel="1">
      <c r="A72" s="1306"/>
      <c r="B72" s="1177" t="s">
        <v>649</v>
      </c>
      <c r="C72" s="1523">
        <f>Scenarios!E113</f>
        <v>0</v>
      </c>
      <c r="D72" s="1308">
        <f t="shared" si="58"/>
        <v>0</v>
      </c>
      <c r="E72" s="1318">
        <f t="shared" si="59"/>
        <v>0</v>
      </c>
      <c r="F72" s="1173">
        <f t="shared" si="60"/>
        <v>0</v>
      </c>
      <c r="G72" s="1318">
        <v>1</v>
      </c>
      <c r="H72" s="1319">
        <f t="shared" si="61"/>
        <v>0</v>
      </c>
      <c r="I72" s="1318">
        <v>0</v>
      </c>
      <c r="J72" s="1319">
        <f t="shared" si="62"/>
        <v>0</v>
      </c>
      <c r="K72" s="1320">
        <v>1</v>
      </c>
      <c r="L72" s="1329"/>
      <c r="M72" s="18"/>
      <c r="N72" s="1338">
        <f t="shared" si="63"/>
        <v>1</v>
      </c>
      <c r="O72" s="1338">
        <f t="shared" si="63"/>
        <v>0</v>
      </c>
      <c r="P72" s="1338">
        <f t="shared" si="63"/>
        <v>0</v>
      </c>
      <c r="Q72" s="1338">
        <f t="shared" si="63"/>
        <v>0</v>
      </c>
      <c r="R72" s="1338">
        <f t="shared" si="63"/>
        <v>0</v>
      </c>
      <c r="S72" s="1338">
        <f t="shared" si="63"/>
        <v>0</v>
      </c>
      <c r="T72" s="1338">
        <f t="shared" si="63"/>
        <v>0</v>
      </c>
      <c r="U72" s="1338">
        <f t="shared" si="63"/>
        <v>0</v>
      </c>
      <c r="V72" s="1338">
        <f t="shared" si="63"/>
        <v>0</v>
      </c>
      <c r="W72" s="1338">
        <f t="shared" si="63"/>
        <v>0</v>
      </c>
      <c r="X72" s="1338">
        <f t="shared" si="64"/>
        <v>0</v>
      </c>
      <c r="Y72" s="1338">
        <f t="shared" si="64"/>
        <v>0</v>
      </c>
      <c r="Z72" s="1338">
        <f t="shared" si="64"/>
        <v>0</v>
      </c>
      <c r="AA72" s="1338">
        <f t="shared" si="64"/>
        <v>0</v>
      </c>
      <c r="AB72" s="1338">
        <f t="shared" si="64"/>
        <v>0</v>
      </c>
      <c r="AC72" s="1338">
        <f t="shared" si="64"/>
        <v>0</v>
      </c>
      <c r="AD72" s="1338">
        <f t="shared" si="64"/>
        <v>0</v>
      </c>
      <c r="AE72" s="1338">
        <f t="shared" si="64"/>
        <v>0</v>
      </c>
      <c r="AF72" s="1338">
        <f t="shared" si="64"/>
        <v>0</v>
      </c>
      <c r="AG72" s="1338">
        <f t="shared" si="64"/>
        <v>0</v>
      </c>
      <c r="AH72" s="1338">
        <f t="shared" si="65"/>
        <v>0</v>
      </c>
      <c r="AI72" s="1338">
        <f t="shared" si="65"/>
        <v>0</v>
      </c>
      <c r="AJ72" s="1338">
        <f t="shared" si="65"/>
        <v>0</v>
      </c>
      <c r="AK72" s="1338">
        <f t="shared" si="65"/>
        <v>0</v>
      </c>
      <c r="AL72" s="1338">
        <f t="shared" si="65"/>
        <v>0</v>
      </c>
      <c r="AM72" s="1338">
        <f t="shared" si="65"/>
        <v>0</v>
      </c>
      <c r="AN72" s="1338">
        <f t="shared" si="65"/>
        <v>0</v>
      </c>
      <c r="AO72" s="1338">
        <f t="shared" si="65"/>
        <v>0</v>
      </c>
      <c r="AP72" s="1338">
        <f t="shared" si="65"/>
        <v>0</v>
      </c>
      <c r="AQ72" s="1338">
        <f t="shared" si="65"/>
        <v>0</v>
      </c>
      <c r="AR72" s="1316"/>
    </row>
    <row r="73" spans="1:44" outlineLevel="1">
      <c r="A73" s="1306"/>
      <c r="B73" s="1177" t="s">
        <v>658</v>
      </c>
      <c r="C73" s="1523">
        <f>Scenarios!E114</f>
        <v>0</v>
      </c>
      <c r="D73" s="1308">
        <f t="shared" si="58"/>
        <v>0</v>
      </c>
      <c r="E73" s="1318">
        <f t="shared" si="59"/>
        <v>0</v>
      </c>
      <c r="F73" s="1173">
        <f t="shared" si="60"/>
        <v>0</v>
      </c>
      <c r="G73" s="1318">
        <v>1</v>
      </c>
      <c r="H73" s="1319">
        <f t="shared" si="61"/>
        <v>0</v>
      </c>
      <c r="I73" s="1318">
        <v>0</v>
      </c>
      <c r="J73" s="1319">
        <f t="shared" si="62"/>
        <v>0</v>
      </c>
      <c r="K73" s="1320">
        <v>1</v>
      </c>
      <c r="L73" s="1329"/>
      <c r="M73" s="18"/>
      <c r="N73" s="1338">
        <f t="shared" si="63"/>
        <v>1</v>
      </c>
      <c r="O73" s="1338">
        <f t="shared" si="63"/>
        <v>0</v>
      </c>
      <c r="P73" s="1338">
        <f t="shared" si="63"/>
        <v>0</v>
      </c>
      <c r="Q73" s="1338">
        <f t="shared" si="63"/>
        <v>0</v>
      </c>
      <c r="R73" s="1338">
        <f t="shared" si="63"/>
        <v>0</v>
      </c>
      <c r="S73" s="1338">
        <f t="shared" si="63"/>
        <v>0</v>
      </c>
      <c r="T73" s="1338">
        <f t="shared" si="63"/>
        <v>0</v>
      </c>
      <c r="U73" s="1338">
        <f t="shared" si="63"/>
        <v>0</v>
      </c>
      <c r="V73" s="1338">
        <f t="shared" si="63"/>
        <v>0</v>
      </c>
      <c r="W73" s="1338">
        <f t="shared" si="63"/>
        <v>0</v>
      </c>
      <c r="X73" s="1338">
        <f t="shared" si="64"/>
        <v>0</v>
      </c>
      <c r="Y73" s="1338">
        <f t="shared" si="64"/>
        <v>0</v>
      </c>
      <c r="Z73" s="1338">
        <f t="shared" si="64"/>
        <v>0</v>
      </c>
      <c r="AA73" s="1338">
        <f t="shared" si="64"/>
        <v>0</v>
      </c>
      <c r="AB73" s="1338">
        <f t="shared" si="64"/>
        <v>0</v>
      </c>
      <c r="AC73" s="1338">
        <f t="shared" si="64"/>
        <v>0</v>
      </c>
      <c r="AD73" s="1338">
        <f t="shared" si="64"/>
        <v>0</v>
      </c>
      <c r="AE73" s="1338">
        <f t="shared" si="64"/>
        <v>0</v>
      </c>
      <c r="AF73" s="1338">
        <f t="shared" si="64"/>
        <v>0</v>
      </c>
      <c r="AG73" s="1338">
        <f t="shared" si="64"/>
        <v>0</v>
      </c>
      <c r="AH73" s="1338">
        <f t="shared" si="65"/>
        <v>0</v>
      </c>
      <c r="AI73" s="1338">
        <f t="shared" si="65"/>
        <v>0</v>
      </c>
      <c r="AJ73" s="1338">
        <f t="shared" si="65"/>
        <v>0</v>
      </c>
      <c r="AK73" s="1338">
        <f t="shared" si="65"/>
        <v>0</v>
      </c>
      <c r="AL73" s="1338">
        <f t="shared" si="65"/>
        <v>0</v>
      </c>
      <c r="AM73" s="1338">
        <f t="shared" si="65"/>
        <v>0</v>
      </c>
      <c r="AN73" s="1338">
        <f t="shared" si="65"/>
        <v>0</v>
      </c>
      <c r="AO73" s="1338">
        <f t="shared" si="65"/>
        <v>0</v>
      </c>
      <c r="AP73" s="1338">
        <f t="shared" si="65"/>
        <v>0</v>
      </c>
      <c r="AQ73" s="1338">
        <f t="shared" si="65"/>
        <v>0</v>
      </c>
      <c r="AR73" s="1316"/>
    </row>
    <row r="74" spans="1:44" outlineLevel="1">
      <c r="A74" s="1306"/>
      <c r="B74" s="1177" t="s">
        <v>651</v>
      </c>
      <c r="C74" s="1523">
        <f>Scenarios!E115</f>
        <v>0</v>
      </c>
      <c r="D74" s="1308">
        <f t="shared" si="58"/>
        <v>0</v>
      </c>
      <c r="E74" s="1318">
        <f t="shared" si="59"/>
        <v>0</v>
      </c>
      <c r="F74" s="1173">
        <f t="shared" si="60"/>
        <v>0</v>
      </c>
      <c r="G74" s="1318">
        <v>1</v>
      </c>
      <c r="H74" s="1319">
        <f t="shared" si="61"/>
        <v>0</v>
      </c>
      <c r="I74" s="1318">
        <v>0</v>
      </c>
      <c r="J74" s="1319">
        <f t="shared" si="62"/>
        <v>0</v>
      </c>
      <c r="K74" s="1320">
        <v>1</v>
      </c>
      <c r="L74" s="1329"/>
      <c r="M74" s="18"/>
      <c r="N74" s="1338">
        <f t="shared" si="63"/>
        <v>1</v>
      </c>
      <c r="O74" s="1338">
        <f t="shared" si="63"/>
        <v>0</v>
      </c>
      <c r="P74" s="1338">
        <f t="shared" si="63"/>
        <v>0</v>
      </c>
      <c r="Q74" s="1338">
        <f t="shared" si="63"/>
        <v>0</v>
      </c>
      <c r="R74" s="1338">
        <f t="shared" si="63"/>
        <v>0</v>
      </c>
      <c r="S74" s="1338">
        <f t="shared" si="63"/>
        <v>0</v>
      </c>
      <c r="T74" s="1338">
        <f t="shared" si="63"/>
        <v>0</v>
      </c>
      <c r="U74" s="1338">
        <f t="shared" si="63"/>
        <v>0</v>
      </c>
      <c r="V74" s="1338">
        <f t="shared" si="63"/>
        <v>0</v>
      </c>
      <c r="W74" s="1338">
        <f t="shared" si="63"/>
        <v>0</v>
      </c>
      <c r="X74" s="1338">
        <f t="shared" si="64"/>
        <v>0</v>
      </c>
      <c r="Y74" s="1338">
        <f t="shared" si="64"/>
        <v>0</v>
      </c>
      <c r="Z74" s="1338">
        <f t="shared" si="64"/>
        <v>0</v>
      </c>
      <c r="AA74" s="1338">
        <f t="shared" si="64"/>
        <v>0</v>
      </c>
      <c r="AB74" s="1338">
        <f t="shared" si="64"/>
        <v>0</v>
      </c>
      <c r="AC74" s="1338">
        <f t="shared" si="64"/>
        <v>0</v>
      </c>
      <c r="AD74" s="1338">
        <f t="shared" si="64"/>
        <v>0</v>
      </c>
      <c r="AE74" s="1338">
        <f t="shared" si="64"/>
        <v>0</v>
      </c>
      <c r="AF74" s="1338">
        <f t="shared" si="64"/>
        <v>0</v>
      </c>
      <c r="AG74" s="1338">
        <f t="shared" si="64"/>
        <v>0</v>
      </c>
      <c r="AH74" s="1338">
        <f t="shared" si="65"/>
        <v>0</v>
      </c>
      <c r="AI74" s="1338">
        <f t="shared" si="65"/>
        <v>0</v>
      </c>
      <c r="AJ74" s="1338">
        <f t="shared" si="65"/>
        <v>0</v>
      </c>
      <c r="AK74" s="1338">
        <f t="shared" si="65"/>
        <v>0</v>
      </c>
      <c r="AL74" s="1338">
        <f t="shared" si="65"/>
        <v>0</v>
      </c>
      <c r="AM74" s="1338">
        <f t="shared" si="65"/>
        <v>0</v>
      </c>
      <c r="AN74" s="1338">
        <f t="shared" si="65"/>
        <v>0</v>
      </c>
      <c r="AO74" s="1338">
        <f t="shared" si="65"/>
        <v>0</v>
      </c>
      <c r="AP74" s="1338">
        <f t="shared" si="65"/>
        <v>0</v>
      </c>
      <c r="AQ74" s="1338">
        <f t="shared" si="65"/>
        <v>0</v>
      </c>
      <c r="AR74" s="1316"/>
    </row>
    <row r="75" spans="1:44" outlineLevel="1">
      <c r="A75" s="1306"/>
      <c r="B75" s="1177" t="s">
        <v>652</v>
      </c>
      <c r="C75" s="1523">
        <f>Scenarios!E116</f>
        <v>0</v>
      </c>
      <c r="D75" s="1308">
        <f t="shared" si="58"/>
        <v>0</v>
      </c>
      <c r="E75" s="1318">
        <f t="shared" si="59"/>
        <v>0</v>
      </c>
      <c r="F75" s="1173">
        <f t="shared" si="60"/>
        <v>0</v>
      </c>
      <c r="G75" s="1318">
        <v>1</v>
      </c>
      <c r="H75" s="1319">
        <f t="shared" si="61"/>
        <v>0</v>
      </c>
      <c r="I75" s="1318">
        <v>0</v>
      </c>
      <c r="J75" s="1319">
        <f t="shared" si="62"/>
        <v>0</v>
      </c>
      <c r="K75" s="1320">
        <v>1</v>
      </c>
      <c r="L75" s="1329"/>
      <c r="M75" s="18"/>
      <c r="N75" s="1338">
        <f t="shared" ref="N75:AC81" si="66">1*(N$3=1)</f>
        <v>1</v>
      </c>
      <c r="O75" s="1338">
        <f t="shared" si="66"/>
        <v>0</v>
      </c>
      <c r="P75" s="1338">
        <f t="shared" si="66"/>
        <v>0</v>
      </c>
      <c r="Q75" s="1338">
        <f t="shared" si="66"/>
        <v>0</v>
      </c>
      <c r="R75" s="1338">
        <f t="shared" si="66"/>
        <v>0</v>
      </c>
      <c r="S75" s="1338">
        <f t="shared" si="66"/>
        <v>0</v>
      </c>
      <c r="T75" s="1338">
        <f t="shared" si="66"/>
        <v>0</v>
      </c>
      <c r="U75" s="1338">
        <f t="shared" si="66"/>
        <v>0</v>
      </c>
      <c r="V75" s="1338">
        <f t="shared" si="66"/>
        <v>0</v>
      </c>
      <c r="W75" s="1338">
        <f t="shared" si="66"/>
        <v>0</v>
      </c>
      <c r="X75" s="1338">
        <f t="shared" si="66"/>
        <v>0</v>
      </c>
      <c r="Y75" s="1338">
        <f t="shared" si="66"/>
        <v>0</v>
      </c>
      <c r="Z75" s="1338">
        <f t="shared" si="66"/>
        <v>0</v>
      </c>
      <c r="AA75" s="1338">
        <f t="shared" si="66"/>
        <v>0</v>
      </c>
      <c r="AB75" s="1338">
        <f t="shared" si="66"/>
        <v>0</v>
      </c>
      <c r="AC75" s="1338">
        <f t="shared" si="66"/>
        <v>0</v>
      </c>
      <c r="AD75" s="1338">
        <f t="shared" si="64"/>
        <v>0</v>
      </c>
      <c r="AE75" s="1338">
        <f t="shared" si="64"/>
        <v>0</v>
      </c>
      <c r="AF75" s="1338">
        <f t="shared" si="64"/>
        <v>0</v>
      </c>
      <c r="AG75" s="1338">
        <f t="shared" si="64"/>
        <v>0</v>
      </c>
      <c r="AH75" s="1338">
        <f t="shared" si="64"/>
        <v>0</v>
      </c>
      <c r="AI75" s="1338">
        <f t="shared" si="64"/>
        <v>0</v>
      </c>
      <c r="AJ75" s="1338">
        <f t="shared" si="64"/>
        <v>0</v>
      </c>
      <c r="AK75" s="1338">
        <f t="shared" si="64"/>
        <v>0</v>
      </c>
      <c r="AL75" s="1338">
        <f t="shared" si="64"/>
        <v>0</v>
      </c>
      <c r="AM75" s="1338">
        <f t="shared" si="64"/>
        <v>0</v>
      </c>
      <c r="AN75" s="1338">
        <f t="shared" si="65"/>
        <v>0</v>
      </c>
      <c r="AO75" s="1338">
        <f t="shared" si="65"/>
        <v>0</v>
      </c>
      <c r="AP75" s="1338">
        <f t="shared" si="65"/>
        <v>0</v>
      </c>
      <c r="AQ75" s="1338">
        <f t="shared" si="65"/>
        <v>0</v>
      </c>
      <c r="AR75" s="1316"/>
    </row>
    <row r="76" spans="1:44" outlineLevel="1">
      <c r="A76" s="1306"/>
      <c r="B76" s="1177" t="s">
        <v>653</v>
      </c>
      <c r="C76" s="1523">
        <f>Scenarios!E117</f>
        <v>60</v>
      </c>
      <c r="D76" s="1308">
        <f t="shared" si="58"/>
        <v>0.79723624767472756</v>
      </c>
      <c r="E76" s="1318">
        <f t="shared" si="59"/>
        <v>0</v>
      </c>
      <c r="F76" s="1173">
        <f t="shared" si="60"/>
        <v>0</v>
      </c>
      <c r="G76" s="1318">
        <v>1</v>
      </c>
      <c r="H76" s="1319">
        <f t="shared" si="61"/>
        <v>10.200000000000001</v>
      </c>
      <c r="I76" s="1318">
        <v>0</v>
      </c>
      <c r="J76" s="1319">
        <f t="shared" si="62"/>
        <v>0</v>
      </c>
      <c r="K76" s="1320">
        <v>1</v>
      </c>
      <c r="L76" s="1329"/>
      <c r="M76" s="18"/>
      <c r="N76" s="1338">
        <f t="shared" si="66"/>
        <v>1</v>
      </c>
      <c r="O76" s="1338">
        <f t="shared" si="66"/>
        <v>0</v>
      </c>
      <c r="P76" s="1338">
        <f t="shared" si="66"/>
        <v>0</v>
      </c>
      <c r="Q76" s="1338">
        <f t="shared" si="66"/>
        <v>0</v>
      </c>
      <c r="R76" s="1338">
        <f t="shared" si="66"/>
        <v>0</v>
      </c>
      <c r="S76" s="1338">
        <f t="shared" si="66"/>
        <v>0</v>
      </c>
      <c r="T76" s="1338">
        <f t="shared" si="66"/>
        <v>0</v>
      </c>
      <c r="U76" s="1338">
        <f t="shared" si="66"/>
        <v>0</v>
      </c>
      <c r="V76" s="1338">
        <f t="shared" si="66"/>
        <v>0</v>
      </c>
      <c r="W76" s="1338">
        <f t="shared" si="66"/>
        <v>0</v>
      </c>
      <c r="X76" s="1338">
        <f t="shared" si="66"/>
        <v>0</v>
      </c>
      <c r="Y76" s="1338">
        <f t="shared" si="66"/>
        <v>0</v>
      </c>
      <c r="Z76" s="1338">
        <f t="shared" si="66"/>
        <v>0</v>
      </c>
      <c r="AA76" s="1338">
        <f t="shared" si="66"/>
        <v>0</v>
      </c>
      <c r="AB76" s="1338">
        <f t="shared" si="66"/>
        <v>0</v>
      </c>
      <c r="AC76" s="1338">
        <f t="shared" si="66"/>
        <v>0</v>
      </c>
      <c r="AD76" s="1338">
        <f t="shared" si="64"/>
        <v>0</v>
      </c>
      <c r="AE76" s="1338">
        <f t="shared" si="64"/>
        <v>0</v>
      </c>
      <c r="AF76" s="1338">
        <f t="shared" si="64"/>
        <v>0</v>
      </c>
      <c r="AG76" s="1338">
        <f t="shared" si="64"/>
        <v>0</v>
      </c>
      <c r="AH76" s="1338">
        <f t="shared" si="64"/>
        <v>0</v>
      </c>
      <c r="AI76" s="1338">
        <f t="shared" si="64"/>
        <v>0</v>
      </c>
      <c r="AJ76" s="1338">
        <f t="shared" si="64"/>
        <v>0</v>
      </c>
      <c r="AK76" s="1338">
        <f t="shared" si="64"/>
        <v>0</v>
      </c>
      <c r="AL76" s="1338">
        <f t="shared" si="64"/>
        <v>0</v>
      </c>
      <c r="AM76" s="1338">
        <f t="shared" si="64"/>
        <v>0</v>
      </c>
      <c r="AN76" s="1338">
        <f t="shared" si="65"/>
        <v>0</v>
      </c>
      <c r="AO76" s="1338">
        <f t="shared" si="65"/>
        <v>0</v>
      </c>
      <c r="AP76" s="1338">
        <f t="shared" si="65"/>
        <v>0</v>
      </c>
      <c r="AQ76" s="1338">
        <f t="shared" si="65"/>
        <v>0</v>
      </c>
      <c r="AR76" s="1316"/>
    </row>
    <row r="77" spans="1:44" outlineLevel="1">
      <c r="A77" s="1306"/>
      <c r="B77" s="1177" t="s">
        <v>654</v>
      </c>
      <c r="C77" s="1523">
        <f>Scenarios!E118</f>
        <v>60</v>
      </c>
      <c r="D77" s="1308">
        <f t="shared" si="58"/>
        <v>0.79723624767472756</v>
      </c>
      <c r="E77" s="1318">
        <f t="shared" si="59"/>
        <v>0</v>
      </c>
      <c r="F77" s="1173">
        <f t="shared" si="60"/>
        <v>0</v>
      </c>
      <c r="G77" s="1318">
        <v>1</v>
      </c>
      <c r="H77" s="1319">
        <f t="shared" si="61"/>
        <v>10.200000000000001</v>
      </c>
      <c r="I77" s="1318">
        <v>0</v>
      </c>
      <c r="J77" s="1319">
        <f t="shared" si="62"/>
        <v>0</v>
      </c>
      <c r="K77" s="1320">
        <v>1</v>
      </c>
      <c r="L77" s="1329"/>
      <c r="M77" s="18"/>
      <c r="N77" s="1338">
        <f t="shared" si="66"/>
        <v>1</v>
      </c>
      <c r="O77" s="1338">
        <f t="shared" si="66"/>
        <v>0</v>
      </c>
      <c r="P77" s="1338">
        <f t="shared" si="66"/>
        <v>0</v>
      </c>
      <c r="Q77" s="1338">
        <f t="shared" si="66"/>
        <v>0</v>
      </c>
      <c r="R77" s="1338">
        <f t="shared" si="66"/>
        <v>0</v>
      </c>
      <c r="S77" s="1338">
        <f t="shared" si="66"/>
        <v>0</v>
      </c>
      <c r="T77" s="1338">
        <f t="shared" si="66"/>
        <v>0</v>
      </c>
      <c r="U77" s="1338">
        <f t="shared" si="66"/>
        <v>0</v>
      </c>
      <c r="V77" s="1338">
        <f t="shared" si="66"/>
        <v>0</v>
      </c>
      <c r="W77" s="1338">
        <f t="shared" si="66"/>
        <v>0</v>
      </c>
      <c r="X77" s="1338">
        <f t="shared" si="66"/>
        <v>0</v>
      </c>
      <c r="Y77" s="1338">
        <f t="shared" si="66"/>
        <v>0</v>
      </c>
      <c r="Z77" s="1338">
        <f t="shared" si="66"/>
        <v>0</v>
      </c>
      <c r="AA77" s="1338">
        <f t="shared" si="66"/>
        <v>0</v>
      </c>
      <c r="AB77" s="1338">
        <f t="shared" si="66"/>
        <v>0</v>
      </c>
      <c r="AC77" s="1338">
        <f t="shared" si="66"/>
        <v>0</v>
      </c>
      <c r="AD77" s="1338">
        <f t="shared" si="64"/>
        <v>0</v>
      </c>
      <c r="AE77" s="1338">
        <f t="shared" si="64"/>
        <v>0</v>
      </c>
      <c r="AF77" s="1338">
        <f t="shared" si="64"/>
        <v>0</v>
      </c>
      <c r="AG77" s="1338">
        <f t="shared" si="64"/>
        <v>0</v>
      </c>
      <c r="AH77" s="1338">
        <f t="shared" si="64"/>
        <v>0</v>
      </c>
      <c r="AI77" s="1338">
        <f t="shared" si="64"/>
        <v>0</v>
      </c>
      <c r="AJ77" s="1338">
        <f t="shared" si="64"/>
        <v>0</v>
      </c>
      <c r="AK77" s="1338">
        <f t="shared" si="64"/>
        <v>0</v>
      </c>
      <c r="AL77" s="1338">
        <f t="shared" si="64"/>
        <v>0</v>
      </c>
      <c r="AM77" s="1338">
        <f t="shared" si="64"/>
        <v>0</v>
      </c>
      <c r="AN77" s="1338">
        <f t="shared" si="65"/>
        <v>0</v>
      </c>
      <c r="AO77" s="1338">
        <f t="shared" si="65"/>
        <v>0</v>
      </c>
      <c r="AP77" s="1338">
        <f t="shared" si="65"/>
        <v>0</v>
      </c>
      <c r="AQ77" s="1338">
        <f t="shared" si="65"/>
        <v>0</v>
      </c>
      <c r="AR77" s="1316"/>
    </row>
    <row r="78" spans="1:44" outlineLevel="1">
      <c r="A78" s="1306"/>
      <c r="B78" s="1177" t="s">
        <v>655</v>
      </c>
      <c r="C78" s="1523">
        <f>Scenarios!E119</f>
        <v>0</v>
      </c>
      <c r="D78" s="1308">
        <f t="shared" si="58"/>
        <v>0</v>
      </c>
      <c r="E78" s="1318">
        <f t="shared" si="59"/>
        <v>0</v>
      </c>
      <c r="F78" s="1173">
        <f t="shared" si="60"/>
        <v>0</v>
      </c>
      <c r="G78" s="1318">
        <v>1</v>
      </c>
      <c r="H78" s="1319">
        <f t="shared" si="61"/>
        <v>0</v>
      </c>
      <c r="I78" s="1318">
        <v>0</v>
      </c>
      <c r="J78" s="1319">
        <f t="shared" si="62"/>
        <v>0</v>
      </c>
      <c r="K78" s="1320">
        <v>1</v>
      </c>
      <c r="L78" s="1329"/>
      <c r="M78" s="18"/>
      <c r="N78" s="1338">
        <f t="shared" si="66"/>
        <v>1</v>
      </c>
      <c r="O78" s="1338">
        <f t="shared" si="66"/>
        <v>0</v>
      </c>
      <c r="P78" s="1338">
        <f t="shared" si="66"/>
        <v>0</v>
      </c>
      <c r="Q78" s="1338">
        <f t="shared" si="66"/>
        <v>0</v>
      </c>
      <c r="R78" s="1338">
        <f t="shared" si="66"/>
        <v>0</v>
      </c>
      <c r="S78" s="1338">
        <f t="shared" si="66"/>
        <v>0</v>
      </c>
      <c r="T78" s="1338">
        <f t="shared" si="66"/>
        <v>0</v>
      </c>
      <c r="U78" s="1338">
        <f t="shared" si="66"/>
        <v>0</v>
      </c>
      <c r="V78" s="1338">
        <f t="shared" si="66"/>
        <v>0</v>
      </c>
      <c r="W78" s="1338">
        <f t="shared" si="66"/>
        <v>0</v>
      </c>
      <c r="X78" s="1338">
        <f t="shared" ref="X78:AG81" si="67">1*(X$3=1)</f>
        <v>0</v>
      </c>
      <c r="Y78" s="1338">
        <f t="shared" si="67"/>
        <v>0</v>
      </c>
      <c r="Z78" s="1338">
        <f t="shared" si="67"/>
        <v>0</v>
      </c>
      <c r="AA78" s="1338">
        <f t="shared" si="67"/>
        <v>0</v>
      </c>
      <c r="AB78" s="1338">
        <f t="shared" si="67"/>
        <v>0</v>
      </c>
      <c r="AC78" s="1338">
        <f t="shared" si="67"/>
        <v>0</v>
      </c>
      <c r="AD78" s="1338">
        <f t="shared" si="67"/>
        <v>0</v>
      </c>
      <c r="AE78" s="1338">
        <f t="shared" si="67"/>
        <v>0</v>
      </c>
      <c r="AF78" s="1338">
        <f t="shared" si="67"/>
        <v>0</v>
      </c>
      <c r="AG78" s="1338">
        <f t="shared" si="67"/>
        <v>0</v>
      </c>
      <c r="AH78" s="1338">
        <f t="shared" ref="AH78:AQ81" si="68">1*(AH$3=1)</f>
        <v>0</v>
      </c>
      <c r="AI78" s="1338">
        <f t="shared" si="68"/>
        <v>0</v>
      </c>
      <c r="AJ78" s="1338">
        <f t="shared" si="68"/>
        <v>0</v>
      </c>
      <c r="AK78" s="1338">
        <f t="shared" si="68"/>
        <v>0</v>
      </c>
      <c r="AL78" s="1338">
        <f t="shared" si="68"/>
        <v>0</v>
      </c>
      <c r="AM78" s="1338">
        <f t="shared" si="68"/>
        <v>0</v>
      </c>
      <c r="AN78" s="1338">
        <f t="shared" si="68"/>
        <v>0</v>
      </c>
      <c r="AO78" s="1338">
        <f t="shared" si="68"/>
        <v>0</v>
      </c>
      <c r="AP78" s="1338">
        <f t="shared" si="68"/>
        <v>0</v>
      </c>
      <c r="AQ78" s="1338">
        <f t="shared" si="68"/>
        <v>0</v>
      </c>
      <c r="AR78" s="1316"/>
    </row>
    <row r="79" spans="1:44" outlineLevel="1">
      <c r="A79" s="1306"/>
      <c r="B79" s="1177" t="s">
        <v>656</v>
      </c>
      <c r="C79" s="1523">
        <f>Scenarios!E120</f>
        <v>0</v>
      </c>
      <c r="D79" s="1308">
        <f t="shared" si="58"/>
        <v>0</v>
      </c>
      <c r="E79" s="1318">
        <f t="shared" si="59"/>
        <v>0</v>
      </c>
      <c r="F79" s="1173">
        <f t="shared" si="60"/>
        <v>0</v>
      </c>
      <c r="G79" s="1318">
        <v>1</v>
      </c>
      <c r="H79" s="1319">
        <f t="shared" si="61"/>
        <v>0</v>
      </c>
      <c r="I79" s="1318">
        <v>0</v>
      </c>
      <c r="J79" s="1319">
        <f t="shared" si="62"/>
        <v>0</v>
      </c>
      <c r="K79" s="1320">
        <v>1</v>
      </c>
      <c r="L79" s="1329"/>
      <c r="M79" s="18"/>
      <c r="N79" s="1338">
        <f t="shared" si="66"/>
        <v>1</v>
      </c>
      <c r="O79" s="1338">
        <f t="shared" si="66"/>
        <v>0</v>
      </c>
      <c r="P79" s="1338">
        <f t="shared" si="66"/>
        <v>0</v>
      </c>
      <c r="Q79" s="1338">
        <f t="shared" si="66"/>
        <v>0</v>
      </c>
      <c r="R79" s="1338">
        <f t="shared" si="66"/>
        <v>0</v>
      </c>
      <c r="S79" s="1338">
        <f t="shared" si="66"/>
        <v>0</v>
      </c>
      <c r="T79" s="1338">
        <f t="shared" si="66"/>
        <v>0</v>
      </c>
      <c r="U79" s="1338">
        <f t="shared" si="66"/>
        <v>0</v>
      </c>
      <c r="V79" s="1338">
        <f t="shared" si="66"/>
        <v>0</v>
      </c>
      <c r="W79" s="1338">
        <f t="shared" si="66"/>
        <v>0</v>
      </c>
      <c r="X79" s="1338">
        <f t="shared" si="67"/>
        <v>0</v>
      </c>
      <c r="Y79" s="1338">
        <f t="shared" si="67"/>
        <v>0</v>
      </c>
      <c r="Z79" s="1338">
        <f t="shared" si="67"/>
        <v>0</v>
      </c>
      <c r="AA79" s="1338">
        <f t="shared" si="67"/>
        <v>0</v>
      </c>
      <c r="AB79" s="1338">
        <f t="shared" si="67"/>
        <v>0</v>
      </c>
      <c r="AC79" s="1338">
        <f t="shared" si="67"/>
        <v>0</v>
      </c>
      <c r="AD79" s="1338">
        <f t="shared" si="67"/>
        <v>0</v>
      </c>
      <c r="AE79" s="1338">
        <f t="shared" si="67"/>
        <v>0</v>
      </c>
      <c r="AF79" s="1338">
        <f t="shared" si="67"/>
        <v>0</v>
      </c>
      <c r="AG79" s="1338">
        <f t="shared" si="67"/>
        <v>0</v>
      </c>
      <c r="AH79" s="1338">
        <f t="shared" si="68"/>
        <v>0</v>
      </c>
      <c r="AI79" s="1338">
        <f t="shared" si="68"/>
        <v>0</v>
      </c>
      <c r="AJ79" s="1338">
        <f t="shared" si="68"/>
        <v>0</v>
      </c>
      <c r="AK79" s="1338">
        <f t="shared" si="68"/>
        <v>0</v>
      </c>
      <c r="AL79" s="1338">
        <f t="shared" si="68"/>
        <v>0</v>
      </c>
      <c r="AM79" s="1338">
        <f t="shared" si="68"/>
        <v>0</v>
      </c>
      <c r="AN79" s="1338">
        <f t="shared" si="68"/>
        <v>0</v>
      </c>
      <c r="AO79" s="1338">
        <f t="shared" si="68"/>
        <v>0</v>
      </c>
      <c r="AP79" s="1338">
        <f t="shared" si="68"/>
        <v>0</v>
      </c>
      <c r="AQ79" s="1338">
        <f t="shared" si="68"/>
        <v>0</v>
      </c>
      <c r="AR79" s="1316"/>
    </row>
    <row r="80" spans="1:44" outlineLevel="1">
      <c r="A80" s="1306" t="s">
        <v>947</v>
      </c>
      <c r="B80" s="1334" t="s">
        <v>659</v>
      </c>
      <c r="C80" s="1173">
        <f>C81</f>
        <v>60</v>
      </c>
      <c r="D80" s="1308">
        <f t="shared" si="58"/>
        <v>0.79723624767472756</v>
      </c>
      <c r="E80" s="1337"/>
      <c r="F80" s="1215"/>
      <c r="G80" s="1337"/>
      <c r="H80" s="1215"/>
      <c r="I80" s="1337"/>
      <c r="J80" s="1215"/>
      <c r="K80" s="1215"/>
      <c r="L80" s="1329"/>
      <c r="M80" s="18"/>
      <c r="N80" s="1321">
        <f t="shared" si="66"/>
        <v>1</v>
      </c>
      <c r="O80" s="1321">
        <v>0</v>
      </c>
      <c r="P80" s="1321">
        <v>0</v>
      </c>
      <c r="Q80" s="1321">
        <v>0</v>
      </c>
      <c r="R80" s="1321">
        <v>0</v>
      </c>
      <c r="S80" s="1321">
        <v>0</v>
      </c>
      <c r="T80" s="1321">
        <v>0</v>
      </c>
      <c r="U80" s="1321">
        <v>0</v>
      </c>
      <c r="V80" s="1321">
        <v>0</v>
      </c>
      <c r="W80" s="1321">
        <v>0</v>
      </c>
      <c r="X80" s="1321">
        <v>0</v>
      </c>
      <c r="Y80" s="1321">
        <v>0</v>
      </c>
      <c r="Z80" s="1321">
        <v>0</v>
      </c>
      <c r="AA80" s="1321">
        <v>0</v>
      </c>
      <c r="AB80" s="1321">
        <v>0</v>
      </c>
      <c r="AC80" s="1321">
        <v>0</v>
      </c>
      <c r="AD80" s="1321">
        <v>0</v>
      </c>
      <c r="AE80" s="1321">
        <v>0</v>
      </c>
      <c r="AF80" s="1321">
        <v>0</v>
      </c>
      <c r="AG80" s="1321">
        <v>0</v>
      </c>
      <c r="AH80" s="1321">
        <v>0</v>
      </c>
      <c r="AI80" s="1321">
        <v>0</v>
      </c>
      <c r="AJ80" s="1321">
        <v>0</v>
      </c>
      <c r="AK80" s="1321">
        <v>0</v>
      </c>
      <c r="AL80" s="1321">
        <v>0</v>
      </c>
      <c r="AM80" s="1321">
        <v>0</v>
      </c>
      <c r="AN80" s="1321">
        <v>0</v>
      </c>
      <c r="AO80" s="1321">
        <v>0</v>
      </c>
      <c r="AP80" s="1321">
        <v>0</v>
      </c>
      <c r="AQ80" s="1321">
        <v>0</v>
      </c>
      <c r="AR80" s="1316"/>
    </row>
    <row r="81" spans="1:44" outlineLevel="1">
      <c r="A81" s="1306"/>
      <c r="B81" s="1177" t="s">
        <v>660</v>
      </c>
      <c r="C81" s="1523">
        <f>Scenarios!E122</f>
        <v>60</v>
      </c>
      <c r="D81" s="1308">
        <f t="shared" si="58"/>
        <v>0.79723624767472756</v>
      </c>
      <c r="E81" s="1318">
        <v>0.04</v>
      </c>
      <c r="F81" s="1173">
        <f t="shared" ref="F81" si="69">E81*C81</f>
        <v>2.4</v>
      </c>
      <c r="G81" s="1318">
        <v>1</v>
      </c>
      <c r="H81" s="1319">
        <f>C81*G81*$C$156</f>
        <v>10.200000000000001</v>
      </c>
      <c r="I81" s="1318">
        <v>0</v>
      </c>
      <c r="J81" s="1319">
        <f t="shared" ref="J81" si="70">C81*I81/(1-I81)</f>
        <v>0</v>
      </c>
      <c r="K81" s="1320">
        <v>1</v>
      </c>
      <c r="L81" s="1329"/>
      <c r="M81" s="18"/>
      <c r="N81" s="1338">
        <f t="shared" si="66"/>
        <v>1</v>
      </c>
      <c r="O81" s="1338">
        <f t="shared" si="66"/>
        <v>0</v>
      </c>
      <c r="P81" s="1338">
        <f t="shared" si="66"/>
        <v>0</v>
      </c>
      <c r="Q81" s="1338">
        <f t="shared" si="66"/>
        <v>0</v>
      </c>
      <c r="R81" s="1338">
        <f t="shared" si="66"/>
        <v>0</v>
      </c>
      <c r="S81" s="1338">
        <f t="shared" si="66"/>
        <v>0</v>
      </c>
      <c r="T81" s="1338">
        <f t="shared" si="66"/>
        <v>0</v>
      </c>
      <c r="U81" s="1338">
        <f t="shared" si="66"/>
        <v>0</v>
      </c>
      <c r="V81" s="1338">
        <f t="shared" si="66"/>
        <v>0</v>
      </c>
      <c r="W81" s="1338">
        <f t="shared" si="66"/>
        <v>0</v>
      </c>
      <c r="X81" s="1338">
        <f t="shared" si="67"/>
        <v>0</v>
      </c>
      <c r="Y81" s="1338">
        <f t="shared" si="67"/>
        <v>0</v>
      </c>
      <c r="Z81" s="1338">
        <f t="shared" si="67"/>
        <v>0</v>
      </c>
      <c r="AA81" s="1338">
        <f t="shared" si="67"/>
        <v>0</v>
      </c>
      <c r="AB81" s="1338">
        <f t="shared" si="67"/>
        <v>0</v>
      </c>
      <c r="AC81" s="1338">
        <f t="shared" si="67"/>
        <v>0</v>
      </c>
      <c r="AD81" s="1338">
        <f t="shared" si="67"/>
        <v>0</v>
      </c>
      <c r="AE81" s="1338">
        <f t="shared" si="67"/>
        <v>0</v>
      </c>
      <c r="AF81" s="1338">
        <f t="shared" si="67"/>
        <v>0</v>
      </c>
      <c r="AG81" s="1338">
        <f t="shared" si="67"/>
        <v>0</v>
      </c>
      <c r="AH81" s="1338">
        <f t="shared" si="68"/>
        <v>0</v>
      </c>
      <c r="AI81" s="1338">
        <f t="shared" si="68"/>
        <v>0</v>
      </c>
      <c r="AJ81" s="1338">
        <f t="shared" si="68"/>
        <v>0</v>
      </c>
      <c r="AK81" s="1338">
        <f t="shared" si="68"/>
        <v>0</v>
      </c>
      <c r="AL81" s="1338">
        <f t="shared" si="68"/>
        <v>0</v>
      </c>
      <c r="AM81" s="1338">
        <f t="shared" si="68"/>
        <v>0</v>
      </c>
      <c r="AN81" s="1338">
        <f t="shared" si="68"/>
        <v>0</v>
      </c>
      <c r="AO81" s="1338">
        <f t="shared" si="68"/>
        <v>0</v>
      </c>
      <c r="AP81" s="1338">
        <f t="shared" si="68"/>
        <v>0</v>
      </c>
      <c r="AQ81" s="1338">
        <f t="shared" si="68"/>
        <v>0</v>
      </c>
      <c r="AR81" s="1316"/>
    </row>
    <row r="82" spans="1:44">
      <c r="A82" s="1306" t="s">
        <v>948</v>
      </c>
      <c r="B82" s="1167" t="s">
        <v>661</v>
      </c>
      <c r="C82" s="1307">
        <f>SUM(C83:C85)</f>
        <v>0</v>
      </c>
      <c r="D82" s="1308">
        <f t="shared" si="58"/>
        <v>0</v>
      </c>
      <c r="E82" s="1324"/>
      <c r="F82" s="1324"/>
      <c r="G82" s="1324"/>
      <c r="H82" s="1324"/>
      <c r="I82" s="1324"/>
      <c r="J82" s="1324"/>
      <c r="K82" s="1290"/>
      <c r="L82" s="1111"/>
      <c r="M82" s="1314">
        <f>(ABS(SUMIF(N$3:AQ$3,"&lt;="&amp;$C$149,N82:AQ82)-1)+ABS(SUM(N82:AQ82)-1))*(C82&lt;&gt;0)</f>
        <v>0</v>
      </c>
      <c r="N82" s="1315">
        <f>SUMPRODUCT(N83:N85,$C83:$C85)/IF($C82&lt;&gt;0,$C82,1)</f>
        <v>0</v>
      </c>
      <c r="O82" s="1315">
        <f t="shared" ref="O82:AQ82" si="71">SUMPRODUCT(O83:O85,$C83:$C85)/IF($C82&lt;&gt;0,$C82,1)</f>
        <v>0</v>
      </c>
      <c r="P82" s="1315">
        <f t="shared" si="71"/>
        <v>0</v>
      </c>
      <c r="Q82" s="1315">
        <f t="shared" si="71"/>
        <v>0</v>
      </c>
      <c r="R82" s="1315">
        <f t="shared" si="71"/>
        <v>0</v>
      </c>
      <c r="S82" s="1315">
        <f t="shared" si="71"/>
        <v>0</v>
      </c>
      <c r="T82" s="1315">
        <f t="shared" si="71"/>
        <v>0</v>
      </c>
      <c r="U82" s="1315">
        <f t="shared" si="71"/>
        <v>0</v>
      </c>
      <c r="V82" s="1315">
        <f t="shared" si="71"/>
        <v>0</v>
      </c>
      <c r="W82" s="1315">
        <f t="shared" si="71"/>
        <v>0</v>
      </c>
      <c r="X82" s="1315">
        <f t="shared" si="71"/>
        <v>0</v>
      </c>
      <c r="Y82" s="1315">
        <f t="shared" si="71"/>
        <v>0</v>
      </c>
      <c r="Z82" s="1315">
        <f t="shared" si="71"/>
        <v>0</v>
      </c>
      <c r="AA82" s="1315">
        <f t="shared" si="71"/>
        <v>0</v>
      </c>
      <c r="AB82" s="1315">
        <f t="shared" si="71"/>
        <v>0</v>
      </c>
      <c r="AC82" s="1315">
        <f t="shared" si="71"/>
        <v>0</v>
      </c>
      <c r="AD82" s="1315">
        <f t="shared" si="71"/>
        <v>0</v>
      </c>
      <c r="AE82" s="1315">
        <f t="shared" si="71"/>
        <v>0</v>
      </c>
      <c r="AF82" s="1315">
        <f t="shared" si="71"/>
        <v>0</v>
      </c>
      <c r="AG82" s="1315">
        <f t="shared" si="71"/>
        <v>0</v>
      </c>
      <c r="AH82" s="1315">
        <f t="shared" si="71"/>
        <v>0</v>
      </c>
      <c r="AI82" s="1315">
        <f t="shared" si="71"/>
        <v>0</v>
      </c>
      <c r="AJ82" s="1315">
        <f t="shared" si="71"/>
        <v>0</v>
      </c>
      <c r="AK82" s="1315">
        <f t="shared" si="71"/>
        <v>0</v>
      </c>
      <c r="AL82" s="1315">
        <f t="shared" si="71"/>
        <v>0</v>
      </c>
      <c r="AM82" s="1315">
        <f t="shared" si="71"/>
        <v>0</v>
      </c>
      <c r="AN82" s="1315">
        <f t="shared" si="71"/>
        <v>0</v>
      </c>
      <c r="AO82" s="1315">
        <f t="shared" si="71"/>
        <v>0</v>
      </c>
      <c r="AP82" s="1315">
        <f t="shared" si="71"/>
        <v>0</v>
      </c>
      <c r="AQ82" s="1315">
        <f t="shared" si="71"/>
        <v>0</v>
      </c>
      <c r="AR82" s="1316"/>
    </row>
    <row r="83" spans="1:44" outlineLevel="1">
      <c r="A83" s="1306"/>
      <c r="B83" s="1152" t="s">
        <v>662</v>
      </c>
      <c r="C83" s="1523">
        <f>Scenarios!E124</f>
        <v>0</v>
      </c>
      <c r="D83" s="1308">
        <f t="shared" si="58"/>
        <v>0</v>
      </c>
      <c r="E83" s="1318">
        <v>0</v>
      </c>
      <c r="F83" s="1173">
        <f>E83*C83</f>
        <v>0</v>
      </c>
      <c r="G83" s="1318">
        <v>1</v>
      </c>
      <c r="H83" s="1173">
        <f>C83*G83*$C$156</f>
        <v>0</v>
      </c>
      <c r="I83" s="1318">
        <v>0</v>
      </c>
      <c r="J83" s="1319">
        <f>C83*I83/(1-I83)</f>
        <v>0</v>
      </c>
      <c r="K83" s="1320">
        <v>1</v>
      </c>
      <c r="L83" s="1329"/>
      <c r="M83" s="18"/>
      <c r="N83" s="1321">
        <v>1</v>
      </c>
      <c r="O83" s="1321">
        <v>0</v>
      </c>
      <c r="P83" s="1321">
        <v>0</v>
      </c>
      <c r="Q83" s="1321">
        <v>0</v>
      </c>
      <c r="R83" s="1321">
        <v>0</v>
      </c>
      <c r="S83" s="1321">
        <v>0</v>
      </c>
      <c r="T83" s="1321">
        <v>0</v>
      </c>
      <c r="U83" s="1321">
        <v>0</v>
      </c>
      <c r="V83" s="1321">
        <v>0</v>
      </c>
      <c r="W83" s="1321">
        <v>0</v>
      </c>
      <c r="X83" s="1321">
        <v>0</v>
      </c>
      <c r="Y83" s="1321">
        <v>0</v>
      </c>
      <c r="Z83" s="1321">
        <v>0</v>
      </c>
      <c r="AA83" s="1321">
        <v>0</v>
      </c>
      <c r="AB83" s="1321">
        <v>0</v>
      </c>
      <c r="AC83" s="1321">
        <v>0</v>
      </c>
      <c r="AD83" s="1321">
        <v>0</v>
      </c>
      <c r="AE83" s="1321">
        <v>0</v>
      </c>
      <c r="AF83" s="1321">
        <v>0</v>
      </c>
      <c r="AG83" s="1321">
        <v>0</v>
      </c>
      <c r="AH83" s="1321">
        <v>0</v>
      </c>
      <c r="AI83" s="1321">
        <v>0</v>
      </c>
      <c r="AJ83" s="1321">
        <v>0</v>
      </c>
      <c r="AK83" s="1321">
        <v>0</v>
      </c>
      <c r="AL83" s="1321">
        <v>0</v>
      </c>
      <c r="AM83" s="1321">
        <v>0</v>
      </c>
      <c r="AN83" s="1321">
        <v>0</v>
      </c>
      <c r="AO83" s="1321">
        <v>0</v>
      </c>
      <c r="AP83" s="1321">
        <v>0</v>
      </c>
      <c r="AQ83" s="1321">
        <v>0</v>
      </c>
      <c r="AR83" s="1316"/>
    </row>
    <row r="84" spans="1:44" outlineLevel="1">
      <c r="A84" s="1306"/>
      <c r="B84" s="1152" t="s">
        <v>663</v>
      </c>
      <c r="C84" s="1523">
        <f>Scenarios!E125</f>
        <v>0</v>
      </c>
      <c r="D84" s="1308">
        <f t="shared" si="58"/>
        <v>0</v>
      </c>
      <c r="E84" s="1318">
        <v>0</v>
      </c>
      <c r="F84" s="1173">
        <f>E84*C84</f>
        <v>0</v>
      </c>
      <c r="G84" s="1318">
        <v>1</v>
      </c>
      <c r="H84" s="1173">
        <f>C84*G84*$C$156</f>
        <v>0</v>
      </c>
      <c r="I84" s="1318">
        <v>0</v>
      </c>
      <c r="J84" s="1319">
        <f>C84*I84/(1-I84)</f>
        <v>0</v>
      </c>
      <c r="K84" s="1320">
        <v>1</v>
      </c>
      <c r="L84" s="1329"/>
      <c r="M84" s="18"/>
      <c r="N84" s="1321">
        <v>1</v>
      </c>
      <c r="O84" s="1321">
        <v>0</v>
      </c>
      <c r="P84" s="1321">
        <v>0</v>
      </c>
      <c r="Q84" s="1321">
        <v>0</v>
      </c>
      <c r="R84" s="1321">
        <v>0</v>
      </c>
      <c r="S84" s="1321">
        <v>0</v>
      </c>
      <c r="T84" s="1321">
        <v>0</v>
      </c>
      <c r="U84" s="1321">
        <v>0</v>
      </c>
      <c r="V84" s="1321">
        <v>0</v>
      </c>
      <c r="W84" s="1321">
        <v>0</v>
      </c>
      <c r="X84" s="1321">
        <v>0</v>
      </c>
      <c r="Y84" s="1321">
        <v>0</v>
      </c>
      <c r="Z84" s="1321">
        <v>0</v>
      </c>
      <c r="AA84" s="1321">
        <v>0</v>
      </c>
      <c r="AB84" s="1321">
        <v>0</v>
      </c>
      <c r="AC84" s="1321">
        <v>0</v>
      </c>
      <c r="AD84" s="1321">
        <v>0</v>
      </c>
      <c r="AE84" s="1321">
        <v>0</v>
      </c>
      <c r="AF84" s="1321">
        <v>0</v>
      </c>
      <c r="AG84" s="1321">
        <v>0</v>
      </c>
      <c r="AH84" s="1321">
        <v>0</v>
      </c>
      <c r="AI84" s="1321">
        <v>0</v>
      </c>
      <c r="AJ84" s="1321">
        <v>0</v>
      </c>
      <c r="AK84" s="1321">
        <v>0</v>
      </c>
      <c r="AL84" s="1321">
        <v>0</v>
      </c>
      <c r="AM84" s="1321">
        <v>0</v>
      </c>
      <c r="AN84" s="1321">
        <v>0</v>
      </c>
      <c r="AO84" s="1321">
        <v>0</v>
      </c>
      <c r="AP84" s="1321">
        <v>0</v>
      </c>
      <c r="AQ84" s="1321">
        <v>0</v>
      </c>
      <c r="AR84" s="1316"/>
    </row>
    <row r="85" spans="1:44" outlineLevel="1">
      <c r="A85" s="1306"/>
      <c r="B85" s="1152" t="s">
        <v>628</v>
      </c>
      <c r="C85" s="1523">
        <f>Scenarios!E126</f>
        <v>0</v>
      </c>
      <c r="D85" s="1308">
        <f t="shared" si="58"/>
        <v>0</v>
      </c>
      <c r="E85" s="1318">
        <f>$E$7</f>
        <v>0</v>
      </c>
      <c r="F85" s="1173">
        <f>E85*C85</f>
        <v>0</v>
      </c>
      <c r="G85" s="1318">
        <v>1</v>
      </c>
      <c r="H85" s="1173">
        <f>C85*G85*$C$156</f>
        <v>0</v>
      </c>
      <c r="I85" s="1318">
        <v>0</v>
      </c>
      <c r="J85" s="1319">
        <f>C85*I85/(1-I85)</f>
        <v>0</v>
      </c>
      <c r="K85" s="1320">
        <v>1</v>
      </c>
      <c r="L85" s="1329"/>
      <c r="M85" s="18"/>
      <c r="N85" s="1321">
        <v>1</v>
      </c>
      <c r="O85" s="1321">
        <v>0</v>
      </c>
      <c r="P85" s="1321">
        <v>0</v>
      </c>
      <c r="Q85" s="1321">
        <v>0</v>
      </c>
      <c r="R85" s="1321">
        <v>0</v>
      </c>
      <c r="S85" s="1321">
        <v>0</v>
      </c>
      <c r="T85" s="1321">
        <v>0</v>
      </c>
      <c r="U85" s="1321">
        <v>0</v>
      </c>
      <c r="V85" s="1321">
        <v>0</v>
      </c>
      <c r="W85" s="1321">
        <v>0</v>
      </c>
      <c r="X85" s="1321">
        <v>0</v>
      </c>
      <c r="Y85" s="1321">
        <v>0</v>
      </c>
      <c r="Z85" s="1321">
        <v>0</v>
      </c>
      <c r="AA85" s="1321">
        <v>0</v>
      </c>
      <c r="AB85" s="1321">
        <v>0</v>
      </c>
      <c r="AC85" s="1321">
        <v>0</v>
      </c>
      <c r="AD85" s="1321">
        <v>0</v>
      </c>
      <c r="AE85" s="1321">
        <v>0</v>
      </c>
      <c r="AF85" s="1321">
        <v>0</v>
      </c>
      <c r="AG85" s="1321">
        <v>0</v>
      </c>
      <c r="AH85" s="1321">
        <v>0</v>
      </c>
      <c r="AI85" s="1321">
        <v>0</v>
      </c>
      <c r="AJ85" s="1321">
        <v>0</v>
      </c>
      <c r="AK85" s="1321">
        <v>0</v>
      </c>
      <c r="AL85" s="1321">
        <v>0</v>
      </c>
      <c r="AM85" s="1321">
        <v>0</v>
      </c>
      <c r="AN85" s="1321">
        <v>0</v>
      </c>
      <c r="AO85" s="1321">
        <v>0</v>
      </c>
      <c r="AP85" s="1321">
        <v>0</v>
      </c>
      <c r="AQ85" s="1321">
        <v>0</v>
      </c>
      <c r="AR85" s="1316"/>
    </row>
    <row r="86" spans="1:44" s="1107" customFormat="1">
      <c r="A86" s="1306" t="s">
        <v>949</v>
      </c>
      <c r="B86" s="1167" t="s">
        <v>664</v>
      </c>
      <c r="C86" s="1307">
        <f>SUM(C87:C89)</f>
        <v>17</v>
      </c>
      <c r="D86" s="1461">
        <f t="shared" si="58"/>
        <v>0.22588360350783948</v>
      </c>
      <c r="E86" s="1324"/>
      <c r="F86" s="1330"/>
      <c r="G86" s="1188"/>
      <c r="H86" s="1331"/>
      <c r="I86" s="1188"/>
      <c r="J86" s="1331"/>
      <c r="K86" s="1332"/>
      <c r="L86" s="1111"/>
      <c r="M86" s="1314">
        <f>(ABS(SUMIF(N$3:AQ$3,"&lt;="&amp;$C$149,N86:AQ86)-1)+ABS(SUM(N86:AQ86)-1))*(C86&lt;&gt;0)</f>
        <v>0</v>
      </c>
      <c r="N86" s="1315">
        <f>SUMPRODUCT(N87:N89,$C87:$C89)/IF($C86&lt;&gt;0,$C86,1)</f>
        <v>0</v>
      </c>
      <c r="O86" s="1315">
        <f t="shared" ref="O86:AK86" si="72">SUMPRODUCT(O87:O89,$C87:$C89)/IF($C86&lt;&gt;0,$C86,1)</f>
        <v>0</v>
      </c>
      <c r="P86" s="1315">
        <f t="shared" si="72"/>
        <v>0</v>
      </c>
      <c r="Q86" s="1315">
        <f t="shared" si="72"/>
        <v>0</v>
      </c>
      <c r="R86" s="1315">
        <f t="shared" si="72"/>
        <v>0</v>
      </c>
      <c r="S86" s="1315">
        <f t="shared" si="72"/>
        <v>0</v>
      </c>
      <c r="T86" s="1315">
        <f t="shared" si="72"/>
        <v>0</v>
      </c>
      <c r="U86" s="1315">
        <f t="shared" si="72"/>
        <v>0</v>
      </c>
      <c r="V86" s="1315">
        <f t="shared" si="72"/>
        <v>0</v>
      </c>
      <c r="W86" s="1315">
        <f t="shared" si="72"/>
        <v>1</v>
      </c>
      <c r="X86" s="1315">
        <f t="shared" si="72"/>
        <v>0</v>
      </c>
      <c r="Y86" s="1315">
        <f t="shared" si="72"/>
        <v>0</v>
      </c>
      <c r="Z86" s="1315">
        <f t="shared" si="72"/>
        <v>0</v>
      </c>
      <c r="AA86" s="1315">
        <f t="shared" si="72"/>
        <v>0</v>
      </c>
      <c r="AB86" s="1315">
        <f t="shared" si="72"/>
        <v>0</v>
      </c>
      <c r="AC86" s="1315">
        <f t="shared" si="72"/>
        <v>0</v>
      </c>
      <c r="AD86" s="1315">
        <f t="shared" si="72"/>
        <v>0</v>
      </c>
      <c r="AE86" s="1315">
        <f t="shared" si="72"/>
        <v>0</v>
      </c>
      <c r="AF86" s="1315">
        <f t="shared" si="72"/>
        <v>0</v>
      </c>
      <c r="AG86" s="1315">
        <f t="shared" si="72"/>
        <v>0</v>
      </c>
      <c r="AH86" s="1315">
        <f t="shared" si="72"/>
        <v>0</v>
      </c>
      <c r="AI86" s="1315">
        <f t="shared" si="72"/>
        <v>0</v>
      </c>
      <c r="AJ86" s="1315">
        <f t="shared" si="72"/>
        <v>0</v>
      </c>
      <c r="AK86" s="1315">
        <f t="shared" si="72"/>
        <v>0</v>
      </c>
      <c r="AL86" s="1315">
        <f t="shared" ref="AL86:AQ86" si="73">SUMPRODUCT(AL87:AL89,$C87:$C89)/IF($C86&lt;&gt;0,$C86,1)</f>
        <v>0</v>
      </c>
      <c r="AM86" s="1315">
        <f t="shared" si="73"/>
        <v>0</v>
      </c>
      <c r="AN86" s="1315">
        <f t="shared" si="73"/>
        <v>0</v>
      </c>
      <c r="AO86" s="1315">
        <f t="shared" si="73"/>
        <v>0</v>
      </c>
      <c r="AP86" s="1315">
        <f t="shared" si="73"/>
        <v>0</v>
      </c>
      <c r="AQ86" s="1315">
        <f t="shared" si="73"/>
        <v>0</v>
      </c>
      <c r="AR86" s="1316"/>
    </row>
    <row r="87" spans="1:44" s="1107" customFormat="1" outlineLevel="1">
      <c r="A87" s="1306" t="s">
        <v>950</v>
      </c>
      <c r="B87" s="1334" t="s">
        <v>666</v>
      </c>
      <c r="C87" s="1523">
        <f>Scenarios!E128</f>
        <v>10</v>
      </c>
      <c r="D87" s="1461">
        <f t="shared" si="58"/>
        <v>0.13287270794578793</v>
      </c>
      <c r="E87" s="1318">
        <f t="shared" ref="E87:E89" si="74">$E$7</f>
        <v>0</v>
      </c>
      <c r="F87" s="1173">
        <f>E87*C87</f>
        <v>0</v>
      </c>
      <c r="G87" s="1318">
        <v>1</v>
      </c>
      <c r="H87" s="1173">
        <f>C87*G87*$C$156</f>
        <v>1.7000000000000002</v>
      </c>
      <c r="I87" s="1318">
        <v>0</v>
      </c>
      <c r="J87" s="1319">
        <f>C87*I87/(1-I87)</f>
        <v>0</v>
      </c>
      <c r="K87" s="1320">
        <v>1</v>
      </c>
      <c r="L87" s="1111"/>
      <c r="M87" s="1333"/>
      <c r="N87" s="1321">
        <v>0</v>
      </c>
      <c r="O87" s="1321">
        <v>0</v>
      </c>
      <c r="P87" s="1321">
        <v>0</v>
      </c>
      <c r="Q87" s="1321">
        <v>0</v>
      </c>
      <c r="R87" s="1321">
        <v>0</v>
      </c>
      <c r="S87" s="1321">
        <v>0</v>
      </c>
      <c r="T87" s="1321">
        <v>0</v>
      </c>
      <c r="U87" s="1321">
        <v>0</v>
      </c>
      <c r="V87" s="1321">
        <v>0</v>
      </c>
      <c r="W87" s="1321">
        <v>1</v>
      </c>
      <c r="X87" s="1321">
        <v>0</v>
      </c>
      <c r="Y87" s="1321">
        <v>0</v>
      </c>
      <c r="Z87" s="1321">
        <v>0</v>
      </c>
      <c r="AA87" s="1321">
        <v>0</v>
      </c>
      <c r="AB87" s="1321">
        <v>0</v>
      </c>
      <c r="AC87" s="1321">
        <v>0</v>
      </c>
      <c r="AD87" s="1321">
        <v>0</v>
      </c>
      <c r="AE87" s="1321">
        <v>0</v>
      </c>
      <c r="AF87" s="1321">
        <v>0</v>
      </c>
      <c r="AG87" s="1321">
        <v>0</v>
      </c>
      <c r="AH87" s="1321">
        <v>0</v>
      </c>
      <c r="AI87" s="1321">
        <v>0</v>
      </c>
      <c r="AJ87" s="1321">
        <v>0</v>
      </c>
      <c r="AK87" s="1321">
        <v>0</v>
      </c>
      <c r="AL87" s="1321">
        <v>0</v>
      </c>
      <c r="AM87" s="1321">
        <v>0</v>
      </c>
      <c r="AN87" s="1321">
        <v>0</v>
      </c>
      <c r="AO87" s="1321">
        <v>0</v>
      </c>
      <c r="AP87" s="1321">
        <v>0</v>
      </c>
      <c r="AQ87" s="1321">
        <v>0</v>
      </c>
      <c r="AR87" s="1316"/>
    </row>
    <row r="88" spans="1:44" s="1107" customFormat="1" outlineLevel="1">
      <c r="A88" s="1306"/>
      <c r="B88" s="1334" t="s">
        <v>667</v>
      </c>
      <c r="C88" s="1523">
        <f>Scenarios!E129</f>
        <v>5</v>
      </c>
      <c r="D88" s="1461">
        <f t="shared" si="58"/>
        <v>6.6436353972893963E-2</v>
      </c>
      <c r="E88" s="1318">
        <f t="shared" si="74"/>
        <v>0</v>
      </c>
      <c r="F88" s="1173">
        <f>E88*C88</f>
        <v>0</v>
      </c>
      <c r="G88" s="1318">
        <v>1</v>
      </c>
      <c r="H88" s="1173">
        <f>C88*G88*$C$156</f>
        <v>0.85000000000000009</v>
      </c>
      <c r="I88" s="1318">
        <v>0</v>
      </c>
      <c r="J88" s="1319">
        <f>C88*I88/(1-I88)</f>
        <v>0</v>
      </c>
      <c r="K88" s="1320">
        <v>1</v>
      </c>
      <c r="L88" s="1111"/>
      <c r="M88" s="1333"/>
      <c r="N88" s="1321">
        <v>0</v>
      </c>
      <c r="O88" s="1321">
        <v>0</v>
      </c>
      <c r="P88" s="1321">
        <v>0</v>
      </c>
      <c r="Q88" s="1321">
        <v>0</v>
      </c>
      <c r="R88" s="1321">
        <v>0</v>
      </c>
      <c r="S88" s="1321">
        <v>0</v>
      </c>
      <c r="T88" s="1321">
        <v>0</v>
      </c>
      <c r="U88" s="1321">
        <v>0</v>
      </c>
      <c r="V88" s="1321">
        <v>0</v>
      </c>
      <c r="W88" s="1321">
        <v>1</v>
      </c>
      <c r="X88" s="1321">
        <v>0</v>
      </c>
      <c r="Y88" s="1321">
        <v>0</v>
      </c>
      <c r="Z88" s="1321">
        <v>0</v>
      </c>
      <c r="AA88" s="1321">
        <v>0</v>
      </c>
      <c r="AB88" s="1321">
        <v>0</v>
      </c>
      <c r="AC88" s="1321">
        <v>0</v>
      </c>
      <c r="AD88" s="1321">
        <v>0</v>
      </c>
      <c r="AE88" s="1321">
        <v>0</v>
      </c>
      <c r="AF88" s="1321">
        <v>0</v>
      </c>
      <c r="AG88" s="1321">
        <v>0</v>
      </c>
      <c r="AH88" s="1321">
        <v>0</v>
      </c>
      <c r="AI88" s="1321">
        <v>0</v>
      </c>
      <c r="AJ88" s="1321">
        <v>0</v>
      </c>
      <c r="AK88" s="1321">
        <v>0</v>
      </c>
      <c r="AL88" s="1321">
        <v>0</v>
      </c>
      <c r="AM88" s="1321">
        <v>0</v>
      </c>
      <c r="AN88" s="1321">
        <v>0</v>
      </c>
      <c r="AO88" s="1321">
        <v>0</v>
      </c>
      <c r="AP88" s="1321">
        <v>0</v>
      </c>
      <c r="AQ88" s="1321">
        <v>0</v>
      </c>
      <c r="AR88" s="1316"/>
    </row>
    <row r="89" spans="1:44" s="1107" customFormat="1" outlineLevel="1">
      <c r="A89" s="1306" t="s">
        <v>951</v>
      </c>
      <c r="B89" s="1334" t="s">
        <v>668</v>
      </c>
      <c r="C89" s="1523">
        <f>Scenarios!E130</f>
        <v>2</v>
      </c>
      <c r="D89" s="1461">
        <f t="shared" si="58"/>
        <v>2.6574541589157584E-2</v>
      </c>
      <c r="E89" s="1318">
        <f t="shared" si="74"/>
        <v>0</v>
      </c>
      <c r="F89" s="1173">
        <f>E89*C89</f>
        <v>0</v>
      </c>
      <c r="G89" s="1318">
        <v>1</v>
      </c>
      <c r="H89" s="1173">
        <f>C89*G89*$C$156</f>
        <v>0.34</v>
      </c>
      <c r="I89" s="1318">
        <v>0</v>
      </c>
      <c r="J89" s="1319">
        <f>C89*I89/(1-I89)</f>
        <v>0</v>
      </c>
      <c r="K89" s="1323">
        <v>1</v>
      </c>
      <c r="L89" s="1339"/>
      <c r="M89" s="1333"/>
      <c r="N89" s="1321">
        <v>0</v>
      </c>
      <c r="O89" s="1321">
        <v>0</v>
      </c>
      <c r="P89" s="1321">
        <v>0</v>
      </c>
      <c r="Q89" s="1321">
        <v>0</v>
      </c>
      <c r="R89" s="1321">
        <v>0</v>
      </c>
      <c r="S89" s="1321">
        <v>0</v>
      </c>
      <c r="T89" s="1321">
        <v>0</v>
      </c>
      <c r="U89" s="1321">
        <v>0</v>
      </c>
      <c r="V89" s="1321">
        <v>0</v>
      </c>
      <c r="W89" s="1321">
        <v>1</v>
      </c>
      <c r="X89" s="1321">
        <v>0</v>
      </c>
      <c r="Y89" s="1321">
        <v>0</v>
      </c>
      <c r="Z89" s="1321">
        <v>0</v>
      </c>
      <c r="AA89" s="1321">
        <v>0</v>
      </c>
      <c r="AB89" s="1321">
        <v>0</v>
      </c>
      <c r="AC89" s="1321">
        <v>0</v>
      </c>
      <c r="AD89" s="1321">
        <v>0</v>
      </c>
      <c r="AE89" s="1321">
        <v>0</v>
      </c>
      <c r="AF89" s="1321">
        <v>0</v>
      </c>
      <c r="AG89" s="1321">
        <v>0</v>
      </c>
      <c r="AH89" s="1321">
        <v>0</v>
      </c>
      <c r="AI89" s="1321">
        <v>0</v>
      </c>
      <c r="AJ89" s="1321">
        <v>0</v>
      </c>
      <c r="AK89" s="1321">
        <v>0</v>
      </c>
      <c r="AL89" s="1321">
        <v>0</v>
      </c>
      <c r="AM89" s="1321">
        <v>0</v>
      </c>
      <c r="AN89" s="1321">
        <v>0</v>
      </c>
      <c r="AO89" s="1321">
        <v>0</v>
      </c>
      <c r="AP89" s="1321">
        <v>0</v>
      </c>
      <c r="AQ89" s="1321">
        <v>0</v>
      </c>
      <c r="AR89" s="1316"/>
    </row>
    <row r="90" spans="1:44" s="1107" customFormat="1">
      <c r="A90" s="1306" t="s">
        <v>952</v>
      </c>
      <c r="B90" s="1167" t="s">
        <v>669</v>
      </c>
      <c r="C90" s="1307">
        <f>SUM(C91:C96)</f>
        <v>70</v>
      </c>
      <c r="D90" s="1308">
        <f t="shared" si="58"/>
        <v>0.93010895562051543</v>
      </c>
      <c r="E90" s="1324"/>
      <c r="F90" s="1330"/>
      <c r="G90" s="1188"/>
      <c r="H90" s="1331"/>
      <c r="I90" s="1188"/>
      <c r="J90" s="1331"/>
      <c r="K90" s="1332"/>
      <c r="L90" s="1111"/>
      <c r="M90" s="1314">
        <f>(ABS(SUMIF(N$3:AQ$3,"&lt;="&amp;$C$149+1,N90:AQ90)-1)+ABS(SUM(N90:AQ90)-1))*(C90&lt;&gt;0)</f>
        <v>0</v>
      </c>
      <c r="N90" s="1315">
        <f>SUMPRODUCT(N91:N96,$C91:$C96)/IF($C90&lt;&gt;0,$C90,1)</f>
        <v>8.3333333333333329E-2</v>
      </c>
      <c r="O90" s="1315">
        <f t="shared" ref="O90:AQ90" si="75">SUMPRODUCT(O91:O96,$C91:$C96)/IF($C90&lt;&gt;0,$C90,1)</f>
        <v>8.3333333333333329E-2</v>
      </c>
      <c r="P90" s="1315">
        <f t="shared" si="75"/>
        <v>8.3333333333333329E-2</v>
      </c>
      <c r="Q90" s="1315">
        <f t="shared" si="75"/>
        <v>8.3333333333333329E-2</v>
      </c>
      <c r="R90" s="1315">
        <f t="shared" si="75"/>
        <v>8.3333333333333329E-2</v>
      </c>
      <c r="S90" s="1315">
        <f t="shared" si="75"/>
        <v>8.3333333333333329E-2</v>
      </c>
      <c r="T90" s="1315">
        <f t="shared" si="75"/>
        <v>8.3333333333333329E-2</v>
      </c>
      <c r="U90" s="1315">
        <f t="shared" si="75"/>
        <v>8.3333333333333329E-2</v>
      </c>
      <c r="V90" s="1315">
        <f t="shared" si="75"/>
        <v>8.3333333333333329E-2</v>
      </c>
      <c r="W90" s="1315">
        <f t="shared" si="75"/>
        <v>8.3333333333333329E-2</v>
      </c>
      <c r="X90" s="1315">
        <f t="shared" si="75"/>
        <v>8.3333333333333329E-2</v>
      </c>
      <c r="Y90" s="1315">
        <f t="shared" si="75"/>
        <v>8.3333333333333329E-2</v>
      </c>
      <c r="Z90" s="1315">
        <f t="shared" si="75"/>
        <v>0</v>
      </c>
      <c r="AA90" s="1315">
        <f t="shared" si="75"/>
        <v>0</v>
      </c>
      <c r="AB90" s="1315">
        <f t="shared" si="75"/>
        <v>0</v>
      </c>
      <c r="AC90" s="1315">
        <f t="shared" si="75"/>
        <v>0</v>
      </c>
      <c r="AD90" s="1315">
        <f t="shared" si="75"/>
        <v>0</v>
      </c>
      <c r="AE90" s="1315">
        <f t="shared" si="75"/>
        <v>0</v>
      </c>
      <c r="AF90" s="1315">
        <f t="shared" si="75"/>
        <v>0</v>
      </c>
      <c r="AG90" s="1315">
        <f t="shared" si="75"/>
        <v>0</v>
      </c>
      <c r="AH90" s="1315">
        <f t="shared" si="75"/>
        <v>0</v>
      </c>
      <c r="AI90" s="1315">
        <f t="shared" si="75"/>
        <v>0</v>
      </c>
      <c r="AJ90" s="1315">
        <f t="shared" si="75"/>
        <v>0</v>
      </c>
      <c r="AK90" s="1315">
        <f t="shared" si="75"/>
        <v>0</v>
      </c>
      <c r="AL90" s="1315">
        <f t="shared" si="75"/>
        <v>0</v>
      </c>
      <c r="AM90" s="1315">
        <f t="shared" si="75"/>
        <v>0</v>
      </c>
      <c r="AN90" s="1315">
        <f t="shared" si="75"/>
        <v>0</v>
      </c>
      <c r="AO90" s="1315">
        <f t="shared" si="75"/>
        <v>0</v>
      </c>
      <c r="AP90" s="1315">
        <f t="shared" si="75"/>
        <v>0</v>
      </c>
      <c r="AQ90" s="1315">
        <f t="shared" si="75"/>
        <v>0</v>
      </c>
      <c r="AR90" s="1316"/>
    </row>
    <row r="91" spans="1:44" s="1107" customFormat="1" outlineLevel="1">
      <c r="A91" s="1306" t="s">
        <v>953</v>
      </c>
      <c r="B91" s="1152" t="s">
        <v>671</v>
      </c>
      <c r="C91" s="1523">
        <f>Scenarios!E132</f>
        <v>25</v>
      </c>
      <c r="D91" s="1308">
        <f t="shared" si="58"/>
        <v>0.33218176986446979</v>
      </c>
      <c r="E91" s="1318">
        <v>0.04</v>
      </c>
      <c r="F91" s="1173">
        <f t="shared" ref="F91:F96" si="76">E91*C91</f>
        <v>1</v>
      </c>
      <c r="G91" s="1318">
        <v>1</v>
      </c>
      <c r="H91" s="1173">
        <f t="shared" ref="H91:H96" si="77">C91*G91*$C$156</f>
        <v>4.25</v>
      </c>
      <c r="I91" s="1318">
        <v>0</v>
      </c>
      <c r="J91" s="1319">
        <f t="shared" ref="J91:J96" si="78">C91*I91/(1-I91)</f>
        <v>0</v>
      </c>
      <c r="K91" s="1320">
        <v>1</v>
      </c>
      <c r="L91" s="1111"/>
      <c r="M91" s="1333"/>
      <c r="N91" s="1321">
        <f t="shared" ref="N91:W96" si="79">1/$C$149*(N$3&lt;=$C$149)</f>
        <v>8.3333333333333329E-2</v>
      </c>
      <c r="O91" s="1321">
        <f t="shared" si="79"/>
        <v>8.3333333333333329E-2</v>
      </c>
      <c r="P91" s="1321">
        <f t="shared" si="79"/>
        <v>8.3333333333333329E-2</v>
      </c>
      <c r="Q91" s="1321">
        <f t="shared" si="79"/>
        <v>8.3333333333333329E-2</v>
      </c>
      <c r="R91" s="1321">
        <f t="shared" si="79"/>
        <v>8.3333333333333329E-2</v>
      </c>
      <c r="S91" s="1321">
        <f t="shared" si="79"/>
        <v>8.3333333333333329E-2</v>
      </c>
      <c r="T91" s="1321">
        <f t="shared" si="79"/>
        <v>8.3333333333333329E-2</v>
      </c>
      <c r="U91" s="1321">
        <f t="shared" si="79"/>
        <v>8.3333333333333329E-2</v>
      </c>
      <c r="V91" s="1321">
        <f t="shared" si="79"/>
        <v>8.3333333333333329E-2</v>
      </c>
      <c r="W91" s="1321">
        <f t="shared" si="79"/>
        <v>8.3333333333333329E-2</v>
      </c>
      <c r="X91" s="1321">
        <f t="shared" ref="X91:AG96" si="80">1/$C$149*(X$3&lt;=$C$149)</f>
        <v>8.3333333333333329E-2</v>
      </c>
      <c r="Y91" s="1321">
        <f t="shared" si="80"/>
        <v>8.3333333333333329E-2</v>
      </c>
      <c r="Z91" s="1321">
        <f t="shared" si="80"/>
        <v>0</v>
      </c>
      <c r="AA91" s="1321">
        <f t="shared" si="80"/>
        <v>0</v>
      </c>
      <c r="AB91" s="1321">
        <f t="shared" si="80"/>
        <v>0</v>
      </c>
      <c r="AC91" s="1321">
        <f t="shared" si="80"/>
        <v>0</v>
      </c>
      <c r="AD91" s="1321">
        <f t="shared" si="80"/>
        <v>0</v>
      </c>
      <c r="AE91" s="1321">
        <f t="shared" si="80"/>
        <v>0</v>
      </c>
      <c r="AF91" s="1321">
        <f t="shared" si="80"/>
        <v>0</v>
      </c>
      <c r="AG91" s="1321">
        <f t="shared" si="80"/>
        <v>0</v>
      </c>
      <c r="AH91" s="1321">
        <f t="shared" ref="AH91:AQ96" si="81">1/$C$149*(AH$3&lt;=$C$149)</f>
        <v>0</v>
      </c>
      <c r="AI91" s="1321">
        <f t="shared" si="81"/>
        <v>0</v>
      </c>
      <c r="AJ91" s="1321">
        <f t="shared" si="81"/>
        <v>0</v>
      </c>
      <c r="AK91" s="1321">
        <f t="shared" si="81"/>
        <v>0</v>
      </c>
      <c r="AL91" s="1321">
        <f t="shared" si="81"/>
        <v>0</v>
      </c>
      <c r="AM91" s="1321">
        <f t="shared" si="81"/>
        <v>0</v>
      </c>
      <c r="AN91" s="1321">
        <f t="shared" si="81"/>
        <v>0</v>
      </c>
      <c r="AO91" s="1321">
        <f t="shared" si="81"/>
        <v>0</v>
      </c>
      <c r="AP91" s="1321">
        <f t="shared" si="81"/>
        <v>0</v>
      </c>
      <c r="AQ91" s="1321">
        <f t="shared" si="81"/>
        <v>0</v>
      </c>
      <c r="AR91" s="1316"/>
    </row>
    <row r="92" spans="1:44" s="1107" customFormat="1" outlineLevel="1">
      <c r="A92" s="1306" t="s">
        <v>954</v>
      </c>
      <c r="B92" s="1152" t="s">
        <v>672</v>
      </c>
      <c r="C92" s="1523">
        <f>Scenarios!E133</f>
        <v>10</v>
      </c>
      <c r="D92" s="1308">
        <f t="shared" si="58"/>
        <v>0.13287270794578793</v>
      </c>
      <c r="E92" s="1318">
        <v>0.04</v>
      </c>
      <c r="F92" s="1173">
        <f t="shared" si="76"/>
        <v>0.4</v>
      </c>
      <c r="G92" s="1318">
        <v>1</v>
      </c>
      <c r="H92" s="1173">
        <f t="shared" si="77"/>
        <v>1.7000000000000002</v>
      </c>
      <c r="I92" s="1318">
        <v>0</v>
      </c>
      <c r="J92" s="1319">
        <f t="shared" si="78"/>
        <v>0</v>
      </c>
      <c r="K92" s="1323">
        <v>1</v>
      </c>
      <c r="L92" s="1111"/>
      <c r="M92" s="1333"/>
      <c r="N92" s="1321">
        <f t="shared" si="79"/>
        <v>8.3333333333333329E-2</v>
      </c>
      <c r="O92" s="1321">
        <f t="shared" si="79"/>
        <v>8.3333333333333329E-2</v>
      </c>
      <c r="P92" s="1321">
        <f t="shared" si="79"/>
        <v>8.3333333333333329E-2</v>
      </c>
      <c r="Q92" s="1321">
        <f t="shared" si="79"/>
        <v>8.3333333333333329E-2</v>
      </c>
      <c r="R92" s="1321">
        <f t="shared" si="79"/>
        <v>8.3333333333333329E-2</v>
      </c>
      <c r="S92" s="1321">
        <f t="shared" si="79"/>
        <v>8.3333333333333329E-2</v>
      </c>
      <c r="T92" s="1321">
        <f t="shared" si="79"/>
        <v>8.3333333333333329E-2</v>
      </c>
      <c r="U92" s="1321">
        <f t="shared" si="79"/>
        <v>8.3333333333333329E-2</v>
      </c>
      <c r="V92" s="1321">
        <f t="shared" si="79"/>
        <v>8.3333333333333329E-2</v>
      </c>
      <c r="W92" s="1321">
        <f t="shared" si="79"/>
        <v>8.3333333333333329E-2</v>
      </c>
      <c r="X92" s="1321">
        <f t="shared" si="80"/>
        <v>8.3333333333333329E-2</v>
      </c>
      <c r="Y92" s="1321">
        <f t="shared" si="80"/>
        <v>8.3333333333333329E-2</v>
      </c>
      <c r="Z92" s="1321">
        <f t="shared" si="80"/>
        <v>0</v>
      </c>
      <c r="AA92" s="1321">
        <f t="shared" si="80"/>
        <v>0</v>
      </c>
      <c r="AB92" s="1321">
        <f t="shared" si="80"/>
        <v>0</v>
      </c>
      <c r="AC92" s="1321">
        <f t="shared" si="80"/>
        <v>0</v>
      </c>
      <c r="AD92" s="1321">
        <f t="shared" si="80"/>
        <v>0</v>
      </c>
      <c r="AE92" s="1321">
        <f t="shared" si="80"/>
        <v>0</v>
      </c>
      <c r="AF92" s="1321">
        <f t="shared" si="80"/>
        <v>0</v>
      </c>
      <c r="AG92" s="1321">
        <f t="shared" si="80"/>
        <v>0</v>
      </c>
      <c r="AH92" s="1321">
        <f t="shared" si="81"/>
        <v>0</v>
      </c>
      <c r="AI92" s="1321">
        <f t="shared" si="81"/>
        <v>0</v>
      </c>
      <c r="AJ92" s="1321">
        <f t="shared" si="81"/>
        <v>0</v>
      </c>
      <c r="AK92" s="1321">
        <f t="shared" si="81"/>
        <v>0</v>
      </c>
      <c r="AL92" s="1321">
        <f t="shared" si="81"/>
        <v>0</v>
      </c>
      <c r="AM92" s="1321">
        <f t="shared" si="81"/>
        <v>0</v>
      </c>
      <c r="AN92" s="1321">
        <f t="shared" si="81"/>
        <v>0</v>
      </c>
      <c r="AO92" s="1321">
        <f t="shared" si="81"/>
        <v>0</v>
      </c>
      <c r="AP92" s="1321">
        <f t="shared" si="81"/>
        <v>0</v>
      </c>
      <c r="AQ92" s="1321">
        <f t="shared" si="81"/>
        <v>0</v>
      </c>
      <c r="AR92" s="1316"/>
    </row>
    <row r="93" spans="1:44" s="1107" customFormat="1" outlineLevel="1">
      <c r="A93" s="1306" t="s">
        <v>955</v>
      </c>
      <c r="B93" s="1152" t="s">
        <v>674</v>
      </c>
      <c r="C93" s="1523">
        <f>Scenarios!E134</f>
        <v>20</v>
      </c>
      <c r="D93" s="1308">
        <f t="shared" si="58"/>
        <v>0.26574541589157585</v>
      </c>
      <c r="E93" s="1318">
        <v>0.04</v>
      </c>
      <c r="F93" s="1173">
        <f t="shared" si="76"/>
        <v>0.8</v>
      </c>
      <c r="G93" s="1318">
        <v>1</v>
      </c>
      <c r="H93" s="1173">
        <f t="shared" si="77"/>
        <v>3.4000000000000004</v>
      </c>
      <c r="I93" s="1318">
        <v>0</v>
      </c>
      <c r="J93" s="1319">
        <f t="shared" si="78"/>
        <v>0</v>
      </c>
      <c r="K93" s="1323">
        <v>1</v>
      </c>
      <c r="L93" s="1111"/>
      <c r="M93" s="1333"/>
      <c r="N93" s="1321">
        <f t="shared" si="79"/>
        <v>8.3333333333333329E-2</v>
      </c>
      <c r="O93" s="1321">
        <f t="shared" si="79"/>
        <v>8.3333333333333329E-2</v>
      </c>
      <c r="P93" s="1321">
        <f t="shared" si="79"/>
        <v>8.3333333333333329E-2</v>
      </c>
      <c r="Q93" s="1321">
        <f t="shared" si="79"/>
        <v>8.3333333333333329E-2</v>
      </c>
      <c r="R93" s="1321">
        <f t="shared" si="79"/>
        <v>8.3333333333333329E-2</v>
      </c>
      <c r="S93" s="1321">
        <f t="shared" si="79"/>
        <v>8.3333333333333329E-2</v>
      </c>
      <c r="T93" s="1321">
        <f t="shared" si="79"/>
        <v>8.3333333333333329E-2</v>
      </c>
      <c r="U93" s="1321">
        <f t="shared" si="79"/>
        <v>8.3333333333333329E-2</v>
      </c>
      <c r="V93" s="1321">
        <f t="shared" si="79"/>
        <v>8.3333333333333329E-2</v>
      </c>
      <c r="W93" s="1321">
        <f t="shared" si="79"/>
        <v>8.3333333333333329E-2</v>
      </c>
      <c r="X93" s="1321">
        <f t="shared" si="80"/>
        <v>8.3333333333333329E-2</v>
      </c>
      <c r="Y93" s="1321">
        <f t="shared" si="80"/>
        <v>8.3333333333333329E-2</v>
      </c>
      <c r="Z93" s="1321">
        <f t="shared" si="80"/>
        <v>0</v>
      </c>
      <c r="AA93" s="1321">
        <f t="shared" si="80"/>
        <v>0</v>
      </c>
      <c r="AB93" s="1321">
        <f t="shared" si="80"/>
        <v>0</v>
      </c>
      <c r="AC93" s="1321">
        <f t="shared" si="80"/>
        <v>0</v>
      </c>
      <c r="AD93" s="1321">
        <f t="shared" si="80"/>
        <v>0</v>
      </c>
      <c r="AE93" s="1321">
        <f t="shared" si="80"/>
        <v>0</v>
      </c>
      <c r="AF93" s="1321">
        <f t="shared" si="80"/>
        <v>0</v>
      </c>
      <c r="AG93" s="1321">
        <f t="shared" si="80"/>
        <v>0</v>
      </c>
      <c r="AH93" s="1321">
        <f t="shared" si="81"/>
        <v>0</v>
      </c>
      <c r="AI93" s="1321">
        <f t="shared" si="81"/>
        <v>0</v>
      </c>
      <c r="AJ93" s="1321">
        <f t="shared" si="81"/>
        <v>0</v>
      </c>
      <c r="AK93" s="1321">
        <f t="shared" si="81"/>
        <v>0</v>
      </c>
      <c r="AL93" s="1321">
        <f t="shared" si="81"/>
        <v>0</v>
      </c>
      <c r="AM93" s="1321">
        <f t="shared" si="81"/>
        <v>0</v>
      </c>
      <c r="AN93" s="1321">
        <f t="shared" si="81"/>
        <v>0</v>
      </c>
      <c r="AO93" s="1321">
        <f t="shared" si="81"/>
        <v>0</v>
      </c>
      <c r="AP93" s="1321">
        <f t="shared" si="81"/>
        <v>0</v>
      </c>
      <c r="AQ93" s="1321">
        <f t="shared" si="81"/>
        <v>0</v>
      </c>
      <c r="AR93" s="1316"/>
    </row>
    <row r="94" spans="1:44" s="1107" customFormat="1" outlineLevel="1">
      <c r="A94" s="1306"/>
      <c r="B94" s="1152" t="s">
        <v>675</v>
      </c>
      <c r="C94" s="1523">
        <f>Scenarios!E135</f>
        <v>5</v>
      </c>
      <c r="D94" s="1308">
        <f t="shared" si="58"/>
        <v>6.6436353972893963E-2</v>
      </c>
      <c r="E94" s="1318">
        <v>0</v>
      </c>
      <c r="F94" s="1173">
        <f t="shared" si="76"/>
        <v>0</v>
      </c>
      <c r="G94" s="1318">
        <v>1</v>
      </c>
      <c r="H94" s="1173">
        <f t="shared" si="77"/>
        <v>0.85000000000000009</v>
      </c>
      <c r="I94" s="1318">
        <v>0</v>
      </c>
      <c r="J94" s="1319">
        <f t="shared" si="78"/>
        <v>0</v>
      </c>
      <c r="K94" s="1323">
        <v>1</v>
      </c>
      <c r="L94" s="1111"/>
      <c r="M94" s="1333"/>
      <c r="N94" s="1321">
        <f t="shared" si="79"/>
        <v>8.3333333333333329E-2</v>
      </c>
      <c r="O94" s="1321">
        <f t="shared" si="79"/>
        <v>8.3333333333333329E-2</v>
      </c>
      <c r="P94" s="1321">
        <f t="shared" si="79"/>
        <v>8.3333333333333329E-2</v>
      </c>
      <c r="Q94" s="1321">
        <f t="shared" si="79"/>
        <v>8.3333333333333329E-2</v>
      </c>
      <c r="R94" s="1321">
        <f t="shared" si="79"/>
        <v>8.3333333333333329E-2</v>
      </c>
      <c r="S94" s="1321">
        <f t="shared" si="79"/>
        <v>8.3333333333333329E-2</v>
      </c>
      <c r="T94" s="1321">
        <f t="shared" si="79"/>
        <v>8.3333333333333329E-2</v>
      </c>
      <c r="U94" s="1321">
        <f t="shared" si="79"/>
        <v>8.3333333333333329E-2</v>
      </c>
      <c r="V94" s="1321">
        <f t="shared" si="79"/>
        <v>8.3333333333333329E-2</v>
      </c>
      <c r="W94" s="1321">
        <f t="shared" si="79"/>
        <v>8.3333333333333329E-2</v>
      </c>
      <c r="X94" s="1321">
        <f t="shared" si="80"/>
        <v>8.3333333333333329E-2</v>
      </c>
      <c r="Y94" s="1321">
        <f t="shared" si="80"/>
        <v>8.3333333333333329E-2</v>
      </c>
      <c r="Z94" s="1321">
        <f t="shared" si="80"/>
        <v>0</v>
      </c>
      <c r="AA94" s="1321">
        <f t="shared" si="80"/>
        <v>0</v>
      </c>
      <c r="AB94" s="1321">
        <f t="shared" si="80"/>
        <v>0</v>
      </c>
      <c r="AC94" s="1321">
        <f t="shared" si="80"/>
        <v>0</v>
      </c>
      <c r="AD94" s="1321">
        <f t="shared" si="80"/>
        <v>0</v>
      </c>
      <c r="AE94" s="1321">
        <f t="shared" si="80"/>
        <v>0</v>
      </c>
      <c r="AF94" s="1321">
        <f t="shared" si="80"/>
        <v>0</v>
      </c>
      <c r="AG94" s="1321">
        <f t="shared" si="80"/>
        <v>0</v>
      </c>
      <c r="AH94" s="1321">
        <f t="shared" si="81"/>
        <v>0</v>
      </c>
      <c r="AI94" s="1321">
        <f t="shared" si="81"/>
        <v>0</v>
      </c>
      <c r="AJ94" s="1321">
        <f t="shared" si="81"/>
        <v>0</v>
      </c>
      <c r="AK94" s="1321">
        <f t="shared" si="81"/>
        <v>0</v>
      </c>
      <c r="AL94" s="1321">
        <f t="shared" si="81"/>
        <v>0</v>
      </c>
      <c r="AM94" s="1321">
        <f t="shared" si="81"/>
        <v>0</v>
      </c>
      <c r="AN94" s="1321">
        <f t="shared" si="81"/>
        <v>0</v>
      </c>
      <c r="AO94" s="1321">
        <f t="shared" si="81"/>
        <v>0</v>
      </c>
      <c r="AP94" s="1321">
        <f t="shared" si="81"/>
        <v>0</v>
      </c>
      <c r="AQ94" s="1321">
        <f t="shared" si="81"/>
        <v>0</v>
      </c>
      <c r="AR94" s="1316"/>
    </row>
    <row r="95" spans="1:44" s="1107" customFormat="1" outlineLevel="1">
      <c r="A95" s="1306"/>
      <c r="B95" s="1152" t="s">
        <v>676</v>
      </c>
      <c r="C95" s="1523">
        <f>Scenarios!E136</f>
        <v>5</v>
      </c>
      <c r="D95" s="1308">
        <f t="shared" si="58"/>
        <v>6.6436353972893963E-2</v>
      </c>
      <c r="E95" s="1318">
        <v>0</v>
      </c>
      <c r="F95" s="1173">
        <f t="shared" si="76"/>
        <v>0</v>
      </c>
      <c r="G95" s="1318">
        <v>1</v>
      </c>
      <c r="H95" s="1173">
        <f t="shared" si="77"/>
        <v>0.85000000000000009</v>
      </c>
      <c r="I95" s="1318">
        <v>0</v>
      </c>
      <c r="J95" s="1319">
        <f t="shared" si="78"/>
        <v>0</v>
      </c>
      <c r="K95" s="1323">
        <v>1</v>
      </c>
      <c r="L95" s="1111"/>
      <c r="M95" s="1333"/>
      <c r="N95" s="1321">
        <f t="shared" si="79"/>
        <v>8.3333333333333329E-2</v>
      </c>
      <c r="O95" s="1321">
        <f t="shared" si="79"/>
        <v>8.3333333333333329E-2</v>
      </c>
      <c r="P95" s="1321">
        <f t="shared" si="79"/>
        <v>8.3333333333333329E-2</v>
      </c>
      <c r="Q95" s="1321">
        <f t="shared" si="79"/>
        <v>8.3333333333333329E-2</v>
      </c>
      <c r="R95" s="1321">
        <f t="shared" si="79"/>
        <v>8.3333333333333329E-2</v>
      </c>
      <c r="S95" s="1321">
        <f t="shared" si="79"/>
        <v>8.3333333333333329E-2</v>
      </c>
      <c r="T95" s="1321">
        <f t="shared" si="79"/>
        <v>8.3333333333333329E-2</v>
      </c>
      <c r="U95" s="1321">
        <f t="shared" si="79"/>
        <v>8.3333333333333329E-2</v>
      </c>
      <c r="V95" s="1321">
        <f t="shared" si="79"/>
        <v>8.3333333333333329E-2</v>
      </c>
      <c r="W95" s="1321">
        <f t="shared" si="79"/>
        <v>8.3333333333333329E-2</v>
      </c>
      <c r="X95" s="1321">
        <f t="shared" si="80"/>
        <v>8.3333333333333329E-2</v>
      </c>
      <c r="Y95" s="1321">
        <f t="shared" si="80"/>
        <v>8.3333333333333329E-2</v>
      </c>
      <c r="Z95" s="1321">
        <f t="shared" si="80"/>
        <v>0</v>
      </c>
      <c r="AA95" s="1321">
        <f t="shared" si="80"/>
        <v>0</v>
      </c>
      <c r="AB95" s="1321">
        <f t="shared" si="80"/>
        <v>0</v>
      </c>
      <c r="AC95" s="1321">
        <f t="shared" si="80"/>
        <v>0</v>
      </c>
      <c r="AD95" s="1321">
        <f t="shared" si="80"/>
        <v>0</v>
      </c>
      <c r="AE95" s="1321">
        <f t="shared" si="80"/>
        <v>0</v>
      </c>
      <c r="AF95" s="1321">
        <f t="shared" si="80"/>
        <v>0</v>
      </c>
      <c r="AG95" s="1321">
        <f t="shared" si="80"/>
        <v>0</v>
      </c>
      <c r="AH95" s="1321">
        <f t="shared" si="81"/>
        <v>0</v>
      </c>
      <c r="AI95" s="1321">
        <f t="shared" si="81"/>
        <v>0</v>
      </c>
      <c r="AJ95" s="1321">
        <f t="shared" si="81"/>
        <v>0</v>
      </c>
      <c r="AK95" s="1321">
        <f t="shared" si="81"/>
        <v>0</v>
      </c>
      <c r="AL95" s="1321">
        <f t="shared" si="81"/>
        <v>0</v>
      </c>
      <c r="AM95" s="1321">
        <f t="shared" si="81"/>
        <v>0</v>
      </c>
      <c r="AN95" s="1321">
        <f t="shared" si="81"/>
        <v>0</v>
      </c>
      <c r="AO95" s="1321">
        <f t="shared" si="81"/>
        <v>0</v>
      </c>
      <c r="AP95" s="1321">
        <f t="shared" si="81"/>
        <v>0</v>
      </c>
      <c r="AQ95" s="1321">
        <f t="shared" si="81"/>
        <v>0</v>
      </c>
      <c r="AR95" s="1316"/>
    </row>
    <row r="96" spans="1:44" s="1107" customFormat="1" outlineLevel="1">
      <c r="A96" s="1306" t="s">
        <v>956</v>
      </c>
      <c r="B96" s="1152" t="s">
        <v>677</v>
      </c>
      <c r="C96" s="1523">
        <f>Scenarios!E137</f>
        <v>5</v>
      </c>
      <c r="D96" s="1308">
        <f t="shared" si="58"/>
        <v>6.6436353972893963E-2</v>
      </c>
      <c r="E96" s="1318">
        <v>0</v>
      </c>
      <c r="F96" s="1173">
        <f t="shared" si="76"/>
        <v>0</v>
      </c>
      <c r="G96" s="1318">
        <v>1</v>
      </c>
      <c r="H96" s="1173">
        <f t="shared" si="77"/>
        <v>0.85000000000000009</v>
      </c>
      <c r="I96" s="1318">
        <v>0</v>
      </c>
      <c r="J96" s="1319">
        <f t="shared" si="78"/>
        <v>0</v>
      </c>
      <c r="K96" s="1323">
        <v>1</v>
      </c>
      <c r="L96" s="1329"/>
      <c r="M96" s="1333"/>
      <c r="N96" s="1321">
        <f t="shared" si="79"/>
        <v>8.3333333333333329E-2</v>
      </c>
      <c r="O96" s="1321">
        <f t="shared" si="79"/>
        <v>8.3333333333333329E-2</v>
      </c>
      <c r="P96" s="1321">
        <f t="shared" si="79"/>
        <v>8.3333333333333329E-2</v>
      </c>
      <c r="Q96" s="1321">
        <f t="shared" si="79"/>
        <v>8.3333333333333329E-2</v>
      </c>
      <c r="R96" s="1321">
        <f t="shared" si="79"/>
        <v>8.3333333333333329E-2</v>
      </c>
      <c r="S96" s="1321">
        <f t="shared" si="79"/>
        <v>8.3333333333333329E-2</v>
      </c>
      <c r="T96" s="1321">
        <f t="shared" si="79"/>
        <v>8.3333333333333329E-2</v>
      </c>
      <c r="U96" s="1321">
        <f t="shared" si="79"/>
        <v>8.3333333333333329E-2</v>
      </c>
      <c r="V96" s="1321">
        <f t="shared" si="79"/>
        <v>8.3333333333333329E-2</v>
      </c>
      <c r="W96" s="1321">
        <f t="shared" si="79"/>
        <v>8.3333333333333329E-2</v>
      </c>
      <c r="X96" s="1321">
        <f t="shared" si="80"/>
        <v>8.3333333333333329E-2</v>
      </c>
      <c r="Y96" s="1321">
        <f t="shared" si="80"/>
        <v>8.3333333333333329E-2</v>
      </c>
      <c r="Z96" s="1321">
        <f t="shared" si="80"/>
        <v>0</v>
      </c>
      <c r="AA96" s="1321">
        <f t="shared" si="80"/>
        <v>0</v>
      </c>
      <c r="AB96" s="1321">
        <f t="shared" si="80"/>
        <v>0</v>
      </c>
      <c r="AC96" s="1321">
        <f t="shared" si="80"/>
        <v>0</v>
      </c>
      <c r="AD96" s="1321">
        <f t="shared" si="80"/>
        <v>0</v>
      </c>
      <c r="AE96" s="1321">
        <f t="shared" si="80"/>
        <v>0</v>
      </c>
      <c r="AF96" s="1321">
        <f t="shared" si="80"/>
        <v>0</v>
      </c>
      <c r="AG96" s="1321">
        <f t="shared" si="80"/>
        <v>0</v>
      </c>
      <c r="AH96" s="1321">
        <f t="shared" si="81"/>
        <v>0</v>
      </c>
      <c r="AI96" s="1321">
        <f t="shared" si="81"/>
        <v>0</v>
      </c>
      <c r="AJ96" s="1321">
        <f t="shared" si="81"/>
        <v>0</v>
      </c>
      <c r="AK96" s="1321">
        <f t="shared" si="81"/>
        <v>0</v>
      </c>
      <c r="AL96" s="1321">
        <f t="shared" si="81"/>
        <v>0</v>
      </c>
      <c r="AM96" s="1321">
        <f t="shared" si="81"/>
        <v>0</v>
      </c>
      <c r="AN96" s="1321">
        <f t="shared" si="81"/>
        <v>0</v>
      </c>
      <c r="AO96" s="1321">
        <f t="shared" si="81"/>
        <v>0</v>
      </c>
      <c r="AP96" s="1321">
        <f t="shared" si="81"/>
        <v>0</v>
      </c>
      <c r="AQ96" s="1321">
        <f t="shared" si="81"/>
        <v>0</v>
      </c>
      <c r="AR96" s="1316"/>
    </row>
    <row r="97" spans="1:44" s="1107" customFormat="1">
      <c r="A97" s="1306" t="s">
        <v>957</v>
      </c>
      <c r="B97" s="1167" t="s">
        <v>661</v>
      </c>
      <c r="C97" s="1307">
        <f>SUM(C98:C104)</f>
        <v>1151.134</v>
      </c>
      <c r="D97" s="1308">
        <f t="shared" si="58"/>
        <v>15.295429178846664</v>
      </c>
      <c r="E97" s="1324"/>
      <c r="F97" s="1330"/>
      <c r="G97" s="1188"/>
      <c r="H97" s="1331"/>
      <c r="I97" s="1188"/>
      <c r="J97" s="1331"/>
      <c r="K97" s="1332"/>
      <c r="L97" s="1111"/>
      <c r="M97" s="1314">
        <f>(ABS(SUMIF(N$3:AQ$3,"&lt;="&amp;$C$149,N97:AQ97)-1)+ABS(SUM(N97:AQ97)-1))*(C97&lt;&gt;0)</f>
        <v>0</v>
      </c>
      <c r="N97" s="1315">
        <f>SUMPRODUCT(N98:N104,$C98:$C104)/IF($C97&lt;&gt;0,$C97,1)</f>
        <v>1</v>
      </c>
      <c r="O97" s="1315">
        <f t="shared" ref="O97:AK97" si="82">SUMPRODUCT(O98:O104,$C98:$C104)/IF($C97&lt;&gt;0,$C97,1)</f>
        <v>0</v>
      </c>
      <c r="P97" s="1315">
        <f t="shared" si="82"/>
        <v>0</v>
      </c>
      <c r="Q97" s="1315">
        <f t="shared" si="82"/>
        <v>0</v>
      </c>
      <c r="R97" s="1315">
        <f t="shared" si="82"/>
        <v>0</v>
      </c>
      <c r="S97" s="1315">
        <f t="shared" si="82"/>
        <v>0</v>
      </c>
      <c r="T97" s="1315">
        <f t="shared" si="82"/>
        <v>0</v>
      </c>
      <c r="U97" s="1315">
        <f t="shared" si="82"/>
        <v>0</v>
      </c>
      <c r="V97" s="1315">
        <f t="shared" si="82"/>
        <v>0</v>
      </c>
      <c r="W97" s="1315">
        <f t="shared" si="82"/>
        <v>0</v>
      </c>
      <c r="X97" s="1315">
        <f t="shared" si="82"/>
        <v>0</v>
      </c>
      <c r="Y97" s="1315">
        <f t="shared" si="82"/>
        <v>0</v>
      </c>
      <c r="Z97" s="1315">
        <f t="shared" si="82"/>
        <v>0</v>
      </c>
      <c r="AA97" s="1315">
        <f t="shared" si="82"/>
        <v>0</v>
      </c>
      <c r="AB97" s="1315">
        <f t="shared" si="82"/>
        <v>0</v>
      </c>
      <c r="AC97" s="1315">
        <f t="shared" si="82"/>
        <v>0</v>
      </c>
      <c r="AD97" s="1315">
        <f t="shared" si="82"/>
        <v>0</v>
      </c>
      <c r="AE97" s="1315">
        <f t="shared" si="82"/>
        <v>0</v>
      </c>
      <c r="AF97" s="1315">
        <f t="shared" si="82"/>
        <v>0</v>
      </c>
      <c r="AG97" s="1315">
        <f t="shared" si="82"/>
        <v>0</v>
      </c>
      <c r="AH97" s="1315">
        <f t="shared" si="82"/>
        <v>0</v>
      </c>
      <c r="AI97" s="1315">
        <f t="shared" si="82"/>
        <v>0</v>
      </c>
      <c r="AJ97" s="1315">
        <f t="shared" si="82"/>
        <v>0</v>
      </c>
      <c r="AK97" s="1315">
        <f t="shared" si="82"/>
        <v>0</v>
      </c>
      <c r="AL97" s="1315">
        <f t="shared" ref="AL97:AQ97" si="83">SUMPRODUCT(AL98:AL104,$C98:$C104)/IF($C97&lt;&gt;0,$C97,1)</f>
        <v>0</v>
      </c>
      <c r="AM97" s="1315">
        <f t="shared" si="83"/>
        <v>0</v>
      </c>
      <c r="AN97" s="1315">
        <f t="shared" si="83"/>
        <v>0</v>
      </c>
      <c r="AO97" s="1315">
        <f t="shared" si="83"/>
        <v>0</v>
      </c>
      <c r="AP97" s="1315">
        <f t="shared" si="83"/>
        <v>0</v>
      </c>
      <c r="AQ97" s="1315">
        <f t="shared" si="83"/>
        <v>0</v>
      </c>
      <c r="AR97" s="1316"/>
    </row>
    <row r="98" spans="1:44" s="1107" customFormat="1" outlineLevel="1">
      <c r="A98" s="1306" t="s">
        <v>958</v>
      </c>
      <c r="B98" s="1334" t="s">
        <v>678</v>
      </c>
      <c r="C98" s="1523">
        <f>Scenarios!E139</f>
        <v>1071.134</v>
      </c>
      <c r="D98" s="1308">
        <f t="shared" si="58"/>
        <v>14.232447515280361</v>
      </c>
      <c r="E98" s="1318">
        <v>0</v>
      </c>
      <c r="F98" s="1173">
        <f t="shared" ref="F98:F104" si="84">E98*C98</f>
        <v>0</v>
      </c>
      <c r="G98" s="1318">
        <v>1</v>
      </c>
      <c r="H98" s="1173">
        <f t="shared" ref="H98:H105" si="85">C98*G98*$C$156</f>
        <v>182.09278</v>
      </c>
      <c r="I98" s="1318">
        <v>0</v>
      </c>
      <c r="J98" s="1319">
        <f t="shared" ref="J98:J105" si="86">C98*I98/(1-I98)</f>
        <v>0</v>
      </c>
      <c r="K98" s="1320">
        <v>1</v>
      </c>
      <c r="L98" s="1111"/>
      <c r="M98" s="1333"/>
      <c r="N98" s="1321">
        <v>1</v>
      </c>
      <c r="O98" s="1321">
        <v>0</v>
      </c>
      <c r="P98" s="1321">
        <v>0</v>
      </c>
      <c r="Q98" s="1321">
        <v>0</v>
      </c>
      <c r="R98" s="1321">
        <v>0</v>
      </c>
      <c r="S98" s="1321">
        <v>0</v>
      </c>
      <c r="T98" s="1321">
        <v>0</v>
      </c>
      <c r="U98" s="1321">
        <v>0</v>
      </c>
      <c r="V98" s="1321">
        <v>0</v>
      </c>
      <c r="W98" s="1321">
        <v>0</v>
      </c>
      <c r="X98" s="1321">
        <v>0</v>
      </c>
      <c r="Y98" s="1321">
        <v>0</v>
      </c>
      <c r="Z98" s="1321">
        <v>0</v>
      </c>
      <c r="AA98" s="1321">
        <v>0</v>
      </c>
      <c r="AB98" s="1321">
        <v>0</v>
      </c>
      <c r="AC98" s="1321">
        <v>0</v>
      </c>
      <c r="AD98" s="1321">
        <v>0</v>
      </c>
      <c r="AE98" s="1321">
        <v>0</v>
      </c>
      <c r="AF98" s="1321">
        <v>0</v>
      </c>
      <c r="AG98" s="1321">
        <v>0</v>
      </c>
      <c r="AH98" s="1321">
        <v>0</v>
      </c>
      <c r="AI98" s="1321">
        <v>0</v>
      </c>
      <c r="AJ98" s="1321">
        <v>0</v>
      </c>
      <c r="AK98" s="1321">
        <v>0</v>
      </c>
      <c r="AL98" s="1321">
        <v>0</v>
      </c>
      <c r="AM98" s="1321">
        <v>0</v>
      </c>
      <c r="AN98" s="1321">
        <v>0</v>
      </c>
      <c r="AO98" s="1321">
        <v>0</v>
      </c>
      <c r="AP98" s="1321">
        <v>0</v>
      </c>
      <c r="AQ98" s="1321">
        <v>0</v>
      </c>
      <c r="AR98" s="1316"/>
    </row>
    <row r="99" spans="1:44" s="1107" customFormat="1" outlineLevel="1">
      <c r="A99" s="1306"/>
      <c r="B99" s="1334" t="s">
        <v>681</v>
      </c>
      <c r="C99" s="1523">
        <f>Scenarios!E141</f>
        <v>0</v>
      </c>
      <c r="D99" s="1308"/>
      <c r="E99" s="1318">
        <v>0</v>
      </c>
      <c r="F99" s="1173">
        <f t="shared" si="84"/>
        <v>0</v>
      </c>
      <c r="G99" s="1318">
        <v>1</v>
      </c>
      <c r="H99" s="1173">
        <f t="shared" si="85"/>
        <v>0</v>
      </c>
      <c r="I99" s="1318">
        <v>0</v>
      </c>
      <c r="J99" s="1319">
        <f t="shared" si="86"/>
        <v>0</v>
      </c>
      <c r="K99" s="1323">
        <v>1</v>
      </c>
      <c r="L99" s="1111"/>
      <c r="M99" s="1333"/>
      <c r="N99" s="1321">
        <v>1</v>
      </c>
      <c r="O99" s="1321">
        <v>0</v>
      </c>
      <c r="P99" s="1321">
        <v>0</v>
      </c>
      <c r="Q99" s="1321">
        <v>0</v>
      </c>
      <c r="R99" s="1321">
        <v>0</v>
      </c>
      <c r="S99" s="1321">
        <v>0</v>
      </c>
      <c r="T99" s="1321">
        <v>0</v>
      </c>
      <c r="U99" s="1321">
        <v>0</v>
      </c>
      <c r="V99" s="1321">
        <v>0</v>
      </c>
      <c r="W99" s="1321">
        <v>0</v>
      </c>
      <c r="X99" s="1321">
        <v>0</v>
      </c>
      <c r="Y99" s="1321">
        <v>0</v>
      </c>
      <c r="Z99" s="1321">
        <v>0</v>
      </c>
      <c r="AA99" s="1321">
        <v>0</v>
      </c>
      <c r="AB99" s="1321">
        <v>0</v>
      </c>
      <c r="AC99" s="1321">
        <v>0</v>
      </c>
      <c r="AD99" s="1321">
        <v>0</v>
      </c>
      <c r="AE99" s="1321">
        <v>0</v>
      </c>
      <c r="AF99" s="1321">
        <v>0</v>
      </c>
      <c r="AG99" s="1321">
        <v>0</v>
      </c>
      <c r="AH99" s="1321">
        <v>0</v>
      </c>
      <c r="AI99" s="1321">
        <v>0</v>
      </c>
      <c r="AJ99" s="1321">
        <v>0</v>
      </c>
      <c r="AK99" s="1321">
        <v>0</v>
      </c>
      <c r="AL99" s="1321">
        <v>0</v>
      </c>
      <c r="AM99" s="1321">
        <v>0</v>
      </c>
      <c r="AN99" s="1321">
        <v>0</v>
      </c>
      <c r="AO99" s="1321">
        <v>0</v>
      </c>
      <c r="AP99" s="1321">
        <v>0</v>
      </c>
      <c r="AQ99" s="1321">
        <v>0</v>
      </c>
      <c r="AR99" s="1316"/>
    </row>
    <row r="100" spans="1:44" s="1107" customFormat="1" outlineLevel="1">
      <c r="A100" s="1306" t="s">
        <v>959</v>
      </c>
      <c r="B100" s="1334" t="s">
        <v>682</v>
      </c>
      <c r="C100" s="1523">
        <f>Scenarios!E142</f>
        <v>10</v>
      </c>
      <c r="D100" s="1308">
        <f t="shared" ref="D100:D115" si="87">C100/C$150</f>
        <v>0.13287270794578793</v>
      </c>
      <c r="E100" s="1318">
        <v>0</v>
      </c>
      <c r="F100" s="1173">
        <f t="shared" si="84"/>
        <v>0</v>
      </c>
      <c r="G100" s="1318">
        <v>1</v>
      </c>
      <c r="H100" s="1173">
        <f t="shared" si="85"/>
        <v>1.7000000000000002</v>
      </c>
      <c r="I100" s="1318">
        <v>0</v>
      </c>
      <c r="J100" s="1319">
        <f t="shared" si="86"/>
        <v>0</v>
      </c>
      <c r="K100" s="1323">
        <v>1</v>
      </c>
      <c r="L100" s="1111"/>
      <c r="M100" s="1333"/>
      <c r="N100" s="1321">
        <v>1</v>
      </c>
      <c r="O100" s="1321">
        <v>0</v>
      </c>
      <c r="P100" s="1321">
        <v>0</v>
      </c>
      <c r="Q100" s="1321">
        <v>0</v>
      </c>
      <c r="R100" s="1321">
        <v>0</v>
      </c>
      <c r="S100" s="1321">
        <v>0</v>
      </c>
      <c r="T100" s="1321">
        <v>0</v>
      </c>
      <c r="U100" s="1321">
        <v>0</v>
      </c>
      <c r="V100" s="1321">
        <v>0</v>
      </c>
      <c r="W100" s="1321">
        <v>0</v>
      </c>
      <c r="X100" s="1321">
        <v>0</v>
      </c>
      <c r="Y100" s="1321">
        <v>0</v>
      </c>
      <c r="Z100" s="1321">
        <v>0</v>
      </c>
      <c r="AA100" s="1321">
        <v>0</v>
      </c>
      <c r="AB100" s="1321">
        <v>0</v>
      </c>
      <c r="AC100" s="1321">
        <v>0</v>
      </c>
      <c r="AD100" s="1321">
        <v>0</v>
      </c>
      <c r="AE100" s="1321">
        <v>0</v>
      </c>
      <c r="AF100" s="1321">
        <v>0</v>
      </c>
      <c r="AG100" s="1321">
        <v>0</v>
      </c>
      <c r="AH100" s="1321">
        <v>0</v>
      </c>
      <c r="AI100" s="1321">
        <v>0</v>
      </c>
      <c r="AJ100" s="1321">
        <v>0</v>
      </c>
      <c r="AK100" s="1321">
        <v>0</v>
      </c>
      <c r="AL100" s="1321">
        <v>0</v>
      </c>
      <c r="AM100" s="1321">
        <v>0</v>
      </c>
      <c r="AN100" s="1321">
        <v>0</v>
      </c>
      <c r="AO100" s="1321">
        <v>0</v>
      </c>
      <c r="AP100" s="1321">
        <v>0</v>
      </c>
      <c r="AQ100" s="1321">
        <v>0</v>
      </c>
      <c r="AR100" s="1316"/>
    </row>
    <row r="101" spans="1:44" s="1107" customFormat="1" outlineLevel="1">
      <c r="A101" s="1306"/>
      <c r="B101" s="1334" t="s">
        <v>684</v>
      </c>
      <c r="C101" s="1523">
        <f>Scenarios!E143</f>
        <v>30</v>
      </c>
      <c r="D101" s="1308">
        <f t="shared" si="87"/>
        <v>0.39861812383736378</v>
      </c>
      <c r="E101" s="1318">
        <v>0</v>
      </c>
      <c r="F101" s="1173">
        <f t="shared" si="84"/>
        <v>0</v>
      </c>
      <c r="G101" s="1318">
        <v>1</v>
      </c>
      <c r="H101" s="1173">
        <f t="shared" si="85"/>
        <v>5.1000000000000005</v>
      </c>
      <c r="I101" s="1318">
        <v>0</v>
      </c>
      <c r="J101" s="1319">
        <f t="shared" si="86"/>
        <v>0</v>
      </c>
      <c r="K101" s="1323">
        <v>1</v>
      </c>
      <c r="L101" s="1111"/>
      <c r="M101" s="1333"/>
      <c r="N101" s="1321">
        <v>1</v>
      </c>
      <c r="O101" s="1321">
        <v>0</v>
      </c>
      <c r="P101" s="1321">
        <v>0</v>
      </c>
      <c r="Q101" s="1321">
        <v>0</v>
      </c>
      <c r="R101" s="1321">
        <v>0</v>
      </c>
      <c r="S101" s="1321">
        <v>0</v>
      </c>
      <c r="T101" s="1321">
        <v>0</v>
      </c>
      <c r="U101" s="1321">
        <v>0</v>
      </c>
      <c r="V101" s="1321">
        <v>0</v>
      </c>
      <c r="W101" s="1321">
        <v>0</v>
      </c>
      <c r="X101" s="1321">
        <v>0</v>
      </c>
      <c r="Y101" s="1321">
        <v>0</v>
      </c>
      <c r="Z101" s="1321">
        <v>0</v>
      </c>
      <c r="AA101" s="1321">
        <v>0</v>
      </c>
      <c r="AB101" s="1321">
        <v>0</v>
      </c>
      <c r="AC101" s="1321">
        <v>0</v>
      </c>
      <c r="AD101" s="1321">
        <v>0</v>
      </c>
      <c r="AE101" s="1321">
        <v>0</v>
      </c>
      <c r="AF101" s="1321">
        <v>0</v>
      </c>
      <c r="AG101" s="1321">
        <v>0</v>
      </c>
      <c r="AH101" s="1321">
        <v>0</v>
      </c>
      <c r="AI101" s="1321">
        <v>0</v>
      </c>
      <c r="AJ101" s="1321">
        <v>0</v>
      </c>
      <c r="AK101" s="1321">
        <v>0</v>
      </c>
      <c r="AL101" s="1321">
        <v>0</v>
      </c>
      <c r="AM101" s="1321">
        <v>0</v>
      </c>
      <c r="AN101" s="1321">
        <v>0</v>
      </c>
      <c r="AO101" s="1321">
        <v>0</v>
      </c>
      <c r="AP101" s="1321">
        <v>0</v>
      </c>
      <c r="AQ101" s="1321">
        <v>0</v>
      </c>
      <c r="AR101" s="1316"/>
    </row>
    <row r="102" spans="1:44" s="1107" customFormat="1" outlineLevel="1">
      <c r="A102" s="1306" t="s">
        <v>960</v>
      </c>
      <c r="B102" s="1334" t="s">
        <v>685</v>
      </c>
      <c r="C102" s="1523">
        <f>Scenarios!E144</f>
        <v>30</v>
      </c>
      <c r="D102" s="1308">
        <f t="shared" si="87"/>
        <v>0.39861812383736378</v>
      </c>
      <c r="E102" s="1318">
        <v>0</v>
      </c>
      <c r="F102" s="1173">
        <f t="shared" si="84"/>
        <v>0</v>
      </c>
      <c r="G102" s="1318">
        <v>1</v>
      </c>
      <c r="H102" s="1173">
        <f t="shared" si="85"/>
        <v>5.1000000000000005</v>
      </c>
      <c r="I102" s="1318">
        <v>0</v>
      </c>
      <c r="J102" s="1319">
        <f t="shared" si="86"/>
        <v>0</v>
      </c>
      <c r="K102" s="1323">
        <v>1</v>
      </c>
      <c r="L102" s="1111"/>
      <c r="M102" s="1333"/>
      <c r="N102" s="1321">
        <v>1</v>
      </c>
      <c r="O102" s="1321">
        <v>0</v>
      </c>
      <c r="P102" s="1321">
        <v>0</v>
      </c>
      <c r="Q102" s="1321">
        <v>0</v>
      </c>
      <c r="R102" s="1321">
        <v>0</v>
      </c>
      <c r="S102" s="1321">
        <v>0</v>
      </c>
      <c r="T102" s="1321">
        <v>0</v>
      </c>
      <c r="U102" s="1321">
        <v>0</v>
      </c>
      <c r="V102" s="1321">
        <v>0</v>
      </c>
      <c r="W102" s="1321">
        <v>0</v>
      </c>
      <c r="X102" s="1321">
        <v>0</v>
      </c>
      <c r="Y102" s="1321">
        <v>0</v>
      </c>
      <c r="Z102" s="1321">
        <v>0</v>
      </c>
      <c r="AA102" s="1321">
        <v>0</v>
      </c>
      <c r="AB102" s="1321">
        <v>0</v>
      </c>
      <c r="AC102" s="1321">
        <v>0</v>
      </c>
      <c r="AD102" s="1321">
        <v>0</v>
      </c>
      <c r="AE102" s="1321">
        <v>0</v>
      </c>
      <c r="AF102" s="1321">
        <v>0</v>
      </c>
      <c r="AG102" s="1321">
        <v>0</v>
      </c>
      <c r="AH102" s="1321">
        <v>0</v>
      </c>
      <c r="AI102" s="1321">
        <v>0</v>
      </c>
      <c r="AJ102" s="1321">
        <v>0</v>
      </c>
      <c r="AK102" s="1321">
        <v>0</v>
      </c>
      <c r="AL102" s="1321">
        <v>0</v>
      </c>
      <c r="AM102" s="1321">
        <v>0</v>
      </c>
      <c r="AN102" s="1321">
        <v>0</v>
      </c>
      <c r="AO102" s="1321">
        <v>0</v>
      </c>
      <c r="AP102" s="1321">
        <v>0</v>
      </c>
      <c r="AQ102" s="1321">
        <v>0</v>
      </c>
      <c r="AR102" s="1316"/>
    </row>
    <row r="103" spans="1:44" s="1107" customFormat="1" outlineLevel="1">
      <c r="A103" s="1306"/>
      <c r="B103" s="1334" t="s">
        <v>686</v>
      </c>
      <c r="C103" s="1523">
        <f>Scenarios!E145</f>
        <v>10</v>
      </c>
      <c r="D103" s="1308">
        <f t="shared" si="87"/>
        <v>0.13287270794578793</v>
      </c>
      <c r="E103" s="1318">
        <v>0</v>
      </c>
      <c r="F103" s="1173">
        <f t="shared" si="84"/>
        <v>0</v>
      </c>
      <c r="G103" s="1318">
        <v>1</v>
      </c>
      <c r="H103" s="1173">
        <f t="shared" si="85"/>
        <v>1.7000000000000002</v>
      </c>
      <c r="I103" s="1318">
        <v>0</v>
      </c>
      <c r="J103" s="1319">
        <f t="shared" si="86"/>
        <v>0</v>
      </c>
      <c r="K103" s="1323">
        <v>1</v>
      </c>
      <c r="L103" s="1111"/>
      <c r="M103" s="1333"/>
      <c r="N103" s="1321">
        <v>1</v>
      </c>
      <c r="O103" s="1321">
        <v>0</v>
      </c>
      <c r="P103" s="1321">
        <v>0</v>
      </c>
      <c r="Q103" s="1321">
        <v>0</v>
      </c>
      <c r="R103" s="1321">
        <v>0</v>
      </c>
      <c r="S103" s="1321">
        <v>0</v>
      </c>
      <c r="T103" s="1321">
        <v>0</v>
      </c>
      <c r="U103" s="1321">
        <v>0</v>
      </c>
      <c r="V103" s="1321">
        <v>0</v>
      </c>
      <c r="W103" s="1321">
        <v>0</v>
      </c>
      <c r="X103" s="1321">
        <v>0</v>
      </c>
      <c r="Y103" s="1321">
        <v>0</v>
      </c>
      <c r="Z103" s="1321">
        <v>0</v>
      </c>
      <c r="AA103" s="1321">
        <v>0</v>
      </c>
      <c r="AB103" s="1321">
        <v>0</v>
      </c>
      <c r="AC103" s="1321">
        <v>0</v>
      </c>
      <c r="AD103" s="1321">
        <v>0</v>
      </c>
      <c r="AE103" s="1321">
        <v>0</v>
      </c>
      <c r="AF103" s="1321">
        <v>0</v>
      </c>
      <c r="AG103" s="1321">
        <v>0</v>
      </c>
      <c r="AH103" s="1321">
        <v>0</v>
      </c>
      <c r="AI103" s="1321">
        <v>0</v>
      </c>
      <c r="AJ103" s="1321">
        <v>0</v>
      </c>
      <c r="AK103" s="1321">
        <v>0</v>
      </c>
      <c r="AL103" s="1321">
        <v>0</v>
      </c>
      <c r="AM103" s="1321">
        <v>0</v>
      </c>
      <c r="AN103" s="1321">
        <v>0</v>
      </c>
      <c r="AO103" s="1321">
        <v>0</v>
      </c>
      <c r="AP103" s="1321">
        <v>0</v>
      </c>
      <c r="AQ103" s="1321">
        <v>0</v>
      </c>
      <c r="AR103" s="1316"/>
    </row>
    <row r="104" spans="1:44" s="1107" customFormat="1" outlineLevel="1">
      <c r="A104" s="1306" t="s">
        <v>961</v>
      </c>
      <c r="B104" s="1334" t="s">
        <v>687</v>
      </c>
      <c r="C104" s="1523">
        <f>Scenarios!E146</f>
        <v>0</v>
      </c>
      <c r="D104" s="1308">
        <f t="shared" si="87"/>
        <v>0</v>
      </c>
      <c r="E104" s="1318">
        <v>0</v>
      </c>
      <c r="F104" s="1173">
        <f t="shared" si="84"/>
        <v>0</v>
      </c>
      <c r="G104" s="1318">
        <v>1</v>
      </c>
      <c r="H104" s="1173">
        <f t="shared" si="85"/>
        <v>0</v>
      </c>
      <c r="I104" s="1318">
        <v>0</v>
      </c>
      <c r="J104" s="1319">
        <f t="shared" si="86"/>
        <v>0</v>
      </c>
      <c r="K104" s="1323">
        <v>1</v>
      </c>
      <c r="L104" s="1111"/>
      <c r="M104" s="1340"/>
      <c r="N104" s="1321">
        <v>1</v>
      </c>
      <c r="O104" s="1321">
        <v>0</v>
      </c>
      <c r="P104" s="1321">
        <v>0</v>
      </c>
      <c r="Q104" s="1321">
        <v>0</v>
      </c>
      <c r="R104" s="1321">
        <v>0</v>
      </c>
      <c r="S104" s="1321">
        <v>0</v>
      </c>
      <c r="T104" s="1321">
        <v>0</v>
      </c>
      <c r="U104" s="1321">
        <v>0</v>
      </c>
      <c r="V104" s="1321">
        <v>0</v>
      </c>
      <c r="W104" s="1321">
        <v>0</v>
      </c>
      <c r="X104" s="1321">
        <v>0</v>
      </c>
      <c r="Y104" s="1321">
        <v>0</v>
      </c>
      <c r="Z104" s="1321">
        <v>0</v>
      </c>
      <c r="AA104" s="1321">
        <v>0</v>
      </c>
      <c r="AB104" s="1321">
        <v>0</v>
      </c>
      <c r="AC104" s="1321">
        <v>0</v>
      </c>
      <c r="AD104" s="1321">
        <v>0</v>
      </c>
      <c r="AE104" s="1321">
        <v>0</v>
      </c>
      <c r="AF104" s="1321">
        <v>0</v>
      </c>
      <c r="AG104" s="1321">
        <v>0</v>
      </c>
      <c r="AH104" s="1321">
        <v>0</v>
      </c>
      <c r="AI104" s="1321">
        <v>0</v>
      </c>
      <c r="AJ104" s="1321">
        <v>0</v>
      </c>
      <c r="AK104" s="1321">
        <v>0</v>
      </c>
      <c r="AL104" s="1321">
        <v>0</v>
      </c>
      <c r="AM104" s="1321">
        <v>0</v>
      </c>
      <c r="AN104" s="1321">
        <v>0</v>
      </c>
      <c r="AO104" s="1321">
        <v>0</v>
      </c>
      <c r="AP104" s="1321">
        <v>0</v>
      </c>
      <c r="AQ104" s="1321">
        <v>0</v>
      </c>
      <c r="AR104" s="1316"/>
    </row>
    <row r="105" spans="1:44" s="1107" customFormat="1">
      <c r="A105" s="1306" t="s">
        <v>962</v>
      </c>
      <c r="B105" s="1167" t="s">
        <v>598</v>
      </c>
      <c r="C105" s="1307">
        <f>SUM(F7:F115)</f>
        <v>1986.4400000000007</v>
      </c>
      <c r="D105" s="1308">
        <f t="shared" si="87"/>
        <v>26.394366197183107</v>
      </c>
      <c r="E105" s="1318">
        <v>0</v>
      </c>
      <c r="F105" s="1173"/>
      <c r="G105" s="1318">
        <v>1</v>
      </c>
      <c r="H105" s="1173">
        <f t="shared" si="85"/>
        <v>337.69480000000016</v>
      </c>
      <c r="I105" s="1318">
        <v>0</v>
      </c>
      <c r="J105" s="1319">
        <f t="shared" si="86"/>
        <v>0</v>
      </c>
      <c r="K105" s="1328">
        <v>1</v>
      </c>
      <c r="L105" s="1111"/>
      <c r="M105" s="1341">
        <f>(ABS(SUMIF(N$3:AQ$3,"&lt;="&amp;$C$149,N105:AQ105)-1)+ABS(SUM(N105:AQ105)-1))*(C105&lt;&gt;0)</f>
        <v>0</v>
      </c>
      <c r="N105" s="1321">
        <v>1</v>
      </c>
      <c r="O105" s="1321">
        <v>0</v>
      </c>
      <c r="P105" s="1321">
        <v>0</v>
      </c>
      <c r="Q105" s="1321">
        <v>0</v>
      </c>
      <c r="R105" s="1321">
        <v>0</v>
      </c>
      <c r="S105" s="1321">
        <v>0</v>
      </c>
      <c r="T105" s="1321">
        <v>0</v>
      </c>
      <c r="U105" s="1321">
        <v>0</v>
      </c>
      <c r="V105" s="1321">
        <v>0</v>
      </c>
      <c r="W105" s="1321">
        <v>0</v>
      </c>
      <c r="X105" s="1321">
        <v>0</v>
      </c>
      <c r="Y105" s="1321">
        <v>0</v>
      </c>
      <c r="Z105" s="1321">
        <v>0</v>
      </c>
      <c r="AA105" s="1321">
        <v>0</v>
      </c>
      <c r="AB105" s="1321">
        <v>0</v>
      </c>
      <c r="AC105" s="1321">
        <v>0</v>
      </c>
      <c r="AD105" s="1321">
        <v>0</v>
      </c>
      <c r="AE105" s="1321">
        <v>0</v>
      </c>
      <c r="AF105" s="1321">
        <v>0</v>
      </c>
      <c r="AG105" s="1321">
        <v>0</v>
      </c>
      <c r="AH105" s="1321">
        <v>0</v>
      </c>
      <c r="AI105" s="1321">
        <v>0</v>
      </c>
      <c r="AJ105" s="1321">
        <v>0</v>
      </c>
      <c r="AK105" s="1321">
        <v>0</v>
      </c>
      <c r="AL105" s="1321">
        <v>0</v>
      </c>
      <c r="AM105" s="1321">
        <v>0</v>
      </c>
      <c r="AN105" s="1321">
        <v>0</v>
      </c>
      <c r="AO105" s="1321">
        <v>0</v>
      </c>
      <c r="AP105" s="1321">
        <v>0</v>
      </c>
      <c r="AQ105" s="1321">
        <v>0</v>
      </c>
      <c r="AR105" s="1316"/>
    </row>
    <row r="106" spans="1:44" s="1107" customFormat="1">
      <c r="A106" s="1306" t="s">
        <v>963</v>
      </c>
      <c r="B106" s="1167" t="s">
        <v>691</v>
      </c>
      <c r="C106" s="1307">
        <f>SUM(C107:C110)</f>
        <v>0</v>
      </c>
      <c r="D106" s="1308">
        <f t="shared" si="87"/>
        <v>0</v>
      </c>
      <c r="E106" s="18"/>
      <c r="F106" s="1330"/>
      <c r="G106" s="1188"/>
      <c r="H106" s="1331"/>
      <c r="I106" s="1188"/>
      <c r="J106" s="1331"/>
      <c r="K106" s="1332"/>
      <c r="L106" s="1111"/>
      <c r="M106" s="1341">
        <f>(ABS(SUMIF(N$3:AQ$3,"&lt;="&amp;$C$149,N106:AQ106)-1)+ABS(SUM(N106:AQ106)-1))*(C106&lt;&gt;0)</f>
        <v>0</v>
      </c>
      <c r="N106" s="1315">
        <f>SUMPRODUCT(N107:N110,$C107:$C110)/IF($C106&lt;&gt;0,$C106,1)</f>
        <v>0</v>
      </c>
      <c r="O106" s="1315">
        <f t="shared" ref="O106:AQ106" si="88">SUMPRODUCT(O107:O110,$C107:$C110)/IF($C106&lt;&gt;0,$C106,1)</f>
        <v>0</v>
      </c>
      <c r="P106" s="1315">
        <f t="shared" si="88"/>
        <v>0</v>
      </c>
      <c r="Q106" s="1315">
        <f t="shared" si="88"/>
        <v>0</v>
      </c>
      <c r="R106" s="1315">
        <f t="shared" si="88"/>
        <v>0</v>
      </c>
      <c r="S106" s="1315">
        <f t="shared" si="88"/>
        <v>0</v>
      </c>
      <c r="T106" s="1315">
        <f t="shared" si="88"/>
        <v>0</v>
      </c>
      <c r="U106" s="1315">
        <f t="shared" si="88"/>
        <v>0</v>
      </c>
      <c r="V106" s="1315">
        <f t="shared" si="88"/>
        <v>0</v>
      </c>
      <c r="W106" s="1315">
        <f t="shared" si="88"/>
        <v>0</v>
      </c>
      <c r="X106" s="1315">
        <f t="shared" si="88"/>
        <v>0</v>
      </c>
      <c r="Y106" s="1315">
        <f t="shared" si="88"/>
        <v>0</v>
      </c>
      <c r="Z106" s="1315">
        <f t="shared" si="88"/>
        <v>0</v>
      </c>
      <c r="AA106" s="1315">
        <f t="shared" si="88"/>
        <v>0</v>
      </c>
      <c r="AB106" s="1315">
        <f t="shared" si="88"/>
        <v>0</v>
      </c>
      <c r="AC106" s="1315">
        <f t="shared" si="88"/>
        <v>0</v>
      </c>
      <c r="AD106" s="1315">
        <f t="shared" si="88"/>
        <v>0</v>
      </c>
      <c r="AE106" s="1315">
        <f t="shared" si="88"/>
        <v>0</v>
      </c>
      <c r="AF106" s="1315">
        <f t="shared" si="88"/>
        <v>0</v>
      </c>
      <c r="AG106" s="1315">
        <f t="shared" si="88"/>
        <v>0</v>
      </c>
      <c r="AH106" s="1315">
        <f t="shared" si="88"/>
        <v>0</v>
      </c>
      <c r="AI106" s="1315">
        <f t="shared" si="88"/>
        <v>0</v>
      </c>
      <c r="AJ106" s="1315">
        <f t="shared" si="88"/>
        <v>0</v>
      </c>
      <c r="AK106" s="1315">
        <f t="shared" si="88"/>
        <v>0</v>
      </c>
      <c r="AL106" s="1315">
        <f t="shared" si="88"/>
        <v>0</v>
      </c>
      <c r="AM106" s="1315">
        <f t="shared" si="88"/>
        <v>0</v>
      </c>
      <c r="AN106" s="1315">
        <f t="shared" si="88"/>
        <v>0</v>
      </c>
      <c r="AO106" s="1315">
        <f t="shared" si="88"/>
        <v>0</v>
      </c>
      <c r="AP106" s="1315">
        <f t="shared" si="88"/>
        <v>0</v>
      </c>
      <c r="AQ106" s="1315">
        <f t="shared" si="88"/>
        <v>0</v>
      </c>
      <c r="AR106" s="1316"/>
    </row>
    <row r="107" spans="1:44" s="1107" customFormat="1" outlineLevel="1">
      <c r="A107" s="1306" t="s">
        <v>964</v>
      </c>
      <c r="B107" s="1152" t="s">
        <v>965</v>
      </c>
      <c r="C107" s="1228">
        <f>SUM(J7:J104)+SUM(J113:J115)</f>
        <v>0</v>
      </c>
      <c r="D107" s="1308">
        <f t="shared" si="87"/>
        <v>0</v>
      </c>
      <c r="E107" s="1318">
        <v>0</v>
      </c>
      <c r="F107" s="1173">
        <f>E107*C107</f>
        <v>0</v>
      </c>
      <c r="G107" s="1318">
        <v>1</v>
      </c>
      <c r="H107" s="1319">
        <f>C107*G107*$C$156</f>
        <v>0</v>
      </c>
      <c r="I107" s="1318">
        <v>0</v>
      </c>
      <c r="J107" s="1319">
        <f>C107*I107/(1-I107)</f>
        <v>0</v>
      </c>
      <c r="K107" s="1320">
        <v>1</v>
      </c>
      <c r="L107" s="1111"/>
      <c r="M107" s="1340"/>
      <c r="N107" s="1321">
        <v>1</v>
      </c>
      <c r="O107" s="1321">
        <v>0</v>
      </c>
      <c r="P107" s="1321">
        <v>0</v>
      </c>
      <c r="Q107" s="1321">
        <v>0</v>
      </c>
      <c r="R107" s="1321">
        <v>0</v>
      </c>
      <c r="S107" s="1321">
        <v>0</v>
      </c>
      <c r="T107" s="1321">
        <v>0</v>
      </c>
      <c r="U107" s="1321">
        <v>0</v>
      </c>
      <c r="V107" s="1321">
        <v>0</v>
      </c>
      <c r="W107" s="1321">
        <v>0</v>
      </c>
      <c r="X107" s="1321">
        <v>0</v>
      </c>
      <c r="Y107" s="1321">
        <v>0</v>
      </c>
      <c r="Z107" s="1321">
        <v>0</v>
      </c>
      <c r="AA107" s="1321">
        <v>0</v>
      </c>
      <c r="AB107" s="1321">
        <v>0</v>
      </c>
      <c r="AC107" s="1321">
        <v>0</v>
      </c>
      <c r="AD107" s="1321">
        <v>0</v>
      </c>
      <c r="AE107" s="1321">
        <v>0</v>
      </c>
      <c r="AF107" s="1321">
        <v>0</v>
      </c>
      <c r="AG107" s="1321">
        <v>0</v>
      </c>
      <c r="AH107" s="1321">
        <v>0</v>
      </c>
      <c r="AI107" s="1321">
        <v>0</v>
      </c>
      <c r="AJ107" s="1321">
        <v>0</v>
      </c>
      <c r="AK107" s="1321">
        <v>0</v>
      </c>
      <c r="AL107" s="1321">
        <v>0</v>
      </c>
      <c r="AM107" s="1321">
        <v>0</v>
      </c>
      <c r="AN107" s="1321">
        <v>0</v>
      </c>
      <c r="AO107" s="1321">
        <v>0</v>
      </c>
      <c r="AP107" s="1321">
        <v>0</v>
      </c>
      <c r="AQ107" s="1321">
        <v>0</v>
      </c>
      <c r="AR107" s="1316"/>
    </row>
    <row r="108" spans="1:44" s="1107" customFormat="1" outlineLevel="1">
      <c r="A108" s="1306"/>
      <c r="B108" s="1152" t="s">
        <v>693</v>
      </c>
      <c r="C108" s="1523">
        <f>Scenarios!E150</f>
        <v>0</v>
      </c>
      <c r="D108" s="1308">
        <f t="shared" si="87"/>
        <v>0</v>
      </c>
      <c r="E108" s="1318">
        <v>0</v>
      </c>
      <c r="F108" s="1173">
        <f>E108*C108</f>
        <v>0</v>
      </c>
      <c r="G108" s="1318">
        <v>1</v>
      </c>
      <c r="H108" s="1319">
        <f>C108*G108*$C$156</f>
        <v>0</v>
      </c>
      <c r="I108" s="1318">
        <v>0</v>
      </c>
      <c r="J108" s="1319">
        <f>C108*I108/(1-I108)</f>
        <v>0</v>
      </c>
      <c r="K108" s="1320">
        <v>1</v>
      </c>
      <c r="L108" s="1111"/>
      <c r="M108" s="1340"/>
      <c r="N108" s="1321">
        <v>1</v>
      </c>
      <c r="O108" s="1321">
        <v>0</v>
      </c>
      <c r="P108" s="1321">
        <v>0</v>
      </c>
      <c r="Q108" s="1321">
        <v>0</v>
      </c>
      <c r="R108" s="1321">
        <v>0</v>
      </c>
      <c r="S108" s="1321">
        <v>0</v>
      </c>
      <c r="T108" s="1321">
        <v>0</v>
      </c>
      <c r="U108" s="1321">
        <v>0</v>
      </c>
      <c r="V108" s="1321">
        <v>0</v>
      </c>
      <c r="W108" s="1321">
        <v>0</v>
      </c>
      <c r="X108" s="1321">
        <v>0</v>
      </c>
      <c r="Y108" s="1321">
        <v>0</v>
      </c>
      <c r="Z108" s="1321">
        <v>0</v>
      </c>
      <c r="AA108" s="1321">
        <v>0</v>
      </c>
      <c r="AB108" s="1321">
        <v>0</v>
      </c>
      <c r="AC108" s="1321">
        <v>0</v>
      </c>
      <c r="AD108" s="1321">
        <v>0</v>
      </c>
      <c r="AE108" s="1321">
        <v>0</v>
      </c>
      <c r="AF108" s="1321">
        <v>0</v>
      </c>
      <c r="AG108" s="1321">
        <v>0</v>
      </c>
      <c r="AH108" s="1321">
        <v>0</v>
      </c>
      <c r="AI108" s="1321">
        <v>0</v>
      </c>
      <c r="AJ108" s="1321">
        <v>0</v>
      </c>
      <c r="AK108" s="1321">
        <v>0</v>
      </c>
      <c r="AL108" s="1321">
        <v>0</v>
      </c>
      <c r="AM108" s="1321">
        <v>0</v>
      </c>
      <c r="AN108" s="1321">
        <v>0</v>
      </c>
      <c r="AO108" s="1321">
        <v>0</v>
      </c>
      <c r="AP108" s="1321">
        <v>0</v>
      </c>
      <c r="AQ108" s="1321">
        <v>0</v>
      </c>
      <c r="AR108" s="1316"/>
    </row>
    <row r="109" spans="1:44" s="1107" customFormat="1" outlineLevel="1">
      <c r="A109" s="1306"/>
      <c r="B109" s="1152" t="s">
        <v>694</v>
      </c>
      <c r="C109" s="1523">
        <f>Scenarios!E151</f>
        <v>0</v>
      </c>
      <c r="D109" s="1308">
        <f t="shared" si="87"/>
        <v>0</v>
      </c>
      <c r="E109" s="1318">
        <v>0</v>
      </c>
      <c r="F109" s="1173">
        <f>E109*C109</f>
        <v>0</v>
      </c>
      <c r="G109" s="1318">
        <v>1</v>
      </c>
      <c r="H109" s="1319">
        <f>C109*G109*$C$156</f>
        <v>0</v>
      </c>
      <c r="I109" s="1318">
        <v>0</v>
      </c>
      <c r="J109" s="1319">
        <f>C109*I109/(1-I109)</f>
        <v>0</v>
      </c>
      <c r="K109" s="1320">
        <v>1</v>
      </c>
      <c r="L109" s="1111"/>
      <c r="M109" s="1340"/>
      <c r="N109" s="1321">
        <v>1</v>
      </c>
      <c r="O109" s="1321">
        <v>0</v>
      </c>
      <c r="P109" s="1321">
        <v>0</v>
      </c>
      <c r="Q109" s="1321">
        <v>0</v>
      </c>
      <c r="R109" s="1321">
        <v>0</v>
      </c>
      <c r="S109" s="1321">
        <v>0</v>
      </c>
      <c r="T109" s="1321">
        <v>0</v>
      </c>
      <c r="U109" s="1321">
        <v>0</v>
      </c>
      <c r="V109" s="1321">
        <v>0</v>
      </c>
      <c r="W109" s="1321">
        <v>0</v>
      </c>
      <c r="X109" s="1321">
        <v>0</v>
      </c>
      <c r="Y109" s="1321">
        <v>0</v>
      </c>
      <c r="Z109" s="1321">
        <v>0</v>
      </c>
      <c r="AA109" s="1321">
        <v>0</v>
      </c>
      <c r="AB109" s="1321">
        <v>0</v>
      </c>
      <c r="AC109" s="1321">
        <v>0</v>
      </c>
      <c r="AD109" s="1321">
        <v>0</v>
      </c>
      <c r="AE109" s="1321">
        <v>0</v>
      </c>
      <c r="AF109" s="1321">
        <v>0</v>
      </c>
      <c r="AG109" s="1321">
        <v>0</v>
      </c>
      <c r="AH109" s="1321">
        <v>0</v>
      </c>
      <c r="AI109" s="1321">
        <v>0</v>
      </c>
      <c r="AJ109" s="1321">
        <v>0</v>
      </c>
      <c r="AK109" s="1321">
        <v>0</v>
      </c>
      <c r="AL109" s="1321">
        <v>0</v>
      </c>
      <c r="AM109" s="1321">
        <v>0</v>
      </c>
      <c r="AN109" s="1321">
        <v>0</v>
      </c>
      <c r="AO109" s="1321">
        <v>0</v>
      </c>
      <c r="AP109" s="1321">
        <v>0</v>
      </c>
      <c r="AQ109" s="1321">
        <v>0</v>
      </c>
      <c r="AR109" s="1316"/>
    </row>
    <row r="110" spans="1:44" s="1107" customFormat="1" outlineLevel="1">
      <c r="A110" s="1306" t="s">
        <v>966</v>
      </c>
      <c r="B110" s="1152" t="s">
        <v>695</v>
      </c>
      <c r="C110" s="1523">
        <f>Scenarios!E152</f>
        <v>0</v>
      </c>
      <c r="D110" s="1308">
        <f t="shared" si="87"/>
        <v>0</v>
      </c>
      <c r="E110" s="1318">
        <v>0</v>
      </c>
      <c r="F110" s="1173">
        <f>E110*C110</f>
        <v>0</v>
      </c>
      <c r="G110" s="1318">
        <v>1</v>
      </c>
      <c r="H110" s="1319">
        <f>C110*G110*$C$156</f>
        <v>0</v>
      </c>
      <c r="I110" s="1318">
        <v>0</v>
      </c>
      <c r="J110" s="1319">
        <f>C110*I110/(1-I110)</f>
        <v>0</v>
      </c>
      <c r="K110" s="1320">
        <v>1</v>
      </c>
      <c r="L110" s="1111"/>
      <c r="M110" s="1340"/>
      <c r="N110" s="1321">
        <v>1</v>
      </c>
      <c r="O110" s="1321">
        <v>0</v>
      </c>
      <c r="P110" s="1321">
        <v>0</v>
      </c>
      <c r="Q110" s="1321">
        <v>0</v>
      </c>
      <c r="R110" s="1321">
        <v>0</v>
      </c>
      <c r="S110" s="1321">
        <v>0</v>
      </c>
      <c r="T110" s="1321">
        <v>0</v>
      </c>
      <c r="U110" s="1321">
        <v>0</v>
      </c>
      <c r="V110" s="1321">
        <v>0</v>
      </c>
      <c r="W110" s="1321">
        <v>0</v>
      </c>
      <c r="X110" s="1321">
        <v>0</v>
      </c>
      <c r="Y110" s="1321">
        <v>0</v>
      </c>
      <c r="Z110" s="1321">
        <v>0</v>
      </c>
      <c r="AA110" s="1321">
        <v>0</v>
      </c>
      <c r="AB110" s="1321">
        <v>0</v>
      </c>
      <c r="AC110" s="1321">
        <v>0</v>
      </c>
      <c r="AD110" s="1321">
        <v>0</v>
      </c>
      <c r="AE110" s="1321">
        <v>0</v>
      </c>
      <c r="AF110" s="1321">
        <v>0</v>
      </c>
      <c r="AG110" s="1321">
        <v>0</v>
      </c>
      <c r="AH110" s="1321">
        <v>0</v>
      </c>
      <c r="AI110" s="1321">
        <v>0</v>
      </c>
      <c r="AJ110" s="1321">
        <v>0</v>
      </c>
      <c r="AK110" s="1321">
        <v>0</v>
      </c>
      <c r="AL110" s="1321">
        <v>0</v>
      </c>
      <c r="AM110" s="1321">
        <v>0</v>
      </c>
      <c r="AN110" s="1321">
        <v>0</v>
      </c>
      <c r="AO110" s="1321">
        <v>0</v>
      </c>
      <c r="AP110" s="1321">
        <v>0</v>
      </c>
      <c r="AQ110" s="1321">
        <v>0</v>
      </c>
      <c r="AR110" s="1316"/>
    </row>
    <row r="111" spans="1:44" s="1107" customFormat="1">
      <c r="A111" s="1306" t="s">
        <v>967</v>
      </c>
      <c r="B111" s="1167" t="s">
        <v>968</v>
      </c>
      <c r="C111" s="1542">
        <f>Scenarios!E159</f>
        <v>18.326999999999998</v>
      </c>
      <c r="D111" s="1308">
        <f t="shared" si="87"/>
        <v>0.2435158118522455</v>
      </c>
      <c r="E111" s="1318">
        <v>0</v>
      </c>
      <c r="F111" s="1173">
        <f>E111*C111</f>
        <v>0</v>
      </c>
      <c r="G111" s="1318">
        <v>1</v>
      </c>
      <c r="H111" s="1319">
        <f>C111*G111*$C$156</f>
        <v>3.1155900000000001</v>
      </c>
      <c r="I111" s="1318">
        <v>0</v>
      </c>
      <c r="J111" s="1319">
        <f>C111*I111/(1-I111)</f>
        <v>0</v>
      </c>
      <c r="K111" s="1320">
        <v>1</v>
      </c>
      <c r="L111" s="1111"/>
      <c r="M111" s="1341">
        <f>(ABS(SUMIF(N$3:AQ$3,"&lt;="&amp;$C$149,N111:AQ111)-1)+ABS(SUM(N111:AQ111)-1))*(C111&lt;&gt;0)</f>
        <v>0</v>
      </c>
      <c r="N111" s="1342">
        <f t="shared" ref="N111:AQ111" si="89">1*(N$3=$C$149)</f>
        <v>0</v>
      </c>
      <c r="O111" s="1342">
        <f t="shared" si="89"/>
        <v>0</v>
      </c>
      <c r="P111" s="1342">
        <f t="shared" si="89"/>
        <v>0</v>
      </c>
      <c r="Q111" s="1342">
        <f t="shared" si="89"/>
        <v>0</v>
      </c>
      <c r="R111" s="1342">
        <f t="shared" si="89"/>
        <v>0</v>
      </c>
      <c r="S111" s="1342">
        <f t="shared" si="89"/>
        <v>0</v>
      </c>
      <c r="T111" s="1342">
        <f t="shared" si="89"/>
        <v>0</v>
      </c>
      <c r="U111" s="1342">
        <f t="shared" si="89"/>
        <v>0</v>
      </c>
      <c r="V111" s="1342">
        <f t="shared" si="89"/>
        <v>0</v>
      </c>
      <c r="W111" s="1342">
        <f t="shared" si="89"/>
        <v>0</v>
      </c>
      <c r="X111" s="1342">
        <f t="shared" si="89"/>
        <v>0</v>
      </c>
      <c r="Y111" s="1342">
        <f t="shared" si="89"/>
        <v>1</v>
      </c>
      <c r="Z111" s="1342">
        <f t="shared" si="89"/>
        <v>0</v>
      </c>
      <c r="AA111" s="1342">
        <f t="shared" si="89"/>
        <v>0</v>
      </c>
      <c r="AB111" s="1342">
        <f t="shared" si="89"/>
        <v>0</v>
      </c>
      <c r="AC111" s="1342">
        <f t="shared" si="89"/>
        <v>0</v>
      </c>
      <c r="AD111" s="1342">
        <f t="shared" si="89"/>
        <v>0</v>
      </c>
      <c r="AE111" s="1342">
        <f t="shared" si="89"/>
        <v>0</v>
      </c>
      <c r="AF111" s="1342">
        <f t="shared" si="89"/>
        <v>0</v>
      </c>
      <c r="AG111" s="1342">
        <f t="shared" si="89"/>
        <v>0</v>
      </c>
      <c r="AH111" s="1342">
        <f t="shared" si="89"/>
        <v>0</v>
      </c>
      <c r="AI111" s="1342">
        <f t="shared" si="89"/>
        <v>0</v>
      </c>
      <c r="AJ111" s="1342">
        <f t="shared" si="89"/>
        <v>0</v>
      </c>
      <c r="AK111" s="1342">
        <f t="shared" si="89"/>
        <v>0</v>
      </c>
      <c r="AL111" s="1342">
        <f t="shared" si="89"/>
        <v>0</v>
      </c>
      <c r="AM111" s="1342">
        <f t="shared" si="89"/>
        <v>0</v>
      </c>
      <c r="AN111" s="1342">
        <f t="shared" si="89"/>
        <v>0</v>
      </c>
      <c r="AO111" s="1342">
        <f t="shared" si="89"/>
        <v>0</v>
      </c>
      <c r="AP111" s="1342">
        <f t="shared" si="89"/>
        <v>0</v>
      </c>
      <c r="AQ111" s="1342">
        <f t="shared" si="89"/>
        <v>0</v>
      </c>
      <c r="AR111" s="1316"/>
    </row>
    <row r="112" spans="1:44">
      <c r="A112" s="1306" t="s">
        <v>969</v>
      </c>
      <c r="B112" s="1167" t="s">
        <v>696</v>
      </c>
      <c r="C112" s="1307">
        <f>SUM(C113:C115)</f>
        <v>8524.4845000000005</v>
      </c>
      <c r="D112" s="1308">
        <f t="shared" si="87"/>
        <v>113.26713393568961</v>
      </c>
      <c r="E112" s="1324"/>
      <c r="F112" s="1310"/>
      <c r="G112" s="1325"/>
      <c r="H112" s="1343"/>
      <c r="I112" s="1325"/>
      <c r="J112" s="1313"/>
      <c r="K112" s="1313"/>
      <c r="L112" s="1111"/>
      <c r="M112" s="1341">
        <f>(ABS(SUMIF(N$3:AQ$3,"&lt;="&amp;$C$149,N112:AQ112)-1)+ABS(SUM(N112:AQ112)-1))*(C112&lt;&gt;0)</f>
        <v>0</v>
      </c>
      <c r="N112" s="1315">
        <f t="shared" ref="N112:AQ112" si="90">SUMPRODUCT(N113:N115,$C113:$C115)/IF($C112&lt;&gt;0,$C112,1)</f>
        <v>1</v>
      </c>
      <c r="O112" s="1315">
        <f t="shared" si="90"/>
        <v>0</v>
      </c>
      <c r="P112" s="1315">
        <f t="shared" si="90"/>
        <v>0</v>
      </c>
      <c r="Q112" s="1315">
        <f t="shared" si="90"/>
        <v>0</v>
      </c>
      <c r="R112" s="1315">
        <f t="shared" si="90"/>
        <v>0</v>
      </c>
      <c r="S112" s="1315">
        <f t="shared" si="90"/>
        <v>0</v>
      </c>
      <c r="T112" s="1315">
        <f t="shared" si="90"/>
        <v>0</v>
      </c>
      <c r="U112" s="1315">
        <f t="shared" si="90"/>
        <v>0</v>
      </c>
      <c r="V112" s="1315">
        <f t="shared" si="90"/>
        <v>0</v>
      </c>
      <c r="W112" s="1315">
        <f t="shared" si="90"/>
        <v>0</v>
      </c>
      <c r="X112" s="1315">
        <f t="shared" si="90"/>
        <v>0</v>
      </c>
      <c r="Y112" s="1315">
        <f t="shared" si="90"/>
        <v>0</v>
      </c>
      <c r="Z112" s="1315">
        <f t="shared" si="90"/>
        <v>0</v>
      </c>
      <c r="AA112" s="1315">
        <f t="shared" si="90"/>
        <v>0</v>
      </c>
      <c r="AB112" s="1315">
        <f t="shared" si="90"/>
        <v>0</v>
      </c>
      <c r="AC112" s="1315">
        <f t="shared" si="90"/>
        <v>0</v>
      </c>
      <c r="AD112" s="1315">
        <f t="shared" si="90"/>
        <v>0</v>
      </c>
      <c r="AE112" s="1315">
        <f t="shared" si="90"/>
        <v>0</v>
      </c>
      <c r="AF112" s="1315">
        <f t="shared" si="90"/>
        <v>0</v>
      </c>
      <c r="AG112" s="1315">
        <f t="shared" si="90"/>
        <v>0</v>
      </c>
      <c r="AH112" s="1315">
        <f t="shared" si="90"/>
        <v>0</v>
      </c>
      <c r="AI112" s="1315">
        <f t="shared" si="90"/>
        <v>0</v>
      </c>
      <c r="AJ112" s="1315">
        <f t="shared" si="90"/>
        <v>0</v>
      </c>
      <c r="AK112" s="1315">
        <f t="shared" si="90"/>
        <v>0</v>
      </c>
      <c r="AL112" s="1315">
        <f t="shared" si="90"/>
        <v>0</v>
      </c>
      <c r="AM112" s="1315">
        <f t="shared" si="90"/>
        <v>0</v>
      </c>
      <c r="AN112" s="1315">
        <f t="shared" si="90"/>
        <v>0</v>
      </c>
      <c r="AO112" s="1315">
        <f t="shared" si="90"/>
        <v>0</v>
      </c>
      <c r="AP112" s="1315">
        <f t="shared" si="90"/>
        <v>0</v>
      </c>
      <c r="AQ112" s="1315">
        <f t="shared" si="90"/>
        <v>0</v>
      </c>
      <c r="AR112" s="1316"/>
    </row>
    <row r="113" spans="1:44">
      <c r="A113" s="1306"/>
      <c r="B113" s="1146" t="s">
        <v>697</v>
      </c>
      <c r="C113" s="1523">
        <f>Scenarios!E154</f>
        <v>2024.4845</v>
      </c>
      <c r="D113" s="1308">
        <f t="shared" si="87"/>
        <v>26.899873770927449</v>
      </c>
      <c r="E113" s="1318">
        <v>0</v>
      </c>
      <c r="F113" s="1173">
        <f>E113*C113</f>
        <v>0</v>
      </c>
      <c r="G113" s="1318">
        <v>1</v>
      </c>
      <c r="H113" s="1319">
        <f>C113*G113*$C$156</f>
        <v>344.16236500000002</v>
      </c>
      <c r="I113" s="1318">
        <v>0</v>
      </c>
      <c r="J113" s="1319">
        <f>C113*I113/(1-I113)</f>
        <v>0</v>
      </c>
      <c r="K113" s="1320">
        <v>1</v>
      </c>
      <c r="L113" s="1111"/>
      <c r="M113" s="18"/>
      <c r="N113" s="1321">
        <v>1</v>
      </c>
      <c r="O113" s="1321">
        <v>0</v>
      </c>
      <c r="P113" s="1321">
        <v>0</v>
      </c>
      <c r="Q113" s="1321">
        <v>0</v>
      </c>
      <c r="R113" s="1321">
        <v>0</v>
      </c>
      <c r="S113" s="1321">
        <v>0</v>
      </c>
      <c r="T113" s="1321">
        <v>0</v>
      </c>
      <c r="U113" s="1321">
        <v>0</v>
      </c>
      <c r="V113" s="1321">
        <v>0</v>
      </c>
      <c r="W113" s="1321">
        <v>0</v>
      </c>
      <c r="X113" s="1321">
        <v>0</v>
      </c>
      <c r="Y113" s="1321">
        <v>0</v>
      </c>
      <c r="Z113" s="1321">
        <v>0</v>
      </c>
      <c r="AA113" s="1321">
        <v>0</v>
      </c>
      <c r="AB113" s="1321">
        <v>0</v>
      </c>
      <c r="AC113" s="1321">
        <v>0</v>
      </c>
      <c r="AD113" s="1321">
        <v>0</v>
      </c>
      <c r="AE113" s="1321">
        <v>0</v>
      </c>
      <c r="AF113" s="1321">
        <v>0</v>
      </c>
      <c r="AG113" s="1321">
        <v>0</v>
      </c>
      <c r="AH113" s="1321">
        <v>0</v>
      </c>
      <c r="AI113" s="1321">
        <v>0</v>
      </c>
      <c r="AJ113" s="1321">
        <v>0</v>
      </c>
      <c r="AK113" s="1321">
        <v>0</v>
      </c>
      <c r="AL113" s="1321">
        <v>0</v>
      </c>
      <c r="AM113" s="1321">
        <v>0</v>
      </c>
      <c r="AN113" s="1321">
        <v>0</v>
      </c>
      <c r="AO113" s="1321">
        <v>0</v>
      </c>
      <c r="AP113" s="1321">
        <v>0</v>
      </c>
      <c r="AQ113" s="1321">
        <v>0</v>
      </c>
      <c r="AR113" s="1316"/>
    </row>
    <row r="114" spans="1:44">
      <c r="A114" s="1306"/>
      <c r="B114" s="1146" t="s">
        <v>699</v>
      </c>
      <c r="C114" s="1523">
        <f>Scenarios!E156</f>
        <v>0</v>
      </c>
      <c r="D114" s="1308">
        <f t="shared" si="87"/>
        <v>0</v>
      </c>
      <c r="E114" s="1318">
        <v>0</v>
      </c>
      <c r="F114" s="1173">
        <f>E114*C114</f>
        <v>0</v>
      </c>
      <c r="G114" s="1318">
        <v>1</v>
      </c>
      <c r="H114" s="1319">
        <f>C114*G114*$C$156</f>
        <v>0</v>
      </c>
      <c r="I114" s="1318">
        <v>0</v>
      </c>
      <c r="J114" s="1319">
        <f>C114*I114/(1-I114)</f>
        <v>0</v>
      </c>
      <c r="K114" s="1320">
        <v>1</v>
      </c>
      <c r="L114" s="1111"/>
      <c r="M114" s="18"/>
      <c r="N114" s="1321">
        <v>1</v>
      </c>
      <c r="O114" s="1321">
        <v>0</v>
      </c>
      <c r="P114" s="1321">
        <v>0</v>
      </c>
      <c r="Q114" s="1321">
        <v>0</v>
      </c>
      <c r="R114" s="1321">
        <v>0</v>
      </c>
      <c r="S114" s="1321">
        <v>0</v>
      </c>
      <c r="T114" s="1321">
        <v>0</v>
      </c>
      <c r="U114" s="1321">
        <v>0</v>
      </c>
      <c r="V114" s="1321">
        <v>0</v>
      </c>
      <c r="W114" s="1321">
        <v>0</v>
      </c>
      <c r="X114" s="1321">
        <v>0</v>
      </c>
      <c r="Y114" s="1321">
        <v>0</v>
      </c>
      <c r="Z114" s="1321">
        <v>0</v>
      </c>
      <c r="AA114" s="1321">
        <v>0</v>
      </c>
      <c r="AB114" s="1321">
        <v>0</v>
      </c>
      <c r="AC114" s="1321">
        <v>0</v>
      </c>
      <c r="AD114" s="1321">
        <v>0</v>
      </c>
      <c r="AE114" s="1321">
        <v>0</v>
      </c>
      <c r="AF114" s="1321">
        <v>0</v>
      </c>
      <c r="AG114" s="1321">
        <v>0</v>
      </c>
      <c r="AH114" s="1321">
        <v>0</v>
      </c>
      <c r="AI114" s="1321">
        <v>0</v>
      </c>
      <c r="AJ114" s="1321">
        <v>0</v>
      </c>
      <c r="AK114" s="1321">
        <v>0</v>
      </c>
      <c r="AL114" s="1321">
        <v>0</v>
      </c>
      <c r="AM114" s="1321">
        <v>0</v>
      </c>
      <c r="AN114" s="1321">
        <v>0</v>
      </c>
      <c r="AO114" s="1321">
        <v>0</v>
      </c>
      <c r="AP114" s="1321">
        <v>0</v>
      </c>
      <c r="AQ114" s="1321">
        <v>0</v>
      </c>
      <c r="AR114" s="1316"/>
    </row>
    <row r="115" spans="1:44">
      <c r="A115" s="1306"/>
      <c r="B115" s="1146" t="s">
        <v>702</v>
      </c>
      <c r="C115" s="1523">
        <f>Scenarios!E158</f>
        <v>6500</v>
      </c>
      <c r="D115" s="1308">
        <f t="shared" si="87"/>
        <v>86.367260164762158</v>
      </c>
      <c r="E115" s="1318">
        <v>0</v>
      </c>
      <c r="F115" s="1173">
        <f>E115*C115</f>
        <v>0</v>
      </c>
      <c r="G115" s="1318">
        <v>1</v>
      </c>
      <c r="H115" s="1319">
        <f>C115*G115*$C$156</f>
        <v>1105</v>
      </c>
      <c r="I115" s="1318">
        <v>0</v>
      </c>
      <c r="J115" s="1319">
        <f>C115*I115/(1-I115)</f>
        <v>0</v>
      </c>
      <c r="K115" s="1320">
        <v>1</v>
      </c>
      <c r="L115" s="1111"/>
      <c r="M115" s="18"/>
      <c r="N115" s="1321">
        <v>1</v>
      </c>
      <c r="O115" s="1321">
        <v>0</v>
      </c>
      <c r="P115" s="1321">
        <v>0</v>
      </c>
      <c r="Q115" s="1321">
        <v>0</v>
      </c>
      <c r="R115" s="1321">
        <v>0</v>
      </c>
      <c r="S115" s="1321">
        <v>0</v>
      </c>
      <c r="T115" s="1321">
        <v>0</v>
      </c>
      <c r="U115" s="1321">
        <v>0</v>
      </c>
      <c r="V115" s="1321">
        <v>0</v>
      </c>
      <c r="W115" s="1321">
        <v>0</v>
      </c>
      <c r="X115" s="1321">
        <v>0</v>
      </c>
      <c r="Y115" s="1321">
        <v>0</v>
      </c>
      <c r="Z115" s="1321">
        <v>0</v>
      </c>
      <c r="AA115" s="1321">
        <v>0</v>
      </c>
      <c r="AB115" s="1321">
        <v>0</v>
      </c>
      <c r="AC115" s="1321">
        <v>0</v>
      </c>
      <c r="AD115" s="1321">
        <v>0</v>
      </c>
      <c r="AE115" s="1321">
        <v>0</v>
      </c>
      <c r="AF115" s="1321">
        <v>0</v>
      </c>
      <c r="AG115" s="1321">
        <v>0</v>
      </c>
      <c r="AH115" s="1321">
        <v>0</v>
      </c>
      <c r="AI115" s="1321">
        <v>0</v>
      </c>
      <c r="AJ115" s="1321">
        <v>0</v>
      </c>
      <c r="AK115" s="1321">
        <v>0</v>
      </c>
      <c r="AL115" s="1321">
        <v>0</v>
      </c>
      <c r="AM115" s="1321">
        <v>0</v>
      </c>
      <c r="AN115" s="1321">
        <v>0</v>
      </c>
      <c r="AO115" s="1321">
        <v>0</v>
      </c>
      <c r="AP115" s="1321">
        <v>0</v>
      </c>
      <c r="AQ115" s="1321">
        <v>0</v>
      </c>
      <c r="AR115" s="1316"/>
    </row>
    <row r="116" spans="1:44" s="1107" customFormat="1">
      <c r="A116" s="1344"/>
      <c r="B116" s="1344"/>
      <c r="C116" s="1133"/>
      <c r="D116" s="1345"/>
      <c r="E116" s="1346"/>
      <c r="F116" s="1330"/>
      <c r="G116" s="1188"/>
      <c r="H116" s="1331"/>
      <c r="I116" s="1188"/>
      <c r="J116" s="1331"/>
      <c r="K116" s="1332"/>
      <c r="L116" s="1332"/>
      <c r="M116" s="1332"/>
      <c r="N116" s="1332"/>
      <c r="O116" s="1347"/>
      <c r="P116" s="1347"/>
      <c r="Q116" s="1347"/>
      <c r="R116" s="1347"/>
      <c r="S116" s="1347"/>
      <c r="T116" s="1347"/>
      <c r="U116" s="1347"/>
      <c r="V116" s="1347"/>
      <c r="W116" s="1347"/>
      <c r="X116" s="1347"/>
      <c r="Y116" s="1347"/>
      <c r="Z116" s="1347"/>
      <c r="AA116" s="1347"/>
      <c r="AB116" s="1347"/>
      <c r="AC116" s="1347"/>
      <c r="AD116" s="1347"/>
      <c r="AE116" s="1347"/>
      <c r="AF116" s="1347"/>
      <c r="AG116" s="1347"/>
      <c r="AH116" s="1347"/>
      <c r="AI116" s="1347"/>
      <c r="AJ116" s="1347"/>
      <c r="AK116" s="1347"/>
      <c r="AL116" s="1347"/>
      <c r="AM116" s="1347"/>
      <c r="AN116" s="1347"/>
      <c r="AO116" s="1347"/>
      <c r="AP116" s="1347"/>
      <c r="AQ116" s="1347"/>
      <c r="AR116" s="1344"/>
    </row>
    <row r="117" spans="1:44">
      <c r="A117" s="1348"/>
      <c r="B117" s="1349" t="s">
        <v>970</v>
      </c>
      <c r="C117" s="1350">
        <f>SUM(C6,C9,C13,C18,C24,C31,C47,C54,C57,C82,C86,C90,C97,C105,C106,C111,C112)</f>
        <v>55999.085499999994</v>
      </c>
      <c r="D117" s="1308">
        <f>C117/C$150</f>
        <v>744.07501328727062</v>
      </c>
      <c r="E117" s="1215"/>
      <c r="F117" s="1215"/>
      <c r="G117" s="1337"/>
      <c r="H117" s="1215"/>
      <c r="I117" s="1337"/>
      <c r="J117" s="1215"/>
      <c r="K117" s="1215"/>
      <c r="L117" s="1215"/>
      <c r="M117" s="1215"/>
      <c r="N117" s="1215"/>
      <c r="O117" s="1215"/>
      <c r="P117" s="1215"/>
      <c r="Q117" s="1215"/>
      <c r="R117" s="1215"/>
      <c r="S117" s="1215"/>
      <c r="T117" s="1215"/>
      <c r="U117" s="1215"/>
      <c r="V117" s="1215"/>
      <c r="W117" s="1215"/>
      <c r="X117" s="1215"/>
      <c r="Y117" s="1215"/>
      <c r="Z117" s="1215"/>
      <c r="AA117" s="1215"/>
      <c r="AB117" s="1215"/>
      <c r="AC117" s="1215"/>
      <c r="AD117" s="1215"/>
      <c r="AE117" s="1215"/>
      <c r="AF117" s="1215"/>
      <c r="AG117" s="1215"/>
      <c r="AH117" s="1215"/>
      <c r="AI117" s="1215"/>
      <c r="AJ117" s="1215"/>
      <c r="AK117" s="1215"/>
      <c r="AL117" s="1215"/>
      <c r="AM117" s="1215"/>
      <c r="AN117" s="1215"/>
      <c r="AO117" s="1215"/>
      <c r="AP117" s="1215"/>
      <c r="AQ117" s="1215"/>
      <c r="AR117" s="1215"/>
    </row>
    <row r="118" spans="1:44">
      <c r="A118" s="1348"/>
      <c r="B118" s="1351"/>
      <c r="C118" s="1133"/>
      <c r="D118" s="1308">
        <f>C118/C$150</f>
        <v>0</v>
      </c>
      <c r="E118" s="1215"/>
      <c r="F118" s="1215"/>
      <c r="G118" s="1337"/>
      <c r="H118" s="1215"/>
      <c r="I118" s="1337"/>
      <c r="J118" s="1215"/>
      <c r="K118" s="1215"/>
      <c r="L118" s="1215"/>
      <c r="M118" s="1215"/>
      <c r="N118" s="1215"/>
      <c r="O118" s="1215"/>
      <c r="P118" s="1215"/>
      <c r="Q118" s="1215"/>
      <c r="R118" s="1215"/>
      <c r="S118" s="1215"/>
      <c r="T118" s="1215"/>
      <c r="U118" s="1215"/>
      <c r="V118" s="1215"/>
      <c r="W118" s="1215"/>
      <c r="X118" s="1215"/>
      <c r="Y118" s="1215"/>
      <c r="Z118" s="1215"/>
      <c r="AA118" s="1215"/>
      <c r="AB118" s="1215"/>
      <c r="AC118" s="1215"/>
      <c r="AD118" s="1215"/>
      <c r="AE118" s="1215"/>
      <c r="AF118" s="1215"/>
      <c r="AG118" s="1215"/>
      <c r="AH118" s="1215"/>
      <c r="AI118" s="1215"/>
      <c r="AJ118" s="1215"/>
      <c r="AK118" s="1215"/>
      <c r="AL118" s="1215"/>
      <c r="AM118" s="1215"/>
      <c r="AN118" s="1215"/>
      <c r="AO118" s="1215"/>
      <c r="AP118" s="1215"/>
      <c r="AQ118" s="1215"/>
      <c r="AR118" s="1215"/>
    </row>
    <row r="119" spans="1:44">
      <c r="A119" s="1215"/>
      <c r="B119" s="1352" t="s">
        <v>971</v>
      </c>
      <c r="C119" s="1352"/>
      <c r="D119" s="1352"/>
      <c r="E119" s="1301"/>
      <c r="F119" s="1301"/>
      <c r="G119" s="1353"/>
      <c r="H119" s="1282"/>
      <c r="I119" s="1353"/>
      <c r="J119" s="1301"/>
      <c r="K119" s="1301"/>
      <c r="L119" s="1344"/>
      <c r="M119" s="18"/>
      <c r="N119" s="1302"/>
      <c r="O119" s="1297"/>
      <c r="P119" s="1297"/>
      <c r="Q119" s="1297"/>
      <c r="R119" s="1297"/>
      <c r="S119" s="1297"/>
      <c r="T119" s="1297"/>
      <c r="U119" s="1297"/>
      <c r="V119" s="1297"/>
      <c r="W119" s="1297"/>
      <c r="X119" s="1297"/>
      <c r="Y119" s="1297"/>
      <c r="Z119" s="1297"/>
      <c r="AA119" s="1297"/>
      <c r="AB119" s="1297"/>
      <c r="AC119" s="1297"/>
      <c r="AD119" s="1297"/>
      <c r="AE119" s="1297"/>
      <c r="AF119" s="1297"/>
      <c r="AG119" s="1297"/>
      <c r="AH119" s="1297"/>
      <c r="AI119" s="1297"/>
      <c r="AJ119" s="1297"/>
      <c r="AK119" s="1297"/>
      <c r="AL119" s="1297"/>
      <c r="AM119" s="1297"/>
      <c r="AN119" s="1297"/>
      <c r="AO119" s="1297"/>
      <c r="AP119" s="1297"/>
      <c r="AQ119" s="1297"/>
      <c r="AR119" s="1215"/>
    </row>
    <row r="120" spans="1:44">
      <c r="A120" s="1215"/>
      <c r="B120" s="1215"/>
      <c r="C120" s="1215"/>
      <c r="D120" s="1215"/>
      <c r="E120" s="1215"/>
      <c r="F120" s="1301"/>
      <c r="G120" s="1353"/>
      <c r="H120" s="1282"/>
      <c r="I120" s="1353"/>
      <c r="J120" s="1301"/>
      <c r="K120" s="1301"/>
      <c r="L120" s="1344"/>
      <c r="M120" s="18"/>
      <c r="N120" s="1302"/>
      <c r="O120" s="1297"/>
      <c r="P120" s="1297"/>
      <c r="Q120" s="1297"/>
      <c r="R120" s="1297"/>
      <c r="S120" s="1297"/>
      <c r="T120" s="1297"/>
      <c r="U120" s="1297"/>
      <c r="V120" s="1297"/>
      <c r="W120" s="1297"/>
      <c r="X120" s="1297"/>
      <c r="Y120" s="1297"/>
      <c r="Z120" s="1297"/>
      <c r="AA120" s="1297"/>
      <c r="AB120" s="1297"/>
      <c r="AC120" s="1297"/>
      <c r="AD120" s="1297"/>
      <c r="AE120" s="1297"/>
      <c r="AF120" s="1297"/>
      <c r="AG120" s="1297"/>
      <c r="AH120" s="1297"/>
      <c r="AI120" s="1297"/>
      <c r="AJ120" s="1297"/>
      <c r="AK120" s="1297"/>
      <c r="AL120" s="1297"/>
      <c r="AM120" s="1297"/>
      <c r="AN120" s="1297"/>
      <c r="AO120" s="1297"/>
      <c r="AP120" s="1297"/>
      <c r="AQ120" s="1297"/>
      <c r="AR120" s="1215"/>
    </row>
    <row r="121" spans="1:44" s="1107" customFormat="1">
      <c r="A121" s="1306" t="s">
        <v>972</v>
      </c>
      <c r="B121" s="1167" t="s">
        <v>971</v>
      </c>
      <c r="C121" s="1307">
        <f ca="1">SUM(C122:C135)</f>
        <v>1973.9671573786293</v>
      </c>
      <c r="D121" s="1354"/>
      <c r="E121" s="1215"/>
      <c r="F121" s="1330"/>
      <c r="G121" s="1188"/>
      <c r="H121" s="1331"/>
      <c r="I121" s="1188"/>
      <c r="J121" s="1331"/>
      <c r="K121" s="1332"/>
      <c r="L121" s="1344"/>
      <c r="M121" s="1333"/>
      <c r="N121" s="1347"/>
      <c r="O121" s="1347"/>
      <c r="P121" s="1347"/>
      <c r="Q121" s="1347"/>
      <c r="R121" s="1347"/>
      <c r="S121" s="1347"/>
      <c r="T121" s="1347"/>
      <c r="U121" s="1347"/>
      <c r="V121" s="1347"/>
      <c r="W121" s="1347"/>
      <c r="X121" s="1347"/>
      <c r="Y121" s="1347"/>
      <c r="Z121" s="1347"/>
      <c r="AA121" s="1347"/>
      <c r="AB121" s="1347"/>
      <c r="AC121" s="1347"/>
      <c r="AD121" s="1347"/>
      <c r="AE121" s="1347"/>
      <c r="AF121" s="1347"/>
      <c r="AG121" s="1347"/>
      <c r="AH121" s="1347"/>
      <c r="AI121" s="1347"/>
      <c r="AJ121" s="1347"/>
      <c r="AK121" s="1347"/>
      <c r="AL121" s="1347"/>
      <c r="AM121" s="1347"/>
      <c r="AN121" s="1347"/>
      <c r="AO121" s="1347"/>
      <c r="AP121" s="1347"/>
      <c r="AQ121" s="1347"/>
      <c r="AR121" s="1344"/>
    </row>
    <row r="122" spans="1:44" s="1107" customFormat="1">
      <c r="A122" s="1306" t="s">
        <v>973</v>
      </c>
      <c r="B122" s="1334" t="s">
        <v>851</v>
      </c>
      <c r="C122" s="1173">
        <v>0</v>
      </c>
      <c r="D122" s="1308">
        <f>C122/$C$150</f>
        <v>0</v>
      </c>
      <c r="E122" s="1344"/>
      <c r="F122" s="1344"/>
      <c r="G122" s="1355"/>
      <c r="H122" s="1344"/>
      <c r="I122" s="1355"/>
      <c r="J122" s="1344"/>
      <c r="K122" s="1344"/>
      <c r="L122" s="1344"/>
      <c r="M122" s="1333"/>
      <c r="N122" s="1347"/>
      <c r="O122" s="1347"/>
      <c r="P122" s="1347"/>
      <c r="Q122" s="1347"/>
      <c r="R122" s="1347"/>
      <c r="S122" s="1347"/>
      <c r="T122" s="1347"/>
      <c r="U122" s="1347"/>
      <c r="V122" s="1347"/>
      <c r="W122" s="1347"/>
      <c r="X122" s="1347"/>
      <c r="Y122" s="1347"/>
      <c r="Z122" s="1347"/>
      <c r="AA122" s="1347"/>
      <c r="AB122" s="1347"/>
      <c r="AC122" s="1347"/>
      <c r="AD122" s="1347"/>
      <c r="AE122" s="1347"/>
      <c r="AF122" s="1347"/>
      <c r="AG122" s="1347"/>
      <c r="AH122" s="1347"/>
      <c r="AI122" s="1347"/>
      <c r="AJ122" s="1347"/>
      <c r="AK122" s="1347"/>
      <c r="AL122" s="1347"/>
      <c r="AM122" s="1347"/>
      <c r="AN122" s="1347"/>
      <c r="AO122" s="1347"/>
      <c r="AP122" s="1347"/>
      <c r="AQ122" s="1347"/>
      <c r="AR122" s="1344"/>
    </row>
    <row r="123" spans="1:44" s="1107" customFormat="1">
      <c r="A123" s="1306"/>
      <c r="B123" s="1177" t="s">
        <v>974</v>
      </c>
      <c r="C123" s="1356">
        <v>0</v>
      </c>
      <c r="D123" s="1308">
        <f t="shared" ref="D123:D141" si="91">C123/$C$150</f>
        <v>0</v>
      </c>
      <c r="E123" s="1344"/>
      <c r="F123" s="1344"/>
      <c r="G123" s="1318">
        <v>0</v>
      </c>
      <c r="H123" s="1319">
        <f>C123*G123*$C$156</f>
        <v>0</v>
      </c>
      <c r="I123" s="1318">
        <v>0</v>
      </c>
      <c r="J123" s="1319">
        <f>C123*I123/(1-I123)</f>
        <v>0</v>
      </c>
      <c r="K123" s="1328">
        <v>1</v>
      </c>
      <c r="L123" s="1344"/>
      <c r="M123" s="1333"/>
      <c r="N123" s="1347"/>
      <c r="O123" s="1347"/>
      <c r="P123" s="1347"/>
      <c r="Q123" s="1347"/>
      <c r="R123" s="1347"/>
      <c r="S123" s="1347"/>
      <c r="T123" s="1347"/>
      <c r="U123" s="1347"/>
      <c r="V123" s="1347"/>
      <c r="W123" s="1347"/>
      <c r="X123" s="1347"/>
      <c r="Y123" s="1347"/>
      <c r="Z123" s="1347"/>
      <c r="AA123" s="1347"/>
      <c r="AB123" s="1347"/>
      <c r="AC123" s="1347"/>
      <c r="AD123" s="1347"/>
      <c r="AE123" s="1347"/>
      <c r="AF123" s="1347"/>
      <c r="AG123" s="1347"/>
      <c r="AH123" s="1347"/>
      <c r="AI123" s="1347"/>
      <c r="AJ123" s="1347"/>
      <c r="AK123" s="1347"/>
      <c r="AL123" s="1347"/>
      <c r="AM123" s="1347"/>
      <c r="AN123" s="1347"/>
      <c r="AO123" s="1347"/>
      <c r="AP123" s="1347"/>
      <c r="AQ123" s="1347"/>
      <c r="AR123" s="1344"/>
    </row>
    <row r="124" spans="1:44" s="1107" customFormat="1">
      <c r="A124" s="1306"/>
      <c r="B124" s="1177" t="s">
        <v>975</v>
      </c>
      <c r="C124" s="1357">
        <f>Macro!H21+Macro!H22</f>
        <v>477.30268707562993</v>
      </c>
      <c r="D124" s="1308">
        <f t="shared" si="91"/>
        <v>6.3420500541539981</v>
      </c>
      <c r="E124" s="1344"/>
      <c r="F124" s="1344"/>
      <c r="G124" s="1318">
        <v>0</v>
      </c>
      <c r="H124" s="1319">
        <f>C124*G124*$C$156</f>
        <v>0</v>
      </c>
      <c r="I124" s="1318">
        <v>0</v>
      </c>
      <c r="J124" s="1319">
        <f>C124*I124/(1-I124)</f>
        <v>0</v>
      </c>
      <c r="K124" s="1328">
        <v>1</v>
      </c>
      <c r="L124" s="1344"/>
      <c r="M124" s="1333"/>
      <c r="N124" s="1347"/>
      <c r="O124" s="1347"/>
      <c r="P124" s="1347"/>
      <c r="Q124" s="1347"/>
      <c r="R124" s="1347"/>
      <c r="S124" s="1347"/>
      <c r="T124" s="1347"/>
      <c r="U124" s="1347"/>
      <c r="V124" s="1347"/>
      <c r="W124" s="1347"/>
      <c r="X124" s="1347"/>
      <c r="Y124" s="1347"/>
      <c r="Z124" s="1347"/>
      <c r="AA124" s="1347"/>
      <c r="AB124" s="1347"/>
      <c r="AC124" s="1347"/>
      <c r="AD124" s="1347"/>
      <c r="AE124" s="1347"/>
      <c r="AF124" s="1347"/>
      <c r="AG124" s="1347"/>
      <c r="AH124" s="1347"/>
      <c r="AI124" s="1347"/>
      <c r="AJ124" s="1347"/>
      <c r="AK124" s="1347"/>
      <c r="AL124" s="1347"/>
      <c r="AM124" s="1347"/>
      <c r="AN124" s="1347"/>
      <c r="AO124" s="1347"/>
      <c r="AP124" s="1347"/>
      <c r="AQ124" s="1347"/>
      <c r="AR124" s="1344"/>
    </row>
    <row r="125" spans="1:44" s="1107" customFormat="1">
      <c r="A125" s="1306"/>
      <c r="B125" s="1177" t="s">
        <v>976</v>
      </c>
      <c r="C125" s="1356">
        <v>0</v>
      </c>
      <c r="D125" s="1308">
        <f t="shared" si="91"/>
        <v>0</v>
      </c>
      <c r="E125" s="1344"/>
      <c r="F125" s="1344"/>
      <c r="G125" s="1318">
        <v>0</v>
      </c>
      <c r="H125" s="1319">
        <f>C125*G125*$C$156</f>
        <v>0</v>
      </c>
      <c r="I125" s="1318">
        <v>0</v>
      </c>
      <c r="J125" s="1319">
        <f>C125*I125/(1-I125)</f>
        <v>0</v>
      </c>
      <c r="K125" s="1328">
        <v>1</v>
      </c>
      <c r="L125" s="1344"/>
      <c r="M125" s="1333"/>
      <c r="N125" s="1347"/>
      <c r="O125" s="1347"/>
      <c r="P125" s="1347"/>
      <c r="Q125" s="1347"/>
      <c r="R125" s="1347"/>
      <c r="S125" s="1347"/>
      <c r="T125" s="1347"/>
      <c r="U125" s="1347"/>
      <c r="V125" s="1347"/>
      <c r="W125" s="1347"/>
      <c r="X125" s="1347"/>
      <c r="Y125" s="1347"/>
      <c r="Z125" s="1347"/>
      <c r="AA125" s="1347"/>
      <c r="AB125" s="1347"/>
      <c r="AC125" s="1347"/>
      <c r="AD125" s="1347"/>
      <c r="AE125" s="1347"/>
      <c r="AF125" s="1347"/>
      <c r="AG125" s="1347"/>
      <c r="AH125" s="1347"/>
      <c r="AI125" s="1347"/>
      <c r="AJ125" s="1347"/>
      <c r="AK125" s="1347"/>
      <c r="AL125" s="1347"/>
      <c r="AM125" s="1347"/>
      <c r="AN125" s="1347"/>
      <c r="AO125" s="1347"/>
      <c r="AP125" s="1347"/>
      <c r="AQ125" s="1347"/>
      <c r="AR125" s="1344"/>
    </row>
    <row r="126" spans="1:44" s="1107" customFormat="1">
      <c r="A126" s="1306"/>
      <c r="B126" s="1177" t="s">
        <v>851</v>
      </c>
      <c r="C126" s="1356">
        <v>0</v>
      </c>
      <c r="D126" s="1308">
        <f t="shared" si="91"/>
        <v>0</v>
      </c>
      <c r="E126" s="1344"/>
      <c r="F126" s="1344"/>
      <c r="G126" s="1318">
        <v>0</v>
      </c>
      <c r="H126" s="1319">
        <f>C126*G126*$C$156</f>
        <v>0</v>
      </c>
      <c r="I126" s="1318">
        <v>0</v>
      </c>
      <c r="J126" s="1319">
        <f>C126*I126/(1-I126)</f>
        <v>0</v>
      </c>
      <c r="K126" s="1328">
        <v>1</v>
      </c>
      <c r="L126" s="1344"/>
      <c r="M126" s="1333"/>
      <c r="N126" s="1347"/>
      <c r="O126" s="1347"/>
      <c r="P126" s="1347"/>
      <c r="Q126" s="1347"/>
      <c r="R126" s="1347"/>
      <c r="S126" s="1347"/>
      <c r="T126" s="1347"/>
      <c r="U126" s="1347"/>
      <c r="V126" s="1347"/>
      <c r="W126" s="1347"/>
      <c r="X126" s="1347"/>
      <c r="Y126" s="1347"/>
      <c r="Z126" s="1347"/>
      <c r="AA126" s="1347"/>
      <c r="AB126" s="1347"/>
      <c r="AC126" s="1347"/>
      <c r="AD126" s="1347"/>
      <c r="AE126" s="1347"/>
      <c r="AF126" s="1347"/>
      <c r="AG126" s="1347"/>
      <c r="AH126" s="1347"/>
      <c r="AI126" s="1347"/>
      <c r="AJ126" s="1347"/>
      <c r="AK126" s="1347"/>
      <c r="AL126" s="1347"/>
      <c r="AM126" s="1347"/>
      <c r="AN126" s="1347"/>
      <c r="AO126" s="1347"/>
      <c r="AP126" s="1347"/>
      <c r="AQ126" s="1347"/>
      <c r="AR126" s="1344"/>
    </row>
    <row r="127" spans="1:44" s="1107" customFormat="1">
      <c r="A127" s="1306" t="s">
        <v>977</v>
      </c>
      <c r="B127" s="1334" t="s">
        <v>978</v>
      </c>
      <c r="C127" s="1173">
        <v>0</v>
      </c>
      <c r="D127" s="1308">
        <f t="shared" si="91"/>
        <v>0</v>
      </c>
      <c r="E127" s="1344"/>
      <c r="F127" s="1344"/>
      <c r="G127" s="1355"/>
      <c r="H127" s="1344"/>
      <c r="I127" s="1355"/>
      <c r="J127" s="1344"/>
      <c r="K127" s="1344"/>
      <c r="L127" s="1344"/>
      <c r="M127" s="1333"/>
      <c r="N127" s="1347"/>
      <c r="O127" s="1347"/>
      <c r="P127" s="1347"/>
      <c r="Q127" s="1347"/>
      <c r="R127" s="1347"/>
      <c r="S127" s="1347"/>
      <c r="T127" s="1347"/>
      <c r="U127" s="1347"/>
      <c r="V127" s="1347"/>
      <c r="W127" s="1347"/>
      <c r="X127" s="1347"/>
      <c r="Y127" s="1347"/>
      <c r="Z127" s="1347"/>
      <c r="AA127" s="1347"/>
      <c r="AB127" s="1347"/>
      <c r="AC127" s="1347"/>
      <c r="AD127" s="1347"/>
      <c r="AE127" s="1347"/>
      <c r="AF127" s="1347"/>
      <c r="AG127" s="1347"/>
      <c r="AH127" s="1347"/>
      <c r="AI127" s="1347"/>
      <c r="AJ127" s="1347"/>
      <c r="AK127" s="1347"/>
      <c r="AL127" s="1347"/>
      <c r="AM127" s="1347"/>
      <c r="AN127" s="1347"/>
      <c r="AO127" s="1347"/>
      <c r="AP127" s="1347"/>
      <c r="AQ127" s="1347"/>
      <c r="AR127" s="1344"/>
    </row>
    <row r="128" spans="1:44" s="1107" customFormat="1">
      <c r="A128" s="1306"/>
      <c r="B128" s="1177" t="s">
        <v>979</v>
      </c>
      <c r="C128" s="1357">
        <f>IDC!D57</f>
        <v>1086.031998482634</v>
      </c>
      <c r="D128" s="1308">
        <f t="shared" si="91"/>
        <v>14.430401255416342</v>
      </c>
      <c r="E128" s="1344"/>
      <c r="F128" s="1344"/>
      <c r="G128" s="1318">
        <v>0</v>
      </c>
      <c r="H128" s="1319">
        <f>C128*G128*$C$156</f>
        <v>0</v>
      </c>
      <c r="I128" s="1318">
        <v>0</v>
      </c>
      <c r="J128" s="1319">
        <f t="shared" ref="J128:J135" si="92">C128*I128/(1-I128)</f>
        <v>0</v>
      </c>
      <c r="K128" s="1328">
        <v>1</v>
      </c>
      <c r="L128" s="1344"/>
      <c r="M128" s="1333"/>
      <c r="N128" s="1347"/>
      <c r="O128" s="1347"/>
      <c r="P128" s="1347"/>
      <c r="Q128" s="1347"/>
      <c r="R128" s="1347"/>
      <c r="S128" s="1347"/>
      <c r="T128" s="1347"/>
      <c r="U128" s="1347"/>
      <c r="V128" s="1347"/>
      <c r="W128" s="1347"/>
      <c r="X128" s="1347"/>
      <c r="Y128" s="1347"/>
      <c r="Z128" s="1347"/>
      <c r="AA128" s="1347"/>
      <c r="AB128" s="1347"/>
      <c r="AC128" s="1347"/>
      <c r="AD128" s="1347"/>
      <c r="AE128" s="1347"/>
      <c r="AF128" s="1347"/>
      <c r="AG128" s="1347"/>
      <c r="AH128" s="1347"/>
      <c r="AI128" s="1347"/>
      <c r="AJ128" s="1347"/>
      <c r="AK128" s="1347"/>
      <c r="AL128" s="1347"/>
      <c r="AM128" s="1347"/>
      <c r="AN128" s="1347"/>
      <c r="AO128" s="1347"/>
      <c r="AP128" s="1347"/>
      <c r="AQ128" s="1347"/>
      <c r="AR128" s="1344"/>
    </row>
    <row r="129" spans="1:44" s="1107" customFormat="1">
      <c r="A129" s="1306"/>
      <c r="B129" s="1177" t="s">
        <v>980</v>
      </c>
      <c r="C129" s="1228">
        <f ca="1">IDC!D68</f>
        <v>208.44761845456716</v>
      </c>
      <c r="D129" s="1308">
        <f t="shared" ca="1" si="91"/>
        <v>2.7696999528908735</v>
      </c>
      <c r="E129" s="1344"/>
      <c r="F129" s="1344"/>
      <c r="G129" s="1188"/>
      <c r="H129" s="1331"/>
      <c r="I129" s="1318">
        <v>0</v>
      </c>
      <c r="J129" s="1319">
        <f t="shared" ca="1" si="92"/>
        <v>0</v>
      </c>
      <c r="K129" s="1328">
        <v>1</v>
      </c>
      <c r="L129" s="1344"/>
      <c r="M129" s="1333"/>
      <c r="N129" s="1347"/>
      <c r="O129" s="1347"/>
      <c r="P129" s="1347"/>
      <c r="Q129" s="1347"/>
      <c r="R129" s="1347"/>
      <c r="S129" s="1347"/>
      <c r="T129" s="1347"/>
      <c r="U129" s="1347"/>
      <c r="V129" s="1347"/>
      <c r="W129" s="1347"/>
      <c r="X129" s="1347"/>
      <c r="Y129" s="1347"/>
      <c r="Z129" s="1347"/>
      <c r="AA129" s="1347"/>
      <c r="AB129" s="1347"/>
      <c r="AC129" s="1347"/>
      <c r="AD129" s="1347"/>
      <c r="AE129" s="1347"/>
      <c r="AF129" s="1347"/>
      <c r="AG129" s="1347"/>
      <c r="AH129" s="1347"/>
      <c r="AI129" s="1347"/>
      <c r="AJ129" s="1347"/>
      <c r="AK129" s="1347"/>
      <c r="AL129" s="1347"/>
      <c r="AM129" s="1347"/>
      <c r="AN129" s="1347"/>
      <c r="AO129" s="1347"/>
      <c r="AP129" s="1347"/>
      <c r="AQ129" s="1347"/>
      <c r="AR129" s="1344"/>
    </row>
    <row r="130" spans="1:44" s="1107" customFormat="1">
      <c r="A130" s="1306"/>
      <c r="B130" s="1177" t="s">
        <v>981</v>
      </c>
      <c r="C130" s="1228">
        <f>IDC!D55</f>
        <v>0</v>
      </c>
      <c r="D130" s="1308">
        <f t="shared" si="91"/>
        <v>0</v>
      </c>
      <c r="E130" s="1344"/>
      <c r="F130" s="1344"/>
      <c r="G130" s="1318">
        <v>0</v>
      </c>
      <c r="H130" s="1319">
        <f>C130*G130*$C$156</f>
        <v>0</v>
      </c>
      <c r="I130" s="1318">
        <v>0</v>
      </c>
      <c r="J130" s="1319">
        <f t="shared" si="92"/>
        <v>0</v>
      </c>
      <c r="K130" s="1328">
        <v>1</v>
      </c>
      <c r="L130" s="1344"/>
      <c r="M130" s="1333"/>
      <c r="N130" s="1347"/>
      <c r="O130" s="1347"/>
      <c r="P130" s="1347"/>
      <c r="Q130" s="1347"/>
      <c r="R130" s="1347"/>
      <c r="S130" s="1347"/>
      <c r="T130" s="1347"/>
      <c r="U130" s="1347"/>
      <c r="V130" s="1347"/>
      <c r="W130" s="1347"/>
      <c r="X130" s="1347"/>
      <c r="Y130" s="1347"/>
      <c r="Z130" s="1347"/>
      <c r="AA130" s="1347"/>
      <c r="AB130" s="1347"/>
      <c r="AC130" s="1347"/>
      <c r="AD130" s="1347"/>
      <c r="AE130" s="1347"/>
      <c r="AF130" s="1347"/>
      <c r="AG130" s="1347"/>
      <c r="AH130" s="1347"/>
      <c r="AI130" s="1347"/>
      <c r="AJ130" s="1347"/>
      <c r="AK130" s="1347"/>
      <c r="AL130" s="1347"/>
      <c r="AM130" s="1347"/>
      <c r="AN130" s="1347"/>
      <c r="AO130" s="1347"/>
      <c r="AP130" s="1347"/>
      <c r="AQ130" s="1347"/>
      <c r="AR130" s="1344"/>
    </row>
    <row r="131" spans="1:44" s="1107" customFormat="1">
      <c r="A131" s="1306"/>
      <c r="B131" s="1177" t="s">
        <v>982</v>
      </c>
      <c r="C131" s="1228">
        <f>IDC!D58</f>
        <v>188.56290055498553</v>
      </c>
      <c r="D131" s="1308">
        <f t="shared" si="91"/>
        <v>2.5054863214853245</v>
      </c>
      <c r="E131" s="1344"/>
      <c r="F131" s="1344"/>
      <c r="G131" s="1318">
        <v>0</v>
      </c>
      <c r="H131" s="1319">
        <f>C131*G131*$C$156</f>
        <v>0</v>
      </c>
      <c r="I131" s="1318">
        <v>0</v>
      </c>
      <c r="J131" s="1319">
        <f t="shared" si="92"/>
        <v>0</v>
      </c>
      <c r="K131" s="1328">
        <v>1</v>
      </c>
      <c r="L131" s="1344"/>
      <c r="M131" s="1333"/>
      <c r="N131" s="1347"/>
      <c r="O131" s="1347"/>
      <c r="P131" s="1347"/>
      <c r="Q131" s="1347"/>
      <c r="R131" s="1347"/>
      <c r="S131" s="1347"/>
      <c r="T131" s="1347"/>
      <c r="U131" s="1347"/>
      <c r="V131" s="1347"/>
      <c r="W131" s="1347"/>
      <c r="X131" s="1347"/>
      <c r="Y131" s="1347"/>
      <c r="Z131" s="1347"/>
      <c r="AA131" s="1347"/>
      <c r="AB131" s="1347"/>
      <c r="AC131" s="1347"/>
      <c r="AD131" s="1347"/>
      <c r="AE131" s="1347"/>
      <c r="AF131" s="1347"/>
      <c r="AG131" s="1347"/>
      <c r="AH131" s="1347"/>
      <c r="AI131" s="1347"/>
      <c r="AJ131" s="1347"/>
      <c r="AK131" s="1347"/>
      <c r="AL131" s="1347"/>
      <c r="AM131" s="1347"/>
      <c r="AN131" s="1347"/>
      <c r="AO131" s="1347"/>
      <c r="AP131" s="1347"/>
      <c r="AQ131" s="1347"/>
      <c r="AR131" s="1344"/>
    </row>
    <row r="132" spans="1:44" s="1107" customFormat="1">
      <c r="A132" s="1306"/>
      <c r="B132" s="1177" t="s">
        <v>983</v>
      </c>
      <c r="C132" s="1228">
        <f ca="1">IDC!D69</f>
        <v>13.6219528108125</v>
      </c>
      <c r="D132" s="1308">
        <f ca="1">C132/$C$150</f>
        <v>0.18099857574823944</v>
      </c>
      <c r="E132" s="1344"/>
      <c r="F132" s="1344"/>
      <c r="G132" s="1188"/>
      <c r="H132" s="1333"/>
      <c r="I132" s="1318">
        <v>0</v>
      </c>
      <c r="J132" s="1319">
        <f t="shared" ca="1" si="92"/>
        <v>0</v>
      </c>
      <c r="K132" s="1328">
        <v>1</v>
      </c>
      <c r="L132" s="1344"/>
      <c r="M132" s="1333"/>
      <c r="N132" s="1347"/>
      <c r="O132" s="1347"/>
      <c r="P132" s="1347"/>
      <c r="Q132" s="1347"/>
      <c r="R132" s="1347"/>
      <c r="S132" s="1347"/>
      <c r="T132" s="1347"/>
      <c r="U132" s="1347"/>
      <c r="V132" s="1347"/>
      <c r="W132" s="1347"/>
      <c r="X132" s="1347"/>
      <c r="Y132" s="1347"/>
      <c r="Z132" s="1347"/>
      <c r="AA132" s="1347"/>
      <c r="AB132" s="1347"/>
      <c r="AC132" s="1347"/>
      <c r="AD132" s="1347"/>
      <c r="AE132" s="1347"/>
      <c r="AF132" s="1347"/>
      <c r="AG132" s="1347"/>
      <c r="AH132" s="1347"/>
      <c r="AI132" s="1347"/>
      <c r="AJ132" s="1347"/>
      <c r="AK132" s="1347"/>
      <c r="AL132" s="1347"/>
      <c r="AM132" s="1347"/>
      <c r="AN132" s="1347"/>
      <c r="AO132" s="1347"/>
      <c r="AP132" s="1347"/>
      <c r="AQ132" s="1347"/>
      <c r="AR132" s="1344"/>
    </row>
    <row r="133" spans="1:44" s="1107" customFormat="1">
      <c r="A133" s="1306"/>
      <c r="B133" s="1177" t="s">
        <v>984</v>
      </c>
      <c r="C133" s="1357">
        <f>IDC!D56</f>
        <v>0</v>
      </c>
      <c r="D133" s="1308">
        <f t="shared" si="91"/>
        <v>0</v>
      </c>
      <c r="E133" s="1344"/>
      <c r="F133" s="1344"/>
      <c r="G133" s="1318">
        <v>0</v>
      </c>
      <c r="H133" s="1319">
        <f>C133*G133*$C$156</f>
        <v>0</v>
      </c>
      <c r="I133" s="1318">
        <v>0</v>
      </c>
      <c r="J133" s="1319">
        <f t="shared" si="92"/>
        <v>0</v>
      </c>
      <c r="K133" s="1328">
        <v>1</v>
      </c>
      <c r="L133" s="1344"/>
      <c r="M133" s="1333"/>
      <c r="N133" s="1347"/>
      <c r="O133" s="1347"/>
      <c r="P133" s="1347"/>
      <c r="Q133" s="1347"/>
      <c r="R133" s="1347"/>
      <c r="S133" s="1347"/>
      <c r="T133" s="1347"/>
      <c r="U133" s="1347"/>
      <c r="V133" s="1347"/>
      <c r="W133" s="1347"/>
      <c r="X133" s="1347"/>
      <c r="Y133" s="1347"/>
      <c r="Z133" s="1347"/>
      <c r="AA133" s="1347"/>
      <c r="AB133" s="1347"/>
      <c r="AC133" s="1347"/>
      <c r="AD133" s="1347"/>
      <c r="AE133" s="1347"/>
      <c r="AF133" s="1347"/>
      <c r="AG133" s="1347"/>
      <c r="AH133" s="1347"/>
      <c r="AI133" s="1347"/>
      <c r="AJ133" s="1347"/>
      <c r="AK133" s="1347"/>
      <c r="AL133" s="1347"/>
      <c r="AM133" s="1347"/>
      <c r="AN133" s="1347"/>
      <c r="AO133" s="1347"/>
      <c r="AP133" s="1347"/>
      <c r="AQ133" s="1347"/>
      <c r="AR133" s="1344"/>
    </row>
    <row r="134" spans="1:44" s="1107" customFormat="1">
      <c r="A134" s="1306" t="s">
        <v>985</v>
      </c>
      <c r="B134" s="1334" t="s">
        <v>986</v>
      </c>
      <c r="C134" s="1356">
        <v>0</v>
      </c>
      <c r="D134" s="1308">
        <f t="shared" si="91"/>
        <v>0</v>
      </c>
      <c r="E134" s="1344"/>
      <c r="F134" s="1344"/>
      <c r="G134" s="1318">
        <v>0</v>
      </c>
      <c r="H134" s="1319">
        <f>C134*G134*$C$156</f>
        <v>0</v>
      </c>
      <c r="I134" s="1318">
        <v>0</v>
      </c>
      <c r="J134" s="1319">
        <f t="shared" si="92"/>
        <v>0</v>
      </c>
      <c r="K134" s="1328">
        <v>1</v>
      </c>
      <c r="L134" s="1344"/>
      <c r="M134" s="1333"/>
      <c r="N134" s="1347"/>
      <c r="O134" s="1347"/>
      <c r="P134" s="1347"/>
      <c r="Q134" s="1347"/>
      <c r="R134" s="1347"/>
      <c r="S134" s="1347"/>
      <c r="T134" s="1347"/>
      <c r="U134" s="1347"/>
      <c r="V134" s="1347"/>
      <c r="W134" s="1347"/>
      <c r="X134" s="1347"/>
      <c r="Y134" s="1347"/>
      <c r="Z134" s="1347"/>
      <c r="AA134" s="1347"/>
      <c r="AB134" s="1347"/>
      <c r="AC134" s="1347"/>
      <c r="AD134" s="1347"/>
      <c r="AE134" s="1347"/>
      <c r="AF134" s="1347"/>
      <c r="AG134" s="1347"/>
      <c r="AH134" s="1347"/>
      <c r="AI134" s="1347"/>
      <c r="AJ134" s="1347"/>
      <c r="AK134" s="1347"/>
      <c r="AL134" s="1347"/>
      <c r="AM134" s="1347"/>
      <c r="AN134" s="1347"/>
      <c r="AO134" s="1347"/>
      <c r="AP134" s="1347"/>
      <c r="AQ134" s="1347"/>
      <c r="AR134" s="1344"/>
    </row>
    <row r="135" spans="1:44" s="1107" customFormat="1">
      <c r="A135" s="1306" t="s">
        <v>987</v>
      </c>
      <c r="B135" s="1334" t="s">
        <v>988</v>
      </c>
      <c r="C135" s="1356">
        <v>0</v>
      </c>
      <c r="D135" s="1308">
        <f t="shared" si="91"/>
        <v>0</v>
      </c>
      <c r="E135" s="1344"/>
      <c r="F135" s="1344"/>
      <c r="G135" s="1318">
        <v>0</v>
      </c>
      <c r="H135" s="1319">
        <f>C135*G135*$C$156</f>
        <v>0</v>
      </c>
      <c r="I135" s="1318">
        <v>0</v>
      </c>
      <c r="J135" s="1319">
        <f t="shared" si="92"/>
        <v>0</v>
      </c>
      <c r="K135" s="1328">
        <v>1</v>
      </c>
      <c r="L135" s="1344"/>
      <c r="M135" s="1333"/>
      <c r="N135" s="1347"/>
      <c r="O135" s="1347"/>
      <c r="P135" s="1347"/>
      <c r="Q135" s="1347"/>
      <c r="R135" s="1347"/>
      <c r="S135" s="1347"/>
      <c r="T135" s="1347"/>
      <c r="U135" s="1347"/>
      <c r="V135" s="1347"/>
      <c r="W135" s="1347"/>
      <c r="X135" s="1347"/>
      <c r="Y135" s="1347"/>
      <c r="Z135" s="1347"/>
      <c r="AA135" s="1347"/>
      <c r="AB135" s="1347"/>
      <c r="AC135" s="1347"/>
      <c r="AD135" s="1347"/>
      <c r="AE135" s="1347"/>
      <c r="AF135" s="1347"/>
      <c r="AG135" s="1347"/>
      <c r="AH135" s="1347"/>
      <c r="AI135" s="1347"/>
      <c r="AJ135" s="1347"/>
      <c r="AK135" s="1347"/>
      <c r="AL135" s="1347"/>
      <c r="AM135" s="1347"/>
      <c r="AN135" s="1347"/>
      <c r="AO135" s="1347"/>
      <c r="AP135" s="1347"/>
      <c r="AQ135" s="1347"/>
      <c r="AR135" s="1344"/>
    </row>
    <row r="136" spans="1:44" s="1107" customFormat="1">
      <c r="A136" s="1306" t="s">
        <v>989</v>
      </c>
      <c r="B136" s="1167" t="s">
        <v>990</v>
      </c>
      <c r="C136" s="1307">
        <f>SUM(C137:C139)</f>
        <v>0</v>
      </c>
      <c r="D136" s="1354"/>
      <c r="E136" s="1344"/>
      <c r="F136" s="1344"/>
      <c r="G136" s="1188"/>
      <c r="H136" s="1331"/>
      <c r="I136" s="1188"/>
      <c r="J136" s="1331"/>
      <c r="K136" s="1332"/>
      <c r="L136" s="1344"/>
      <c r="M136" s="1333"/>
      <c r="N136" s="1347"/>
      <c r="O136" s="1347"/>
      <c r="P136" s="1347"/>
      <c r="Q136" s="1347"/>
      <c r="R136" s="1347"/>
      <c r="S136" s="1347"/>
      <c r="T136" s="1347"/>
      <c r="U136" s="1347"/>
      <c r="V136" s="1347"/>
      <c r="W136" s="1347"/>
      <c r="X136" s="1347"/>
      <c r="Y136" s="1347"/>
      <c r="Z136" s="1347"/>
      <c r="AA136" s="1347"/>
      <c r="AB136" s="1347"/>
      <c r="AC136" s="1347"/>
      <c r="AD136" s="1347"/>
      <c r="AE136" s="1347"/>
      <c r="AF136" s="1347"/>
      <c r="AG136" s="1347"/>
      <c r="AH136" s="1347"/>
      <c r="AI136" s="1347"/>
      <c r="AJ136" s="1347"/>
      <c r="AK136" s="1347"/>
      <c r="AL136" s="1347"/>
      <c r="AM136" s="1347"/>
      <c r="AN136" s="1347"/>
      <c r="AO136" s="1347"/>
      <c r="AP136" s="1347"/>
      <c r="AQ136" s="1347"/>
      <c r="AR136" s="1344"/>
    </row>
    <row r="137" spans="1:44" s="1107" customFormat="1">
      <c r="A137" s="1306" t="s">
        <v>991</v>
      </c>
      <c r="B137" s="1152" t="s">
        <v>429</v>
      </c>
      <c r="C137" s="1357">
        <f>Macro!H24+JDSRA_in</f>
        <v>0</v>
      </c>
      <c r="D137" s="1308">
        <f t="shared" si="91"/>
        <v>0</v>
      </c>
      <c r="E137" s="1344"/>
      <c r="F137" s="1344"/>
      <c r="G137" s="1318">
        <v>0</v>
      </c>
      <c r="H137" s="1319">
        <f>C137*G137*$C$156</f>
        <v>0</v>
      </c>
      <c r="I137" s="1318">
        <v>0</v>
      </c>
      <c r="J137" s="1319">
        <f>C137*I137/(1-I137)</f>
        <v>0</v>
      </c>
      <c r="K137" s="1328">
        <v>1</v>
      </c>
      <c r="L137" s="1344"/>
      <c r="M137" s="1333"/>
      <c r="N137" s="1347"/>
      <c r="O137" s="1347"/>
      <c r="P137" s="1347"/>
      <c r="Q137" s="1347"/>
      <c r="R137" s="1347"/>
      <c r="S137" s="1347"/>
      <c r="T137" s="1347"/>
      <c r="U137" s="1347"/>
      <c r="V137" s="1347"/>
      <c r="W137" s="1347"/>
      <c r="X137" s="1347"/>
      <c r="Y137" s="1347"/>
      <c r="Z137" s="1347"/>
      <c r="AA137" s="1347"/>
      <c r="AB137" s="1347"/>
      <c r="AC137" s="1347"/>
      <c r="AD137" s="1347"/>
      <c r="AE137" s="1347"/>
      <c r="AF137" s="1347"/>
      <c r="AG137" s="1347"/>
      <c r="AH137" s="1347"/>
      <c r="AI137" s="1347"/>
      <c r="AJ137" s="1347"/>
      <c r="AK137" s="1347"/>
      <c r="AL137" s="1347"/>
      <c r="AM137" s="1347"/>
      <c r="AN137" s="1347"/>
      <c r="AO137" s="1347"/>
      <c r="AP137" s="1347"/>
      <c r="AQ137" s="1347"/>
      <c r="AR137" s="1344"/>
    </row>
    <row r="138" spans="1:44" s="1107" customFormat="1">
      <c r="A138" s="1306" t="s">
        <v>992</v>
      </c>
      <c r="B138" s="1152" t="s">
        <v>993</v>
      </c>
      <c r="C138" s="1356">
        <v>0</v>
      </c>
      <c r="D138" s="1308">
        <f t="shared" si="91"/>
        <v>0</v>
      </c>
      <c r="E138" s="1344"/>
      <c r="F138" s="1344"/>
      <c r="G138" s="1318">
        <v>0</v>
      </c>
      <c r="H138" s="1319">
        <f>C138*G138*$C$156</f>
        <v>0</v>
      </c>
      <c r="I138" s="1318">
        <v>0</v>
      </c>
      <c r="J138" s="1319">
        <f>C138*I138/(1-I138)</f>
        <v>0</v>
      </c>
      <c r="K138" s="1328">
        <v>1</v>
      </c>
      <c r="L138" s="1344"/>
      <c r="M138" s="1333"/>
      <c r="N138" s="1347"/>
      <c r="O138" s="1347"/>
      <c r="P138" s="1347"/>
      <c r="Q138" s="1347"/>
      <c r="R138" s="1347"/>
      <c r="S138" s="1347"/>
      <c r="T138" s="1347"/>
      <c r="U138" s="1347"/>
      <c r="V138" s="1347"/>
      <c r="W138" s="1347"/>
      <c r="X138" s="1347"/>
      <c r="Y138" s="1347"/>
      <c r="Z138" s="1347"/>
      <c r="AA138" s="1347"/>
      <c r="AB138" s="1347"/>
      <c r="AC138" s="1347"/>
      <c r="AD138" s="1347"/>
      <c r="AE138" s="1347"/>
      <c r="AF138" s="1347"/>
      <c r="AG138" s="1347"/>
      <c r="AH138" s="1347"/>
      <c r="AI138" s="1347"/>
      <c r="AJ138" s="1347"/>
      <c r="AK138" s="1347"/>
      <c r="AL138" s="1347"/>
      <c r="AM138" s="1347"/>
      <c r="AN138" s="1347"/>
      <c r="AO138" s="1347"/>
      <c r="AP138" s="1347"/>
      <c r="AQ138" s="1347"/>
      <c r="AR138" s="1344"/>
    </row>
    <row r="139" spans="1:44" s="1107" customFormat="1">
      <c r="A139" s="1306" t="s">
        <v>994</v>
      </c>
      <c r="B139" s="1152" t="s">
        <v>995</v>
      </c>
      <c r="C139" s="1356">
        <v>0</v>
      </c>
      <c r="D139" s="1308">
        <f t="shared" si="91"/>
        <v>0</v>
      </c>
      <c r="E139" s="1344"/>
      <c r="F139" s="1344"/>
      <c r="G139" s="1318">
        <v>0</v>
      </c>
      <c r="H139" s="1319">
        <f>C139*G139*$C$156</f>
        <v>0</v>
      </c>
      <c r="I139" s="1318">
        <v>0</v>
      </c>
      <c r="J139" s="1319">
        <f>C139*I139/(1-I139)</f>
        <v>0</v>
      </c>
      <c r="K139" s="1328">
        <v>1</v>
      </c>
      <c r="L139" s="1344"/>
      <c r="M139" s="1333"/>
      <c r="N139" s="1347"/>
      <c r="O139" s="1347"/>
      <c r="P139" s="1347"/>
      <c r="Q139" s="1347"/>
      <c r="R139" s="1347"/>
      <c r="S139" s="1347"/>
      <c r="T139" s="1347"/>
      <c r="U139" s="1347"/>
      <c r="V139" s="1347"/>
      <c r="W139" s="1347"/>
      <c r="X139" s="1347"/>
      <c r="Y139" s="1347"/>
      <c r="Z139" s="1347"/>
      <c r="AA139" s="1347"/>
      <c r="AB139" s="1347"/>
      <c r="AC139" s="1347"/>
      <c r="AD139" s="1347"/>
      <c r="AE139" s="1347"/>
      <c r="AF139" s="1347"/>
      <c r="AG139" s="1347"/>
      <c r="AH139" s="1347"/>
      <c r="AI139" s="1347"/>
      <c r="AJ139" s="1347"/>
      <c r="AK139" s="1347"/>
      <c r="AL139" s="1347"/>
      <c r="AM139" s="1347"/>
      <c r="AN139" s="1347"/>
      <c r="AO139" s="1347"/>
      <c r="AP139" s="1347"/>
      <c r="AQ139" s="1347"/>
      <c r="AR139" s="1344"/>
    </row>
    <row r="140" spans="1:44">
      <c r="A140" s="1282"/>
      <c r="B140" s="1284"/>
      <c r="C140" s="1358"/>
      <c r="D140" s="1308"/>
      <c r="E140" s="1344"/>
      <c r="F140" s="1344"/>
      <c r="G140" s="1359"/>
      <c r="H140" s="1358"/>
      <c r="I140" s="1360"/>
      <c r="J140" s="1358"/>
      <c r="K140" s="1360"/>
      <c r="L140" s="1344"/>
      <c r="M140" s="1215"/>
      <c r="N140" s="1215"/>
      <c r="O140" s="1215"/>
      <c r="P140" s="1215"/>
      <c r="Q140" s="1215"/>
      <c r="R140" s="1215"/>
      <c r="S140" s="1215"/>
      <c r="T140" s="1215"/>
      <c r="U140" s="1215"/>
      <c r="V140" s="1215"/>
      <c r="W140" s="1215"/>
      <c r="X140" s="1215"/>
      <c r="Y140" s="1215"/>
      <c r="Z140" s="1215"/>
      <c r="AA140" s="1215"/>
      <c r="AB140" s="1215"/>
      <c r="AC140" s="1215"/>
      <c r="AD140" s="1215"/>
      <c r="AE140" s="1215"/>
      <c r="AF140" s="1215"/>
      <c r="AG140" s="1215"/>
      <c r="AH140" s="1215"/>
      <c r="AI140" s="1215"/>
      <c r="AJ140" s="1215"/>
      <c r="AK140" s="1215"/>
      <c r="AL140" s="1215"/>
      <c r="AM140" s="1215"/>
      <c r="AN140" s="1215"/>
      <c r="AO140" s="1215"/>
      <c r="AP140" s="1215"/>
      <c r="AQ140" s="1215"/>
      <c r="AR140" s="1215"/>
    </row>
    <row r="141" spans="1:44">
      <c r="A141" s="1282"/>
      <c r="B141" s="1349" t="s">
        <v>157</v>
      </c>
      <c r="C141" s="1361">
        <f ca="1">SUM(C117,C121,C136)</f>
        <v>57973.052657378626</v>
      </c>
      <c r="D141" s="1308">
        <f t="shared" ca="1" si="91"/>
        <v>770.30364944696544</v>
      </c>
      <c r="E141" s="1344"/>
      <c r="F141" s="1344"/>
      <c r="G141" s="1284"/>
      <c r="H141" s="1284"/>
      <c r="I141" s="1284"/>
      <c r="J141" s="1284"/>
      <c r="K141" s="1284"/>
      <c r="L141" s="1344"/>
      <c r="M141" s="1215"/>
      <c r="N141" s="1215" t="s">
        <v>996</v>
      </c>
      <c r="O141" s="1215"/>
      <c r="P141" s="1215"/>
      <c r="Q141" s="1215"/>
      <c r="R141" s="1215"/>
      <c r="S141" s="1215"/>
      <c r="T141" s="1215"/>
      <c r="U141" s="1215"/>
      <c r="V141" s="1215"/>
      <c r="W141" s="1215"/>
      <c r="X141" s="1215"/>
      <c r="Y141" s="1215"/>
      <c r="Z141" s="1215"/>
      <c r="AA141" s="1215"/>
      <c r="AB141" s="1215"/>
      <c r="AC141" s="1215"/>
      <c r="AD141" s="1215"/>
      <c r="AE141" s="1215"/>
      <c r="AF141" s="1215"/>
      <c r="AG141" s="1215"/>
      <c r="AH141" s="1215"/>
      <c r="AI141" s="1215"/>
      <c r="AJ141" s="1215"/>
      <c r="AK141" s="1215"/>
      <c r="AL141" s="1215"/>
      <c r="AM141" s="1215"/>
      <c r="AN141" s="1215"/>
      <c r="AO141" s="1215"/>
      <c r="AP141" s="1215"/>
      <c r="AQ141" s="1215"/>
      <c r="AR141" s="1215"/>
    </row>
    <row r="142" spans="1:44">
      <c r="A142" s="1282"/>
      <c r="B142" s="1284"/>
      <c r="C142" s="1362"/>
      <c r="D142" s="1282"/>
      <c r="E142" s="1344"/>
      <c r="F142" s="1344"/>
      <c r="G142" s="1284"/>
      <c r="H142" s="1284"/>
      <c r="I142" s="1284"/>
      <c r="J142" s="1284"/>
      <c r="K142" s="1284"/>
      <c r="L142" s="1215"/>
      <c r="M142" s="1215"/>
      <c r="N142" s="1363">
        <v>1</v>
      </c>
      <c r="O142" s="1297">
        <f t="shared" ref="O142" si="93">N142+1</f>
        <v>2</v>
      </c>
      <c r="P142" s="1297">
        <f t="shared" ref="P142" si="94">O142+1</f>
        <v>3</v>
      </c>
      <c r="Q142" s="1297">
        <f t="shared" ref="Q142" si="95">P142+1</f>
        <v>4</v>
      </c>
      <c r="R142" s="1297">
        <f t="shared" ref="R142" si="96">Q142+1</f>
        <v>5</v>
      </c>
      <c r="S142" s="1297">
        <f t="shared" ref="S142" si="97">R142+1</f>
        <v>6</v>
      </c>
      <c r="T142" s="1297">
        <f t="shared" ref="T142" si="98">S142+1</f>
        <v>7</v>
      </c>
      <c r="U142" s="1297">
        <f t="shared" ref="U142" si="99">T142+1</f>
        <v>8</v>
      </c>
      <c r="V142" s="1297">
        <f t="shared" ref="V142" si="100">U142+1</f>
        <v>9</v>
      </c>
      <c r="W142" s="1297">
        <f t="shared" ref="W142" si="101">V142+1</f>
        <v>10</v>
      </c>
      <c r="X142" s="1297">
        <f t="shared" ref="X142" si="102">W142+1</f>
        <v>11</v>
      </c>
      <c r="Y142" s="1297">
        <f t="shared" ref="Y142" si="103">X142+1</f>
        <v>12</v>
      </c>
      <c r="Z142" s="1297">
        <f t="shared" ref="Z142" si="104">Y142+1</f>
        <v>13</v>
      </c>
      <c r="AA142" s="1297">
        <f t="shared" ref="AA142" si="105">Z142+1</f>
        <v>14</v>
      </c>
      <c r="AB142" s="1297">
        <f t="shared" ref="AB142" si="106">AA142+1</f>
        <v>15</v>
      </c>
      <c r="AC142" s="1297">
        <f t="shared" ref="AC142" si="107">AB142+1</f>
        <v>16</v>
      </c>
      <c r="AD142" s="1297">
        <f t="shared" ref="AD142" si="108">AC142+1</f>
        <v>17</v>
      </c>
      <c r="AE142" s="1297">
        <f t="shared" ref="AE142" si="109">AD142+1</f>
        <v>18</v>
      </c>
      <c r="AF142" s="1297">
        <f t="shared" ref="AF142" si="110">AE142+1</f>
        <v>19</v>
      </c>
      <c r="AG142" s="1297">
        <f t="shared" ref="AG142" si="111">AF142+1</f>
        <v>20</v>
      </c>
      <c r="AH142" s="1297">
        <f t="shared" ref="AH142" si="112">AG142+1</f>
        <v>21</v>
      </c>
      <c r="AI142" s="1297">
        <f t="shared" ref="AI142" si="113">AH142+1</f>
        <v>22</v>
      </c>
      <c r="AJ142" s="1297">
        <f t="shared" ref="AJ142" si="114">AI142+1</f>
        <v>23</v>
      </c>
      <c r="AK142" s="1297">
        <f t="shared" ref="AK142" si="115">AJ142+1</f>
        <v>24</v>
      </c>
      <c r="AL142" s="1297">
        <f t="shared" ref="AL142" si="116">AK142+1</f>
        <v>25</v>
      </c>
      <c r="AM142" s="1297">
        <f t="shared" ref="AM142" si="117">AL142+1</f>
        <v>26</v>
      </c>
      <c r="AN142" s="1297">
        <f t="shared" ref="AN142" si="118">AM142+1</f>
        <v>27</v>
      </c>
      <c r="AO142" s="1297">
        <f t="shared" ref="AO142" si="119">AN142+1</f>
        <v>28</v>
      </c>
      <c r="AP142" s="1297">
        <f t="shared" ref="AP142" si="120">AO142+1</f>
        <v>29</v>
      </c>
      <c r="AQ142" s="1297">
        <f t="shared" ref="AQ142" si="121">AP142+1</f>
        <v>30</v>
      </c>
      <c r="AR142" s="1215"/>
    </row>
    <row r="143" spans="1:44">
      <c r="A143" s="1282"/>
      <c r="B143" s="1364" t="s">
        <v>997</v>
      </c>
      <c r="C143" s="1365">
        <f>SUM(H6:H139)*(1-Inputs!$D$440)</f>
        <v>7664.6855350000023</v>
      </c>
      <c r="D143" s="1282"/>
      <c r="E143" s="1284"/>
      <c r="F143" s="1282"/>
      <c r="G143" s="1282"/>
      <c r="H143" s="1215"/>
      <c r="I143" s="1215"/>
      <c r="J143" s="1366"/>
      <c r="K143" s="1366"/>
      <c r="L143" s="1215"/>
      <c r="M143" s="1215"/>
      <c r="N143" s="1367">
        <f t="shared" ref="N143:AQ143" si="122">SUMPRODUCT($H$7:$H$115,N7:N115)/SUM($H$7:$H$115)</f>
        <v>0.33409697849180364</v>
      </c>
      <c r="O143" s="1367">
        <f t="shared" si="122"/>
        <v>6.0465407382604808E-2</v>
      </c>
      <c r="P143" s="1367">
        <f t="shared" si="122"/>
        <v>6.0465407382604808E-2</v>
      </c>
      <c r="Q143" s="1367">
        <f t="shared" si="122"/>
        <v>6.0465407382604808E-2</v>
      </c>
      <c r="R143" s="1367">
        <f t="shared" si="122"/>
        <v>6.0465407382604808E-2</v>
      </c>
      <c r="S143" s="1367">
        <f t="shared" si="122"/>
        <v>6.0465407382604808E-2</v>
      </c>
      <c r="T143" s="1367">
        <f t="shared" si="122"/>
        <v>6.0465407382604808E-2</v>
      </c>
      <c r="U143" s="1367">
        <f t="shared" si="122"/>
        <v>6.0465407382604808E-2</v>
      </c>
      <c r="V143" s="1367">
        <f t="shared" si="122"/>
        <v>6.0465407382604808E-2</v>
      </c>
      <c r="W143" s="1367">
        <f t="shared" si="122"/>
        <v>6.0842461338282847E-2</v>
      </c>
      <c r="X143" s="1367">
        <f t="shared" si="122"/>
        <v>6.0465407382604808E-2</v>
      </c>
      <c r="Y143" s="1367">
        <f t="shared" si="122"/>
        <v>6.0871893726470186E-2</v>
      </c>
      <c r="Z143" s="1367">
        <f t="shared" si="122"/>
        <v>0</v>
      </c>
      <c r="AA143" s="1367">
        <f t="shared" si="122"/>
        <v>0</v>
      </c>
      <c r="AB143" s="1367">
        <f t="shared" si="122"/>
        <v>0</v>
      </c>
      <c r="AC143" s="1367">
        <f t="shared" si="122"/>
        <v>0</v>
      </c>
      <c r="AD143" s="1367">
        <f t="shared" si="122"/>
        <v>0</v>
      </c>
      <c r="AE143" s="1367">
        <f t="shared" si="122"/>
        <v>0</v>
      </c>
      <c r="AF143" s="1367">
        <f t="shared" si="122"/>
        <v>0</v>
      </c>
      <c r="AG143" s="1367">
        <f t="shared" si="122"/>
        <v>0</v>
      </c>
      <c r="AH143" s="1367">
        <f t="shared" si="122"/>
        <v>0</v>
      </c>
      <c r="AI143" s="1367">
        <f t="shared" si="122"/>
        <v>0</v>
      </c>
      <c r="AJ143" s="1367">
        <f t="shared" si="122"/>
        <v>0</v>
      </c>
      <c r="AK143" s="1367">
        <f t="shared" si="122"/>
        <v>0</v>
      </c>
      <c r="AL143" s="1367">
        <f t="shared" si="122"/>
        <v>0</v>
      </c>
      <c r="AM143" s="1367">
        <f t="shared" si="122"/>
        <v>0</v>
      </c>
      <c r="AN143" s="1367">
        <f t="shared" si="122"/>
        <v>0</v>
      </c>
      <c r="AO143" s="1367">
        <f t="shared" si="122"/>
        <v>0</v>
      </c>
      <c r="AP143" s="1367">
        <f t="shared" si="122"/>
        <v>0</v>
      </c>
      <c r="AQ143" s="1367">
        <f t="shared" si="122"/>
        <v>0</v>
      </c>
      <c r="AR143" s="1215"/>
    </row>
    <row r="144" spans="1:44">
      <c r="A144" s="1282"/>
      <c r="B144" s="1368" t="s">
        <v>998</v>
      </c>
      <c r="C144" s="1369">
        <f ca="1">SUM(J6:J140)</f>
        <v>0</v>
      </c>
      <c r="D144" s="1282"/>
      <c r="E144" s="1284"/>
      <c r="F144" s="1282"/>
      <c r="G144" s="1282"/>
      <c r="H144" s="1215"/>
      <c r="I144" s="1215"/>
      <c r="J144" s="1282"/>
      <c r="K144" s="1282"/>
      <c r="L144" s="1215"/>
      <c r="M144" s="1215"/>
      <c r="N144" s="1215"/>
      <c r="O144" s="1215"/>
      <c r="P144" s="1215"/>
      <c r="Q144" s="1215"/>
      <c r="R144" s="1215"/>
      <c r="S144" s="1215"/>
      <c r="T144" s="1215"/>
      <c r="U144" s="1215"/>
      <c r="V144" s="1215"/>
      <c r="W144" s="1215"/>
      <c r="X144" s="1215"/>
      <c r="Y144" s="1215"/>
      <c r="Z144" s="1215"/>
      <c r="AA144" s="1215"/>
      <c r="AB144" s="1215"/>
      <c r="AC144" s="1215"/>
      <c r="AD144" s="1215"/>
      <c r="AE144" s="1215"/>
      <c r="AF144" s="1215"/>
      <c r="AG144" s="1215"/>
      <c r="AH144" s="1215"/>
      <c r="AI144" s="1215"/>
      <c r="AJ144" s="1215"/>
      <c r="AK144" s="1215"/>
      <c r="AL144" s="1215"/>
      <c r="AM144" s="1215"/>
      <c r="AN144" s="1215"/>
      <c r="AO144" s="1215"/>
      <c r="AP144" s="1215"/>
      <c r="AQ144" s="1215"/>
      <c r="AR144" s="1215"/>
    </row>
    <row r="145" spans="1:44">
      <c r="A145" s="1282"/>
      <c r="B145" s="1351"/>
      <c r="C145" s="1370"/>
      <c r="D145" s="1282"/>
      <c r="E145" s="1284"/>
      <c r="F145" s="1282"/>
      <c r="G145" s="1282"/>
      <c r="H145" s="1215"/>
      <c r="I145" s="1215"/>
      <c r="J145" s="1282"/>
      <c r="K145" s="1282"/>
      <c r="L145" s="1215"/>
      <c r="M145" s="1215"/>
      <c r="N145" s="1215" t="s">
        <v>999</v>
      </c>
      <c r="O145" s="1215"/>
      <c r="P145" s="1215"/>
      <c r="Q145" s="1215"/>
      <c r="R145" s="1215"/>
      <c r="S145" s="1215"/>
      <c r="T145" s="1215"/>
      <c r="U145" s="1215"/>
      <c r="V145" s="1215"/>
      <c r="W145" s="1215"/>
      <c r="X145" s="1215"/>
      <c r="Y145" s="1215"/>
      <c r="Z145" s="1215"/>
      <c r="AA145" s="1215"/>
      <c r="AB145" s="1215"/>
      <c r="AC145" s="1215"/>
      <c r="AD145" s="1215"/>
      <c r="AE145" s="1215"/>
      <c r="AF145" s="1215"/>
      <c r="AG145" s="1215"/>
      <c r="AH145" s="1215"/>
      <c r="AI145" s="1215"/>
      <c r="AJ145" s="1215"/>
      <c r="AK145" s="1215"/>
      <c r="AL145" s="1215"/>
      <c r="AM145" s="1215"/>
      <c r="AN145" s="1215"/>
      <c r="AO145" s="1215"/>
      <c r="AP145" s="1215"/>
      <c r="AQ145" s="1215"/>
      <c r="AR145" s="1215"/>
    </row>
    <row r="146" spans="1:44">
      <c r="A146" s="1282"/>
      <c r="B146" s="1215"/>
      <c r="C146" s="1215"/>
      <c r="D146" s="1215"/>
      <c r="E146" s="1215"/>
      <c r="F146" s="1215"/>
      <c r="G146" s="1215"/>
      <c r="H146" s="1215"/>
      <c r="I146" s="1215"/>
      <c r="J146" s="1282"/>
      <c r="K146" s="1282"/>
      <c r="L146" s="1215"/>
      <c r="M146" s="1215"/>
      <c r="N146" s="1363">
        <v>1</v>
      </c>
      <c r="O146" s="1297">
        <f t="shared" ref="O146" si="123">N146+1</f>
        <v>2</v>
      </c>
      <c r="P146" s="1297">
        <f t="shared" ref="P146" si="124">O146+1</f>
        <v>3</v>
      </c>
      <c r="Q146" s="1297">
        <f t="shared" ref="Q146" si="125">P146+1</f>
        <v>4</v>
      </c>
      <c r="R146" s="1297">
        <f t="shared" ref="R146" si="126">Q146+1</f>
        <v>5</v>
      </c>
      <c r="S146" s="1297">
        <f t="shared" ref="S146" si="127">R146+1</f>
        <v>6</v>
      </c>
      <c r="T146" s="1297">
        <f t="shared" ref="T146" si="128">S146+1</f>
        <v>7</v>
      </c>
      <c r="U146" s="1297">
        <f t="shared" ref="U146" si="129">T146+1</f>
        <v>8</v>
      </c>
      <c r="V146" s="1297">
        <f t="shared" ref="V146" si="130">U146+1</f>
        <v>9</v>
      </c>
      <c r="W146" s="1297">
        <f t="shared" ref="W146" si="131">V146+1</f>
        <v>10</v>
      </c>
      <c r="X146" s="1297">
        <f t="shared" ref="X146" si="132">W146+1</f>
        <v>11</v>
      </c>
      <c r="Y146" s="1297">
        <f t="shared" ref="Y146" si="133">X146+1</f>
        <v>12</v>
      </c>
      <c r="Z146" s="1297">
        <f t="shared" ref="Z146" si="134">Y146+1</f>
        <v>13</v>
      </c>
      <c r="AA146" s="1297">
        <f t="shared" ref="AA146" si="135">Z146+1</f>
        <v>14</v>
      </c>
      <c r="AB146" s="1297">
        <f t="shared" ref="AB146" si="136">AA146+1</f>
        <v>15</v>
      </c>
      <c r="AC146" s="1297">
        <f t="shared" ref="AC146" si="137">AB146+1</f>
        <v>16</v>
      </c>
      <c r="AD146" s="1297">
        <f t="shared" ref="AD146" si="138">AC146+1</f>
        <v>17</v>
      </c>
      <c r="AE146" s="1297">
        <f t="shared" ref="AE146" si="139">AD146+1</f>
        <v>18</v>
      </c>
      <c r="AF146" s="1297">
        <f t="shared" ref="AF146" si="140">AE146+1</f>
        <v>19</v>
      </c>
      <c r="AG146" s="1297">
        <f t="shared" ref="AG146" si="141">AF146+1</f>
        <v>20</v>
      </c>
      <c r="AH146" s="1297">
        <f t="shared" ref="AH146" si="142">AG146+1</f>
        <v>21</v>
      </c>
      <c r="AI146" s="1297">
        <f t="shared" ref="AI146" si="143">AH146+1</f>
        <v>22</v>
      </c>
      <c r="AJ146" s="1297">
        <f t="shared" ref="AJ146" si="144">AI146+1</f>
        <v>23</v>
      </c>
      <c r="AK146" s="1297">
        <f t="shared" ref="AK146" si="145">AJ146+1</f>
        <v>24</v>
      </c>
      <c r="AL146" s="1297">
        <f t="shared" ref="AL146" si="146">AK146+1</f>
        <v>25</v>
      </c>
      <c r="AM146" s="1297">
        <f t="shared" ref="AM146" si="147">AL146+1</f>
        <v>26</v>
      </c>
      <c r="AN146" s="1297">
        <f t="shared" ref="AN146" si="148">AM146+1</f>
        <v>27</v>
      </c>
      <c r="AO146" s="1297">
        <f t="shared" ref="AO146" si="149">AN146+1</f>
        <v>28</v>
      </c>
      <c r="AP146" s="1297">
        <f t="shared" ref="AP146" si="150">AO146+1</f>
        <v>29</v>
      </c>
      <c r="AQ146" s="1297">
        <f t="shared" ref="AQ146" si="151">AP146+1</f>
        <v>30</v>
      </c>
      <c r="AR146" s="1215"/>
    </row>
    <row r="147" spans="1:44">
      <c r="A147" s="1282"/>
      <c r="B147" s="1352" t="s">
        <v>1000</v>
      </c>
      <c r="C147" s="1352"/>
      <c r="D147" s="1352"/>
      <c r="E147" s="1215"/>
      <c r="F147" s="1215"/>
      <c r="G147" s="1215"/>
      <c r="H147" s="1215"/>
      <c r="I147" s="1215"/>
      <c r="J147" s="1282"/>
      <c r="K147" s="1282"/>
      <c r="L147" s="1215"/>
      <c r="M147" s="1215"/>
      <c r="N147" s="1337">
        <f t="shared" ref="N147:AQ147" si="152">IF(SUM($J$7:$J$115)&lt;&gt;0,SUMPRODUCT($J$7:$J$115,N7:N115)/SUM($J$7:$J$115),0)</f>
        <v>0</v>
      </c>
      <c r="O147" s="1337">
        <f t="shared" si="152"/>
        <v>0</v>
      </c>
      <c r="P147" s="1337">
        <f t="shared" si="152"/>
        <v>0</v>
      </c>
      <c r="Q147" s="1337">
        <f t="shared" si="152"/>
        <v>0</v>
      </c>
      <c r="R147" s="1337">
        <f t="shared" si="152"/>
        <v>0</v>
      </c>
      <c r="S147" s="1337">
        <f t="shared" si="152"/>
        <v>0</v>
      </c>
      <c r="T147" s="1337">
        <f t="shared" si="152"/>
        <v>0</v>
      </c>
      <c r="U147" s="1337">
        <f t="shared" si="152"/>
        <v>0</v>
      </c>
      <c r="V147" s="1337">
        <f t="shared" si="152"/>
        <v>0</v>
      </c>
      <c r="W147" s="1337">
        <f t="shared" si="152"/>
        <v>0</v>
      </c>
      <c r="X147" s="1337">
        <f t="shared" si="152"/>
        <v>0</v>
      </c>
      <c r="Y147" s="1337">
        <f t="shared" si="152"/>
        <v>0</v>
      </c>
      <c r="Z147" s="1337">
        <f t="shared" si="152"/>
        <v>0</v>
      </c>
      <c r="AA147" s="1337">
        <f t="shared" si="152"/>
        <v>0</v>
      </c>
      <c r="AB147" s="1337">
        <f t="shared" si="152"/>
        <v>0</v>
      </c>
      <c r="AC147" s="1337">
        <f t="shared" si="152"/>
        <v>0</v>
      </c>
      <c r="AD147" s="1337">
        <f t="shared" si="152"/>
        <v>0</v>
      </c>
      <c r="AE147" s="1337">
        <f t="shared" si="152"/>
        <v>0</v>
      </c>
      <c r="AF147" s="1337">
        <f t="shared" si="152"/>
        <v>0</v>
      </c>
      <c r="AG147" s="1337">
        <f t="shared" si="152"/>
        <v>0</v>
      </c>
      <c r="AH147" s="1337">
        <f t="shared" si="152"/>
        <v>0</v>
      </c>
      <c r="AI147" s="1337">
        <f t="shared" si="152"/>
        <v>0</v>
      </c>
      <c r="AJ147" s="1337">
        <f t="shared" si="152"/>
        <v>0</v>
      </c>
      <c r="AK147" s="1337">
        <f t="shared" si="152"/>
        <v>0</v>
      </c>
      <c r="AL147" s="1337">
        <f t="shared" si="152"/>
        <v>0</v>
      </c>
      <c r="AM147" s="1337">
        <f t="shared" si="152"/>
        <v>0</v>
      </c>
      <c r="AN147" s="1337">
        <f t="shared" si="152"/>
        <v>0</v>
      </c>
      <c r="AO147" s="1337">
        <f t="shared" si="152"/>
        <v>0</v>
      </c>
      <c r="AP147" s="1337">
        <f t="shared" si="152"/>
        <v>0</v>
      </c>
      <c r="AQ147" s="1337">
        <f t="shared" si="152"/>
        <v>0</v>
      </c>
      <c r="AR147" s="1215"/>
    </row>
    <row r="148" spans="1:44">
      <c r="A148" s="1282"/>
      <c r="B148" s="1215"/>
      <c r="C148" s="1215"/>
      <c r="D148" s="1215"/>
      <c r="E148" s="1215"/>
      <c r="F148" s="1215"/>
      <c r="G148" s="1215"/>
      <c r="H148" s="1215"/>
      <c r="I148" s="1215"/>
      <c r="J148" s="1282"/>
      <c r="K148" s="1282"/>
      <c r="L148" s="1215"/>
      <c r="M148" s="1215"/>
      <c r="N148" s="1215"/>
      <c r="O148" s="1215"/>
      <c r="P148" s="1215"/>
      <c r="Q148" s="1215"/>
      <c r="R148" s="1215"/>
      <c r="S148" s="1215"/>
      <c r="T148" s="1215"/>
      <c r="U148" s="1215"/>
      <c r="V148" s="1215"/>
      <c r="W148" s="1215"/>
      <c r="X148" s="1215"/>
      <c r="Y148" s="1215"/>
      <c r="Z148" s="1215"/>
      <c r="AA148" s="1215"/>
      <c r="AB148" s="1215"/>
      <c r="AC148" s="1215"/>
      <c r="AD148" s="1215"/>
      <c r="AE148" s="1215"/>
      <c r="AF148" s="1215"/>
      <c r="AG148" s="1215"/>
      <c r="AH148" s="1215"/>
      <c r="AI148" s="1215"/>
      <c r="AJ148" s="1215"/>
      <c r="AK148" s="1215"/>
      <c r="AL148" s="1215"/>
      <c r="AM148" s="1215"/>
      <c r="AN148" s="1215"/>
      <c r="AO148" s="1215"/>
      <c r="AP148" s="1215"/>
      <c r="AQ148" s="1215"/>
      <c r="AR148" s="1215"/>
    </row>
    <row r="149" spans="1:44">
      <c r="A149" s="1282"/>
      <c r="B149" s="1284" t="str">
        <f>Inputs!$A$10</f>
        <v>Scheduled Construction Time</v>
      </c>
      <c r="C149" s="720">
        <f>Inputs!D10</f>
        <v>12</v>
      </c>
      <c r="D149" s="1282"/>
      <c r="E149" s="1284"/>
      <c r="F149" s="1282"/>
      <c r="G149" s="1282"/>
      <c r="H149" s="1282"/>
      <c r="I149" s="1371"/>
      <c r="J149" s="1371"/>
      <c r="K149" s="1371"/>
      <c r="L149" s="1372"/>
      <c r="M149" s="1215"/>
      <c r="N149" s="1215"/>
      <c r="O149" s="1215"/>
      <c r="P149" s="1215"/>
      <c r="Q149" s="1215"/>
      <c r="R149" s="1215"/>
      <c r="S149" s="1215"/>
      <c r="T149" s="1215"/>
      <c r="U149" s="1215"/>
      <c r="V149" s="1215"/>
      <c r="W149" s="1215"/>
      <c r="X149" s="1215"/>
      <c r="Y149" s="1215"/>
      <c r="Z149" s="1215"/>
      <c r="AA149" s="1215"/>
      <c r="AB149" s="1215"/>
      <c r="AC149" s="1215"/>
      <c r="AD149" s="1215"/>
      <c r="AE149" s="1215"/>
      <c r="AF149" s="1215"/>
      <c r="AG149" s="1215"/>
      <c r="AH149" s="1215"/>
      <c r="AI149" s="1215"/>
      <c r="AJ149" s="1215"/>
      <c r="AK149" s="1215"/>
      <c r="AL149" s="1215"/>
      <c r="AM149" s="1215"/>
      <c r="AN149" s="1215"/>
      <c r="AO149" s="1215"/>
      <c r="AP149" s="1215"/>
      <c r="AQ149" s="1215"/>
      <c r="AR149" s="1215"/>
    </row>
    <row r="150" spans="1:44">
      <c r="A150" s="1282"/>
      <c r="B150" s="1284" t="str">
        <f>Inputs!$A$51</f>
        <v xml:space="preserve">Capacity </v>
      </c>
      <c r="C150" s="721">
        <f>Inputs!$D$51</f>
        <v>75.260000000000005</v>
      </c>
      <c r="D150" s="1282"/>
      <c r="E150" s="1284"/>
      <c r="F150" s="1282"/>
      <c r="G150" s="1282"/>
      <c r="H150" s="1282"/>
      <c r="I150" s="1371"/>
      <c r="J150" s="1371"/>
      <c r="K150" s="1371"/>
      <c r="L150" s="1372"/>
      <c r="M150" s="1215"/>
      <c r="N150" s="1215"/>
      <c r="O150" s="1215"/>
      <c r="P150" s="1215"/>
      <c r="Q150" s="1215"/>
      <c r="R150" s="1215"/>
      <c r="S150" s="1215"/>
      <c r="T150" s="1215"/>
      <c r="U150" s="1215"/>
      <c r="V150" s="1215"/>
      <c r="W150" s="1215"/>
      <c r="X150" s="1215"/>
      <c r="Y150" s="1215"/>
      <c r="Z150" s="1215"/>
      <c r="AA150" s="1215"/>
      <c r="AB150" s="1215"/>
      <c r="AC150" s="1215"/>
      <c r="AD150" s="1215"/>
      <c r="AE150" s="1215"/>
      <c r="AF150" s="1215"/>
      <c r="AG150" s="1215"/>
      <c r="AH150" s="1215"/>
      <c r="AI150" s="1215"/>
      <c r="AJ150" s="1215"/>
      <c r="AK150" s="1215"/>
      <c r="AL150" s="1215"/>
      <c r="AM150" s="1215"/>
      <c r="AN150" s="1215"/>
      <c r="AO150" s="1215"/>
      <c r="AP150" s="1215"/>
      <c r="AQ150" s="1215"/>
      <c r="AR150" s="1215"/>
    </row>
    <row r="151" spans="1:44">
      <c r="A151" s="1282"/>
      <c r="B151" s="1284" t="str">
        <f>Inputs!A420</f>
        <v>Withholding Tax</v>
      </c>
      <c r="C151" s="1373">
        <f>Inputs!D431</f>
        <v>0</v>
      </c>
      <c r="D151" s="1282"/>
      <c r="E151" s="1284"/>
      <c r="F151" s="1282"/>
      <c r="G151" s="1282"/>
      <c r="H151" s="1282"/>
      <c r="I151" s="1282"/>
      <c r="J151" s="1282"/>
      <c r="K151" s="1282"/>
      <c r="L151" s="1215"/>
      <c r="M151" s="1215"/>
      <c r="N151" s="1215"/>
      <c r="O151" s="1215"/>
      <c r="P151" s="1215"/>
      <c r="Q151" s="1215"/>
      <c r="R151" s="1215"/>
      <c r="S151" s="1215"/>
      <c r="T151" s="1215"/>
      <c r="U151" s="1215"/>
      <c r="V151" s="1215"/>
      <c r="W151" s="1215"/>
      <c r="X151" s="1215"/>
      <c r="Y151" s="1215"/>
      <c r="Z151" s="1215"/>
      <c r="AA151" s="1215"/>
      <c r="AB151" s="1215"/>
      <c r="AC151" s="1215"/>
      <c r="AD151" s="1215"/>
      <c r="AE151" s="1215"/>
      <c r="AF151" s="1215"/>
      <c r="AG151" s="1215"/>
      <c r="AH151" s="1215"/>
      <c r="AI151" s="1215"/>
      <c r="AJ151" s="1215"/>
      <c r="AK151" s="1215"/>
      <c r="AL151" s="1215"/>
      <c r="AM151" s="1215"/>
      <c r="AN151" s="1215"/>
      <c r="AO151" s="1215"/>
      <c r="AP151" s="1215"/>
      <c r="AQ151" s="1215"/>
      <c r="AR151" s="1215"/>
    </row>
    <row r="152" spans="1:44">
      <c r="A152" s="1282"/>
      <c r="B152" s="1284" t="str">
        <f>Inputs!$A$442</f>
        <v>Stamp Duty</v>
      </c>
      <c r="C152" s="722">
        <f>Inputs!$D$444</f>
        <v>0</v>
      </c>
      <c r="D152" s="1282"/>
      <c r="E152" s="1284"/>
      <c r="F152" s="1282"/>
      <c r="G152" s="1282"/>
      <c r="H152" s="1282"/>
      <c r="I152" s="1282"/>
      <c r="J152" s="1282"/>
      <c r="K152" s="1282"/>
      <c r="L152" s="1215"/>
      <c r="M152" s="1215"/>
      <c r="N152" s="1215"/>
      <c r="O152" s="1215"/>
      <c r="P152" s="1215"/>
      <c r="Q152" s="1215"/>
      <c r="R152" s="1215"/>
      <c r="S152" s="1215"/>
      <c r="T152" s="1215"/>
      <c r="U152" s="1215"/>
      <c r="V152" s="1215"/>
      <c r="W152" s="1215"/>
      <c r="X152" s="1215"/>
      <c r="Y152" s="1215"/>
      <c r="Z152" s="1215"/>
      <c r="AA152" s="1215"/>
      <c r="AB152" s="1215"/>
      <c r="AC152" s="1215"/>
      <c r="AD152" s="1215"/>
      <c r="AE152" s="1215"/>
      <c r="AF152" s="1215"/>
      <c r="AG152" s="1215"/>
      <c r="AH152" s="1215"/>
      <c r="AI152" s="1215"/>
      <c r="AJ152" s="1215"/>
      <c r="AK152" s="1215"/>
      <c r="AL152" s="1215"/>
      <c r="AM152" s="1215"/>
      <c r="AN152" s="1215"/>
      <c r="AO152" s="1215"/>
      <c r="AP152" s="1215"/>
      <c r="AQ152" s="1215"/>
      <c r="AR152" s="1215"/>
    </row>
    <row r="153" spans="1:44">
      <c r="A153" s="1282"/>
      <c r="B153" s="1284"/>
      <c r="C153" s="722"/>
      <c r="D153" s="1282"/>
      <c r="E153" s="1284"/>
      <c r="F153" s="1282"/>
      <c r="G153" s="1282"/>
      <c r="H153" s="1282"/>
      <c r="I153" s="1282"/>
      <c r="J153" s="1282"/>
      <c r="K153" s="1282"/>
      <c r="L153" s="1215"/>
      <c r="M153" s="1215"/>
      <c r="N153" s="1215"/>
      <c r="O153" s="1215"/>
      <c r="P153" s="1215"/>
      <c r="Q153" s="1215"/>
      <c r="R153" s="1215"/>
      <c r="S153" s="1215"/>
      <c r="T153" s="1215"/>
      <c r="U153" s="1215"/>
      <c r="V153" s="1215"/>
      <c r="W153" s="1215"/>
      <c r="X153" s="1215"/>
      <c r="Y153" s="1215"/>
      <c r="Z153" s="1215"/>
      <c r="AA153" s="1215"/>
      <c r="AB153" s="1215"/>
      <c r="AC153" s="1215"/>
      <c r="AD153" s="1215"/>
      <c r="AE153" s="1215"/>
      <c r="AF153" s="1215"/>
      <c r="AG153" s="1215"/>
      <c r="AH153" s="1215"/>
      <c r="AI153" s="1215"/>
      <c r="AJ153" s="1215"/>
      <c r="AK153" s="1215"/>
      <c r="AL153" s="1215"/>
      <c r="AM153" s="1215"/>
      <c r="AN153" s="1215"/>
      <c r="AO153" s="1215"/>
      <c r="AP153" s="1215"/>
      <c r="AQ153" s="1215"/>
      <c r="AR153" s="1215"/>
    </row>
    <row r="154" spans="1:44">
      <c r="A154" s="1282"/>
      <c r="B154" s="1284" t="s">
        <v>1001</v>
      </c>
      <c r="C154" s="1374">
        <f>Inputs!D78</f>
        <v>57</v>
      </c>
      <c r="D154" s="1282"/>
      <c r="E154" s="1284"/>
      <c r="F154" s="1282"/>
      <c r="G154" s="1282"/>
      <c r="H154" s="1282"/>
      <c r="I154" s="1282"/>
      <c r="J154" s="1282"/>
      <c r="K154" s="1282"/>
      <c r="L154" s="1215"/>
      <c r="M154" s="1215"/>
      <c r="N154" s="1215"/>
      <c r="O154" s="1215"/>
      <c r="P154" s="1215"/>
      <c r="Q154" s="1215"/>
      <c r="R154" s="1215"/>
      <c r="S154" s="1215"/>
      <c r="T154" s="1215"/>
      <c r="U154" s="1215"/>
      <c r="V154" s="1215"/>
      <c r="W154" s="1215"/>
      <c r="X154" s="1215"/>
      <c r="Y154" s="1215"/>
      <c r="Z154" s="1215"/>
      <c r="AA154" s="1215"/>
      <c r="AB154" s="1215"/>
      <c r="AC154" s="1215"/>
      <c r="AD154" s="1215"/>
      <c r="AE154" s="1215"/>
      <c r="AF154" s="1215"/>
      <c r="AG154" s="1215"/>
      <c r="AH154" s="1215"/>
      <c r="AI154" s="1215"/>
      <c r="AJ154" s="1215"/>
      <c r="AK154" s="1215"/>
      <c r="AL154" s="1215"/>
      <c r="AM154" s="1215"/>
      <c r="AN154" s="1215"/>
      <c r="AO154" s="1215"/>
      <c r="AP154" s="1215"/>
      <c r="AQ154" s="1215"/>
      <c r="AR154" s="1215"/>
    </row>
    <row r="155" spans="1:44">
      <c r="A155" s="1282"/>
      <c r="B155" s="1284" t="s">
        <v>1002</v>
      </c>
      <c r="C155" s="1374">
        <f>Inputs!I68</f>
        <v>0</v>
      </c>
      <c r="D155" s="1282"/>
      <c r="E155" s="1284"/>
      <c r="F155" s="1282"/>
      <c r="G155" s="1282"/>
      <c r="H155" s="1282"/>
      <c r="I155" s="1282"/>
      <c r="J155" s="1282"/>
      <c r="K155" s="1282"/>
      <c r="L155" s="1215"/>
      <c r="M155" s="1215"/>
      <c r="N155" s="1215"/>
      <c r="O155" s="1215"/>
      <c r="P155" s="1215"/>
      <c r="Q155" s="1215"/>
      <c r="R155" s="1215"/>
      <c r="S155" s="1215"/>
      <c r="T155" s="1215"/>
      <c r="U155" s="1215"/>
      <c r="V155" s="1215"/>
      <c r="W155" s="1215"/>
      <c r="X155" s="1215"/>
      <c r="Y155" s="1215"/>
      <c r="Z155" s="1215"/>
      <c r="AA155" s="1215"/>
      <c r="AB155" s="1215"/>
      <c r="AC155" s="1215"/>
      <c r="AD155" s="1215"/>
      <c r="AE155" s="1215"/>
      <c r="AF155" s="1215"/>
      <c r="AG155" s="1215"/>
      <c r="AH155" s="1215"/>
      <c r="AI155" s="1215"/>
      <c r="AJ155" s="1215"/>
      <c r="AK155" s="1215"/>
      <c r="AL155" s="1215"/>
      <c r="AM155" s="1215"/>
      <c r="AN155" s="1215"/>
      <c r="AO155" s="1215"/>
      <c r="AP155" s="1215"/>
      <c r="AQ155" s="1215"/>
      <c r="AR155" s="1215"/>
    </row>
    <row r="156" spans="1:44">
      <c r="A156" s="1282"/>
      <c r="B156" s="1284" t="s">
        <v>1003</v>
      </c>
      <c r="C156" s="722">
        <f>Inputs!$D$438</f>
        <v>0.17</v>
      </c>
      <c r="D156" s="1282"/>
      <c r="E156" s="1284"/>
      <c r="F156" s="1282"/>
      <c r="G156" s="1282"/>
      <c r="H156" s="1282"/>
      <c r="I156" s="1282"/>
      <c r="J156" s="1282"/>
      <c r="K156" s="1282"/>
      <c r="L156" s="1215"/>
      <c r="M156" s="1215"/>
      <c r="N156" s="1215"/>
      <c r="O156" s="1215"/>
      <c r="P156" s="1215"/>
      <c r="Q156" s="1215"/>
      <c r="R156" s="1215"/>
      <c r="S156" s="1215"/>
      <c r="T156" s="1215"/>
      <c r="U156" s="1215"/>
      <c r="V156" s="1215"/>
      <c r="W156" s="1215"/>
      <c r="X156" s="1215"/>
      <c r="Y156" s="1215"/>
      <c r="Z156" s="1215"/>
      <c r="AA156" s="1215"/>
      <c r="AB156" s="1215"/>
      <c r="AC156" s="1215"/>
      <c r="AD156" s="1215"/>
      <c r="AE156" s="1215"/>
      <c r="AF156" s="1215"/>
      <c r="AG156" s="1215"/>
      <c r="AH156" s="1215"/>
      <c r="AI156" s="1215"/>
      <c r="AJ156" s="1215"/>
      <c r="AK156" s="1215"/>
      <c r="AL156" s="1215"/>
      <c r="AM156" s="1215"/>
      <c r="AN156" s="1215"/>
      <c r="AO156" s="1215"/>
      <c r="AP156" s="1215"/>
      <c r="AQ156" s="1215"/>
      <c r="AR156" s="1215"/>
    </row>
    <row r="157" spans="1:44">
      <c r="A157" s="1282"/>
      <c r="B157" s="1284" t="s">
        <v>1004</v>
      </c>
      <c r="C157" s="1374">
        <f>IDC!$D$71</f>
        <v>0</v>
      </c>
      <c r="D157" s="1282"/>
      <c r="E157" s="1284"/>
      <c r="F157" s="1282"/>
      <c r="G157" s="1282"/>
      <c r="H157" s="1282"/>
      <c r="I157" s="1282"/>
      <c r="J157" s="1282"/>
      <c r="K157" s="1282"/>
      <c r="L157" s="1215"/>
      <c r="M157" s="1215"/>
      <c r="N157" s="1215"/>
      <c r="O157" s="1215"/>
      <c r="P157" s="1215"/>
      <c r="Q157" s="1215"/>
      <c r="R157" s="1215"/>
      <c r="S157" s="1215"/>
      <c r="T157" s="1215"/>
      <c r="U157" s="1215"/>
      <c r="V157" s="1215"/>
      <c r="W157" s="1215"/>
      <c r="X157" s="1215"/>
      <c r="Y157" s="1215"/>
      <c r="Z157" s="1215"/>
      <c r="AA157" s="1215"/>
      <c r="AB157" s="1215"/>
      <c r="AC157" s="1215"/>
      <c r="AD157" s="1215"/>
      <c r="AE157" s="1215"/>
      <c r="AF157" s="1215"/>
      <c r="AG157" s="1215"/>
      <c r="AH157" s="1215"/>
      <c r="AI157" s="1215"/>
      <c r="AJ157" s="1215"/>
      <c r="AK157" s="1215"/>
      <c r="AL157" s="1215"/>
      <c r="AM157" s="1215"/>
      <c r="AN157" s="1215"/>
      <c r="AO157" s="1215"/>
      <c r="AP157" s="1215"/>
      <c r="AQ157" s="1215"/>
      <c r="AR157" s="1215"/>
    </row>
    <row r="158" spans="1:44">
      <c r="A158" s="1282"/>
      <c r="B158" s="1284" t="s">
        <v>1005</v>
      </c>
      <c r="C158" s="1374">
        <f>Macro!$D$18</f>
        <v>0</v>
      </c>
      <c r="D158" s="1282"/>
      <c r="E158" s="1284"/>
      <c r="F158" s="1282"/>
      <c r="G158" s="1282"/>
      <c r="H158" s="1282"/>
      <c r="I158" s="1282"/>
      <c r="J158" s="1282"/>
      <c r="K158" s="1282"/>
      <c r="L158" s="1215"/>
      <c r="M158" s="1215"/>
      <c r="N158" s="1374"/>
      <c r="O158" s="1374"/>
      <c r="P158" s="1374"/>
      <c r="Q158" s="1374"/>
      <c r="R158" s="1374"/>
      <c r="S158" s="1374"/>
      <c r="T158" s="1374"/>
      <c r="U158" s="1374"/>
      <c r="V158" s="1374"/>
      <c r="W158" s="1374"/>
      <c r="X158" s="1374"/>
      <c r="Y158" s="1374"/>
      <c r="Z158" s="1374"/>
      <c r="AA158" s="1374"/>
      <c r="AB158" s="1374"/>
      <c r="AC158" s="1374"/>
      <c r="AD158" s="1374"/>
      <c r="AE158" s="1374"/>
      <c r="AF158" s="1374"/>
      <c r="AG158" s="1374"/>
      <c r="AH158" s="1374"/>
      <c r="AI158" s="1374"/>
      <c r="AJ158" s="1374"/>
      <c r="AK158" s="1374"/>
      <c r="AL158" s="1374"/>
      <c r="AM158" s="1374"/>
      <c r="AN158" s="1374"/>
      <c r="AO158" s="1374"/>
      <c r="AP158" s="1374"/>
      <c r="AQ158" s="1374"/>
      <c r="AR158" s="1215"/>
    </row>
    <row r="159" spans="1:44">
      <c r="A159" s="1282"/>
      <c r="B159" s="1372"/>
      <c r="C159" s="1282"/>
      <c r="D159" s="1282"/>
      <c r="E159" s="1284"/>
      <c r="F159" s="1282"/>
      <c r="G159" s="1282"/>
      <c r="H159" s="1282"/>
      <c r="I159" s="1282"/>
      <c r="J159" s="1282"/>
      <c r="K159" s="1282"/>
      <c r="L159" s="1215"/>
      <c r="M159" s="1215"/>
      <c r="N159" s="1215"/>
      <c r="O159" s="1215"/>
      <c r="P159" s="1215"/>
      <c r="Q159" s="1215"/>
      <c r="R159" s="1215"/>
      <c r="S159" s="1215"/>
      <c r="T159" s="1215"/>
      <c r="U159" s="1215"/>
      <c r="V159" s="1215"/>
      <c r="W159" s="1215"/>
      <c r="X159" s="1215"/>
      <c r="Y159" s="1215"/>
      <c r="Z159" s="1215"/>
      <c r="AA159" s="1215"/>
      <c r="AB159" s="1215"/>
      <c r="AC159" s="1215"/>
      <c r="AD159" s="1215"/>
      <c r="AE159" s="1215"/>
      <c r="AF159" s="1215"/>
      <c r="AG159" s="1215"/>
      <c r="AH159" s="1215"/>
      <c r="AI159" s="1215"/>
      <c r="AJ159" s="1215"/>
      <c r="AK159" s="1215"/>
      <c r="AL159" s="1215"/>
      <c r="AM159" s="1215"/>
      <c r="AN159" s="1215"/>
      <c r="AO159" s="1215"/>
      <c r="AP159" s="1215"/>
      <c r="AQ159" s="1215"/>
      <c r="AR159" s="1215"/>
    </row>
    <row r="160" spans="1:44">
      <c r="A160" s="1282"/>
      <c r="B160" s="1372"/>
      <c r="C160" s="1282"/>
      <c r="D160" s="1282"/>
      <c r="E160" s="1284"/>
      <c r="F160" s="1282"/>
      <c r="G160" s="1282"/>
      <c r="H160" s="1282"/>
      <c r="I160" s="1282"/>
      <c r="J160" s="1282"/>
      <c r="K160" s="1282"/>
      <c r="L160" s="1215"/>
      <c r="M160" s="1215"/>
      <c r="N160" s="1215"/>
      <c r="O160" s="1215"/>
      <c r="P160" s="1215"/>
      <c r="Q160" s="1215"/>
      <c r="R160" s="1215"/>
      <c r="S160" s="1215"/>
      <c r="T160" s="1215"/>
      <c r="U160" s="1215"/>
      <c r="V160" s="1215"/>
      <c r="W160" s="1215"/>
      <c r="X160" s="1215"/>
      <c r="Y160" s="1215"/>
      <c r="Z160" s="1215"/>
      <c r="AA160" s="1215"/>
      <c r="AB160" s="1215"/>
      <c r="AC160" s="1215"/>
      <c r="AD160" s="1215"/>
      <c r="AE160" s="1215"/>
      <c r="AF160" s="1215"/>
      <c r="AG160" s="1215"/>
      <c r="AH160" s="1215"/>
      <c r="AI160" s="1215"/>
      <c r="AJ160" s="1215"/>
      <c r="AK160" s="1215"/>
      <c r="AL160" s="1215"/>
      <c r="AM160" s="1215"/>
      <c r="AN160" s="1215"/>
      <c r="AO160" s="1215"/>
      <c r="AP160" s="1215"/>
      <c r="AQ160" s="1215"/>
      <c r="AR160" s="1215"/>
    </row>
    <row r="161" spans="1:43">
      <c r="A161" s="1282"/>
      <c r="B161" s="1372"/>
      <c r="C161" s="1371"/>
      <c r="D161" s="1371"/>
      <c r="E161" s="1372"/>
      <c r="F161" s="1371"/>
      <c r="G161" s="1371"/>
      <c r="H161" s="1371"/>
      <c r="I161" s="1371"/>
      <c r="J161" s="1371"/>
      <c r="K161" s="1371"/>
      <c r="L161" s="1372"/>
      <c r="M161" s="1215"/>
      <c r="N161" s="1215"/>
      <c r="O161" s="1215"/>
      <c r="P161" s="1215"/>
      <c r="Q161" s="1215"/>
      <c r="R161" s="1215"/>
      <c r="S161" s="1215"/>
      <c r="T161" s="1215"/>
      <c r="U161" s="1215"/>
      <c r="V161" s="1215"/>
      <c r="W161" s="1215"/>
      <c r="X161" s="1215"/>
      <c r="Y161" s="1215"/>
      <c r="Z161" s="1215"/>
      <c r="AA161" s="1215"/>
      <c r="AB161" s="1215"/>
      <c r="AC161" s="1215"/>
      <c r="AD161" s="1215"/>
      <c r="AE161" s="1215"/>
      <c r="AF161" s="1215"/>
      <c r="AG161" s="1215"/>
      <c r="AH161" s="1215"/>
      <c r="AI161" s="1215"/>
      <c r="AJ161" s="1215"/>
      <c r="AK161" s="1215"/>
      <c r="AL161" s="1215"/>
      <c r="AM161" s="1215"/>
      <c r="AN161" s="1215"/>
      <c r="AO161" s="1215"/>
      <c r="AP161" s="1215"/>
      <c r="AQ161" s="1215"/>
    </row>
    <row r="162" spans="1:43">
      <c r="A162" s="1282"/>
      <c r="B162" s="1372"/>
      <c r="C162" s="1371"/>
      <c r="D162" s="1371"/>
      <c r="E162" s="1372"/>
      <c r="F162" s="1371"/>
      <c r="G162" s="1375"/>
      <c r="H162" s="1371"/>
      <c r="I162" s="1371"/>
      <c r="J162" s="1371"/>
      <c r="K162" s="1371"/>
      <c r="L162" s="1372"/>
      <c r="M162" s="1215"/>
      <c r="N162" s="1215"/>
      <c r="O162" s="1215"/>
      <c r="P162" s="1215"/>
      <c r="Q162" s="1215"/>
      <c r="R162" s="1215"/>
      <c r="S162" s="1215"/>
      <c r="T162" s="1215"/>
      <c r="U162" s="1215"/>
      <c r="V162" s="1215"/>
      <c r="W162" s="1215"/>
      <c r="X162" s="1215"/>
      <c r="Y162" s="1215"/>
      <c r="Z162" s="1215"/>
      <c r="AA162" s="1215"/>
      <c r="AB162" s="1215"/>
      <c r="AC162" s="1215"/>
      <c r="AD162" s="1215"/>
      <c r="AE162" s="1215"/>
      <c r="AF162" s="1215"/>
      <c r="AG162" s="1215"/>
      <c r="AH162" s="1215"/>
      <c r="AI162" s="1215"/>
      <c r="AJ162" s="1215"/>
      <c r="AK162" s="1215"/>
      <c r="AL162" s="1215"/>
      <c r="AM162" s="1215"/>
      <c r="AN162" s="1215"/>
      <c r="AO162" s="1215"/>
      <c r="AP162" s="1215"/>
      <c r="AQ162" s="1215"/>
    </row>
    <row r="163" spans="1:43">
      <c r="A163" s="1282"/>
      <c r="B163" s="1372"/>
      <c r="C163" s="1371"/>
      <c r="D163" s="1371"/>
      <c r="E163" s="1372"/>
      <c r="F163" s="1371"/>
      <c r="G163" s="1375"/>
      <c r="H163" s="1371"/>
      <c r="I163" s="1371"/>
      <c r="J163" s="1371"/>
      <c r="K163" s="1371"/>
      <c r="L163" s="1372"/>
      <c r="M163" s="1215"/>
      <c r="N163" s="1215"/>
      <c r="O163" s="1215"/>
      <c r="P163" s="1215"/>
      <c r="Q163" s="1215"/>
      <c r="R163" s="1215"/>
      <c r="S163" s="1215"/>
      <c r="T163" s="1215"/>
      <c r="U163" s="1215"/>
      <c r="V163" s="1215"/>
      <c r="W163" s="1215"/>
      <c r="X163" s="1215"/>
      <c r="Y163" s="1215"/>
      <c r="Z163" s="1215"/>
      <c r="AA163" s="1215"/>
      <c r="AB163" s="1215"/>
      <c r="AC163" s="1215"/>
      <c r="AD163" s="1215"/>
      <c r="AE163" s="1215"/>
      <c r="AF163" s="1215"/>
      <c r="AG163" s="1215"/>
      <c r="AH163" s="1215"/>
      <c r="AI163" s="1215"/>
      <c r="AJ163" s="1215"/>
      <c r="AK163" s="1215"/>
      <c r="AL163" s="1215"/>
      <c r="AM163" s="1215"/>
      <c r="AN163" s="1215"/>
      <c r="AO163" s="1215"/>
      <c r="AP163" s="1215"/>
      <c r="AQ163" s="1215"/>
    </row>
    <row r="164" spans="1:43">
      <c r="A164" s="1282"/>
      <c r="B164" s="1372"/>
      <c r="C164" s="1371"/>
      <c r="D164" s="1371"/>
      <c r="E164" s="1372"/>
      <c r="F164" s="1371"/>
      <c r="G164" s="1375"/>
      <c r="H164" s="1371"/>
      <c r="I164" s="1371"/>
      <c r="J164" s="1371"/>
      <c r="K164" s="1371"/>
      <c r="L164" s="1372"/>
      <c r="M164" s="1215"/>
      <c r="N164" s="1215"/>
      <c r="O164" s="1215"/>
      <c r="P164" s="1215"/>
      <c r="Q164" s="1215"/>
      <c r="R164" s="1215"/>
      <c r="S164" s="1215"/>
      <c r="T164" s="1215"/>
      <c r="U164" s="1215"/>
      <c r="V164" s="1215"/>
      <c r="W164" s="1215"/>
      <c r="X164" s="1215"/>
      <c r="Y164" s="1215"/>
      <c r="Z164" s="1215"/>
      <c r="AA164" s="1215"/>
      <c r="AB164" s="1215"/>
      <c r="AC164" s="1215"/>
      <c r="AD164" s="1215"/>
      <c r="AE164" s="1215"/>
      <c r="AF164" s="1215"/>
      <c r="AG164" s="1215"/>
      <c r="AH164" s="1215"/>
      <c r="AI164" s="1215"/>
      <c r="AJ164" s="1215"/>
      <c r="AK164" s="1215"/>
      <c r="AL164" s="1215"/>
      <c r="AM164" s="1215"/>
      <c r="AN164" s="1215"/>
      <c r="AO164" s="1215"/>
      <c r="AP164" s="1215"/>
      <c r="AQ164" s="1215"/>
    </row>
  </sheetData>
  <mergeCells count="3">
    <mergeCell ref="E2:F2"/>
    <mergeCell ref="G2:H2"/>
    <mergeCell ref="I2:J2"/>
  </mergeCells>
  <dataValidations disablePrompts="1" count="1">
    <dataValidation type="list" allowBlank="1" showInputMessage="1" showErrorMessage="1" sqref="E116" xr:uid="{00000000-0002-0000-0200-000000000000}">
      <formula1>#REF!</formula1>
    </dataValidation>
  </dataValidations>
  <hyperlinks>
    <hyperlink ref="B1" location="Sensitivity!D41" display="Sensitivity!D41" xr:uid="{00000000-0004-0000-0200-000000000000}"/>
  </hyperlinks>
  <pageMargins left="0.7" right="0.7" top="0.75" bottom="0.75" header="0.3" footer="0.3"/>
  <pageSetup paperSize="9" scale="22" orientation="landscape" r:id="rId1"/>
  <ignoredErrors>
    <ignoredError sqref="C142" emptyCellReference="1"/>
    <ignoredError sqref="O54:AQ54 N13:AQ13 N18:AQ18 N24:AQ24 N31:AQ31" formula="1"/>
    <ignoredError sqref="C106 N97:AQ97" formulaRange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0" id="{52E6EE06-34A6-49D1-A017-1E94EC7D69F0}">
            <x14:iconSet iconSet="4RedToBlack" showValue="0" custom="1">
              <x14:cfvo type="percent">
                <xm:f>0</xm:f>
              </x14:cfvo>
              <x14:cfvo type="num">
                <xm:f>-20</xm:f>
              </x14:cfvo>
              <x14:cfvo type="num" gte="0">
                <xm:f>-10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NoIcons" iconId="0"/>
              <x14:cfIcon iconSet="4RedToBlack" iconId="1"/>
            </x14:iconSet>
          </x14:cfRule>
          <xm:sqref>H141:K141</xm:sqref>
        </x14:conditionalFormatting>
        <x14:conditionalFormatting xmlns:xm="http://schemas.microsoft.com/office/excel/2006/main">
          <x14:cfRule type="iconSet" priority="89" id="{739CF9E0-18D8-40FF-9B06-495DF0F3D056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M57</xm:sqref>
        </x14:conditionalFormatting>
        <x14:conditionalFormatting xmlns:xm="http://schemas.microsoft.com/office/excel/2006/main">
          <x14:cfRule type="iconSet" priority="84" id="{98AA4244-65E9-4AF6-BDEF-2A24FD4C620A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M112</xm:sqref>
        </x14:conditionalFormatting>
        <x14:conditionalFormatting xmlns:xm="http://schemas.microsoft.com/office/excel/2006/main">
          <x14:cfRule type="iconSet" priority="82" id="{ADE0AF36-BA70-49BD-A062-4313F87C0AD8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M57</xm:sqref>
        </x14:conditionalFormatting>
        <x14:conditionalFormatting xmlns:xm="http://schemas.microsoft.com/office/excel/2006/main">
          <x14:cfRule type="iconSet" priority="78" id="{37A45AAE-AFAE-47E4-94E5-65DCECBA89F1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M112</xm:sqref>
        </x14:conditionalFormatting>
        <x14:conditionalFormatting xmlns:xm="http://schemas.microsoft.com/office/excel/2006/main">
          <x14:cfRule type="iconSet" priority="74" id="{D96286A8-2CA8-47F9-AE78-57498F636118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M13</xm:sqref>
        </x14:conditionalFormatting>
        <x14:conditionalFormatting xmlns:xm="http://schemas.microsoft.com/office/excel/2006/main">
          <x14:cfRule type="iconSet" priority="73" id="{E9CDD642-230C-4DF2-A2F6-29FE9680A72B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M13</xm:sqref>
        </x14:conditionalFormatting>
        <x14:conditionalFormatting xmlns:xm="http://schemas.microsoft.com/office/excel/2006/main">
          <x14:cfRule type="iconSet" priority="72" id="{AAA903A7-0431-4880-930B-3DD6C7BB79FE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M18</xm:sqref>
        </x14:conditionalFormatting>
        <x14:conditionalFormatting xmlns:xm="http://schemas.microsoft.com/office/excel/2006/main">
          <x14:cfRule type="iconSet" priority="71" id="{2E105885-1B73-4653-9E6F-31F67F5C161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M18</xm:sqref>
        </x14:conditionalFormatting>
        <x14:conditionalFormatting xmlns:xm="http://schemas.microsoft.com/office/excel/2006/main">
          <x14:cfRule type="iconSet" priority="68" id="{5A494849-96CF-4CD7-9D7D-562EC4852585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M47</xm:sqref>
        </x14:conditionalFormatting>
        <x14:conditionalFormatting xmlns:xm="http://schemas.microsoft.com/office/excel/2006/main">
          <x14:cfRule type="iconSet" priority="67" id="{5751F82E-826B-47E7-96F3-BFAED523BBC5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M47</xm:sqref>
        </x14:conditionalFormatting>
        <x14:conditionalFormatting xmlns:xm="http://schemas.microsoft.com/office/excel/2006/main">
          <x14:cfRule type="iconSet" priority="66" id="{72CCE3BC-153D-46FD-B319-38A9FDC3504D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M54</xm:sqref>
        </x14:conditionalFormatting>
        <x14:conditionalFormatting xmlns:xm="http://schemas.microsoft.com/office/excel/2006/main">
          <x14:cfRule type="iconSet" priority="65" id="{109F540E-4B07-4B89-AB32-44E0804BB84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M54</xm:sqref>
        </x14:conditionalFormatting>
        <x14:conditionalFormatting xmlns:xm="http://schemas.microsoft.com/office/excel/2006/main">
          <x14:cfRule type="iconSet" priority="64" id="{7F5FF7E8-9EF7-4BA6-8E2B-F1F9B36F9769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M57</xm:sqref>
        </x14:conditionalFormatting>
        <x14:conditionalFormatting xmlns:xm="http://schemas.microsoft.com/office/excel/2006/main">
          <x14:cfRule type="iconSet" priority="63" id="{42B16DF3-40A4-48E5-B9D1-B11442B58DFD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M57</xm:sqref>
        </x14:conditionalFormatting>
        <x14:conditionalFormatting xmlns:xm="http://schemas.microsoft.com/office/excel/2006/main">
          <x14:cfRule type="iconSet" priority="60" id="{EA906B8D-4561-4CCD-B3A7-CA0F9CBE00AB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M86</xm:sqref>
        </x14:conditionalFormatting>
        <x14:conditionalFormatting xmlns:xm="http://schemas.microsoft.com/office/excel/2006/main">
          <x14:cfRule type="iconSet" priority="59" id="{4879DE11-D49B-49C1-B182-CBBA7B76DEBF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M86</xm:sqref>
        </x14:conditionalFormatting>
        <x14:conditionalFormatting xmlns:xm="http://schemas.microsoft.com/office/excel/2006/main">
          <x14:cfRule type="iconSet" priority="56" id="{FBA528DA-6031-4749-923C-B2E412932523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M97</xm:sqref>
        </x14:conditionalFormatting>
        <x14:conditionalFormatting xmlns:xm="http://schemas.microsoft.com/office/excel/2006/main">
          <x14:cfRule type="iconSet" priority="55" id="{AC7F416B-533D-444E-9873-B193F930329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M97</xm:sqref>
        </x14:conditionalFormatting>
        <x14:conditionalFormatting xmlns:xm="http://schemas.microsoft.com/office/excel/2006/main">
          <x14:cfRule type="iconSet" priority="54" id="{D0441D5F-1786-4A41-8B38-402E33CAE85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M105</xm:sqref>
        </x14:conditionalFormatting>
        <x14:conditionalFormatting xmlns:xm="http://schemas.microsoft.com/office/excel/2006/main">
          <x14:cfRule type="iconSet" priority="53" id="{C754E95C-FDE3-48D5-8C04-DD2E623E8AD9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M105</xm:sqref>
        </x14:conditionalFormatting>
        <x14:conditionalFormatting xmlns:xm="http://schemas.microsoft.com/office/excel/2006/main">
          <x14:cfRule type="iconSet" priority="52" id="{86A764A0-0B0A-44AA-AAB6-D424DED14217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M112</xm:sqref>
        </x14:conditionalFormatting>
        <x14:conditionalFormatting xmlns:xm="http://schemas.microsoft.com/office/excel/2006/main">
          <x14:cfRule type="iconSet" priority="51" id="{6CA55213-6F3F-43BE-B892-5E68165774FD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M112</xm:sqref>
        </x14:conditionalFormatting>
        <x14:conditionalFormatting xmlns:xm="http://schemas.microsoft.com/office/excel/2006/main">
          <x14:cfRule type="iconSet" priority="50" id="{F9C68201-46A4-4D49-9067-15EB0983BEBE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M111</xm:sqref>
        </x14:conditionalFormatting>
        <x14:conditionalFormatting xmlns:xm="http://schemas.microsoft.com/office/excel/2006/main">
          <x14:cfRule type="iconSet" priority="49" id="{4CA86500-D3C8-47C2-8F4A-82AB9020A5A7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M111</xm:sqref>
        </x14:conditionalFormatting>
        <x14:conditionalFormatting xmlns:xm="http://schemas.microsoft.com/office/excel/2006/main">
          <x14:cfRule type="iconSet" priority="48" id="{FDBA9BED-391D-456A-952F-86633031D74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M111</xm:sqref>
        </x14:conditionalFormatting>
        <x14:conditionalFormatting xmlns:xm="http://schemas.microsoft.com/office/excel/2006/main">
          <x14:cfRule type="iconSet" priority="47" id="{6ED7F34F-54C4-40AD-B130-936FDE1519DB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M111</xm:sqref>
        </x14:conditionalFormatting>
        <x14:conditionalFormatting xmlns:xm="http://schemas.microsoft.com/office/excel/2006/main">
          <x14:cfRule type="iconSet" priority="46" id="{7C766155-46A4-45C4-8C77-E5B3A106B5D6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M106</xm:sqref>
        </x14:conditionalFormatting>
        <x14:conditionalFormatting xmlns:xm="http://schemas.microsoft.com/office/excel/2006/main">
          <x14:cfRule type="iconSet" priority="45" id="{A2C45E1D-5797-40FF-AAA0-32B73E6101C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M106</xm:sqref>
        </x14:conditionalFormatting>
        <x14:conditionalFormatting xmlns:xm="http://schemas.microsoft.com/office/excel/2006/main">
          <x14:cfRule type="iconSet" priority="32" id="{8C92451B-F53D-4395-BE62-823C4DE4E984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M82</xm:sqref>
        </x14:conditionalFormatting>
        <x14:conditionalFormatting xmlns:xm="http://schemas.microsoft.com/office/excel/2006/main">
          <x14:cfRule type="iconSet" priority="423" id="{6A3C8232-FA5E-4EEE-B747-196EA0B4CCC3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M119:M120</xm:sqref>
        </x14:conditionalFormatting>
        <x14:conditionalFormatting xmlns:xm="http://schemas.microsoft.com/office/excel/2006/main">
          <x14:cfRule type="iconSet" priority="29" id="{5A76FDB4-8A6D-40F4-8D5E-86451C9A7611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</xm:sqref>
        </x14:conditionalFormatting>
        <x14:conditionalFormatting xmlns:xm="http://schemas.microsoft.com/office/excel/2006/main">
          <x14:cfRule type="iconSet" priority="26" id="{500B5552-18AB-4CFB-85D6-D65E3234D4E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M6</xm:sqref>
        </x14:conditionalFormatting>
        <x14:conditionalFormatting xmlns:xm="http://schemas.microsoft.com/office/excel/2006/main">
          <x14:cfRule type="iconSet" priority="25" id="{91A2BD05-3B3E-4E7B-B891-2D7AF390B05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</xm:sqref>
        </x14:conditionalFormatting>
        <x14:conditionalFormatting xmlns:xm="http://schemas.microsoft.com/office/excel/2006/main">
          <x14:cfRule type="iconSet" priority="24" id="{0DB94EDD-66DE-47FE-9E8C-3816CAFB687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M3:M4</xm:sqref>
        </x14:conditionalFormatting>
        <x14:conditionalFormatting xmlns:xm="http://schemas.microsoft.com/office/excel/2006/main">
          <x14:cfRule type="iconSet" priority="17" id="{CF65BEEC-6789-4710-91A2-5CB640B62A8D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M31</xm:sqref>
        </x14:conditionalFormatting>
        <x14:conditionalFormatting xmlns:xm="http://schemas.microsoft.com/office/excel/2006/main">
          <x14:cfRule type="iconSet" priority="16" id="{EDE65298-D71B-4564-8834-65AFBC5763C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M31</xm:sqref>
        </x14:conditionalFormatting>
        <x14:conditionalFormatting xmlns:xm="http://schemas.microsoft.com/office/excel/2006/main">
          <x14:cfRule type="iconSet" priority="15" id="{5A245F84-3DEC-4BE6-9F23-E941E1A99C3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M31</xm:sqref>
        </x14:conditionalFormatting>
        <x14:conditionalFormatting xmlns:xm="http://schemas.microsoft.com/office/excel/2006/main">
          <x14:cfRule type="iconSet" priority="1712" id="{B4A2378B-B381-4B38-9E02-002DE32BBB85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M121:M139 M116 M86:M87 M89:M93 M96:M102 M104:M108 M110:M111</xm:sqref>
        </x14:conditionalFormatting>
        <x14:conditionalFormatting xmlns:xm="http://schemas.microsoft.com/office/excel/2006/main">
          <x14:cfRule type="iconSet" priority="3748" id="{B894DCE1-4163-4A3B-8B09-AB5EF8CC7AD3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M47:M49 M52:M56</xm:sqref>
        </x14:conditionalFormatting>
        <x14:conditionalFormatting xmlns:xm="http://schemas.microsoft.com/office/excel/2006/main">
          <x14:cfRule type="iconSet" priority="14" id="{F8C5C8F2-E732-49F8-AAA3-A1C5C4D4A3C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M50</xm:sqref>
        </x14:conditionalFormatting>
        <x14:conditionalFormatting xmlns:xm="http://schemas.microsoft.com/office/excel/2006/main">
          <x14:cfRule type="iconSet" priority="13" id="{9AD64768-4EE5-4D6C-B9FC-9562294FBBEC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M51</xm:sqref>
        </x14:conditionalFormatting>
        <x14:conditionalFormatting xmlns:xm="http://schemas.microsoft.com/office/excel/2006/main">
          <x14:cfRule type="iconSet" priority="12" id="{1A6553D7-0E96-4417-8C8F-A00A3F56433B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M67</xm:sqref>
        </x14:conditionalFormatting>
        <x14:conditionalFormatting xmlns:xm="http://schemas.microsoft.com/office/excel/2006/main">
          <x14:cfRule type="iconSet" priority="11" id="{D1C5EA69-FB02-4E2C-A6D1-418FC962F686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M79</xm:sqref>
        </x14:conditionalFormatting>
        <x14:conditionalFormatting xmlns:xm="http://schemas.microsoft.com/office/excel/2006/main">
          <x14:cfRule type="iconSet" priority="3752" id="{DDF37FC2-7E71-44D9-BD88-BB000213DFF3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M83:M85 M58:M66 M7:M8 M32:M46 M68:M78 M80 M10:M30</xm:sqref>
        </x14:conditionalFormatting>
        <x14:conditionalFormatting xmlns:xm="http://schemas.microsoft.com/office/excel/2006/main">
          <x14:cfRule type="iconSet" priority="10" id="{4C206A4B-2AFD-4836-88A3-B3201F12D772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M88</xm:sqref>
        </x14:conditionalFormatting>
        <x14:conditionalFormatting xmlns:xm="http://schemas.microsoft.com/office/excel/2006/main">
          <x14:cfRule type="iconSet" priority="9" id="{9DA7F7AD-7757-4FFE-823C-1C13D53D4E46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M94</xm:sqref>
        </x14:conditionalFormatting>
        <x14:conditionalFormatting xmlns:xm="http://schemas.microsoft.com/office/excel/2006/main">
          <x14:cfRule type="iconSet" priority="8" id="{F7BF0B30-DBA2-483F-8201-FFB49A5297D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M95</xm:sqref>
        </x14:conditionalFormatting>
        <x14:conditionalFormatting xmlns:xm="http://schemas.microsoft.com/office/excel/2006/main">
          <x14:cfRule type="iconSet" priority="7" id="{CBB1D5F9-7075-4EE8-AF82-E14CEE0D83C5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M103</xm:sqref>
        </x14:conditionalFormatting>
        <x14:conditionalFormatting xmlns:xm="http://schemas.microsoft.com/office/excel/2006/main">
          <x14:cfRule type="iconSet" priority="6" id="{6DECC714-69A5-4908-A6AA-7E7426D79A69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M109</xm:sqref>
        </x14:conditionalFormatting>
        <x14:conditionalFormatting xmlns:xm="http://schemas.microsoft.com/office/excel/2006/main">
          <x14:cfRule type="iconSet" priority="3" id="{E84CE66F-5A5F-44A5-A3C3-FA2FF756D32E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M24</xm:sqref>
        </x14:conditionalFormatting>
        <x14:conditionalFormatting xmlns:xm="http://schemas.microsoft.com/office/excel/2006/main">
          <x14:cfRule type="iconSet" priority="2" id="{FE8E5367-C90E-4A88-8FC6-CEC0BF36BB17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M24</xm:sqref>
        </x14:conditionalFormatting>
        <x14:conditionalFormatting xmlns:xm="http://schemas.microsoft.com/office/excel/2006/main">
          <x14:cfRule type="iconSet" priority="1" id="{E3D0392D-3065-45A1-884B-D6CAEC01427C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_opex">
    <tabColor theme="3"/>
  </sheetPr>
  <dimension ref="A1:AL118"/>
  <sheetViews>
    <sheetView showGridLines="0" topLeftCell="B1" zoomScale="89" zoomScaleNormal="89" workbookViewId="0">
      <pane xSplit="2" ySplit="2" topLeftCell="D61" activePane="bottomRight" state="frozen"/>
      <selection pane="bottomRight" activeCell="C96" sqref="C96"/>
      <selection pane="bottomLeft" activeCell="B3" sqref="B3"/>
      <selection pane="topRight" activeCell="D1" sqref="D1"/>
    </sheetView>
  </sheetViews>
  <sheetFormatPr defaultColWidth="11.42578125" defaultRowHeight="11.25"/>
  <cols>
    <col min="1" max="1" width="6.140625" style="419" hidden="1" customWidth="1"/>
    <col min="2" max="2" width="52.140625" style="1" customWidth="1"/>
    <col min="3" max="5" width="10.5703125" style="419" customWidth="1"/>
    <col min="6" max="6" width="11.5703125" style="419" bestFit="1" customWidth="1"/>
    <col min="7" max="35" width="6.5703125" style="419" customWidth="1"/>
    <col min="36" max="36" width="2.42578125" style="419" customWidth="1"/>
    <col min="37" max="37" width="53" style="420" customWidth="1"/>
    <col min="38" max="38" width="69" style="420" customWidth="1"/>
    <col min="39" max="39" width="30.42578125" style="420" customWidth="1"/>
    <col min="40" max="40" width="10.85546875" style="420" customWidth="1"/>
    <col min="41" max="41" width="10" style="420" customWidth="1"/>
    <col min="42" max="42" width="9.5703125" style="420" customWidth="1"/>
    <col min="43" max="43" width="9" style="420" customWidth="1"/>
    <col min="44" max="16384" width="11.42578125" style="420"/>
  </cols>
  <sheetData>
    <row r="1" spans="1:38">
      <c r="B1" s="728">
        <f ca="1">Outputs!$D$46</f>
        <v>11182.479442004989</v>
      </c>
      <c r="D1" s="423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AJ1" s="420"/>
      <c r="AK1" s="424"/>
      <c r="AL1" s="1117"/>
    </row>
    <row r="2" spans="1:38">
      <c r="B2" s="425"/>
      <c r="C2" s="421" t="s">
        <v>1006</v>
      </c>
      <c r="D2" s="421" t="s">
        <v>1007</v>
      </c>
      <c r="E2" s="421" t="s">
        <v>333</v>
      </c>
      <c r="F2" s="426">
        <v>1</v>
      </c>
      <c r="G2" s="426">
        <f t="shared" ref="G2:AI2" si="0">F2+1</f>
        <v>2</v>
      </c>
      <c r="H2" s="426">
        <f t="shared" si="0"/>
        <v>3</v>
      </c>
      <c r="I2" s="426">
        <f t="shared" si="0"/>
        <v>4</v>
      </c>
      <c r="J2" s="426">
        <f t="shared" si="0"/>
        <v>5</v>
      </c>
      <c r="K2" s="426">
        <f t="shared" si="0"/>
        <v>6</v>
      </c>
      <c r="L2" s="426">
        <f t="shared" si="0"/>
        <v>7</v>
      </c>
      <c r="M2" s="426">
        <f t="shared" si="0"/>
        <v>8</v>
      </c>
      <c r="N2" s="426">
        <f t="shared" si="0"/>
        <v>9</v>
      </c>
      <c r="O2" s="426">
        <f t="shared" si="0"/>
        <v>10</v>
      </c>
      <c r="P2" s="426">
        <f t="shared" si="0"/>
        <v>11</v>
      </c>
      <c r="Q2" s="426">
        <f t="shared" si="0"/>
        <v>12</v>
      </c>
      <c r="R2" s="426">
        <f t="shared" si="0"/>
        <v>13</v>
      </c>
      <c r="S2" s="426">
        <f t="shared" si="0"/>
        <v>14</v>
      </c>
      <c r="T2" s="426">
        <f t="shared" si="0"/>
        <v>15</v>
      </c>
      <c r="U2" s="426">
        <f t="shared" si="0"/>
        <v>16</v>
      </c>
      <c r="V2" s="426">
        <f t="shared" si="0"/>
        <v>17</v>
      </c>
      <c r="W2" s="426">
        <f t="shared" si="0"/>
        <v>18</v>
      </c>
      <c r="X2" s="426">
        <f t="shared" si="0"/>
        <v>19</v>
      </c>
      <c r="Y2" s="426">
        <f t="shared" si="0"/>
        <v>20</v>
      </c>
      <c r="Z2" s="426">
        <f t="shared" si="0"/>
        <v>21</v>
      </c>
      <c r="AA2" s="426">
        <f t="shared" si="0"/>
        <v>22</v>
      </c>
      <c r="AB2" s="426">
        <f t="shared" si="0"/>
        <v>23</v>
      </c>
      <c r="AC2" s="426">
        <f t="shared" si="0"/>
        <v>24</v>
      </c>
      <c r="AD2" s="426">
        <f t="shared" si="0"/>
        <v>25</v>
      </c>
      <c r="AE2" s="426">
        <f t="shared" si="0"/>
        <v>26</v>
      </c>
      <c r="AF2" s="426">
        <f t="shared" si="0"/>
        <v>27</v>
      </c>
      <c r="AG2" s="426">
        <f t="shared" si="0"/>
        <v>28</v>
      </c>
      <c r="AH2" s="426">
        <f t="shared" si="0"/>
        <v>29</v>
      </c>
      <c r="AI2" s="426">
        <f t="shared" si="0"/>
        <v>30</v>
      </c>
      <c r="AJ2" s="420"/>
      <c r="AK2" s="421" t="s">
        <v>1008</v>
      </c>
      <c r="AL2" s="1119" t="s">
        <v>907</v>
      </c>
    </row>
    <row r="3" spans="1:38">
      <c r="A3" s="419" t="s">
        <v>1009</v>
      </c>
      <c r="B3" s="1463" t="s">
        <v>785</v>
      </c>
      <c r="C3" s="1464">
        <f>SUM(C4:C7)</f>
        <v>198</v>
      </c>
      <c r="D3" s="849">
        <f>$C$102</f>
        <v>0.02</v>
      </c>
      <c r="E3" s="97">
        <v>0</v>
      </c>
      <c r="F3" s="428">
        <f t="shared" ref="F3:AI3" si="1">SUMPRODUCT($C$4:$C$7,F4:F7)*(1+$D3)^(F2-1)</f>
        <v>198</v>
      </c>
      <c r="G3" s="429">
        <f t="shared" si="1"/>
        <v>201.96</v>
      </c>
      <c r="H3" s="429">
        <f t="shared" si="1"/>
        <v>205.9992</v>
      </c>
      <c r="I3" s="429">
        <f t="shared" si="1"/>
        <v>210.11918399999999</v>
      </c>
      <c r="J3" s="429">
        <f t="shared" si="1"/>
        <v>214.32156767999999</v>
      </c>
      <c r="K3" s="429">
        <f t="shared" si="1"/>
        <v>218.60799903360001</v>
      </c>
      <c r="L3" s="429">
        <f t="shared" si="1"/>
        <v>222.980159014272</v>
      </c>
      <c r="M3" s="429">
        <f t="shared" si="1"/>
        <v>227.4397621945574</v>
      </c>
      <c r="N3" s="429">
        <f t="shared" si="1"/>
        <v>231.98855743844857</v>
      </c>
      <c r="O3" s="429">
        <f t="shared" si="1"/>
        <v>236.62832858721754</v>
      </c>
      <c r="P3" s="429">
        <f t="shared" si="1"/>
        <v>241.36089515896191</v>
      </c>
      <c r="Q3" s="429">
        <f t="shared" si="1"/>
        <v>246.1881130621411</v>
      </c>
      <c r="R3" s="429">
        <f t="shared" si="1"/>
        <v>251.11187532338397</v>
      </c>
      <c r="S3" s="429">
        <f t="shared" si="1"/>
        <v>256.13411282985163</v>
      </c>
      <c r="T3" s="429">
        <f t="shared" si="1"/>
        <v>261.25679508644868</v>
      </c>
      <c r="U3" s="429">
        <f t="shared" si="1"/>
        <v>266.48193098817757</v>
      </c>
      <c r="V3" s="429">
        <f t="shared" si="1"/>
        <v>271.81156960794118</v>
      </c>
      <c r="W3" s="429">
        <f t="shared" si="1"/>
        <v>277.24780100010003</v>
      </c>
      <c r="X3" s="429">
        <f t="shared" si="1"/>
        <v>282.79275702010199</v>
      </c>
      <c r="Y3" s="429">
        <f t="shared" si="1"/>
        <v>288.44861216050401</v>
      </c>
      <c r="Z3" s="429">
        <f t="shared" si="1"/>
        <v>294.21758440371411</v>
      </c>
      <c r="AA3" s="429">
        <f t="shared" si="1"/>
        <v>300.10193609178839</v>
      </c>
      <c r="AB3" s="429">
        <f t="shared" si="1"/>
        <v>306.10397481362418</v>
      </c>
      <c r="AC3" s="429">
        <f t="shared" si="1"/>
        <v>312.2260543098966</v>
      </c>
      <c r="AD3" s="429">
        <f t="shared" si="1"/>
        <v>318.47057539609455</v>
      </c>
      <c r="AE3" s="429">
        <f t="shared" si="1"/>
        <v>324.83998690401643</v>
      </c>
      <c r="AF3" s="429">
        <f t="shared" si="1"/>
        <v>331.3367866420968</v>
      </c>
      <c r="AG3" s="429">
        <f t="shared" si="1"/>
        <v>337.96352237493869</v>
      </c>
      <c r="AH3" s="429">
        <f t="shared" si="1"/>
        <v>344.72279282243755</v>
      </c>
      <c r="AI3" s="430">
        <f t="shared" si="1"/>
        <v>351.61724867888626</v>
      </c>
      <c r="AJ3" s="420"/>
      <c r="AK3" s="1010"/>
      <c r="AL3" s="1118"/>
    </row>
    <row r="4" spans="1:38" ht="12" customHeight="1">
      <c r="A4" s="419" t="s">
        <v>1010</v>
      </c>
      <c r="B4" s="431" t="s">
        <v>787</v>
      </c>
      <c r="C4" s="1551">
        <f>Scenarios!E237</f>
        <v>64</v>
      </c>
      <c r="D4" s="788"/>
      <c r="E4" s="789"/>
      <c r="F4" s="447">
        <v>1</v>
      </c>
      <c r="G4" s="447">
        <v>1</v>
      </c>
      <c r="H4" s="447">
        <v>1</v>
      </c>
      <c r="I4" s="447">
        <v>1</v>
      </c>
      <c r="J4" s="447">
        <v>1</v>
      </c>
      <c r="K4" s="447">
        <v>1</v>
      </c>
      <c r="L4" s="447">
        <v>1</v>
      </c>
      <c r="M4" s="447">
        <v>1</v>
      </c>
      <c r="N4" s="447">
        <v>1</v>
      </c>
      <c r="O4" s="447">
        <v>1</v>
      </c>
      <c r="P4" s="447">
        <v>1</v>
      </c>
      <c r="Q4" s="447">
        <v>1</v>
      </c>
      <c r="R4" s="447">
        <v>1</v>
      </c>
      <c r="S4" s="447">
        <v>1</v>
      </c>
      <c r="T4" s="447">
        <v>1</v>
      </c>
      <c r="U4" s="447">
        <v>1</v>
      </c>
      <c r="V4" s="447">
        <v>1</v>
      </c>
      <c r="W4" s="447">
        <v>1</v>
      </c>
      <c r="X4" s="447">
        <v>1</v>
      </c>
      <c r="Y4" s="447">
        <v>1</v>
      </c>
      <c r="Z4" s="447">
        <v>1</v>
      </c>
      <c r="AA4" s="447">
        <v>1</v>
      </c>
      <c r="AB4" s="447">
        <v>1</v>
      </c>
      <c r="AC4" s="447">
        <v>1</v>
      </c>
      <c r="AD4" s="447">
        <v>1</v>
      </c>
      <c r="AE4" s="447">
        <v>1</v>
      </c>
      <c r="AF4" s="447">
        <v>1</v>
      </c>
      <c r="AG4" s="447">
        <v>1</v>
      </c>
      <c r="AH4" s="447">
        <v>1</v>
      </c>
      <c r="AI4" s="447">
        <v>1</v>
      </c>
      <c r="AJ4" s="420"/>
      <c r="AK4" s="432"/>
      <c r="AL4" s="422"/>
    </row>
    <row r="5" spans="1:38" ht="12" customHeight="1">
      <c r="B5" s="431" t="s">
        <v>788</v>
      </c>
      <c r="C5" s="1551">
        <f>Scenarios!E238</f>
        <v>105</v>
      </c>
      <c r="D5" s="790"/>
      <c r="E5" s="791"/>
      <c r="F5" s="447">
        <v>1</v>
      </c>
      <c r="G5" s="447">
        <v>1</v>
      </c>
      <c r="H5" s="447">
        <v>1</v>
      </c>
      <c r="I5" s="447">
        <v>1</v>
      </c>
      <c r="J5" s="447">
        <v>1</v>
      </c>
      <c r="K5" s="447">
        <v>1</v>
      </c>
      <c r="L5" s="447">
        <v>1</v>
      </c>
      <c r="M5" s="447">
        <v>1</v>
      </c>
      <c r="N5" s="447">
        <v>1</v>
      </c>
      <c r="O5" s="447">
        <v>1</v>
      </c>
      <c r="P5" s="447">
        <v>1</v>
      </c>
      <c r="Q5" s="447">
        <v>1</v>
      </c>
      <c r="R5" s="447">
        <v>1</v>
      </c>
      <c r="S5" s="447">
        <v>1</v>
      </c>
      <c r="T5" s="447">
        <v>1</v>
      </c>
      <c r="U5" s="447">
        <v>1</v>
      </c>
      <c r="V5" s="447">
        <v>1</v>
      </c>
      <c r="W5" s="447">
        <v>1</v>
      </c>
      <c r="X5" s="447">
        <v>1</v>
      </c>
      <c r="Y5" s="447">
        <v>1</v>
      </c>
      <c r="Z5" s="447">
        <v>1</v>
      </c>
      <c r="AA5" s="447">
        <v>1</v>
      </c>
      <c r="AB5" s="447">
        <v>1</v>
      </c>
      <c r="AC5" s="447">
        <v>1</v>
      </c>
      <c r="AD5" s="447">
        <v>1</v>
      </c>
      <c r="AE5" s="447">
        <v>1</v>
      </c>
      <c r="AF5" s="447">
        <v>1</v>
      </c>
      <c r="AG5" s="447">
        <v>1</v>
      </c>
      <c r="AH5" s="447">
        <v>1</v>
      </c>
      <c r="AI5" s="447">
        <v>1</v>
      </c>
      <c r="AJ5" s="420"/>
      <c r="AK5" s="432"/>
      <c r="AL5" s="1"/>
    </row>
    <row r="6" spans="1:38" ht="12" customHeight="1">
      <c r="A6" s="419" t="s">
        <v>1011</v>
      </c>
      <c r="B6" s="431" t="s">
        <v>789</v>
      </c>
      <c r="C6" s="1551">
        <f>Scenarios!E239</f>
        <v>29</v>
      </c>
      <c r="D6" s="790"/>
      <c r="E6" s="791"/>
      <c r="F6" s="447">
        <v>1</v>
      </c>
      <c r="G6" s="447">
        <v>1</v>
      </c>
      <c r="H6" s="447">
        <v>1</v>
      </c>
      <c r="I6" s="447">
        <v>1</v>
      </c>
      <c r="J6" s="447">
        <v>1</v>
      </c>
      <c r="K6" s="447">
        <v>1</v>
      </c>
      <c r="L6" s="447">
        <v>1</v>
      </c>
      <c r="M6" s="447">
        <v>1</v>
      </c>
      <c r="N6" s="447">
        <v>1</v>
      </c>
      <c r="O6" s="447">
        <v>1</v>
      </c>
      <c r="P6" s="447">
        <v>1</v>
      </c>
      <c r="Q6" s="447">
        <v>1</v>
      </c>
      <c r="R6" s="447">
        <v>1</v>
      </c>
      <c r="S6" s="447">
        <v>1</v>
      </c>
      <c r="T6" s="447">
        <v>1</v>
      </c>
      <c r="U6" s="447">
        <v>1</v>
      </c>
      <c r="V6" s="447">
        <v>1</v>
      </c>
      <c r="W6" s="447">
        <v>1</v>
      </c>
      <c r="X6" s="447">
        <v>1</v>
      </c>
      <c r="Y6" s="447">
        <v>1</v>
      </c>
      <c r="Z6" s="447">
        <v>1</v>
      </c>
      <c r="AA6" s="447">
        <v>1</v>
      </c>
      <c r="AB6" s="447">
        <v>1</v>
      </c>
      <c r="AC6" s="447">
        <v>1</v>
      </c>
      <c r="AD6" s="447">
        <v>1</v>
      </c>
      <c r="AE6" s="447">
        <v>1</v>
      </c>
      <c r="AF6" s="447">
        <v>1</v>
      </c>
      <c r="AG6" s="447">
        <v>1</v>
      </c>
      <c r="AH6" s="447">
        <v>1</v>
      </c>
      <c r="AI6" s="447">
        <v>1</v>
      </c>
      <c r="AJ6" s="420"/>
      <c r="AK6" s="422"/>
      <c r="AL6" s="1112"/>
    </row>
    <row r="7" spans="1:38" ht="12" customHeight="1">
      <c r="A7" s="419" t="s">
        <v>1012</v>
      </c>
      <c r="B7" s="431" t="s">
        <v>608</v>
      </c>
      <c r="C7" s="1551">
        <f>Scenarios!E240</f>
        <v>0</v>
      </c>
      <c r="D7" s="790"/>
      <c r="E7" s="791"/>
      <c r="F7" s="447">
        <v>1</v>
      </c>
      <c r="G7" s="447">
        <v>1</v>
      </c>
      <c r="H7" s="447">
        <v>1</v>
      </c>
      <c r="I7" s="447">
        <v>1</v>
      </c>
      <c r="J7" s="447">
        <v>1</v>
      </c>
      <c r="K7" s="447">
        <v>1</v>
      </c>
      <c r="L7" s="447">
        <v>1</v>
      </c>
      <c r="M7" s="447">
        <v>1</v>
      </c>
      <c r="N7" s="447">
        <v>1</v>
      </c>
      <c r="O7" s="447">
        <v>1</v>
      </c>
      <c r="P7" s="447">
        <v>1</v>
      </c>
      <c r="Q7" s="447">
        <v>1</v>
      </c>
      <c r="R7" s="447">
        <v>1</v>
      </c>
      <c r="S7" s="447">
        <v>1</v>
      </c>
      <c r="T7" s="447">
        <v>1</v>
      </c>
      <c r="U7" s="447">
        <v>1</v>
      </c>
      <c r="V7" s="447">
        <v>1</v>
      </c>
      <c r="W7" s="447">
        <v>1</v>
      </c>
      <c r="X7" s="447">
        <v>1</v>
      </c>
      <c r="Y7" s="447">
        <v>1</v>
      </c>
      <c r="Z7" s="447">
        <v>1</v>
      </c>
      <c r="AA7" s="447">
        <v>1</v>
      </c>
      <c r="AB7" s="447">
        <v>1</v>
      </c>
      <c r="AC7" s="447">
        <v>1</v>
      </c>
      <c r="AD7" s="447">
        <v>1</v>
      </c>
      <c r="AE7" s="447">
        <v>1</v>
      </c>
      <c r="AF7" s="447">
        <v>1</v>
      </c>
      <c r="AG7" s="447">
        <v>1</v>
      </c>
      <c r="AH7" s="447">
        <v>1</v>
      </c>
      <c r="AI7" s="447">
        <v>1</v>
      </c>
      <c r="AJ7" s="420"/>
      <c r="AK7" s="422"/>
      <c r="AL7" s="422"/>
    </row>
    <row r="8" spans="1:38">
      <c r="A8" s="419" t="s">
        <v>1013</v>
      </c>
      <c r="B8" s="427" t="s">
        <v>790</v>
      </c>
      <c r="C8" s="1464">
        <f>SUM(C11:C25)+AVERAGE(C9:C10)</f>
        <v>213</v>
      </c>
      <c r="D8" s="849">
        <f>$C$102</f>
        <v>0.02</v>
      </c>
      <c r="E8" s="97">
        <v>0</v>
      </c>
      <c r="F8" s="1008">
        <f>(SUMPRODUCT($C$9:$C$25,F9:F25))*(1+$D8)^(F2-1)</f>
        <v>244</v>
      </c>
      <c r="G8" s="1008">
        <f>(SUMPRODUCT($C$9:$C$25,G9:G25))*(1+$D8)^(G2-1)</f>
        <v>185.64000000000001</v>
      </c>
      <c r="H8" s="1009">
        <f t="shared" ref="H8:AI8" si="2">(SUMPRODUCT($C$9:$C$25,H9:H25))*(1+$D8)^(H2-1)</f>
        <v>189.3528</v>
      </c>
      <c r="I8" s="1009">
        <f t="shared" si="2"/>
        <v>193.13985599999998</v>
      </c>
      <c r="J8" s="1009">
        <f t="shared" si="2"/>
        <v>197.00265311999999</v>
      </c>
      <c r="K8" s="1009">
        <f t="shared" si="2"/>
        <v>200.9427061824</v>
      </c>
      <c r="L8" s="1009">
        <f t="shared" si="2"/>
        <v>204.961560306048</v>
      </c>
      <c r="M8" s="1009">
        <f t="shared" si="2"/>
        <v>209.06079151216892</v>
      </c>
      <c r="N8" s="1009">
        <f t="shared" si="2"/>
        <v>213.24200734241234</v>
      </c>
      <c r="O8" s="1009">
        <f t="shared" si="2"/>
        <v>217.50684748926056</v>
      </c>
      <c r="P8" s="1009">
        <f t="shared" si="2"/>
        <v>221.85698443904579</v>
      </c>
      <c r="Q8" s="1009">
        <f t="shared" si="2"/>
        <v>226.29412412782668</v>
      </c>
      <c r="R8" s="1009">
        <f t="shared" si="2"/>
        <v>230.82000661038325</v>
      </c>
      <c r="S8" s="1009">
        <f t="shared" si="2"/>
        <v>235.43640674259089</v>
      </c>
      <c r="T8" s="1009">
        <f t="shared" si="2"/>
        <v>240.14513487744273</v>
      </c>
      <c r="U8" s="1009">
        <f t="shared" si="2"/>
        <v>244.94803757499153</v>
      </c>
      <c r="V8" s="1009">
        <f t="shared" si="2"/>
        <v>249.84699832649139</v>
      </c>
      <c r="W8" s="1009">
        <f t="shared" si="2"/>
        <v>254.84393829302124</v>
      </c>
      <c r="X8" s="1009">
        <f t="shared" si="2"/>
        <v>259.94081705888163</v>
      </c>
      <c r="Y8" s="1009">
        <f t="shared" si="2"/>
        <v>265.13963340005927</v>
      </c>
      <c r="Z8" s="1009">
        <f t="shared" si="2"/>
        <v>270.44242606806046</v>
      </c>
      <c r="AA8" s="1009">
        <f t="shared" si="2"/>
        <v>275.85127458942168</v>
      </c>
      <c r="AB8" s="1009">
        <f t="shared" si="2"/>
        <v>281.36830008121012</v>
      </c>
      <c r="AC8" s="1009">
        <f t="shared" si="2"/>
        <v>286.99566608283425</v>
      </c>
      <c r="AD8" s="1009">
        <f t="shared" si="2"/>
        <v>292.73557940449098</v>
      </c>
      <c r="AE8" s="1009">
        <f t="shared" si="2"/>
        <v>298.59029099258078</v>
      </c>
      <c r="AF8" s="1009">
        <f t="shared" si="2"/>
        <v>304.5620968124324</v>
      </c>
      <c r="AG8" s="1009">
        <f t="shared" si="2"/>
        <v>310.65333874868099</v>
      </c>
      <c r="AH8" s="1009">
        <f t="shared" si="2"/>
        <v>316.86640552365469</v>
      </c>
      <c r="AI8" s="1009">
        <f t="shared" si="2"/>
        <v>323.20373363412773</v>
      </c>
      <c r="AJ8" s="434"/>
      <c r="AK8" s="1010"/>
      <c r="AL8" s="432"/>
    </row>
    <row r="9" spans="1:38" ht="12" customHeight="1">
      <c r="A9" s="419" t="s">
        <v>1014</v>
      </c>
      <c r="B9" s="431" t="s">
        <v>791</v>
      </c>
      <c r="C9" s="1551">
        <f>Scenarios!E242</f>
        <v>179</v>
      </c>
      <c r="D9" s="794"/>
      <c r="E9" s="789"/>
      <c r="F9" s="447">
        <v>1</v>
      </c>
      <c r="G9" s="447">
        <v>0</v>
      </c>
      <c r="H9" s="447">
        <v>0</v>
      </c>
      <c r="I9" s="447">
        <v>0</v>
      </c>
      <c r="J9" s="447">
        <v>0</v>
      </c>
      <c r="K9" s="447">
        <v>0</v>
      </c>
      <c r="L9" s="447">
        <v>0</v>
      </c>
      <c r="M9" s="447">
        <v>0</v>
      </c>
      <c r="N9" s="447">
        <v>0</v>
      </c>
      <c r="O9" s="447">
        <v>0</v>
      </c>
      <c r="P9" s="447">
        <v>0</v>
      </c>
      <c r="Q9" s="447">
        <v>0</v>
      </c>
      <c r="R9" s="447">
        <v>0</v>
      </c>
      <c r="S9" s="447">
        <v>0</v>
      </c>
      <c r="T9" s="447">
        <v>0</v>
      </c>
      <c r="U9" s="447">
        <v>0</v>
      </c>
      <c r="V9" s="447">
        <v>0</v>
      </c>
      <c r="W9" s="447">
        <v>0</v>
      </c>
      <c r="X9" s="447">
        <v>0</v>
      </c>
      <c r="Y9" s="447">
        <v>0</v>
      </c>
      <c r="Z9" s="447">
        <v>0</v>
      </c>
      <c r="AA9" s="447">
        <v>0</v>
      </c>
      <c r="AB9" s="447">
        <v>0</v>
      </c>
      <c r="AC9" s="447">
        <v>0</v>
      </c>
      <c r="AD9" s="447">
        <v>0</v>
      </c>
      <c r="AE9" s="447">
        <v>0</v>
      </c>
      <c r="AF9" s="447">
        <v>0</v>
      </c>
      <c r="AG9" s="447">
        <v>0</v>
      </c>
      <c r="AH9" s="447">
        <v>0</v>
      </c>
      <c r="AI9" s="447">
        <v>0</v>
      </c>
      <c r="AJ9" s="420"/>
      <c r="AK9" s="1113"/>
      <c r="AL9" s="1113"/>
    </row>
    <row r="10" spans="1:38" ht="12" customHeight="1">
      <c r="A10" s="419" t="s">
        <v>1015</v>
      </c>
      <c r="B10" s="431" t="s">
        <v>793</v>
      </c>
      <c r="C10" s="1551">
        <f>Scenarios!E243</f>
        <v>117</v>
      </c>
      <c r="D10" s="795"/>
      <c r="E10" s="791"/>
      <c r="F10" s="1037">
        <v>0</v>
      </c>
      <c r="G10" s="447">
        <v>1</v>
      </c>
      <c r="H10" s="447">
        <v>1</v>
      </c>
      <c r="I10" s="447">
        <v>1</v>
      </c>
      <c r="J10" s="447">
        <v>1</v>
      </c>
      <c r="K10" s="447">
        <v>1</v>
      </c>
      <c r="L10" s="447">
        <v>1</v>
      </c>
      <c r="M10" s="447">
        <v>1</v>
      </c>
      <c r="N10" s="447">
        <v>1</v>
      </c>
      <c r="O10" s="447">
        <v>1</v>
      </c>
      <c r="P10" s="447">
        <v>1</v>
      </c>
      <c r="Q10" s="447">
        <v>1</v>
      </c>
      <c r="R10" s="447">
        <v>1</v>
      </c>
      <c r="S10" s="447">
        <v>1</v>
      </c>
      <c r="T10" s="447">
        <v>1</v>
      </c>
      <c r="U10" s="447">
        <v>1</v>
      </c>
      <c r="V10" s="447">
        <v>1</v>
      </c>
      <c r="W10" s="447">
        <v>1</v>
      </c>
      <c r="X10" s="447">
        <v>1</v>
      </c>
      <c r="Y10" s="447">
        <v>1</v>
      </c>
      <c r="Z10" s="447">
        <v>1</v>
      </c>
      <c r="AA10" s="447">
        <v>1</v>
      </c>
      <c r="AB10" s="447">
        <v>1</v>
      </c>
      <c r="AC10" s="447">
        <v>1</v>
      </c>
      <c r="AD10" s="447">
        <v>1</v>
      </c>
      <c r="AE10" s="447">
        <v>1</v>
      </c>
      <c r="AF10" s="447">
        <v>1</v>
      </c>
      <c r="AG10" s="447">
        <v>1</v>
      </c>
      <c r="AH10" s="447">
        <v>1</v>
      </c>
      <c r="AI10" s="447">
        <v>1</v>
      </c>
      <c r="AJ10" s="420"/>
      <c r="AK10" s="1113"/>
      <c r="AL10" s="1113"/>
    </row>
    <row r="11" spans="1:38" ht="12" customHeight="1">
      <c r="A11" s="419" t="s">
        <v>1016</v>
      </c>
      <c r="B11" s="1462" t="s">
        <v>795</v>
      </c>
      <c r="C11" s="1551">
        <f>Scenarios!E244</f>
        <v>0</v>
      </c>
      <c r="D11" s="795"/>
      <c r="E11" s="791"/>
      <c r="F11" s="1035">
        <v>0</v>
      </c>
      <c r="G11" s="1036">
        <v>0</v>
      </c>
      <c r="H11" s="1036">
        <v>0</v>
      </c>
      <c r="I11" s="1036">
        <v>0</v>
      </c>
      <c r="J11" s="1036">
        <v>0</v>
      </c>
      <c r="K11" s="1036">
        <v>0</v>
      </c>
      <c r="L11" s="1036">
        <v>0</v>
      </c>
      <c r="M11" s="1036">
        <v>0</v>
      </c>
      <c r="N11" s="1036">
        <v>0</v>
      </c>
      <c r="O11" s="1036">
        <v>0</v>
      </c>
      <c r="P11" s="1036">
        <v>0</v>
      </c>
      <c r="Q11" s="1036">
        <v>0</v>
      </c>
      <c r="R11" s="1036">
        <v>0</v>
      </c>
      <c r="S11" s="1036">
        <v>0</v>
      </c>
      <c r="T11" s="1036">
        <v>0</v>
      </c>
      <c r="U11" s="1036">
        <v>0</v>
      </c>
      <c r="V11" s="1036">
        <v>0</v>
      </c>
      <c r="W11" s="1036">
        <v>0</v>
      </c>
      <c r="X11" s="1036">
        <v>0</v>
      </c>
      <c r="Y11" s="1036">
        <v>0</v>
      </c>
      <c r="Z11" s="1036">
        <v>0</v>
      </c>
      <c r="AA11" s="1036">
        <v>0</v>
      </c>
      <c r="AB11" s="1036">
        <v>0</v>
      </c>
      <c r="AC11" s="1036">
        <v>0</v>
      </c>
      <c r="AD11" s="1036">
        <v>0</v>
      </c>
      <c r="AE11" s="1036">
        <v>0</v>
      </c>
      <c r="AF11" s="1036">
        <v>0</v>
      </c>
      <c r="AG11" s="1036">
        <v>0</v>
      </c>
      <c r="AH11" s="1036">
        <v>0</v>
      </c>
      <c r="AI11" s="1036">
        <v>0</v>
      </c>
      <c r="AJ11" s="420"/>
      <c r="AK11" s="1113"/>
      <c r="AL11" s="1113"/>
    </row>
    <row r="12" spans="1:38" ht="12" customHeight="1">
      <c r="B12" s="1462" t="s">
        <v>796</v>
      </c>
      <c r="C12" s="1551">
        <f>Scenarios!E245</f>
        <v>0</v>
      </c>
      <c r="D12" s="795"/>
      <c r="E12" s="791"/>
      <c r="F12" s="1037">
        <v>0</v>
      </c>
      <c r="G12" s="447">
        <v>0</v>
      </c>
      <c r="H12" s="447">
        <v>0</v>
      </c>
      <c r="I12" s="447">
        <v>0</v>
      </c>
      <c r="J12" s="447">
        <v>0</v>
      </c>
      <c r="K12" s="447">
        <v>0</v>
      </c>
      <c r="L12" s="447">
        <v>0</v>
      </c>
      <c r="M12" s="447">
        <v>0</v>
      </c>
      <c r="N12" s="447">
        <v>0</v>
      </c>
      <c r="O12" s="447">
        <v>0</v>
      </c>
      <c r="P12" s="447">
        <v>0</v>
      </c>
      <c r="Q12" s="447">
        <v>0</v>
      </c>
      <c r="R12" s="447">
        <v>0</v>
      </c>
      <c r="S12" s="447">
        <v>0</v>
      </c>
      <c r="T12" s="447">
        <v>0</v>
      </c>
      <c r="U12" s="447">
        <v>0</v>
      </c>
      <c r="V12" s="447">
        <v>0</v>
      </c>
      <c r="W12" s="447">
        <v>0</v>
      </c>
      <c r="X12" s="447">
        <v>0</v>
      </c>
      <c r="Y12" s="447">
        <v>0</v>
      </c>
      <c r="Z12" s="447">
        <v>0</v>
      </c>
      <c r="AA12" s="447">
        <v>0</v>
      </c>
      <c r="AB12" s="447">
        <v>0</v>
      </c>
      <c r="AC12" s="447">
        <v>0</v>
      </c>
      <c r="AD12" s="447">
        <v>0</v>
      </c>
      <c r="AE12" s="447">
        <v>0</v>
      </c>
      <c r="AF12" s="447">
        <v>0</v>
      </c>
      <c r="AG12" s="447">
        <v>0</v>
      </c>
      <c r="AH12" s="447">
        <v>0</v>
      </c>
      <c r="AI12" s="447">
        <v>0</v>
      </c>
      <c r="AJ12" s="420"/>
      <c r="AK12" s="1113"/>
      <c r="AL12" s="1113"/>
    </row>
    <row r="13" spans="1:38" ht="12" customHeight="1">
      <c r="B13" s="431" t="s">
        <v>797</v>
      </c>
      <c r="C13" s="1551">
        <f>Scenarios!E246</f>
        <v>0</v>
      </c>
      <c r="D13" s="795"/>
      <c r="E13" s="791"/>
      <c r="F13" s="1037">
        <v>1</v>
      </c>
      <c r="G13" s="447">
        <v>1</v>
      </c>
      <c r="H13" s="447">
        <v>1</v>
      </c>
      <c r="I13" s="447">
        <v>1</v>
      </c>
      <c r="J13" s="447">
        <v>1</v>
      </c>
      <c r="K13" s="447">
        <v>1</v>
      </c>
      <c r="L13" s="447">
        <v>1</v>
      </c>
      <c r="M13" s="447">
        <v>1</v>
      </c>
      <c r="N13" s="447">
        <v>1</v>
      </c>
      <c r="O13" s="447">
        <v>1</v>
      </c>
      <c r="P13" s="447">
        <v>1</v>
      </c>
      <c r="Q13" s="447">
        <v>1</v>
      </c>
      <c r="R13" s="447">
        <v>1</v>
      </c>
      <c r="S13" s="447">
        <v>1</v>
      </c>
      <c r="T13" s="447">
        <v>1</v>
      </c>
      <c r="U13" s="447">
        <v>1</v>
      </c>
      <c r="V13" s="447">
        <v>1</v>
      </c>
      <c r="W13" s="447">
        <v>1</v>
      </c>
      <c r="X13" s="447">
        <v>1</v>
      </c>
      <c r="Y13" s="447">
        <v>1</v>
      </c>
      <c r="Z13" s="447">
        <v>1</v>
      </c>
      <c r="AA13" s="447">
        <v>1</v>
      </c>
      <c r="AB13" s="447">
        <v>1</v>
      </c>
      <c r="AC13" s="447">
        <v>1</v>
      </c>
      <c r="AD13" s="447">
        <v>1</v>
      </c>
      <c r="AE13" s="447">
        <v>1</v>
      </c>
      <c r="AF13" s="447">
        <v>1</v>
      </c>
      <c r="AG13" s="447">
        <v>1</v>
      </c>
      <c r="AH13" s="447">
        <v>1</v>
      </c>
      <c r="AI13" s="447">
        <v>1</v>
      </c>
      <c r="AJ13" s="420"/>
      <c r="AK13" s="1113"/>
      <c r="AL13" s="1113"/>
    </row>
    <row r="14" spans="1:38" ht="12" customHeight="1">
      <c r="A14" s="419" t="s">
        <v>1017</v>
      </c>
      <c r="B14" s="431" t="s">
        <v>798</v>
      </c>
      <c r="C14" s="1551">
        <f>Scenarios!E247</f>
        <v>1</v>
      </c>
      <c r="D14" s="795"/>
      <c r="E14" s="1465"/>
      <c r="F14" s="1037">
        <v>1</v>
      </c>
      <c r="G14" s="447">
        <v>1</v>
      </c>
      <c r="H14" s="447">
        <v>1</v>
      </c>
      <c r="I14" s="447">
        <v>1</v>
      </c>
      <c r="J14" s="447">
        <v>1</v>
      </c>
      <c r="K14" s="447">
        <v>1</v>
      </c>
      <c r="L14" s="447">
        <v>1</v>
      </c>
      <c r="M14" s="447">
        <v>1</v>
      </c>
      <c r="N14" s="447">
        <v>1</v>
      </c>
      <c r="O14" s="447">
        <v>1</v>
      </c>
      <c r="P14" s="447">
        <v>1</v>
      </c>
      <c r="Q14" s="447">
        <v>1</v>
      </c>
      <c r="R14" s="447">
        <v>1</v>
      </c>
      <c r="S14" s="447">
        <v>1</v>
      </c>
      <c r="T14" s="447">
        <v>1</v>
      </c>
      <c r="U14" s="447">
        <v>1</v>
      </c>
      <c r="V14" s="447">
        <v>1</v>
      </c>
      <c r="W14" s="447">
        <v>1</v>
      </c>
      <c r="X14" s="447">
        <v>1</v>
      </c>
      <c r="Y14" s="447">
        <v>1</v>
      </c>
      <c r="Z14" s="447">
        <v>1</v>
      </c>
      <c r="AA14" s="447">
        <v>1</v>
      </c>
      <c r="AB14" s="447">
        <v>1</v>
      </c>
      <c r="AC14" s="447">
        <v>1</v>
      </c>
      <c r="AD14" s="447">
        <v>1</v>
      </c>
      <c r="AE14" s="447">
        <v>1</v>
      </c>
      <c r="AF14" s="447">
        <v>1</v>
      </c>
      <c r="AG14" s="447">
        <v>1</v>
      </c>
      <c r="AH14" s="447">
        <v>1</v>
      </c>
      <c r="AI14" s="447">
        <v>1</v>
      </c>
      <c r="AJ14" s="420"/>
      <c r="AK14" s="1113"/>
      <c r="AL14" s="1113"/>
    </row>
    <row r="15" spans="1:38" ht="12" customHeight="1">
      <c r="A15" s="419" t="s">
        <v>1018</v>
      </c>
      <c r="B15" s="433" t="s">
        <v>799</v>
      </c>
      <c r="C15" s="1551">
        <f>Scenarios!E248</f>
        <v>64</v>
      </c>
      <c r="D15" s="795"/>
      <c r="E15" s="791"/>
      <c r="F15" s="1037">
        <v>1</v>
      </c>
      <c r="G15" s="447">
        <v>1</v>
      </c>
      <c r="H15" s="447">
        <v>1</v>
      </c>
      <c r="I15" s="447">
        <v>1</v>
      </c>
      <c r="J15" s="447">
        <v>1</v>
      </c>
      <c r="K15" s="447">
        <v>1</v>
      </c>
      <c r="L15" s="447">
        <v>1</v>
      </c>
      <c r="M15" s="447">
        <v>1</v>
      </c>
      <c r="N15" s="447">
        <v>1</v>
      </c>
      <c r="O15" s="447">
        <v>1</v>
      </c>
      <c r="P15" s="447">
        <v>1</v>
      </c>
      <c r="Q15" s="447">
        <v>1</v>
      </c>
      <c r="R15" s="447">
        <v>1</v>
      </c>
      <c r="S15" s="447">
        <v>1</v>
      </c>
      <c r="T15" s="447">
        <v>1</v>
      </c>
      <c r="U15" s="447">
        <v>1</v>
      </c>
      <c r="V15" s="447">
        <v>1</v>
      </c>
      <c r="W15" s="447">
        <v>1</v>
      </c>
      <c r="X15" s="447">
        <v>1</v>
      </c>
      <c r="Y15" s="447">
        <v>1</v>
      </c>
      <c r="Z15" s="447">
        <v>1</v>
      </c>
      <c r="AA15" s="447">
        <v>1</v>
      </c>
      <c r="AB15" s="447">
        <v>1</v>
      </c>
      <c r="AC15" s="447">
        <v>1</v>
      </c>
      <c r="AD15" s="447">
        <v>1</v>
      </c>
      <c r="AE15" s="447">
        <v>1</v>
      </c>
      <c r="AF15" s="447">
        <v>1</v>
      </c>
      <c r="AG15" s="447">
        <v>1</v>
      </c>
      <c r="AH15" s="447">
        <v>1</v>
      </c>
      <c r="AI15" s="447">
        <v>1</v>
      </c>
      <c r="AJ15" s="420"/>
      <c r="AK15" s="1113"/>
      <c r="AL15" s="1114"/>
    </row>
    <row r="16" spans="1:38" ht="12" customHeight="1">
      <c r="A16" s="419" t="s">
        <v>1019</v>
      </c>
      <c r="B16" s="433" t="str">
        <f>Scenarios!C251</f>
        <v>Akuo Operation Mgt - BESS</v>
      </c>
      <c r="C16" s="1551">
        <f>Scenarios!E251</f>
        <v>0</v>
      </c>
      <c r="D16" s="795"/>
      <c r="E16" s="791"/>
      <c r="F16" s="447">
        <v>1</v>
      </c>
      <c r="G16" s="447">
        <v>1</v>
      </c>
      <c r="H16" s="447">
        <v>1</v>
      </c>
      <c r="I16" s="447">
        <v>1</v>
      </c>
      <c r="J16" s="447">
        <v>1</v>
      </c>
      <c r="K16" s="447">
        <v>1</v>
      </c>
      <c r="L16" s="447">
        <v>1</v>
      </c>
      <c r="M16" s="447">
        <v>1</v>
      </c>
      <c r="N16" s="447">
        <v>1</v>
      </c>
      <c r="O16" s="447">
        <v>1</v>
      </c>
      <c r="P16" s="447">
        <v>1</v>
      </c>
      <c r="Q16" s="447">
        <v>1</v>
      </c>
      <c r="R16" s="447">
        <v>1</v>
      </c>
      <c r="S16" s="447">
        <v>1</v>
      </c>
      <c r="T16" s="447">
        <v>1</v>
      </c>
      <c r="U16" s="447">
        <v>1</v>
      </c>
      <c r="V16" s="447">
        <v>1</v>
      </c>
      <c r="W16" s="447">
        <v>1</v>
      </c>
      <c r="X16" s="447">
        <v>1</v>
      </c>
      <c r="Y16" s="447">
        <v>1</v>
      </c>
      <c r="Z16" s="447">
        <v>1</v>
      </c>
      <c r="AA16" s="447">
        <v>1</v>
      </c>
      <c r="AB16" s="447">
        <v>1</v>
      </c>
      <c r="AC16" s="447">
        <v>1</v>
      </c>
      <c r="AD16" s="447">
        <v>1</v>
      </c>
      <c r="AE16" s="447">
        <v>1</v>
      </c>
      <c r="AF16" s="447">
        <v>1</v>
      </c>
      <c r="AG16" s="447">
        <v>1</v>
      </c>
      <c r="AH16" s="447">
        <v>1</v>
      </c>
      <c r="AI16" s="447">
        <v>1</v>
      </c>
      <c r="AJ16" s="420"/>
      <c r="AK16" s="1113"/>
      <c r="AL16" s="1113"/>
    </row>
    <row r="17" spans="1:38" ht="12" customHeight="1">
      <c r="B17" s="433" t="str">
        <f>Scenarios!C252</f>
        <v>BESS-EPC preventive and corrective maintenance - 5,5€/kW</v>
      </c>
      <c r="C17" s="1551">
        <f>Scenarios!E252</f>
        <v>0</v>
      </c>
      <c r="D17" s="795"/>
      <c r="E17" s="791"/>
      <c r="F17" s="447">
        <v>1</v>
      </c>
      <c r="G17" s="447">
        <v>1</v>
      </c>
      <c r="H17" s="447">
        <v>1</v>
      </c>
      <c r="I17" s="447">
        <v>1</v>
      </c>
      <c r="J17" s="447">
        <v>1</v>
      </c>
      <c r="K17" s="447">
        <v>1</v>
      </c>
      <c r="L17" s="447">
        <v>1</v>
      </c>
      <c r="M17" s="447">
        <v>1</v>
      </c>
      <c r="N17" s="447">
        <v>1</v>
      </c>
      <c r="O17" s="447">
        <v>1</v>
      </c>
      <c r="P17" s="447">
        <v>1</v>
      </c>
      <c r="Q17" s="447">
        <v>1</v>
      </c>
      <c r="R17" s="447">
        <v>1</v>
      </c>
      <c r="S17" s="447">
        <v>1</v>
      </c>
      <c r="T17" s="447">
        <v>1</v>
      </c>
      <c r="U17" s="447">
        <v>1</v>
      </c>
      <c r="V17" s="447">
        <v>1</v>
      </c>
      <c r="W17" s="447">
        <v>1</v>
      </c>
      <c r="X17" s="447">
        <v>1</v>
      </c>
      <c r="Y17" s="447">
        <v>1</v>
      </c>
      <c r="Z17" s="447">
        <v>1</v>
      </c>
      <c r="AA17" s="447">
        <v>1</v>
      </c>
      <c r="AB17" s="447">
        <v>1</v>
      </c>
      <c r="AC17" s="447">
        <v>1</v>
      </c>
      <c r="AD17" s="447">
        <v>1</v>
      </c>
      <c r="AE17" s="447">
        <v>1</v>
      </c>
      <c r="AF17" s="447">
        <v>1</v>
      </c>
      <c r="AG17" s="447">
        <v>1</v>
      </c>
      <c r="AH17" s="447">
        <v>1</v>
      </c>
      <c r="AI17" s="447">
        <v>1</v>
      </c>
      <c r="AJ17" s="420"/>
      <c r="AK17" s="1113"/>
      <c r="AL17" s="1113"/>
    </row>
    <row r="18" spans="1:38" ht="12" customHeight="1">
      <c r="B18" s="433" t="str">
        <f>Scenarios!C253</f>
        <v>Spare part refru (included in EPC PM &amp; CM)</v>
      </c>
      <c r="C18" s="1551">
        <f>Scenarios!E253</f>
        <v>0</v>
      </c>
      <c r="D18" s="795"/>
      <c r="E18" s="791"/>
      <c r="F18" s="447">
        <v>1</v>
      </c>
      <c r="G18" s="447">
        <v>1</v>
      </c>
      <c r="H18" s="447">
        <v>1</v>
      </c>
      <c r="I18" s="447">
        <v>1</v>
      </c>
      <c r="J18" s="447">
        <v>1</v>
      </c>
      <c r="K18" s="447">
        <v>1</v>
      </c>
      <c r="L18" s="447">
        <v>1</v>
      </c>
      <c r="M18" s="447">
        <v>1</v>
      </c>
      <c r="N18" s="447">
        <v>1</v>
      </c>
      <c r="O18" s="447">
        <v>1</v>
      </c>
      <c r="P18" s="447">
        <v>1</v>
      </c>
      <c r="Q18" s="447">
        <v>1</v>
      </c>
      <c r="R18" s="447">
        <v>1</v>
      </c>
      <c r="S18" s="447">
        <v>1</v>
      </c>
      <c r="T18" s="447">
        <v>1</v>
      </c>
      <c r="U18" s="447">
        <v>1</v>
      </c>
      <c r="V18" s="447">
        <v>1</v>
      </c>
      <c r="W18" s="447">
        <v>1</v>
      </c>
      <c r="X18" s="447">
        <v>1</v>
      </c>
      <c r="Y18" s="447">
        <v>1</v>
      </c>
      <c r="Z18" s="447">
        <v>1</v>
      </c>
      <c r="AA18" s="447">
        <v>1</v>
      </c>
      <c r="AB18" s="447">
        <v>1</v>
      </c>
      <c r="AC18" s="447">
        <v>1</v>
      </c>
      <c r="AD18" s="447">
        <v>1</v>
      </c>
      <c r="AE18" s="447">
        <v>1</v>
      </c>
      <c r="AF18" s="447">
        <v>1</v>
      </c>
      <c r="AG18" s="447">
        <v>1</v>
      </c>
      <c r="AH18" s="447">
        <v>1</v>
      </c>
      <c r="AI18" s="447">
        <v>1</v>
      </c>
      <c r="AJ18" s="420"/>
      <c r="AK18" s="1113"/>
      <c r="AL18" s="1113"/>
    </row>
    <row r="19" spans="1:38" ht="12" customHeight="1">
      <c r="B19" s="433" t="str">
        <f>Scenarios!C254</f>
        <v>PCS Warranty extension (included in EPC PM &amp; CM)</v>
      </c>
      <c r="C19" s="1551">
        <f>Scenarios!E254</f>
        <v>0</v>
      </c>
      <c r="D19" s="795"/>
      <c r="E19" s="791"/>
      <c r="F19" s="447">
        <v>1</v>
      </c>
      <c r="G19" s="447">
        <v>1</v>
      </c>
      <c r="H19" s="447">
        <v>1</v>
      </c>
      <c r="I19" s="447">
        <v>1</v>
      </c>
      <c r="J19" s="447">
        <v>1</v>
      </c>
      <c r="K19" s="447">
        <v>1</v>
      </c>
      <c r="L19" s="447">
        <v>1</v>
      </c>
      <c r="M19" s="447">
        <v>1</v>
      </c>
      <c r="N19" s="447">
        <v>1</v>
      </c>
      <c r="O19" s="447">
        <v>1</v>
      </c>
      <c r="P19" s="447">
        <v>1</v>
      </c>
      <c r="Q19" s="447">
        <v>1</v>
      </c>
      <c r="R19" s="447">
        <v>1</v>
      </c>
      <c r="S19" s="447">
        <v>1</v>
      </c>
      <c r="T19" s="447">
        <v>1</v>
      </c>
      <c r="U19" s="447">
        <v>1</v>
      </c>
      <c r="V19" s="447">
        <v>1</v>
      </c>
      <c r="W19" s="447">
        <v>1</v>
      </c>
      <c r="X19" s="447">
        <v>1</v>
      </c>
      <c r="Y19" s="447">
        <v>1</v>
      </c>
      <c r="Z19" s="447">
        <v>1</v>
      </c>
      <c r="AA19" s="447">
        <v>1</v>
      </c>
      <c r="AB19" s="447">
        <v>1</v>
      </c>
      <c r="AC19" s="447">
        <v>1</v>
      </c>
      <c r="AD19" s="447">
        <v>1</v>
      </c>
      <c r="AE19" s="447">
        <v>1</v>
      </c>
      <c r="AF19" s="447">
        <v>1</v>
      </c>
      <c r="AG19" s="447">
        <v>1</v>
      </c>
      <c r="AH19" s="447">
        <v>1</v>
      </c>
      <c r="AI19" s="447">
        <v>1</v>
      </c>
      <c r="AJ19" s="420"/>
      <c r="AK19" s="1113"/>
      <c r="AL19" s="1113"/>
    </row>
    <row r="20" spans="1:38" ht="12" customHeight="1">
      <c r="B20" s="433" t="str">
        <f>Scenarios!C255</f>
        <v>BESS Perf guarantee ( Availability / RTE ) - 1500€/BESS</v>
      </c>
      <c r="C20" s="1551">
        <f>Scenarios!E255</f>
        <v>0</v>
      </c>
      <c r="D20" s="795"/>
      <c r="E20" s="791"/>
      <c r="F20" s="447">
        <v>1</v>
      </c>
      <c r="G20" s="447">
        <v>1</v>
      </c>
      <c r="H20" s="447">
        <v>1</v>
      </c>
      <c r="I20" s="447">
        <v>1</v>
      </c>
      <c r="J20" s="447">
        <v>1</v>
      </c>
      <c r="K20" s="447">
        <v>1</v>
      </c>
      <c r="L20" s="447">
        <v>1</v>
      </c>
      <c r="M20" s="447">
        <v>1</v>
      </c>
      <c r="N20" s="447">
        <v>1</v>
      </c>
      <c r="O20" s="447">
        <v>1</v>
      </c>
      <c r="P20" s="447">
        <v>1</v>
      </c>
      <c r="Q20" s="447">
        <v>1</v>
      </c>
      <c r="R20" s="447">
        <v>1</v>
      </c>
      <c r="S20" s="447">
        <v>1</v>
      </c>
      <c r="T20" s="447">
        <v>1</v>
      </c>
      <c r="U20" s="447">
        <v>1</v>
      </c>
      <c r="V20" s="447">
        <v>1</v>
      </c>
      <c r="W20" s="447">
        <v>1</v>
      </c>
      <c r="X20" s="447">
        <v>1</v>
      </c>
      <c r="Y20" s="447">
        <v>1</v>
      </c>
      <c r="Z20" s="447">
        <v>1</v>
      </c>
      <c r="AA20" s="447">
        <v>1</v>
      </c>
      <c r="AB20" s="447">
        <v>1</v>
      </c>
      <c r="AC20" s="447">
        <v>1</v>
      </c>
      <c r="AD20" s="447">
        <v>1</v>
      </c>
      <c r="AE20" s="447">
        <v>1</v>
      </c>
      <c r="AF20" s="447">
        <v>1</v>
      </c>
      <c r="AG20" s="447">
        <v>1</v>
      </c>
      <c r="AH20" s="447">
        <v>1</v>
      </c>
      <c r="AI20" s="447">
        <v>1</v>
      </c>
      <c r="AJ20" s="420"/>
      <c r="AK20" s="1113"/>
      <c r="AL20" s="1113"/>
    </row>
    <row r="21" spans="1:38" ht="12" customHeight="1">
      <c r="B21" s="433" t="str">
        <f>Scenarios!C256</f>
        <v>BESS Preventive Maintenance (1k€/BESS)</v>
      </c>
      <c r="C21" s="1551">
        <f>Scenarios!E256</f>
        <v>0</v>
      </c>
      <c r="D21" s="795"/>
      <c r="E21" s="791"/>
      <c r="F21" s="447">
        <v>1</v>
      </c>
      <c r="G21" s="447">
        <v>1</v>
      </c>
      <c r="H21" s="447">
        <v>1</v>
      </c>
      <c r="I21" s="447">
        <v>1</v>
      </c>
      <c r="J21" s="447">
        <v>1</v>
      </c>
      <c r="K21" s="447"/>
      <c r="L21" s="447"/>
      <c r="M21" s="447"/>
      <c r="N21" s="447"/>
      <c r="O21" s="447"/>
      <c r="P21" s="447"/>
      <c r="Q21" s="447"/>
      <c r="R21" s="447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20"/>
      <c r="AK21" s="1113"/>
      <c r="AL21" s="1113"/>
    </row>
    <row r="22" spans="1:38" ht="12" customHeight="1">
      <c r="B22" s="433" t="str">
        <f>Scenarios!C257</f>
        <v>BESS Preventive Maintenance + Warranty Extension Y6 -&gt; 10 - (5,5k€/BESS)</v>
      </c>
      <c r="C22" s="1551">
        <f>Scenarios!E257</f>
        <v>0</v>
      </c>
      <c r="D22" s="795"/>
      <c r="E22" s="791"/>
      <c r="F22" s="447"/>
      <c r="G22" s="447"/>
      <c r="H22" s="447"/>
      <c r="I22" s="447"/>
      <c r="J22" s="447"/>
      <c r="K22" s="447">
        <v>1</v>
      </c>
      <c r="L22" s="447">
        <v>1</v>
      </c>
      <c r="M22" s="447">
        <v>1</v>
      </c>
      <c r="N22" s="447">
        <v>1</v>
      </c>
      <c r="O22" s="447">
        <v>1</v>
      </c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20"/>
      <c r="AK22" s="1113"/>
      <c r="AL22" s="1113"/>
    </row>
    <row r="23" spans="1:38" ht="12" customHeight="1">
      <c r="B23" s="433" t="str">
        <f>Scenarios!C258</f>
        <v>BESS Preventive Maintenance + Warranty Extension Y11 -&gt; 15 - (6k€/BESS)</v>
      </c>
      <c r="C23" s="1551">
        <f>Scenarios!E258</f>
        <v>0</v>
      </c>
      <c r="D23" s="795"/>
      <c r="E23" s="791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>
        <v>1</v>
      </c>
      <c r="Q23" s="447">
        <v>1</v>
      </c>
      <c r="R23" s="447">
        <v>1</v>
      </c>
      <c r="S23" s="447">
        <v>1</v>
      </c>
      <c r="T23" s="447">
        <v>1</v>
      </c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20"/>
      <c r="AK23" s="1113"/>
      <c r="AL23" s="1113"/>
    </row>
    <row r="24" spans="1:38" ht="12" customHeight="1">
      <c r="B24" s="433" t="str">
        <f>Scenarios!C259</f>
        <v>BESS Preventive Maintenance + Warranty Extension Y16 -&gt; 20- (6,5k€/BESS)</v>
      </c>
      <c r="C24" s="1551">
        <f>Scenarios!E259</f>
        <v>0</v>
      </c>
      <c r="D24" s="795"/>
      <c r="E24" s="791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>
        <v>1</v>
      </c>
      <c r="V24" s="447">
        <v>1</v>
      </c>
      <c r="W24" s="447">
        <v>1</v>
      </c>
      <c r="X24" s="447">
        <v>1</v>
      </c>
      <c r="Y24" s="447">
        <v>1</v>
      </c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20"/>
      <c r="AK24" s="1113"/>
      <c r="AL24" s="1113"/>
    </row>
    <row r="25" spans="1:38" ht="12" customHeight="1">
      <c r="B25" s="433" t="str">
        <f>Scenarios!C260</f>
        <v>BESS Preventive Maintenance + Warranty Extension Y21 -&gt; 25</v>
      </c>
      <c r="C25" s="1551">
        <f>Scenarios!E260</f>
        <v>0</v>
      </c>
      <c r="D25" s="795"/>
      <c r="E25" s="791"/>
      <c r="F25" s="447"/>
      <c r="G25" s="447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Y25" s="447"/>
      <c r="Z25" s="447">
        <v>1</v>
      </c>
      <c r="AA25" s="447">
        <v>1</v>
      </c>
      <c r="AB25" s="447">
        <v>1</v>
      </c>
      <c r="AC25" s="447">
        <v>1</v>
      </c>
      <c r="AD25" s="447">
        <v>1</v>
      </c>
      <c r="AE25" s="447"/>
      <c r="AF25" s="447"/>
      <c r="AG25" s="447"/>
      <c r="AH25" s="447"/>
      <c r="AI25" s="447"/>
      <c r="AJ25" s="420"/>
      <c r="AK25" s="1113"/>
      <c r="AL25" s="1113"/>
    </row>
    <row r="26" spans="1:38">
      <c r="A26" s="419" t="s">
        <v>1020</v>
      </c>
      <c r="B26" s="427" t="s">
        <v>813</v>
      </c>
      <c r="C26" s="1464">
        <f>SUM(C27:C30)</f>
        <v>45.199999999999996</v>
      </c>
      <c r="D26" s="849">
        <f>$C$102</f>
        <v>0.02</v>
      </c>
      <c r="E26" s="97">
        <v>0</v>
      </c>
      <c r="F26" s="428">
        <f t="shared" ref="F26:AI26" si="3">SUMPRODUCT($C$27:$C$30,F27:F30)*(1+$D26)^(F2-1)</f>
        <v>45.199999999999996</v>
      </c>
      <c r="G26" s="429">
        <f t="shared" si="3"/>
        <v>46.103999999999999</v>
      </c>
      <c r="H26" s="429">
        <f t="shared" si="3"/>
        <v>47.026079999999993</v>
      </c>
      <c r="I26" s="429">
        <f t="shared" si="3"/>
        <v>47.96660159999999</v>
      </c>
      <c r="J26" s="429">
        <f t="shared" si="3"/>
        <v>48.925933631999996</v>
      </c>
      <c r="K26" s="429">
        <f t="shared" si="3"/>
        <v>49.904452304639996</v>
      </c>
      <c r="L26" s="429">
        <f t="shared" si="3"/>
        <v>50.902541350732797</v>
      </c>
      <c r="M26" s="429">
        <f t="shared" si="3"/>
        <v>51.920592177747444</v>
      </c>
      <c r="N26" s="429">
        <f t="shared" si="3"/>
        <v>52.959004021302398</v>
      </c>
      <c r="O26" s="429">
        <f t="shared" si="3"/>
        <v>54.018184101728444</v>
      </c>
      <c r="P26" s="429">
        <f t="shared" si="3"/>
        <v>55.098547783763017</v>
      </c>
      <c r="Q26" s="429">
        <f t="shared" si="3"/>
        <v>56.200518739438266</v>
      </c>
      <c r="R26" s="429">
        <f t="shared" si="3"/>
        <v>57.32452911422704</v>
      </c>
      <c r="S26" s="429">
        <f t="shared" si="3"/>
        <v>58.471019696511576</v>
      </c>
      <c r="T26" s="429">
        <f t="shared" si="3"/>
        <v>59.640440090441814</v>
      </c>
      <c r="U26" s="429">
        <f t="shared" si="3"/>
        <v>60.833248892250637</v>
      </c>
      <c r="V26" s="429">
        <f t="shared" si="3"/>
        <v>62.049913870095658</v>
      </c>
      <c r="W26" s="429">
        <f t="shared" si="3"/>
        <v>63.290912147497579</v>
      </c>
      <c r="X26" s="429">
        <f t="shared" si="3"/>
        <v>64.556730390447527</v>
      </c>
      <c r="Y26" s="429">
        <f t="shared" si="3"/>
        <v>65.847864998256469</v>
      </c>
      <c r="Z26" s="429">
        <f t="shared" si="3"/>
        <v>67.164822298221608</v>
      </c>
      <c r="AA26" s="429">
        <f t="shared" si="3"/>
        <v>68.508118744186035</v>
      </c>
      <c r="AB26" s="429">
        <f t="shared" si="3"/>
        <v>69.878281119069754</v>
      </c>
      <c r="AC26" s="429">
        <f t="shared" si="3"/>
        <v>71.275846741451133</v>
      </c>
      <c r="AD26" s="429">
        <f t="shared" si="3"/>
        <v>72.701363676280167</v>
      </c>
      <c r="AE26" s="429">
        <f t="shared" si="3"/>
        <v>74.155390949805764</v>
      </c>
      <c r="AF26" s="429">
        <f t="shared" si="3"/>
        <v>75.638498768801895</v>
      </c>
      <c r="AG26" s="429">
        <f t="shared" si="3"/>
        <v>77.151268744177912</v>
      </c>
      <c r="AH26" s="429">
        <f t="shared" si="3"/>
        <v>78.694294119061496</v>
      </c>
      <c r="AI26" s="430">
        <f t="shared" si="3"/>
        <v>80.268180001442701</v>
      </c>
      <c r="AJ26" s="434"/>
      <c r="AK26" s="438"/>
      <c r="AL26" s="432"/>
    </row>
    <row r="27" spans="1:38" ht="12" customHeight="1">
      <c r="A27" s="419" t="s">
        <v>1021</v>
      </c>
      <c r="B27" s="1462" t="s">
        <v>1022</v>
      </c>
      <c r="C27" s="1551">
        <f>Scenarios!E265</f>
        <v>29.3</v>
      </c>
      <c r="D27" s="788"/>
      <c r="E27" s="789"/>
      <c r="F27" s="447">
        <v>1</v>
      </c>
      <c r="G27" s="447">
        <v>1</v>
      </c>
      <c r="H27" s="447">
        <v>1</v>
      </c>
      <c r="I27" s="447">
        <v>1</v>
      </c>
      <c r="J27" s="447">
        <v>1</v>
      </c>
      <c r="K27" s="447">
        <v>1</v>
      </c>
      <c r="L27" s="447">
        <v>1</v>
      </c>
      <c r="M27" s="447">
        <v>1</v>
      </c>
      <c r="N27" s="447">
        <v>1</v>
      </c>
      <c r="O27" s="447">
        <v>1</v>
      </c>
      <c r="P27" s="447">
        <v>1</v>
      </c>
      <c r="Q27" s="447">
        <v>1</v>
      </c>
      <c r="R27" s="447">
        <v>1</v>
      </c>
      <c r="S27" s="447">
        <v>1</v>
      </c>
      <c r="T27" s="447">
        <v>1</v>
      </c>
      <c r="U27" s="447">
        <v>1</v>
      </c>
      <c r="V27" s="447">
        <v>1</v>
      </c>
      <c r="W27" s="447">
        <v>1</v>
      </c>
      <c r="X27" s="447">
        <v>1</v>
      </c>
      <c r="Y27" s="447">
        <v>1</v>
      </c>
      <c r="Z27" s="447">
        <v>1</v>
      </c>
      <c r="AA27" s="447">
        <v>1</v>
      </c>
      <c r="AB27" s="447">
        <v>1</v>
      </c>
      <c r="AC27" s="447">
        <v>1</v>
      </c>
      <c r="AD27" s="447">
        <v>1</v>
      </c>
      <c r="AE27" s="447">
        <v>1</v>
      </c>
      <c r="AF27" s="447">
        <v>1</v>
      </c>
      <c r="AG27" s="447">
        <v>1</v>
      </c>
      <c r="AH27" s="447">
        <v>1</v>
      </c>
      <c r="AI27" s="447">
        <v>1</v>
      </c>
      <c r="AJ27" s="420"/>
      <c r="AK27" s="1113"/>
      <c r="AL27" s="1113"/>
    </row>
    <row r="28" spans="1:38" ht="12" customHeight="1">
      <c r="A28" s="419" t="s">
        <v>1023</v>
      </c>
      <c r="B28" s="1462" t="s">
        <v>1024</v>
      </c>
      <c r="C28" s="1551">
        <f>Scenarios!E266</f>
        <v>14.1</v>
      </c>
      <c r="D28" s="790"/>
      <c r="E28" s="791"/>
      <c r="F28" s="447">
        <v>1</v>
      </c>
      <c r="G28" s="447">
        <v>1</v>
      </c>
      <c r="H28" s="447">
        <v>1</v>
      </c>
      <c r="I28" s="447">
        <v>1</v>
      </c>
      <c r="J28" s="447">
        <v>1</v>
      </c>
      <c r="K28" s="447">
        <v>1</v>
      </c>
      <c r="L28" s="447">
        <v>1</v>
      </c>
      <c r="M28" s="447">
        <v>1</v>
      </c>
      <c r="N28" s="447">
        <v>1</v>
      </c>
      <c r="O28" s="447">
        <v>1</v>
      </c>
      <c r="P28" s="447">
        <v>1</v>
      </c>
      <c r="Q28" s="447">
        <v>1</v>
      </c>
      <c r="R28" s="447">
        <v>1</v>
      </c>
      <c r="S28" s="447">
        <v>1</v>
      </c>
      <c r="T28" s="447">
        <v>1</v>
      </c>
      <c r="U28" s="447">
        <v>1</v>
      </c>
      <c r="V28" s="447">
        <v>1</v>
      </c>
      <c r="W28" s="447">
        <v>1</v>
      </c>
      <c r="X28" s="447">
        <v>1</v>
      </c>
      <c r="Y28" s="447">
        <v>1</v>
      </c>
      <c r="Z28" s="447">
        <v>1</v>
      </c>
      <c r="AA28" s="447">
        <v>1</v>
      </c>
      <c r="AB28" s="447">
        <v>1</v>
      </c>
      <c r="AC28" s="447">
        <v>1</v>
      </c>
      <c r="AD28" s="447">
        <v>1</v>
      </c>
      <c r="AE28" s="447">
        <v>1</v>
      </c>
      <c r="AF28" s="447">
        <v>1</v>
      </c>
      <c r="AG28" s="447">
        <v>1</v>
      </c>
      <c r="AH28" s="447">
        <v>1</v>
      </c>
      <c r="AI28" s="447">
        <v>1</v>
      </c>
      <c r="AJ28" s="420"/>
      <c r="AK28" s="1115"/>
      <c r="AL28" s="1113"/>
    </row>
    <row r="29" spans="1:38" ht="12" customHeight="1">
      <c r="B29" s="431" t="s">
        <v>816</v>
      </c>
      <c r="C29" s="1551">
        <f>Scenarios!E267</f>
        <v>1.8</v>
      </c>
      <c r="D29" s="790"/>
      <c r="E29" s="791"/>
      <c r="F29" s="447">
        <v>1</v>
      </c>
      <c r="G29" s="447">
        <v>1</v>
      </c>
      <c r="H29" s="447">
        <v>1</v>
      </c>
      <c r="I29" s="447">
        <v>1</v>
      </c>
      <c r="J29" s="447">
        <v>1</v>
      </c>
      <c r="K29" s="447">
        <v>1</v>
      </c>
      <c r="L29" s="447">
        <v>1</v>
      </c>
      <c r="M29" s="447">
        <v>1</v>
      </c>
      <c r="N29" s="447">
        <v>1</v>
      </c>
      <c r="O29" s="447">
        <v>1</v>
      </c>
      <c r="P29" s="447">
        <v>1</v>
      </c>
      <c r="Q29" s="447">
        <v>1</v>
      </c>
      <c r="R29" s="447">
        <v>1</v>
      </c>
      <c r="S29" s="447">
        <v>1</v>
      </c>
      <c r="T29" s="447">
        <v>1</v>
      </c>
      <c r="U29" s="447">
        <v>1</v>
      </c>
      <c r="V29" s="447">
        <v>1</v>
      </c>
      <c r="W29" s="447">
        <v>1</v>
      </c>
      <c r="X29" s="447">
        <v>1</v>
      </c>
      <c r="Y29" s="447">
        <v>1</v>
      </c>
      <c r="Z29" s="447">
        <v>1</v>
      </c>
      <c r="AA29" s="447">
        <v>1</v>
      </c>
      <c r="AB29" s="447">
        <v>1</v>
      </c>
      <c r="AC29" s="447">
        <v>1</v>
      </c>
      <c r="AD29" s="447">
        <v>1</v>
      </c>
      <c r="AE29" s="447">
        <v>1</v>
      </c>
      <c r="AF29" s="447">
        <v>1</v>
      </c>
      <c r="AG29" s="447">
        <v>1</v>
      </c>
      <c r="AH29" s="447">
        <v>1</v>
      </c>
      <c r="AI29" s="447">
        <v>1</v>
      </c>
      <c r="AJ29" s="420"/>
      <c r="AK29" s="1115"/>
      <c r="AL29" s="1113"/>
    </row>
    <row r="30" spans="1:38" ht="12" customHeight="1">
      <c r="A30" s="419" t="s">
        <v>1025</v>
      </c>
      <c r="B30" s="431" t="s">
        <v>608</v>
      </c>
      <c r="C30" s="1551">
        <f>Scenarios!E268</f>
        <v>0</v>
      </c>
      <c r="D30" s="790"/>
      <c r="E30" s="791"/>
      <c r="F30" s="447">
        <v>0</v>
      </c>
      <c r="G30" s="447">
        <v>0</v>
      </c>
      <c r="H30" s="447">
        <v>0</v>
      </c>
      <c r="I30" s="447">
        <v>0</v>
      </c>
      <c r="J30" s="447">
        <v>0</v>
      </c>
      <c r="K30" s="447">
        <v>0</v>
      </c>
      <c r="L30" s="447">
        <v>0</v>
      </c>
      <c r="M30" s="447">
        <v>0</v>
      </c>
      <c r="N30" s="447">
        <v>0</v>
      </c>
      <c r="O30" s="447">
        <v>0</v>
      </c>
      <c r="P30" s="447">
        <v>0</v>
      </c>
      <c r="Q30" s="447">
        <v>0</v>
      </c>
      <c r="R30" s="447">
        <v>0</v>
      </c>
      <c r="S30" s="447">
        <v>0</v>
      </c>
      <c r="T30" s="447">
        <v>0</v>
      </c>
      <c r="U30" s="447">
        <v>0</v>
      </c>
      <c r="V30" s="447">
        <v>0</v>
      </c>
      <c r="W30" s="447">
        <v>0</v>
      </c>
      <c r="X30" s="447">
        <v>0</v>
      </c>
      <c r="Y30" s="447">
        <v>0</v>
      </c>
      <c r="Z30" s="447">
        <v>0</v>
      </c>
      <c r="AA30" s="447">
        <v>0</v>
      </c>
      <c r="AB30" s="447">
        <v>0</v>
      </c>
      <c r="AC30" s="447">
        <v>0</v>
      </c>
      <c r="AD30" s="447">
        <v>0</v>
      </c>
      <c r="AE30" s="447">
        <v>0</v>
      </c>
      <c r="AF30" s="447">
        <v>0</v>
      </c>
      <c r="AG30" s="447">
        <v>0</v>
      </c>
      <c r="AH30" s="447">
        <v>0</v>
      </c>
      <c r="AI30" s="447">
        <v>0</v>
      </c>
      <c r="AJ30" s="420"/>
      <c r="AK30" s="432"/>
      <c r="AL30" s="432"/>
    </row>
    <row r="31" spans="1:38">
      <c r="A31" s="419" t="s">
        <v>1026</v>
      </c>
      <c r="B31" s="427" t="s">
        <v>817</v>
      </c>
      <c r="C31" s="1464">
        <f>SUM(C32:C34)</f>
        <v>40</v>
      </c>
      <c r="D31" s="849">
        <f>$C$102</f>
        <v>0.02</v>
      </c>
      <c r="E31" s="97">
        <v>0</v>
      </c>
      <c r="F31" s="428">
        <f t="shared" ref="F31:AI31" si="4">SUMPRODUCT($C$32:$C$34,F32:F34)*(1+$D31)^(F2-1)</f>
        <v>40</v>
      </c>
      <c r="G31" s="429">
        <f t="shared" si="4"/>
        <v>40.799999999999997</v>
      </c>
      <c r="H31" s="429">
        <f t="shared" si="4"/>
        <v>41.616</v>
      </c>
      <c r="I31" s="429">
        <f t="shared" si="4"/>
        <v>42.448319999999995</v>
      </c>
      <c r="J31" s="429">
        <f t="shared" si="4"/>
        <v>43.297286399999997</v>
      </c>
      <c r="K31" s="429">
        <f t="shared" si="4"/>
        <v>44.163232128000004</v>
      </c>
      <c r="L31" s="429">
        <f t="shared" si="4"/>
        <v>45.046496770560005</v>
      </c>
      <c r="M31" s="429">
        <f t="shared" si="4"/>
        <v>45.947426705971196</v>
      </c>
      <c r="N31" s="429">
        <f t="shared" si="4"/>
        <v>46.866375240090619</v>
      </c>
      <c r="O31" s="429">
        <f t="shared" si="4"/>
        <v>47.803702744892433</v>
      </c>
      <c r="P31" s="429">
        <f t="shared" si="4"/>
        <v>48.759776799790288</v>
      </c>
      <c r="Q31" s="429">
        <f t="shared" si="4"/>
        <v>49.734972335786082</v>
      </c>
      <c r="R31" s="429">
        <f t="shared" si="4"/>
        <v>50.729671782501811</v>
      </c>
      <c r="S31" s="429">
        <f t="shared" si="4"/>
        <v>51.744265218151845</v>
      </c>
      <c r="T31" s="429">
        <f t="shared" si="4"/>
        <v>52.779150522514882</v>
      </c>
      <c r="U31" s="429">
        <f t="shared" si="4"/>
        <v>53.834733532965167</v>
      </c>
      <c r="V31" s="429">
        <f t="shared" si="4"/>
        <v>54.911428203624482</v>
      </c>
      <c r="W31" s="429">
        <f t="shared" si="4"/>
        <v>56.009656767696974</v>
      </c>
      <c r="X31" s="429">
        <f t="shared" si="4"/>
        <v>57.129849903050911</v>
      </c>
      <c r="Y31" s="429">
        <f t="shared" si="4"/>
        <v>58.272446901111927</v>
      </c>
      <c r="Z31" s="429">
        <f t="shared" si="4"/>
        <v>59.437895839134171</v>
      </c>
      <c r="AA31" s="429">
        <f t="shared" si="4"/>
        <v>60.626653755916848</v>
      </c>
      <c r="AB31" s="429">
        <f t="shared" si="4"/>
        <v>61.839186831035192</v>
      </c>
      <c r="AC31" s="429">
        <f t="shared" si="4"/>
        <v>63.07597056765588</v>
      </c>
      <c r="AD31" s="429">
        <f t="shared" si="4"/>
        <v>64.337489979009007</v>
      </c>
      <c r="AE31" s="429">
        <f t="shared" si="4"/>
        <v>65.624239778589185</v>
      </c>
      <c r="AF31" s="429">
        <f t="shared" si="4"/>
        <v>66.936724574160976</v>
      </c>
      <c r="AG31" s="429">
        <f t="shared" si="4"/>
        <v>68.275459065644185</v>
      </c>
      <c r="AH31" s="429">
        <f t="shared" si="4"/>
        <v>69.640968246957073</v>
      </c>
      <c r="AI31" s="430">
        <f t="shared" si="4"/>
        <v>71.033787611896201</v>
      </c>
      <c r="AJ31" s="27"/>
      <c r="AK31" s="1010"/>
      <c r="AL31" s="432"/>
    </row>
    <row r="32" spans="1:38" ht="12">
      <c r="A32" s="419" t="s">
        <v>1027</v>
      </c>
      <c r="B32" s="1462" t="s">
        <v>818</v>
      </c>
      <c r="C32" s="1551">
        <f>Scenarios!E270</f>
        <v>40</v>
      </c>
      <c r="D32" s="788"/>
      <c r="E32" s="789"/>
      <c r="F32" s="1037">
        <v>1</v>
      </c>
      <c r="G32" s="447">
        <v>1</v>
      </c>
      <c r="H32" s="447">
        <v>1</v>
      </c>
      <c r="I32" s="447">
        <v>1</v>
      </c>
      <c r="J32" s="447">
        <v>1</v>
      </c>
      <c r="K32" s="447">
        <v>1</v>
      </c>
      <c r="L32" s="447">
        <v>1</v>
      </c>
      <c r="M32" s="447">
        <v>1</v>
      </c>
      <c r="N32" s="447">
        <v>1</v>
      </c>
      <c r="O32" s="447">
        <v>1</v>
      </c>
      <c r="P32" s="447">
        <v>1</v>
      </c>
      <c r="Q32" s="447">
        <v>1</v>
      </c>
      <c r="R32" s="447">
        <v>1</v>
      </c>
      <c r="S32" s="447">
        <v>1</v>
      </c>
      <c r="T32" s="447">
        <v>1</v>
      </c>
      <c r="U32" s="447">
        <v>1</v>
      </c>
      <c r="V32" s="447">
        <v>1</v>
      </c>
      <c r="W32" s="447">
        <v>1</v>
      </c>
      <c r="X32" s="447">
        <v>1</v>
      </c>
      <c r="Y32" s="447">
        <v>1</v>
      </c>
      <c r="Z32" s="447">
        <v>1</v>
      </c>
      <c r="AA32" s="447">
        <v>1</v>
      </c>
      <c r="AB32" s="447">
        <v>1</v>
      </c>
      <c r="AC32" s="447">
        <v>1</v>
      </c>
      <c r="AD32" s="447">
        <v>1</v>
      </c>
      <c r="AE32" s="447">
        <v>1</v>
      </c>
      <c r="AF32" s="447">
        <v>1</v>
      </c>
      <c r="AG32" s="447">
        <v>1</v>
      </c>
      <c r="AH32" s="447">
        <v>1</v>
      </c>
      <c r="AI32" s="447">
        <v>1</v>
      </c>
      <c r="AJ32" s="420"/>
      <c r="AK32" s="1113"/>
      <c r="AL32" s="1113"/>
    </row>
    <row r="33" spans="1:38" ht="12">
      <c r="A33" s="419" t="s">
        <v>1028</v>
      </c>
      <c r="B33" s="431" t="s">
        <v>819</v>
      </c>
      <c r="C33" s="1551">
        <f>Scenarios!E271</f>
        <v>0</v>
      </c>
      <c r="D33" s="790"/>
      <c r="E33" s="791"/>
      <c r="F33" s="1037">
        <v>1</v>
      </c>
      <c r="G33" s="447">
        <v>1</v>
      </c>
      <c r="H33" s="447">
        <v>1</v>
      </c>
      <c r="I33" s="447">
        <v>1</v>
      </c>
      <c r="J33" s="447">
        <v>1</v>
      </c>
      <c r="K33" s="447">
        <v>1</v>
      </c>
      <c r="L33" s="447">
        <v>1</v>
      </c>
      <c r="M33" s="447">
        <v>1</v>
      </c>
      <c r="N33" s="447">
        <v>1</v>
      </c>
      <c r="O33" s="447">
        <v>1</v>
      </c>
      <c r="P33" s="447">
        <v>1</v>
      </c>
      <c r="Q33" s="447">
        <v>1</v>
      </c>
      <c r="R33" s="447">
        <v>1</v>
      </c>
      <c r="S33" s="447">
        <v>1</v>
      </c>
      <c r="T33" s="447">
        <v>1</v>
      </c>
      <c r="U33" s="447">
        <v>1</v>
      </c>
      <c r="V33" s="447">
        <v>1</v>
      </c>
      <c r="W33" s="447">
        <v>1</v>
      </c>
      <c r="X33" s="447">
        <v>1</v>
      </c>
      <c r="Y33" s="447">
        <v>1</v>
      </c>
      <c r="Z33" s="447">
        <v>1</v>
      </c>
      <c r="AA33" s="447">
        <v>1</v>
      </c>
      <c r="AB33" s="447">
        <v>1</v>
      </c>
      <c r="AC33" s="447">
        <v>1</v>
      </c>
      <c r="AD33" s="447">
        <v>1</v>
      </c>
      <c r="AE33" s="447">
        <v>1</v>
      </c>
      <c r="AF33" s="447">
        <v>1</v>
      </c>
      <c r="AG33" s="447">
        <v>1</v>
      </c>
      <c r="AH33" s="447">
        <v>1</v>
      </c>
      <c r="AI33" s="447">
        <v>1</v>
      </c>
      <c r="AJ33" s="420"/>
      <c r="AK33" s="1113"/>
      <c r="AL33" s="1113"/>
    </row>
    <row r="34" spans="1:38" collapsed="1">
      <c r="A34" s="419" t="s">
        <v>1029</v>
      </c>
      <c r="B34" s="433" t="s">
        <v>608</v>
      </c>
      <c r="C34" s="1551">
        <f>Scenarios!E272</f>
        <v>0</v>
      </c>
      <c r="D34" s="790"/>
      <c r="E34" s="791"/>
      <c r="F34" s="447">
        <v>0</v>
      </c>
      <c r="G34" s="447">
        <v>0</v>
      </c>
      <c r="H34" s="447">
        <v>0</v>
      </c>
      <c r="I34" s="447">
        <v>0</v>
      </c>
      <c r="J34" s="447">
        <v>0</v>
      </c>
      <c r="K34" s="447">
        <v>0</v>
      </c>
      <c r="L34" s="447">
        <v>0</v>
      </c>
      <c r="M34" s="447">
        <v>0</v>
      </c>
      <c r="N34" s="447">
        <v>0</v>
      </c>
      <c r="O34" s="447">
        <v>0</v>
      </c>
      <c r="P34" s="447">
        <v>0</v>
      </c>
      <c r="Q34" s="447">
        <v>0</v>
      </c>
      <c r="R34" s="447">
        <v>0</v>
      </c>
      <c r="S34" s="447">
        <v>0</v>
      </c>
      <c r="T34" s="447">
        <v>0</v>
      </c>
      <c r="U34" s="447">
        <v>0</v>
      </c>
      <c r="V34" s="447">
        <v>0</v>
      </c>
      <c r="W34" s="447">
        <v>0</v>
      </c>
      <c r="X34" s="447">
        <v>0</v>
      </c>
      <c r="Y34" s="447">
        <v>0</v>
      </c>
      <c r="Z34" s="447">
        <v>0</v>
      </c>
      <c r="AA34" s="447">
        <v>0</v>
      </c>
      <c r="AB34" s="447">
        <v>0</v>
      </c>
      <c r="AC34" s="447">
        <v>0</v>
      </c>
      <c r="AD34" s="447">
        <v>0</v>
      </c>
      <c r="AE34" s="447">
        <v>0</v>
      </c>
      <c r="AF34" s="447">
        <v>0</v>
      </c>
      <c r="AG34" s="447">
        <v>0</v>
      </c>
      <c r="AH34" s="447">
        <v>0</v>
      </c>
      <c r="AI34" s="447">
        <v>0</v>
      </c>
      <c r="AJ34" s="420"/>
      <c r="AK34" s="432"/>
      <c r="AL34" s="1010"/>
    </row>
    <row r="35" spans="1:38">
      <c r="A35" s="419" t="s">
        <v>1030</v>
      </c>
      <c r="B35" s="427" t="s">
        <v>820</v>
      </c>
      <c r="C35" s="1464">
        <f>SUM(C36:C38)</f>
        <v>30.1</v>
      </c>
      <c r="D35" s="849">
        <f>$C$102</f>
        <v>0.02</v>
      </c>
      <c r="E35" s="97">
        <v>0</v>
      </c>
      <c r="F35" s="435">
        <f t="shared" ref="F35:AI35" si="5">SUMPRODUCT($C$36:$C$38,F36:F38)*(1+$D35)^(F2-1)</f>
        <v>30.1</v>
      </c>
      <c r="G35" s="436">
        <f t="shared" si="5"/>
        <v>30.702000000000002</v>
      </c>
      <c r="H35" s="436">
        <f t="shared" si="5"/>
        <v>31.316040000000001</v>
      </c>
      <c r="I35" s="436">
        <f t="shared" si="5"/>
        <v>31.942360799999999</v>
      </c>
      <c r="J35" s="436">
        <f t="shared" si="5"/>
        <v>32.581208015999998</v>
      </c>
      <c r="K35" s="436">
        <f t="shared" si="5"/>
        <v>33.232832176320002</v>
      </c>
      <c r="L35" s="436">
        <f t="shared" si="5"/>
        <v>33.897488819846401</v>
      </c>
      <c r="M35" s="436">
        <f t="shared" si="5"/>
        <v>34.575438596243323</v>
      </c>
      <c r="N35" s="436">
        <f t="shared" si="5"/>
        <v>35.266947368168196</v>
      </c>
      <c r="O35" s="436">
        <f t="shared" si="5"/>
        <v>35.972286315531555</v>
      </c>
      <c r="P35" s="436">
        <f t="shared" si="5"/>
        <v>36.691732041842194</v>
      </c>
      <c r="Q35" s="436">
        <f t="shared" si="5"/>
        <v>37.425566682679026</v>
      </c>
      <c r="R35" s="436">
        <f t="shared" si="5"/>
        <v>38.174078016332615</v>
      </c>
      <c r="S35" s="436">
        <f t="shared" si="5"/>
        <v>38.937559576659261</v>
      </c>
      <c r="T35" s="436">
        <f t="shared" si="5"/>
        <v>39.71631076819245</v>
      </c>
      <c r="U35" s="436">
        <f t="shared" si="5"/>
        <v>40.510636983556289</v>
      </c>
      <c r="V35" s="436">
        <f t="shared" si="5"/>
        <v>41.320849723227425</v>
      </c>
      <c r="W35" s="436">
        <f t="shared" si="5"/>
        <v>42.147266717691977</v>
      </c>
      <c r="X35" s="436">
        <f t="shared" si="5"/>
        <v>42.990212052045813</v>
      </c>
      <c r="Y35" s="436">
        <f t="shared" si="5"/>
        <v>43.850016293086725</v>
      </c>
      <c r="Z35" s="436">
        <f t="shared" si="5"/>
        <v>44.727016618948461</v>
      </c>
      <c r="AA35" s="436">
        <f t="shared" si="5"/>
        <v>45.621556951327427</v>
      </c>
      <c r="AB35" s="436">
        <f t="shared" si="5"/>
        <v>46.533988090353979</v>
      </c>
      <c r="AC35" s="436">
        <f t="shared" si="5"/>
        <v>47.46466785216105</v>
      </c>
      <c r="AD35" s="436">
        <f t="shared" si="5"/>
        <v>48.413961209204274</v>
      </c>
      <c r="AE35" s="436">
        <f t="shared" si="5"/>
        <v>49.382240433388361</v>
      </c>
      <c r="AF35" s="436">
        <f t="shared" si="5"/>
        <v>50.369885242056135</v>
      </c>
      <c r="AG35" s="436">
        <f t="shared" si="5"/>
        <v>51.377282946897246</v>
      </c>
      <c r="AH35" s="436">
        <f t="shared" si="5"/>
        <v>52.404828605835206</v>
      </c>
      <c r="AI35" s="437">
        <f t="shared" si="5"/>
        <v>53.452925177951897</v>
      </c>
      <c r="AJ35" s="27"/>
      <c r="AK35" s="1010"/>
      <c r="AL35" s="432"/>
    </row>
    <row r="36" spans="1:38" ht="12">
      <c r="A36" s="419" t="s">
        <v>1031</v>
      </c>
      <c r="B36" s="431" t="s">
        <v>821</v>
      </c>
      <c r="C36" s="1551">
        <f>Scenarios!E274</f>
        <v>30.1</v>
      </c>
      <c r="D36" s="847"/>
      <c r="E36" s="791"/>
      <c r="F36" s="1035">
        <v>1</v>
      </c>
      <c r="G36" s="1036">
        <v>1</v>
      </c>
      <c r="H36" s="1036">
        <v>1</v>
      </c>
      <c r="I36" s="1036">
        <v>1</v>
      </c>
      <c r="J36" s="1036">
        <v>1</v>
      </c>
      <c r="K36" s="1036">
        <v>1</v>
      </c>
      <c r="L36" s="1036">
        <v>1</v>
      </c>
      <c r="M36" s="1036">
        <v>1</v>
      </c>
      <c r="N36" s="1036">
        <v>1</v>
      </c>
      <c r="O36" s="1036">
        <v>1</v>
      </c>
      <c r="P36" s="1036">
        <v>1</v>
      </c>
      <c r="Q36" s="1036">
        <v>1</v>
      </c>
      <c r="R36" s="1036">
        <v>1</v>
      </c>
      <c r="S36" s="1036">
        <v>1</v>
      </c>
      <c r="T36" s="1036">
        <v>1</v>
      </c>
      <c r="U36" s="1036">
        <v>1</v>
      </c>
      <c r="V36" s="1036">
        <v>1</v>
      </c>
      <c r="W36" s="1036">
        <v>1</v>
      </c>
      <c r="X36" s="1036">
        <v>1</v>
      </c>
      <c r="Y36" s="1036">
        <v>1</v>
      </c>
      <c r="Z36" s="1036">
        <v>1</v>
      </c>
      <c r="AA36" s="1036">
        <v>1</v>
      </c>
      <c r="AB36" s="1036">
        <v>1</v>
      </c>
      <c r="AC36" s="1036">
        <v>1</v>
      </c>
      <c r="AD36" s="1036">
        <v>1</v>
      </c>
      <c r="AE36" s="1036">
        <v>1</v>
      </c>
      <c r="AF36" s="1036">
        <v>1</v>
      </c>
      <c r="AG36" s="1036">
        <v>1</v>
      </c>
      <c r="AH36" s="1036">
        <v>1</v>
      </c>
      <c r="AI36" s="1036">
        <v>1</v>
      </c>
      <c r="AJ36" s="420"/>
      <c r="AK36" s="1113"/>
      <c r="AL36" s="1113"/>
    </row>
    <row r="37" spans="1:38" ht="12">
      <c r="A37" s="419" t="s">
        <v>1032</v>
      </c>
      <c r="B37" s="431" t="s">
        <v>822</v>
      </c>
      <c r="C37" s="1551">
        <f>Scenarios!E275</f>
        <v>0</v>
      </c>
      <c r="D37" s="847"/>
      <c r="E37" s="791"/>
      <c r="F37" s="1037">
        <v>1</v>
      </c>
      <c r="G37" s="447">
        <v>1</v>
      </c>
      <c r="H37" s="447">
        <v>1</v>
      </c>
      <c r="I37" s="447">
        <v>1</v>
      </c>
      <c r="J37" s="447">
        <v>1</v>
      </c>
      <c r="K37" s="447">
        <v>1</v>
      </c>
      <c r="L37" s="447">
        <v>1</v>
      </c>
      <c r="M37" s="447">
        <v>1</v>
      </c>
      <c r="N37" s="447">
        <v>1</v>
      </c>
      <c r="O37" s="447">
        <v>1</v>
      </c>
      <c r="P37" s="447">
        <v>1</v>
      </c>
      <c r="Q37" s="447">
        <v>1</v>
      </c>
      <c r="R37" s="447">
        <v>1</v>
      </c>
      <c r="S37" s="447">
        <v>1</v>
      </c>
      <c r="T37" s="447">
        <v>1</v>
      </c>
      <c r="U37" s="447">
        <v>1</v>
      </c>
      <c r="V37" s="447">
        <v>1</v>
      </c>
      <c r="W37" s="447">
        <v>1</v>
      </c>
      <c r="X37" s="447">
        <v>1</v>
      </c>
      <c r="Y37" s="447">
        <v>1</v>
      </c>
      <c r="Z37" s="447">
        <v>1</v>
      </c>
      <c r="AA37" s="447">
        <v>1</v>
      </c>
      <c r="AB37" s="447">
        <v>1</v>
      </c>
      <c r="AC37" s="447">
        <v>1</v>
      </c>
      <c r="AD37" s="447">
        <v>1</v>
      </c>
      <c r="AE37" s="447">
        <v>1</v>
      </c>
      <c r="AF37" s="447">
        <v>1</v>
      </c>
      <c r="AG37" s="447">
        <v>1</v>
      </c>
      <c r="AH37" s="447">
        <v>1</v>
      </c>
      <c r="AI37" s="447">
        <v>1</v>
      </c>
      <c r="AJ37" s="420"/>
      <c r="AK37" s="1113"/>
      <c r="AL37" s="1115"/>
    </row>
    <row r="38" spans="1:38" collapsed="1">
      <c r="A38" s="419" t="s">
        <v>1033</v>
      </c>
      <c r="B38" s="433" t="s">
        <v>608</v>
      </c>
      <c r="C38" s="1551">
        <f>Scenarios!E276</f>
        <v>0</v>
      </c>
      <c r="D38" s="792"/>
      <c r="E38" s="793"/>
      <c r="F38" s="1038">
        <v>0</v>
      </c>
      <c r="G38" s="1039">
        <v>0</v>
      </c>
      <c r="H38" s="1039">
        <v>0</v>
      </c>
      <c r="I38" s="1039">
        <v>0</v>
      </c>
      <c r="J38" s="1039">
        <v>0</v>
      </c>
      <c r="K38" s="1039">
        <v>0</v>
      </c>
      <c r="L38" s="1039">
        <v>0</v>
      </c>
      <c r="M38" s="1039">
        <v>0</v>
      </c>
      <c r="N38" s="1039">
        <v>0</v>
      </c>
      <c r="O38" s="1039">
        <v>0</v>
      </c>
      <c r="P38" s="1039">
        <v>0</v>
      </c>
      <c r="Q38" s="1039">
        <v>0</v>
      </c>
      <c r="R38" s="1039">
        <v>0</v>
      </c>
      <c r="S38" s="1039">
        <v>0</v>
      </c>
      <c r="T38" s="1039">
        <v>0</v>
      </c>
      <c r="U38" s="1039">
        <v>0</v>
      </c>
      <c r="V38" s="1039">
        <v>0</v>
      </c>
      <c r="W38" s="1039">
        <v>0</v>
      </c>
      <c r="X38" s="1039">
        <v>0</v>
      </c>
      <c r="Y38" s="1039">
        <v>0</v>
      </c>
      <c r="Z38" s="1039">
        <v>0</v>
      </c>
      <c r="AA38" s="1039">
        <v>0</v>
      </c>
      <c r="AB38" s="1039">
        <v>0</v>
      </c>
      <c r="AC38" s="1039">
        <v>0</v>
      </c>
      <c r="AD38" s="1039">
        <v>0</v>
      </c>
      <c r="AE38" s="1039">
        <v>0</v>
      </c>
      <c r="AF38" s="1039">
        <v>0</v>
      </c>
      <c r="AG38" s="1039">
        <v>0</v>
      </c>
      <c r="AH38" s="1039">
        <v>0</v>
      </c>
      <c r="AI38" s="1039">
        <v>0</v>
      </c>
      <c r="AJ38" s="420"/>
      <c r="AK38" s="432"/>
      <c r="AL38" s="27"/>
    </row>
    <row r="39" spans="1:38">
      <c r="A39" s="419" t="s">
        <v>1034</v>
      </c>
      <c r="B39" s="427" t="s">
        <v>637</v>
      </c>
      <c r="C39" s="1464">
        <f>SUM(C40:C44)</f>
        <v>255</v>
      </c>
      <c r="D39" s="849">
        <f>$C$102</f>
        <v>0.02</v>
      </c>
      <c r="E39" s="97">
        <v>0</v>
      </c>
      <c r="F39" s="428">
        <f t="shared" ref="F39:AI39" si="6">SUMPRODUCT($C$40:$C$44,F40:F44)*(1+$D39)^(F2-1)</f>
        <v>255</v>
      </c>
      <c r="G39" s="429">
        <f t="shared" si="6"/>
        <v>260.10000000000002</v>
      </c>
      <c r="H39" s="429">
        <f t="shared" si="6"/>
        <v>265.30200000000002</v>
      </c>
      <c r="I39" s="429">
        <f t="shared" si="6"/>
        <v>270.60803999999996</v>
      </c>
      <c r="J39" s="429">
        <f t="shared" si="6"/>
        <v>276.0202008</v>
      </c>
      <c r="K39" s="429">
        <f t="shared" si="6"/>
        <v>281.54060481599998</v>
      </c>
      <c r="L39" s="429">
        <f t="shared" si="6"/>
        <v>287.17141691232001</v>
      </c>
      <c r="M39" s="429">
        <f t="shared" si="6"/>
        <v>292.91484525056637</v>
      </c>
      <c r="N39" s="429">
        <f t="shared" si="6"/>
        <v>298.77314215557772</v>
      </c>
      <c r="O39" s="429">
        <f t="shared" si="6"/>
        <v>304.74860499868925</v>
      </c>
      <c r="P39" s="429">
        <f t="shared" si="6"/>
        <v>310.84357709866305</v>
      </c>
      <c r="Q39" s="429">
        <f t="shared" si="6"/>
        <v>317.06044864063625</v>
      </c>
      <c r="R39" s="429">
        <f t="shared" si="6"/>
        <v>323.40165761344906</v>
      </c>
      <c r="S39" s="429">
        <f t="shared" si="6"/>
        <v>329.86969076571802</v>
      </c>
      <c r="T39" s="429">
        <f t="shared" si="6"/>
        <v>336.4670845810324</v>
      </c>
      <c r="U39" s="429">
        <f t="shared" si="6"/>
        <v>343.19642627265296</v>
      </c>
      <c r="V39" s="429">
        <f t="shared" si="6"/>
        <v>350.06035479810606</v>
      </c>
      <c r="W39" s="429">
        <f t="shared" si="6"/>
        <v>357.06156189406823</v>
      </c>
      <c r="X39" s="429">
        <f t="shared" si="6"/>
        <v>364.20279313194953</v>
      </c>
      <c r="Y39" s="429">
        <f t="shared" si="6"/>
        <v>371.48684899458851</v>
      </c>
      <c r="Z39" s="429">
        <f t="shared" si="6"/>
        <v>378.91658597448031</v>
      </c>
      <c r="AA39" s="429">
        <f t="shared" si="6"/>
        <v>386.49491769396991</v>
      </c>
      <c r="AB39" s="429">
        <f t="shared" si="6"/>
        <v>394.22481604784934</v>
      </c>
      <c r="AC39" s="429">
        <f t="shared" si="6"/>
        <v>402.10931236880623</v>
      </c>
      <c r="AD39" s="429">
        <f t="shared" si="6"/>
        <v>410.15149861618238</v>
      </c>
      <c r="AE39" s="429">
        <f t="shared" si="6"/>
        <v>418.35452858850601</v>
      </c>
      <c r="AF39" s="429">
        <f t="shared" si="6"/>
        <v>426.72161916027619</v>
      </c>
      <c r="AG39" s="429">
        <f t="shared" si="6"/>
        <v>435.25605154348165</v>
      </c>
      <c r="AH39" s="429">
        <f t="shared" si="6"/>
        <v>443.96117257435139</v>
      </c>
      <c r="AI39" s="430">
        <f t="shared" si="6"/>
        <v>452.84039602583834</v>
      </c>
      <c r="AJ39" s="27"/>
      <c r="AK39" s="27"/>
      <c r="AL39" s="432"/>
    </row>
    <row r="40" spans="1:38" ht="12">
      <c r="A40" s="419" t="s">
        <v>1035</v>
      </c>
      <c r="B40" s="431" t="s">
        <v>823</v>
      </c>
      <c r="C40" s="1551">
        <f>Scenarios!E278</f>
        <v>250</v>
      </c>
      <c r="D40" s="788"/>
      <c r="E40" s="789"/>
      <c r="F40" s="447">
        <v>1</v>
      </c>
      <c r="G40" s="447">
        <v>1</v>
      </c>
      <c r="H40" s="447">
        <v>1</v>
      </c>
      <c r="I40" s="447">
        <v>1</v>
      </c>
      <c r="J40" s="447">
        <v>1</v>
      </c>
      <c r="K40" s="447">
        <v>1</v>
      </c>
      <c r="L40" s="447">
        <v>1</v>
      </c>
      <c r="M40" s="447">
        <v>1</v>
      </c>
      <c r="N40" s="447">
        <v>1</v>
      </c>
      <c r="O40" s="447">
        <v>1</v>
      </c>
      <c r="P40" s="447">
        <v>1</v>
      </c>
      <c r="Q40" s="447">
        <v>1</v>
      </c>
      <c r="R40" s="447">
        <v>1</v>
      </c>
      <c r="S40" s="447">
        <v>1</v>
      </c>
      <c r="T40" s="447">
        <v>1</v>
      </c>
      <c r="U40" s="447">
        <v>1</v>
      </c>
      <c r="V40" s="447">
        <v>1</v>
      </c>
      <c r="W40" s="447">
        <v>1</v>
      </c>
      <c r="X40" s="447">
        <v>1</v>
      </c>
      <c r="Y40" s="447">
        <v>1</v>
      </c>
      <c r="Z40" s="447">
        <v>1</v>
      </c>
      <c r="AA40" s="447">
        <v>1</v>
      </c>
      <c r="AB40" s="447">
        <v>1</v>
      </c>
      <c r="AC40" s="447">
        <v>1</v>
      </c>
      <c r="AD40" s="447">
        <v>1</v>
      </c>
      <c r="AE40" s="447">
        <v>1</v>
      </c>
      <c r="AF40" s="447">
        <v>1</v>
      </c>
      <c r="AG40" s="447">
        <v>1</v>
      </c>
      <c r="AH40" s="447">
        <v>1</v>
      </c>
      <c r="AI40" s="447">
        <v>1</v>
      </c>
      <c r="AJ40" s="420"/>
      <c r="AK40" s="1113"/>
      <c r="AL40" s="1113"/>
    </row>
    <row r="41" spans="1:38" ht="12">
      <c r="A41" s="419" t="s">
        <v>1036</v>
      </c>
      <c r="B41" s="431" t="s">
        <v>824</v>
      </c>
      <c r="C41" s="1551">
        <f>Scenarios!E279</f>
        <v>5</v>
      </c>
      <c r="D41" s="790"/>
      <c r="E41" s="791"/>
      <c r="F41" s="447">
        <v>1</v>
      </c>
      <c r="G41" s="447">
        <v>1</v>
      </c>
      <c r="H41" s="447">
        <v>1</v>
      </c>
      <c r="I41" s="447">
        <v>1</v>
      </c>
      <c r="J41" s="447">
        <v>1</v>
      </c>
      <c r="K41" s="447">
        <v>1</v>
      </c>
      <c r="L41" s="447">
        <v>1</v>
      </c>
      <c r="M41" s="447">
        <v>1</v>
      </c>
      <c r="N41" s="447">
        <v>1</v>
      </c>
      <c r="O41" s="447">
        <v>1</v>
      </c>
      <c r="P41" s="447">
        <v>1</v>
      </c>
      <c r="Q41" s="447">
        <v>1</v>
      </c>
      <c r="R41" s="447">
        <v>1</v>
      </c>
      <c r="S41" s="447">
        <v>1</v>
      </c>
      <c r="T41" s="447">
        <v>1</v>
      </c>
      <c r="U41" s="447">
        <v>1</v>
      </c>
      <c r="V41" s="447">
        <v>1</v>
      </c>
      <c r="W41" s="447">
        <v>1</v>
      </c>
      <c r="X41" s="447">
        <v>1</v>
      </c>
      <c r="Y41" s="447">
        <v>1</v>
      </c>
      <c r="Z41" s="447">
        <v>1</v>
      </c>
      <c r="AA41" s="447">
        <v>1</v>
      </c>
      <c r="AB41" s="447">
        <v>1</v>
      </c>
      <c r="AC41" s="447">
        <v>1</v>
      </c>
      <c r="AD41" s="447">
        <v>1</v>
      </c>
      <c r="AE41" s="447">
        <v>1</v>
      </c>
      <c r="AF41" s="447">
        <v>1</v>
      </c>
      <c r="AG41" s="447">
        <v>1</v>
      </c>
      <c r="AH41" s="447">
        <v>1</v>
      </c>
      <c r="AI41" s="447">
        <v>1</v>
      </c>
      <c r="AJ41" s="420"/>
      <c r="AK41" s="1113"/>
      <c r="AL41" s="1113"/>
    </row>
    <row r="42" spans="1:38" ht="12">
      <c r="A42" s="419" t="s">
        <v>1037</v>
      </c>
      <c r="B42" s="1462" t="s">
        <v>825</v>
      </c>
      <c r="C42" s="1551">
        <f>Scenarios!E280</f>
        <v>0</v>
      </c>
      <c r="D42" s="790"/>
      <c r="E42" s="791"/>
      <c r="F42" s="447">
        <v>0</v>
      </c>
      <c r="G42" s="447">
        <v>0</v>
      </c>
      <c r="H42" s="447">
        <v>0</v>
      </c>
      <c r="I42" s="447">
        <v>0</v>
      </c>
      <c r="J42" s="447">
        <v>0</v>
      </c>
      <c r="K42" s="447">
        <v>0</v>
      </c>
      <c r="L42" s="447">
        <v>0</v>
      </c>
      <c r="M42" s="447">
        <v>0</v>
      </c>
      <c r="N42" s="447">
        <v>0</v>
      </c>
      <c r="O42" s="447">
        <v>0</v>
      </c>
      <c r="P42" s="447">
        <v>0</v>
      </c>
      <c r="Q42" s="447">
        <v>0</v>
      </c>
      <c r="R42" s="447">
        <v>0</v>
      </c>
      <c r="S42" s="447">
        <v>0</v>
      </c>
      <c r="T42" s="447">
        <v>0</v>
      </c>
      <c r="U42" s="447">
        <v>0</v>
      </c>
      <c r="V42" s="447">
        <v>0</v>
      </c>
      <c r="W42" s="447">
        <v>0</v>
      </c>
      <c r="X42" s="447">
        <v>0</v>
      </c>
      <c r="Y42" s="447">
        <v>0</v>
      </c>
      <c r="Z42" s="447">
        <v>0</v>
      </c>
      <c r="AA42" s="447">
        <v>0</v>
      </c>
      <c r="AB42" s="447">
        <v>0</v>
      </c>
      <c r="AC42" s="447">
        <v>0</v>
      </c>
      <c r="AD42" s="447">
        <v>0</v>
      </c>
      <c r="AE42" s="447">
        <v>0</v>
      </c>
      <c r="AF42" s="447">
        <v>0</v>
      </c>
      <c r="AG42" s="447">
        <v>0</v>
      </c>
      <c r="AH42" s="447">
        <v>0</v>
      </c>
      <c r="AI42" s="447">
        <v>0</v>
      </c>
      <c r="AJ42" s="420"/>
      <c r="AK42" s="1113"/>
      <c r="AL42" s="1113"/>
    </row>
    <row r="43" spans="1:38" ht="12">
      <c r="A43" s="419" t="s">
        <v>1038</v>
      </c>
      <c r="B43" s="1462" t="s">
        <v>826</v>
      </c>
      <c r="C43" s="1551">
        <f>Scenarios!E281</f>
        <v>0</v>
      </c>
      <c r="D43" s="790"/>
      <c r="E43" s="791"/>
      <c r="F43" s="447">
        <v>0</v>
      </c>
      <c r="G43" s="447">
        <v>0</v>
      </c>
      <c r="H43" s="447">
        <v>0</v>
      </c>
      <c r="I43" s="447">
        <v>0</v>
      </c>
      <c r="J43" s="447">
        <v>0</v>
      </c>
      <c r="K43" s="447">
        <v>0</v>
      </c>
      <c r="L43" s="447">
        <v>0</v>
      </c>
      <c r="M43" s="447">
        <v>0</v>
      </c>
      <c r="N43" s="447">
        <v>0</v>
      </c>
      <c r="O43" s="447">
        <v>0</v>
      </c>
      <c r="P43" s="447">
        <v>0</v>
      </c>
      <c r="Q43" s="447">
        <v>0</v>
      </c>
      <c r="R43" s="447">
        <v>0</v>
      </c>
      <c r="S43" s="447">
        <v>0</v>
      </c>
      <c r="T43" s="447">
        <v>0</v>
      </c>
      <c r="U43" s="447">
        <v>0</v>
      </c>
      <c r="V43" s="447">
        <v>0</v>
      </c>
      <c r="W43" s="447">
        <v>0</v>
      </c>
      <c r="X43" s="447">
        <v>0</v>
      </c>
      <c r="Y43" s="447">
        <v>0</v>
      </c>
      <c r="Z43" s="447">
        <v>0</v>
      </c>
      <c r="AA43" s="447">
        <v>0</v>
      </c>
      <c r="AB43" s="447">
        <v>0</v>
      </c>
      <c r="AC43" s="447">
        <v>0</v>
      </c>
      <c r="AD43" s="447">
        <v>0</v>
      </c>
      <c r="AE43" s="447">
        <v>0</v>
      </c>
      <c r="AF43" s="447">
        <v>0</v>
      </c>
      <c r="AG43" s="447">
        <v>0</v>
      </c>
      <c r="AH43" s="447">
        <v>0</v>
      </c>
      <c r="AI43" s="447">
        <v>0</v>
      </c>
      <c r="AJ43" s="420"/>
      <c r="AK43" s="1113"/>
      <c r="AL43" s="1113"/>
    </row>
    <row r="44" spans="1:38" collapsed="1">
      <c r="A44" s="419" t="s">
        <v>1039</v>
      </c>
      <c r="B44" s="433" t="s">
        <v>1040</v>
      </c>
      <c r="C44" s="1551">
        <f>Scenarios!E263</f>
        <v>0</v>
      </c>
      <c r="D44" s="792"/>
      <c r="E44" s="793"/>
      <c r="F44" s="447">
        <v>1</v>
      </c>
      <c r="G44" s="447">
        <v>1</v>
      </c>
      <c r="H44" s="447">
        <v>1</v>
      </c>
      <c r="I44" s="447">
        <v>1</v>
      </c>
      <c r="J44" s="447">
        <v>1</v>
      </c>
      <c r="K44" s="447">
        <v>1</v>
      </c>
      <c r="L44" s="447">
        <v>1</v>
      </c>
      <c r="M44" s="447">
        <v>1</v>
      </c>
      <c r="N44" s="447">
        <v>1</v>
      </c>
      <c r="O44" s="447">
        <v>1</v>
      </c>
      <c r="P44" s="447">
        <v>1</v>
      </c>
      <c r="Q44" s="447">
        <v>1</v>
      </c>
      <c r="R44" s="447">
        <v>1</v>
      </c>
      <c r="S44" s="447">
        <v>1</v>
      </c>
      <c r="T44" s="447">
        <v>1</v>
      </c>
      <c r="U44" s="447">
        <v>1</v>
      </c>
      <c r="V44" s="447">
        <v>1</v>
      </c>
      <c r="W44" s="447">
        <v>1</v>
      </c>
      <c r="X44" s="447">
        <v>1</v>
      </c>
      <c r="Y44" s="447">
        <v>1</v>
      </c>
      <c r="Z44" s="447">
        <v>1</v>
      </c>
      <c r="AA44" s="447">
        <v>1</v>
      </c>
      <c r="AB44" s="447">
        <v>1</v>
      </c>
      <c r="AC44" s="447">
        <v>1</v>
      </c>
      <c r="AD44" s="447">
        <v>1</v>
      </c>
      <c r="AE44" s="447">
        <v>1</v>
      </c>
      <c r="AF44" s="447">
        <v>1</v>
      </c>
      <c r="AG44" s="447">
        <v>1</v>
      </c>
      <c r="AH44" s="447">
        <v>1</v>
      </c>
      <c r="AI44" s="447">
        <v>1</v>
      </c>
      <c r="AJ44" s="420"/>
      <c r="AK44" s="432"/>
      <c r="AL44" s="27"/>
    </row>
    <row r="45" spans="1:38">
      <c r="A45" s="419" t="s">
        <v>1041</v>
      </c>
      <c r="B45" s="427" t="s">
        <v>827</v>
      </c>
      <c r="C45" s="1464">
        <f>SUM(C46:C47)</f>
        <v>204</v>
      </c>
      <c r="D45" s="849">
        <v>0.02</v>
      </c>
      <c r="E45" s="97">
        <v>0</v>
      </c>
      <c r="F45" s="429">
        <f t="shared" ref="F45:AI45" si="7">SUMPRODUCT($C46:$C47,F46:F47)*(1+$D$45)^F$2</f>
        <v>208.08</v>
      </c>
      <c r="G45" s="429">
        <f t="shared" si="7"/>
        <v>212.24160000000001</v>
      </c>
      <c r="H45" s="429">
        <f t="shared" si="7"/>
        <v>216.48643199999998</v>
      </c>
      <c r="I45" s="429">
        <f t="shared" si="7"/>
        <v>220.81616063999999</v>
      </c>
      <c r="J45" s="429">
        <f t="shared" si="7"/>
        <v>225.23248385280002</v>
      </c>
      <c r="K45" s="429">
        <f t="shared" si="7"/>
        <v>229.73713352985601</v>
      </c>
      <c r="L45" s="429">
        <f t="shared" si="7"/>
        <v>234.33187620045308</v>
      </c>
      <c r="M45" s="429">
        <f t="shared" si="7"/>
        <v>239.01851372446217</v>
      </c>
      <c r="N45" s="429">
        <f t="shared" si="7"/>
        <v>243.7988839989514</v>
      </c>
      <c r="O45" s="429">
        <f t="shared" si="7"/>
        <v>248.67486167893045</v>
      </c>
      <c r="P45" s="429">
        <f t="shared" si="7"/>
        <v>253.64835891250902</v>
      </c>
      <c r="Q45" s="429">
        <f t="shared" si="7"/>
        <v>258.72132609075925</v>
      </c>
      <c r="R45" s="429">
        <f t="shared" si="7"/>
        <v>263.89575261257443</v>
      </c>
      <c r="S45" s="429">
        <f t="shared" si="7"/>
        <v>269.17366766482593</v>
      </c>
      <c r="T45" s="429">
        <f t="shared" si="7"/>
        <v>274.55714101812237</v>
      </c>
      <c r="U45" s="429">
        <f t="shared" si="7"/>
        <v>280.04828383848485</v>
      </c>
      <c r="V45" s="429">
        <f t="shared" si="7"/>
        <v>285.64924951525455</v>
      </c>
      <c r="W45" s="429">
        <f t="shared" si="7"/>
        <v>291.36223450555963</v>
      </c>
      <c r="X45" s="429">
        <f t="shared" si="7"/>
        <v>297.1894791956708</v>
      </c>
      <c r="Y45" s="429">
        <f t="shared" si="7"/>
        <v>303.13326877958428</v>
      </c>
      <c r="Z45" s="429">
        <f t="shared" si="7"/>
        <v>309.19593415517591</v>
      </c>
      <c r="AA45" s="429">
        <f t="shared" si="7"/>
        <v>315.37985283827948</v>
      </c>
      <c r="AB45" s="429">
        <f t="shared" si="7"/>
        <v>321.68744989504501</v>
      </c>
      <c r="AC45" s="429">
        <f t="shared" si="7"/>
        <v>328.12119889294593</v>
      </c>
      <c r="AD45" s="429">
        <f t="shared" si="7"/>
        <v>334.68362287080481</v>
      </c>
      <c r="AE45" s="429">
        <f t="shared" si="7"/>
        <v>341.37729532822095</v>
      </c>
      <c r="AF45" s="429">
        <f t="shared" si="7"/>
        <v>348.20484123478531</v>
      </c>
      <c r="AG45" s="429">
        <f t="shared" si="7"/>
        <v>355.16893805948109</v>
      </c>
      <c r="AH45" s="429">
        <f t="shared" si="7"/>
        <v>362.27231682067065</v>
      </c>
      <c r="AI45" s="429">
        <f t="shared" si="7"/>
        <v>369.51776315708412</v>
      </c>
      <c r="AJ45" s="27"/>
      <c r="AK45" s="27"/>
      <c r="AL45" s="432"/>
    </row>
    <row r="46" spans="1:38" ht="12">
      <c r="A46" s="419" t="s">
        <v>1042</v>
      </c>
      <c r="B46" s="433" t="s">
        <v>1043</v>
      </c>
      <c r="C46" s="1551">
        <f>Scenarios!E283</f>
        <v>204</v>
      </c>
      <c r="D46" s="788"/>
      <c r="E46" s="789"/>
      <c r="F46" s="447">
        <v>1</v>
      </c>
      <c r="G46" s="447">
        <v>1</v>
      </c>
      <c r="H46" s="447">
        <v>1</v>
      </c>
      <c r="I46" s="447">
        <v>1</v>
      </c>
      <c r="J46" s="447">
        <v>1</v>
      </c>
      <c r="K46" s="447">
        <v>1</v>
      </c>
      <c r="L46" s="447">
        <v>1</v>
      </c>
      <c r="M46" s="447">
        <v>1</v>
      </c>
      <c r="N46" s="447">
        <v>1</v>
      </c>
      <c r="O46" s="447">
        <v>1</v>
      </c>
      <c r="P46" s="447">
        <v>1</v>
      </c>
      <c r="Q46" s="447">
        <v>1</v>
      </c>
      <c r="R46" s="447">
        <v>1</v>
      </c>
      <c r="S46" s="447">
        <v>1</v>
      </c>
      <c r="T46" s="447">
        <v>1</v>
      </c>
      <c r="U46" s="447">
        <v>1</v>
      </c>
      <c r="V46" s="447">
        <v>1</v>
      </c>
      <c r="W46" s="447">
        <v>1</v>
      </c>
      <c r="X46" s="447">
        <v>1</v>
      </c>
      <c r="Y46" s="447">
        <v>1</v>
      </c>
      <c r="Z46" s="447">
        <v>1</v>
      </c>
      <c r="AA46" s="447">
        <v>1</v>
      </c>
      <c r="AB46" s="447">
        <v>1</v>
      </c>
      <c r="AC46" s="447">
        <v>1</v>
      </c>
      <c r="AD46" s="447">
        <v>1</v>
      </c>
      <c r="AE46" s="447">
        <v>1</v>
      </c>
      <c r="AF46" s="447">
        <v>1</v>
      </c>
      <c r="AG46" s="447">
        <v>1</v>
      </c>
      <c r="AH46" s="447">
        <v>1</v>
      </c>
      <c r="AI46" s="447">
        <v>1</v>
      </c>
      <c r="AJ46" s="420"/>
      <c r="AK46" s="1113"/>
      <c r="AL46" s="1113"/>
    </row>
    <row r="47" spans="1:38" ht="12">
      <c r="A47" s="419" t="s">
        <v>1044</v>
      </c>
      <c r="B47" s="433" t="s">
        <v>831</v>
      </c>
      <c r="C47" s="1551">
        <f>Scenarios!E286</f>
        <v>0</v>
      </c>
      <c r="D47" s="790"/>
      <c r="E47" s="791"/>
      <c r="F47" s="447">
        <v>1</v>
      </c>
      <c r="G47" s="447">
        <v>1</v>
      </c>
      <c r="H47" s="447">
        <v>1</v>
      </c>
      <c r="I47" s="447">
        <v>1</v>
      </c>
      <c r="J47" s="447">
        <v>1</v>
      </c>
      <c r="K47" s="447">
        <v>1</v>
      </c>
      <c r="L47" s="447">
        <v>1</v>
      </c>
      <c r="M47" s="447">
        <v>1</v>
      </c>
      <c r="N47" s="447">
        <v>1</v>
      </c>
      <c r="O47" s="447">
        <v>1</v>
      </c>
      <c r="P47" s="447">
        <v>1</v>
      </c>
      <c r="Q47" s="447">
        <v>1</v>
      </c>
      <c r="R47" s="447">
        <v>1</v>
      </c>
      <c r="S47" s="447">
        <v>1</v>
      </c>
      <c r="T47" s="447">
        <v>1</v>
      </c>
      <c r="U47" s="447">
        <v>1</v>
      </c>
      <c r="V47" s="447">
        <v>1</v>
      </c>
      <c r="W47" s="447">
        <v>1</v>
      </c>
      <c r="X47" s="447">
        <v>1</v>
      </c>
      <c r="Y47" s="447">
        <v>1</v>
      </c>
      <c r="Z47" s="447">
        <v>1</v>
      </c>
      <c r="AA47" s="447">
        <v>1</v>
      </c>
      <c r="AB47" s="447">
        <v>1</v>
      </c>
      <c r="AC47" s="447">
        <v>1</v>
      </c>
      <c r="AD47" s="447">
        <v>1</v>
      </c>
      <c r="AE47" s="447">
        <v>1</v>
      </c>
      <c r="AF47" s="447">
        <v>1</v>
      </c>
      <c r="AG47" s="447">
        <v>1</v>
      </c>
      <c r="AH47" s="447">
        <v>1</v>
      </c>
      <c r="AI47" s="447">
        <v>1</v>
      </c>
      <c r="AJ47" s="420"/>
      <c r="AK47" s="1113"/>
      <c r="AL47" s="1113"/>
    </row>
    <row r="48" spans="1:38" ht="12">
      <c r="A48" s="419" t="s">
        <v>1045</v>
      </c>
      <c r="B48" s="427" t="s">
        <v>832</v>
      </c>
      <c r="C48" s="1464">
        <f>SUM(C49:C52)</f>
        <v>549.76319999999998</v>
      </c>
      <c r="D48" s="849">
        <v>0</v>
      </c>
      <c r="E48" s="97">
        <v>0</v>
      </c>
      <c r="F48" s="428">
        <f t="shared" ref="F48:AI48" si="8">(SUMPRODUCT($C$49:$C$52,F49:F52))*(1+$D48)^(F2-1)</f>
        <v>176.86080000000001</v>
      </c>
      <c r="G48" s="429">
        <f t="shared" si="8"/>
        <v>176.86080000000001</v>
      </c>
      <c r="H48" s="429">
        <f t="shared" si="8"/>
        <v>176.86080000000001</v>
      </c>
      <c r="I48" s="429">
        <f t="shared" si="8"/>
        <v>176.86080000000001</v>
      </c>
      <c r="J48" s="429">
        <f t="shared" si="8"/>
        <v>176.86080000000001</v>
      </c>
      <c r="K48" s="429">
        <f t="shared" si="8"/>
        <v>176.86080000000001</v>
      </c>
      <c r="L48" s="429">
        <f t="shared" si="8"/>
        <v>176.86080000000001</v>
      </c>
      <c r="M48" s="429">
        <f t="shared" si="8"/>
        <v>176.86080000000001</v>
      </c>
      <c r="N48" s="429">
        <f t="shared" si="8"/>
        <v>176.86080000000001</v>
      </c>
      <c r="O48" s="429">
        <f t="shared" si="8"/>
        <v>176.86080000000001</v>
      </c>
      <c r="P48" s="429">
        <f t="shared" si="8"/>
        <v>549.76319999999998</v>
      </c>
      <c r="Q48" s="429">
        <f t="shared" si="8"/>
        <v>549.76319999999998</v>
      </c>
      <c r="R48" s="429">
        <f t="shared" si="8"/>
        <v>549.76319999999998</v>
      </c>
      <c r="S48" s="429">
        <f t="shared" si="8"/>
        <v>549.76319999999998</v>
      </c>
      <c r="T48" s="429">
        <f t="shared" si="8"/>
        <v>549.76319999999998</v>
      </c>
      <c r="U48" s="429">
        <f t="shared" si="8"/>
        <v>549.76319999999998</v>
      </c>
      <c r="V48" s="429">
        <f t="shared" si="8"/>
        <v>549.76319999999998</v>
      </c>
      <c r="W48" s="429">
        <f t="shared" si="8"/>
        <v>549.76319999999998</v>
      </c>
      <c r="X48" s="429">
        <f t="shared" si="8"/>
        <v>549.76319999999998</v>
      </c>
      <c r="Y48" s="429">
        <f t="shared" si="8"/>
        <v>549.76319999999998</v>
      </c>
      <c r="Z48" s="429">
        <f t="shared" si="8"/>
        <v>549.76319999999998</v>
      </c>
      <c r="AA48" s="429">
        <f t="shared" si="8"/>
        <v>549.76319999999998</v>
      </c>
      <c r="AB48" s="429">
        <f t="shared" si="8"/>
        <v>549.76319999999998</v>
      </c>
      <c r="AC48" s="429">
        <f t="shared" si="8"/>
        <v>549.76319999999998</v>
      </c>
      <c r="AD48" s="429">
        <f t="shared" si="8"/>
        <v>549.76319999999998</v>
      </c>
      <c r="AE48" s="429">
        <f t="shared" si="8"/>
        <v>549.76319999999998</v>
      </c>
      <c r="AF48" s="429">
        <f t="shared" si="8"/>
        <v>549.76319999999998</v>
      </c>
      <c r="AG48" s="429">
        <f t="shared" si="8"/>
        <v>549.76319999999998</v>
      </c>
      <c r="AH48" s="429">
        <f t="shared" si="8"/>
        <v>549.76319999999998</v>
      </c>
      <c r="AI48" s="430">
        <f t="shared" si="8"/>
        <v>549.76319999999998</v>
      </c>
      <c r="AJ48" s="27"/>
      <c r="AK48" s="1113"/>
      <c r="AL48" s="1113"/>
    </row>
    <row r="49" spans="1:38" ht="12" customHeight="1">
      <c r="A49" s="419" t="s">
        <v>1046</v>
      </c>
      <c r="B49" s="431" t="s">
        <v>833</v>
      </c>
      <c r="C49" s="1551">
        <f>Scenarios!E288</f>
        <v>40</v>
      </c>
      <c r="D49" s="788"/>
      <c r="E49" s="789"/>
      <c r="F49" s="447">
        <v>1</v>
      </c>
      <c r="G49" s="447">
        <v>1</v>
      </c>
      <c r="H49" s="447">
        <v>1</v>
      </c>
      <c r="I49" s="447">
        <v>1</v>
      </c>
      <c r="J49" s="447">
        <v>1</v>
      </c>
      <c r="K49" s="447">
        <v>1</v>
      </c>
      <c r="L49" s="447">
        <v>1</v>
      </c>
      <c r="M49" s="447">
        <v>1</v>
      </c>
      <c r="N49" s="447">
        <v>1</v>
      </c>
      <c r="O49" s="447">
        <v>1</v>
      </c>
      <c r="P49" s="447">
        <v>1</v>
      </c>
      <c r="Q49" s="447">
        <v>1</v>
      </c>
      <c r="R49" s="447">
        <v>1</v>
      </c>
      <c r="S49" s="447">
        <v>1</v>
      </c>
      <c r="T49" s="447">
        <v>1</v>
      </c>
      <c r="U49" s="447">
        <v>1</v>
      </c>
      <c r="V49" s="447">
        <v>1</v>
      </c>
      <c r="W49" s="447">
        <v>1</v>
      </c>
      <c r="X49" s="447">
        <v>1</v>
      </c>
      <c r="Y49" s="447">
        <v>1</v>
      </c>
      <c r="Z49" s="447">
        <v>1</v>
      </c>
      <c r="AA49" s="447">
        <v>1</v>
      </c>
      <c r="AB49" s="447">
        <v>1</v>
      </c>
      <c r="AC49" s="447">
        <v>1</v>
      </c>
      <c r="AD49" s="447">
        <v>1</v>
      </c>
      <c r="AE49" s="447">
        <v>1</v>
      </c>
      <c r="AF49" s="447">
        <v>1</v>
      </c>
      <c r="AG49" s="447">
        <v>1</v>
      </c>
      <c r="AH49" s="447">
        <v>1</v>
      </c>
      <c r="AI49" s="447">
        <v>1</v>
      </c>
      <c r="AJ49" s="420"/>
      <c r="AK49" s="1113"/>
      <c r="AL49" s="1115"/>
    </row>
    <row r="50" spans="1:38" ht="12" customHeight="1">
      <c r="A50" s="419" t="s">
        <v>1047</v>
      </c>
      <c r="B50" s="431" t="s">
        <v>836</v>
      </c>
      <c r="C50" s="1551">
        <f>Scenarios!E289</f>
        <v>86.860800000000012</v>
      </c>
      <c r="D50" s="790"/>
      <c r="E50" s="791"/>
      <c r="F50" s="447">
        <v>1</v>
      </c>
      <c r="G50" s="447">
        <v>1</v>
      </c>
      <c r="H50" s="447">
        <v>1</v>
      </c>
      <c r="I50" s="447">
        <v>1</v>
      </c>
      <c r="J50" s="447">
        <v>1</v>
      </c>
      <c r="K50" s="447">
        <v>1</v>
      </c>
      <c r="L50" s="447">
        <v>1</v>
      </c>
      <c r="M50" s="447">
        <v>1</v>
      </c>
      <c r="N50" s="447">
        <v>1</v>
      </c>
      <c r="O50" s="447">
        <v>1</v>
      </c>
      <c r="P50" s="447">
        <v>1</v>
      </c>
      <c r="Q50" s="447">
        <v>1</v>
      </c>
      <c r="R50" s="447">
        <v>1</v>
      </c>
      <c r="S50" s="447">
        <v>1</v>
      </c>
      <c r="T50" s="447">
        <v>1</v>
      </c>
      <c r="U50" s="447">
        <v>1</v>
      </c>
      <c r="V50" s="447">
        <v>1</v>
      </c>
      <c r="W50" s="447">
        <v>1</v>
      </c>
      <c r="X50" s="447">
        <v>1</v>
      </c>
      <c r="Y50" s="447">
        <v>1</v>
      </c>
      <c r="Z50" s="447">
        <v>1</v>
      </c>
      <c r="AA50" s="447">
        <v>1</v>
      </c>
      <c r="AB50" s="447">
        <v>1</v>
      </c>
      <c r="AC50" s="447">
        <v>1</v>
      </c>
      <c r="AD50" s="447">
        <v>1</v>
      </c>
      <c r="AE50" s="447">
        <v>1</v>
      </c>
      <c r="AF50" s="447">
        <v>1</v>
      </c>
      <c r="AG50" s="447">
        <v>1</v>
      </c>
      <c r="AH50" s="447">
        <v>1</v>
      </c>
      <c r="AI50" s="447">
        <v>1</v>
      </c>
      <c r="AJ50" s="420"/>
      <c r="AK50" s="1113"/>
      <c r="AL50" s="1113"/>
    </row>
    <row r="51" spans="1:38" ht="12" customHeight="1">
      <c r="A51" s="419" t="s">
        <v>1048</v>
      </c>
      <c r="B51" s="431" t="s">
        <v>838</v>
      </c>
      <c r="C51" s="1551">
        <f>Scenarios!E290</f>
        <v>372.9024</v>
      </c>
      <c r="D51" s="790"/>
      <c r="E51" s="791"/>
      <c r="F51" s="447">
        <v>0</v>
      </c>
      <c r="G51" s="447">
        <v>0</v>
      </c>
      <c r="H51" s="447">
        <v>0</v>
      </c>
      <c r="I51" s="447">
        <v>0</v>
      </c>
      <c r="J51" s="447">
        <v>0</v>
      </c>
      <c r="K51" s="447">
        <v>0</v>
      </c>
      <c r="L51" s="447">
        <v>0</v>
      </c>
      <c r="M51" s="447">
        <v>0</v>
      </c>
      <c r="N51" s="447">
        <v>0</v>
      </c>
      <c r="O51" s="447">
        <v>0</v>
      </c>
      <c r="P51" s="447">
        <v>1</v>
      </c>
      <c r="Q51" s="447">
        <v>1</v>
      </c>
      <c r="R51" s="447">
        <v>1</v>
      </c>
      <c r="S51" s="447">
        <v>1</v>
      </c>
      <c r="T51" s="447">
        <v>1</v>
      </c>
      <c r="U51" s="447">
        <v>1</v>
      </c>
      <c r="V51" s="447">
        <v>1</v>
      </c>
      <c r="W51" s="447">
        <v>1</v>
      </c>
      <c r="X51" s="447">
        <v>1</v>
      </c>
      <c r="Y51" s="447">
        <v>1</v>
      </c>
      <c r="Z51" s="447">
        <v>1</v>
      </c>
      <c r="AA51" s="447">
        <v>1</v>
      </c>
      <c r="AB51" s="447">
        <v>1</v>
      </c>
      <c r="AC51" s="447">
        <v>1</v>
      </c>
      <c r="AD51" s="447">
        <v>1</v>
      </c>
      <c r="AE51" s="447">
        <v>1</v>
      </c>
      <c r="AF51" s="447">
        <v>1</v>
      </c>
      <c r="AG51" s="447">
        <v>1</v>
      </c>
      <c r="AH51" s="447">
        <v>1</v>
      </c>
      <c r="AI51" s="447">
        <v>1</v>
      </c>
      <c r="AJ51" s="420"/>
      <c r="AK51" s="1113"/>
      <c r="AL51" s="1113"/>
    </row>
    <row r="52" spans="1:38" ht="12">
      <c r="A52" s="419" t="s">
        <v>1049</v>
      </c>
      <c r="B52" s="433" t="s">
        <v>1050</v>
      </c>
      <c r="C52" s="1551">
        <f>Scenarios!E262</f>
        <v>50</v>
      </c>
      <c r="D52" s="790"/>
      <c r="E52" s="791"/>
      <c r="F52" s="447">
        <v>1</v>
      </c>
      <c r="G52" s="447">
        <v>1</v>
      </c>
      <c r="H52" s="447">
        <v>1</v>
      </c>
      <c r="I52" s="447">
        <v>1</v>
      </c>
      <c r="J52" s="447">
        <v>1</v>
      </c>
      <c r="K52" s="447">
        <v>1</v>
      </c>
      <c r="L52" s="447">
        <v>1</v>
      </c>
      <c r="M52" s="447">
        <v>1</v>
      </c>
      <c r="N52" s="447">
        <v>1</v>
      </c>
      <c r="O52" s="447">
        <v>1</v>
      </c>
      <c r="P52" s="447">
        <v>1</v>
      </c>
      <c r="Q52" s="447">
        <v>1</v>
      </c>
      <c r="R52" s="447">
        <v>1</v>
      </c>
      <c r="S52" s="447">
        <v>1</v>
      </c>
      <c r="T52" s="447">
        <v>1</v>
      </c>
      <c r="U52" s="447">
        <v>1</v>
      </c>
      <c r="V52" s="447">
        <v>1</v>
      </c>
      <c r="W52" s="447">
        <v>1</v>
      </c>
      <c r="X52" s="447">
        <v>1</v>
      </c>
      <c r="Y52" s="447">
        <v>1</v>
      </c>
      <c r="Z52" s="447">
        <v>1</v>
      </c>
      <c r="AA52" s="447">
        <v>1</v>
      </c>
      <c r="AB52" s="447">
        <v>1</v>
      </c>
      <c r="AC52" s="447">
        <v>1</v>
      </c>
      <c r="AD52" s="447">
        <v>1</v>
      </c>
      <c r="AE52" s="447">
        <v>1</v>
      </c>
      <c r="AF52" s="447">
        <v>1</v>
      </c>
      <c r="AG52" s="447">
        <v>1</v>
      </c>
      <c r="AH52" s="447">
        <v>1</v>
      </c>
      <c r="AI52" s="447">
        <v>1</v>
      </c>
      <c r="AJ52" s="420"/>
      <c r="AK52" s="1113"/>
      <c r="AL52" s="1113"/>
    </row>
    <row r="53" spans="1:38">
      <c r="A53" s="419" t="s">
        <v>1051</v>
      </c>
      <c r="B53" s="427" t="s">
        <v>1052</v>
      </c>
      <c r="C53" s="1464">
        <f>SUM(C54:C57)</f>
        <v>14</v>
      </c>
      <c r="D53" s="849">
        <v>0</v>
      </c>
      <c r="E53" s="97">
        <v>0</v>
      </c>
      <c r="F53" s="428">
        <f t="shared" ref="F53:AI53" si="9">SUMPRODUCT($C$54:$C$57,F54:F57)*(1+$D53)^(F2-1)</f>
        <v>14</v>
      </c>
      <c r="G53" s="429">
        <f t="shared" si="9"/>
        <v>14</v>
      </c>
      <c r="H53" s="429">
        <f t="shared" si="9"/>
        <v>14</v>
      </c>
      <c r="I53" s="429">
        <f t="shared" si="9"/>
        <v>14</v>
      </c>
      <c r="J53" s="429">
        <f t="shared" si="9"/>
        <v>14</v>
      </c>
      <c r="K53" s="429">
        <f t="shared" si="9"/>
        <v>14</v>
      </c>
      <c r="L53" s="429">
        <f t="shared" si="9"/>
        <v>14</v>
      </c>
      <c r="M53" s="429">
        <f t="shared" si="9"/>
        <v>14</v>
      </c>
      <c r="N53" s="429">
        <f t="shared" si="9"/>
        <v>14</v>
      </c>
      <c r="O53" s="429">
        <f t="shared" si="9"/>
        <v>14</v>
      </c>
      <c r="P53" s="429">
        <f t="shared" si="9"/>
        <v>14</v>
      </c>
      <c r="Q53" s="429">
        <f t="shared" si="9"/>
        <v>14</v>
      </c>
      <c r="R53" s="429">
        <f t="shared" si="9"/>
        <v>14</v>
      </c>
      <c r="S53" s="429">
        <f t="shared" si="9"/>
        <v>14</v>
      </c>
      <c r="T53" s="429">
        <f t="shared" si="9"/>
        <v>14</v>
      </c>
      <c r="U53" s="429">
        <f t="shared" si="9"/>
        <v>14</v>
      </c>
      <c r="V53" s="429">
        <f t="shared" si="9"/>
        <v>14</v>
      </c>
      <c r="W53" s="429">
        <f t="shared" si="9"/>
        <v>14</v>
      </c>
      <c r="X53" s="429">
        <f t="shared" si="9"/>
        <v>14</v>
      </c>
      <c r="Y53" s="429">
        <f t="shared" si="9"/>
        <v>14</v>
      </c>
      <c r="Z53" s="429">
        <f t="shared" si="9"/>
        <v>14</v>
      </c>
      <c r="AA53" s="429">
        <f t="shared" si="9"/>
        <v>14</v>
      </c>
      <c r="AB53" s="429">
        <f t="shared" si="9"/>
        <v>14</v>
      </c>
      <c r="AC53" s="429">
        <f t="shared" si="9"/>
        <v>14</v>
      </c>
      <c r="AD53" s="429">
        <f t="shared" si="9"/>
        <v>14</v>
      </c>
      <c r="AE53" s="429">
        <f t="shared" si="9"/>
        <v>14</v>
      </c>
      <c r="AF53" s="429">
        <f t="shared" si="9"/>
        <v>14</v>
      </c>
      <c r="AG53" s="429">
        <f t="shared" si="9"/>
        <v>14</v>
      </c>
      <c r="AH53" s="429">
        <f t="shared" si="9"/>
        <v>14</v>
      </c>
      <c r="AI53" s="430">
        <f t="shared" si="9"/>
        <v>14</v>
      </c>
      <c r="AJ53" s="27"/>
      <c r="AK53" s="27"/>
      <c r="AL53" s="432"/>
    </row>
    <row r="54" spans="1:38" ht="12">
      <c r="A54" s="419" t="s">
        <v>1053</v>
      </c>
      <c r="B54" s="431" t="s">
        <v>841</v>
      </c>
      <c r="C54" s="1551">
        <f>Scenarios!E293</f>
        <v>5</v>
      </c>
      <c r="D54" s="788"/>
      <c r="E54" s="789"/>
      <c r="F54" s="447">
        <v>1</v>
      </c>
      <c r="G54" s="447">
        <v>1</v>
      </c>
      <c r="H54" s="447">
        <v>1</v>
      </c>
      <c r="I54" s="447">
        <v>1</v>
      </c>
      <c r="J54" s="447">
        <v>1</v>
      </c>
      <c r="K54" s="447">
        <v>1</v>
      </c>
      <c r="L54" s="447">
        <v>1</v>
      </c>
      <c r="M54" s="447">
        <v>1</v>
      </c>
      <c r="N54" s="447">
        <v>1</v>
      </c>
      <c r="O54" s="447">
        <v>1</v>
      </c>
      <c r="P54" s="447">
        <v>1</v>
      </c>
      <c r="Q54" s="447">
        <v>1</v>
      </c>
      <c r="R54" s="447">
        <v>1</v>
      </c>
      <c r="S54" s="447">
        <v>1</v>
      </c>
      <c r="T54" s="447">
        <v>1</v>
      </c>
      <c r="U54" s="447">
        <v>1</v>
      </c>
      <c r="V54" s="447">
        <v>1</v>
      </c>
      <c r="W54" s="447">
        <v>1</v>
      </c>
      <c r="X54" s="447">
        <v>1</v>
      </c>
      <c r="Y54" s="447">
        <v>1</v>
      </c>
      <c r="Z54" s="447">
        <v>1</v>
      </c>
      <c r="AA54" s="447">
        <v>1</v>
      </c>
      <c r="AB54" s="447">
        <v>1</v>
      </c>
      <c r="AC54" s="447">
        <v>1</v>
      </c>
      <c r="AD54" s="447">
        <v>1</v>
      </c>
      <c r="AE54" s="447">
        <v>1</v>
      </c>
      <c r="AF54" s="447">
        <v>1</v>
      </c>
      <c r="AG54" s="447">
        <v>1</v>
      </c>
      <c r="AH54" s="447">
        <v>1</v>
      </c>
      <c r="AI54" s="447">
        <v>1</v>
      </c>
      <c r="AJ54" s="420"/>
      <c r="AK54" s="1113"/>
      <c r="AL54" s="1113"/>
    </row>
    <row r="55" spans="1:38" ht="12">
      <c r="A55" s="419" t="s">
        <v>1054</v>
      </c>
      <c r="B55" s="431" t="s">
        <v>1055</v>
      </c>
      <c r="C55" s="1551">
        <f>Scenarios!E294</f>
        <v>4</v>
      </c>
      <c r="D55" s="790"/>
      <c r="E55" s="791"/>
      <c r="F55" s="447">
        <v>1</v>
      </c>
      <c r="G55" s="447">
        <v>1</v>
      </c>
      <c r="H55" s="447">
        <v>1</v>
      </c>
      <c r="I55" s="447">
        <v>1</v>
      </c>
      <c r="J55" s="447">
        <v>1</v>
      </c>
      <c r="K55" s="447">
        <v>1</v>
      </c>
      <c r="L55" s="447">
        <v>1</v>
      </c>
      <c r="M55" s="447">
        <v>1</v>
      </c>
      <c r="N55" s="447">
        <v>1</v>
      </c>
      <c r="O55" s="447">
        <v>1</v>
      </c>
      <c r="P55" s="447">
        <v>1</v>
      </c>
      <c r="Q55" s="447">
        <v>1</v>
      </c>
      <c r="R55" s="447">
        <v>1</v>
      </c>
      <c r="S55" s="447">
        <v>1</v>
      </c>
      <c r="T55" s="447">
        <v>1</v>
      </c>
      <c r="U55" s="447">
        <v>1</v>
      </c>
      <c r="V55" s="447">
        <v>1</v>
      </c>
      <c r="W55" s="447">
        <v>1</v>
      </c>
      <c r="X55" s="447">
        <v>1</v>
      </c>
      <c r="Y55" s="447">
        <v>1</v>
      </c>
      <c r="Z55" s="447">
        <v>1</v>
      </c>
      <c r="AA55" s="447">
        <v>1</v>
      </c>
      <c r="AB55" s="447">
        <v>1</v>
      </c>
      <c r="AC55" s="447">
        <v>1</v>
      </c>
      <c r="AD55" s="447">
        <v>1</v>
      </c>
      <c r="AE55" s="447">
        <v>1</v>
      </c>
      <c r="AF55" s="447">
        <v>1</v>
      </c>
      <c r="AG55" s="447">
        <v>1</v>
      </c>
      <c r="AH55" s="447">
        <v>1</v>
      </c>
      <c r="AI55" s="447">
        <v>1</v>
      </c>
      <c r="AJ55" s="420"/>
      <c r="AK55" s="1113"/>
      <c r="AL55" s="1113"/>
    </row>
    <row r="56" spans="1:38">
      <c r="A56" s="419" t="s">
        <v>1056</v>
      </c>
      <c r="B56" s="433" t="s">
        <v>844</v>
      </c>
      <c r="C56" s="1551">
        <f>Scenarios!E295</f>
        <v>5</v>
      </c>
      <c r="D56" s="790"/>
      <c r="E56" s="791"/>
      <c r="F56" s="447">
        <v>1</v>
      </c>
      <c r="G56" s="447">
        <v>1</v>
      </c>
      <c r="H56" s="447">
        <v>1</v>
      </c>
      <c r="I56" s="447">
        <v>1</v>
      </c>
      <c r="J56" s="447">
        <v>1</v>
      </c>
      <c r="K56" s="447">
        <v>1</v>
      </c>
      <c r="L56" s="447">
        <v>1</v>
      </c>
      <c r="M56" s="447">
        <v>1</v>
      </c>
      <c r="N56" s="447">
        <v>1</v>
      </c>
      <c r="O56" s="447">
        <v>1</v>
      </c>
      <c r="P56" s="447">
        <v>1</v>
      </c>
      <c r="Q56" s="447">
        <v>1</v>
      </c>
      <c r="R56" s="447">
        <v>1</v>
      </c>
      <c r="S56" s="447">
        <v>1</v>
      </c>
      <c r="T56" s="447">
        <v>1</v>
      </c>
      <c r="U56" s="447">
        <v>1</v>
      </c>
      <c r="V56" s="447">
        <v>1</v>
      </c>
      <c r="W56" s="447">
        <v>1</v>
      </c>
      <c r="X56" s="447">
        <v>1</v>
      </c>
      <c r="Y56" s="447">
        <v>1</v>
      </c>
      <c r="Z56" s="447">
        <v>1</v>
      </c>
      <c r="AA56" s="447">
        <v>1</v>
      </c>
      <c r="AB56" s="447">
        <v>1</v>
      </c>
      <c r="AC56" s="447">
        <v>1</v>
      </c>
      <c r="AD56" s="447">
        <v>1</v>
      </c>
      <c r="AE56" s="447">
        <v>1</v>
      </c>
      <c r="AF56" s="447">
        <v>1</v>
      </c>
      <c r="AG56" s="447">
        <v>1</v>
      </c>
      <c r="AH56" s="447">
        <v>1</v>
      </c>
      <c r="AI56" s="447">
        <v>1</v>
      </c>
      <c r="AJ56" s="420"/>
      <c r="AK56" s="432"/>
      <c r="AL56" s="432"/>
    </row>
    <row r="57" spans="1:38">
      <c r="A57" s="419" t="s">
        <v>1057</v>
      </c>
      <c r="B57" s="1462" t="s">
        <v>845</v>
      </c>
      <c r="C57" s="1551">
        <f>Scenarios!E296</f>
        <v>0</v>
      </c>
      <c r="D57" s="790"/>
      <c r="E57" s="791"/>
      <c r="F57" s="447">
        <v>0</v>
      </c>
      <c r="G57" s="447">
        <v>0</v>
      </c>
      <c r="H57" s="447">
        <v>0</v>
      </c>
      <c r="I57" s="447">
        <v>0</v>
      </c>
      <c r="J57" s="447">
        <v>0</v>
      </c>
      <c r="K57" s="447">
        <v>0</v>
      </c>
      <c r="L57" s="447">
        <v>0</v>
      </c>
      <c r="M57" s="447">
        <v>0</v>
      </c>
      <c r="N57" s="447">
        <v>0</v>
      </c>
      <c r="O57" s="447">
        <v>0</v>
      </c>
      <c r="P57" s="447">
        <v>0</v>
      </c>
      <c r="Q57" s="447">
        <v>0</v>
      </c>
      <c r="R57" s="447">
        <v>0</v>
      </c>
      <c r="S57" s="447">
        <v>0</v>
      </c>
      <c r="T57" s="447">
        <v>0</v>
      </c>
      <c r="U57" s="447">
        <v>0</v>
      </c>
      <c r="V57" s="447">
        <v>0</v>
      </c>
      <c r="W57" s="447">
        <v>0</v>
      </c>
      <c r="X57" s="447">
        <v>0</v>
      </c>
      <c r="Y57" s="447">
        <v>0</v>
      </c>
      <c r="Z57" s="447">
        <v>0</v>
      </c>
      <c r="AA57" s="447">
        <v>0</v>
      </c>
      <c r="AB57" s="447">
        <v>0</v>
      </c>
      <c r="AC57" s="447">
        <v>0</v>
      </c>
      <c r="AD57" s="447">
        <v>0</v>
      </c>
      <c r="AE57" s="447">
        <v>0</v>
      </c>
      <c r="AF57" s="447">
        <v>0</v>
      </c>
      <c r="AG57" s="447">
        <v>0</v>
      </c>
      <c r="AH57" s="447">
        <v>0</v>
      </c>
      <c r="AI57" s="447">
        <v>0</v>
      </c>
      <c r="AJ57" s="420"/>
      <c r="AK57" s="432"/>
      <c r="AL57" s="27"/>
    </row>
    <row r="58" spans="1:38">
      <c r="A58" s="419" t="s">
        <v>1058</v>
      </c>
      <c r="B58" s="427" t="s">
        <v>669</v>
      </c>
      <c r="C58" s="1464">
        <f>SUM(C59:C64)</f>
        <v>32</v>
      </c>
      <c r="D58" s="849">
        <f>$C$102</f>
        <v>0.02</v>
      </c>
      <c r="E58" s="97">
        <v>0</v>
      </c>
      <c r="F58" s="428">
        <f t="shared" ref="F58:AI58" si="10">SUMPRODUCT($C$59:$C$64,F59:F64)*(1+$D58)^(F2-1)</f>
        <v>24</v>
      </c>
      <c r="G58" s="429">
        <f t="shared" si="10"/>
        <v>24.48</v>
      </c>
      <c r="H58" s="429">
        <f t="shared" si="10"/>
        <v>16.6464</v>
      </c>
      <c r="I58" s="429">
        <f t="shared" si="10"/>
        <v>16.979327999999999</v>
      </c>
      <c r="J58" s="429">
        <f t="shared" si="10"/>
        <v>17.31891456</v>
      </c>
      <c r="K58" s="429">
        <f t="shared" si="10"/>
        <v>17.6652928512</v>
      </c>
      <c r="L58" s="429">
        <f t="shared" si="10"/>
        <v>18.018598708224001</v>
      </c>
      <c r="M58" s="429">
        <f t="shared" si="10"/>
        <v>18.378970682388477</v>
      </c>
      <c r="N58" s="429">
        <f t="shared" si="10"/>
        <v>18.746550096036248</v>
      </c>
      <c r="O58" s="429">
        <f t="shared" si="10"/>
        <v>19.121481097956973</v>
      </c>
      <c r="P58" s="429">
        <f t="shared" si="10"/>
        <v>19.503910719916114</v>
      </c>
      <c r="Q58" s="429">
        <f t="shared" si="10"/>
        <v>19.893988934314432</v>
      </c>
      <c r="R58" s="429">
        <f t="shared" si="10"/>
        <v>20.291868713000724</v>
      </c>
      <c r="S58" s="429">
        <f t="shared" si="10"/>
        <v>20.697706087260737</v>
      </c>
      <c r="T58" s="429">
        <f t="shared" si="10"/>
        <v>21.111660209005954</v>
      </c>
      <c r="U58" s="429">
        <f t="shared" si="10"/>
        <v>21.533893413186068</v>
      </c>
      <c r="V58" s="429">
        <f t="shared" si="10"/>
        <v>21.964571281449793</v>
      </c>
      <c r="W58" s="429">
        <f t="shared" si="10"/>
        <v>22.40386270707879</v>
      </c>
      <c r="X58" s="429">
        <f t="shared" si="10"/>
        <v>22.851939961220364</v>
      </c>
      <c r="Y58" s="429">
        <f t="shared" si="10"/>
        <v>23.30897876044477</v>
      </c>
      <c r="Z58" s="429">
        <f t="shared" si="10"/>
        <v>23.775158335653668</v>
      </c>
      <c r="AA58" s="429">
        <f t="shared" si="10"/>
        <v>24.250661502366739</v>
      </c>
      <c r="AB58" s="429">
        <f t="shared" si="10"/>
        <v>24.735674732414076</v>
      </c>
      <c r="AC58" s="429">
        <f t="shared" si="10"/>
        <v>25.230388227062353</v>
      </c>
      <c r="AD58" s="429">
        <f t="shared" si="10"/>
        <v>25.734995991603601</v>
      </c>
      <c r="AE58" s="429">
        <f t="shared" si="10"/>
        <v>26.249695911435673</v>
      </c>
      <c r="AF58" s="429">
        <f t="shared" si="10"/>
        <v>26.774689829664389</v>
      </c>
      <c r="AG58" s="429">
        <f t="shared" si="10"/>
        <v>27.310183626257672</v>
      </c>
      <c r="AH58" s="429">
        <f t="shared" si="10"/>
        <v>27.856387298782831</v>
      </c>
      <c r="AI58" s="430">
        <f t="shared" si="10"/>
        <v>28.413515044758483</v>
      </c>
      <c r="AJ58" s="27"/>
      <c r="AK58" s="27"/>
      <c r="AL58" s="432"/>
    </row>
    <row r="59" spans="1:38" ht="12">
      <c r="A59" s="419" t="s">
        <v>1059</v>
      </c>
      <c r="B59" s="431" t="s">
        <v>846</v>
      </c>
      <c r="C59" s="1551">
        <f>Scenarios!E298</f>
        <v>16</v>
      </c>
      <c r="D59" s="788"/>
      <c r="E59" s="789"/>
      <c r="F59" s="447">
        <v>1</v>
      </c>
      <c r="G59" s="447">
        <v>1</v>
      </c>
      <c r="H59" s="447">
        <v>0</v>
      </c>
      <c r="I59" s="447">
        <v>0</v>
      </c>
      <c r="J59" s="447">
        <v>0</v>
      </c>
      <c r="K59" s="447">
        <v>0</v>
      </c>
      <c r="L59" s="447">
        <v>0</v>
      </c>
      <c r="M59" s="447">
        <v>0</v>
      </c>
      <c r="N59" s="447">
        <v>0</v>
      </c>
      <c r="O59" s="447">
        <v>0</v>
      </c>
      <c r="P59" s="447">
        <v>0</v>
      </c>
      <c r="Q59" s="447">
        <v>0</v>
      </c>
      <c r="R59" s="447">
        <v>0</v>
      </c>
      <c r="S59" s="447">
        <v>0</v>
      </c>
      <c r="T59" s="447">
        <v>0</v>
      </c>
      <c r="U59" s="447">
        <v>0</v>
      </c>
      <c r="V59" s="447">
        <v>0</v>
      </c>
      <c r="W59" s="447">
        <v>0</v>
      </c>
      <c r="X59" s="447">
        <v>0</v>
      </c>
      <c r="Y59" s="447">
        <v>0</v>
      </c>
      <c r="Z59" s="447">
        <v>0</v>
      </c>
      <c r="AA59" s="447">
        <v>0</v>
      </c>
      <c r="AB59" s="447">
        <v>0</v>
      </c>
      <c r="AC59" s="447">
        <v>0</v>
      </c>
      <c r="AD59" s="447">
        <v>0</v>
      </c>
      <c r="AE59" s="447">
        <v>0</v>
      </c>
      <c r="AF59" s="447">
        <v>0</v>
      </c>
      <c r="AG59" s="447">
        <v>0</v>
      </c>
      <c r="AH59" s="447">
        <v>0</v>
      </c>
      <c r="AI59" s="447">
        <v>0</v>
      </c>
      <c r="AJ59" s="420"/>
      <c r="AK59" s="1113"/>
      <c r="AL59" s="1113"/>
    </row>
    <row r="60" spans="1:38" ht="12">
      <c r="A60" s="419" t="s">
        <v>1060</v>
      </c>
      <c r="B60" s="431" t="s">
        <v>847</v>
      </c>
      <c r="C60" s="1551">
        <f>Scenarios!E299</f>
        <v>8</v>
      </c>
      <c r="D60" s="790"/>
      <c r="E60" s="791"/>
      <c r="F60" s="447">
        <v>0</v>
      </c>
      <c r="G60" s="447">
        <v>0</v>
      </c>
      <c r="H60" s="447">
        <v>1</v>
      </c>
      <c r="I60" s="447">
        <v>1</v>
      </c>
      <c r="J60" s="447">
        <v>1</v>
      </c>
      <c r="K60" s="447">
        <v>1</v>
      </c>
      <c r="L60" s="447">
        <v>1</v>
      </c>
      <c r="M60" s="447">
        <v>1</v>
      </c>
      <c r="N60" s="447">
        <v>1</v>
      </c>
      <c r="O60" s="447">
        <v>1</v>
      </c>
      <c r="P60" s="447">
        <v>1</v>
      </c>
      <c r="Q60" s="447">
        <v>1</v>
      </c>
      <c r="R60" s="447">
        <v>1</v>
      </c>
      <c r="S60" s="447">
        <v>1</v>
      </c>
      <c r="T60" s="447">
        <v>1</v>
      </c>
      <c r="U60" s="447">
        <v>1</v>
      </c>
      <c r="V60" s="447">
        <v>1</v>
      </c>
      <c r="W60" s="447">
        <v>1</v>
      </c>
      <c r="X60" s="447">
        <v>1</v>
      </c>
      <c r="Y60" s="447">
        <v>1</v>
      </c>
      <c r="Z60" s="447">
        <v>1</v>
      </c>
      <c r="AA60" s="447">
        <v>1</v>
      </c>
      <c r="AB60" s="447">
        <v>1</v>
      </c>
      <c r="AC60" s="447">
        <v>1</v>
      </c>
      <c r="AD60" s="447">
        <v>1</v>
      </c>
      <c r="AE60" s="447">
        <v>1</v>
      </c>
      <c r="AF60" s="447">
        <v>1</v>
      </c>
      <c r="AG60" s="447">
        <v>1</v>
      </c>
      <c r="AH60" s="447">
        <v>1</v>
      </c>
      <c r="AI60" s="447">
        <v>1</v>
      </c>
      <c r="AJ60" s="420"/>
      <c r="AK60" s="1113"/>
      <c r="AL60" s="1113"/>
    </row>
    <row r="61" spans="1:38" ht="12">
      <c r="A61" s="419" t="s">
        <v>1061</v>
      </c>
      <c r="B61" s="431" t="s">
        <v>848</v>
      </c>
      <c r="C61" s="1551">
        <f>Scenarios!E300</f>
        <v>8</v>
      </c>
      <c r="D61" s="790"/>
      <c r="E61" s="791"/>
      <c r="F61" s="447">
        <v>1</v>
      </c>
      <c r="G61" s="447">
        <v>1</v>
      </c>
      <c r="H61" s="447">
        <v>1</v>
      </c>
      <c r="I61" s="447">
        <v>1</v>
      </c>
      <c r="J61" s="447">
        <v>1</v>
      </c>
      <c r="K61" s="447">
        <v>1</v>
      </c>
      <c r="L61" s="447">
        <v>1</v>
      </c>
      <c r="M61" s="447">
        <v>1</v>
      </c>
      <c r="N61" s="447">
        <v>1</v>
      </c>
      <c r="O61" s="447">
        <v>1</v>
      </c>
      <c r="P61" s="447">
        <v>1</v>
      </c>
      <c r="Q61" s="447">
        <v>1</v>
      </c>
      <c r="R61" s="447">
        <v>1</v>
      </c>
      <c r="S61" s="447">
        <v>1</v>
      </c>
      <c r="T61" s="447">
        <v>1</v>
      </c>
      <c r="U61" s="447">
        <v>1</v>
      </c>
      <c r="V61" s="447">
        <v>1</v>
      </c>
      <c r="W61" s="447">
        <v>1</v>
      </c>
      <c r="X61" s="447">
        <v>1</v>
      </c>
      <c r="Y61" s="447">
        <v>1</v>
      </c>
      <c r="Z61" s="447">
        <v>1</v>
      </c>
      <c r="AA61" s="447">
        <v>1</v>
      </c>
      <c r="AB61" s="447">
        <v>1</v>
      </c>
      <c r="AC61" s="447">
        <v>1</v>
      </c>
      <c r="AD61" s="447">
        <v>1</v>
      </c>
      <c r="AE61" s="447">
        <v>1</v>
      </c>
      <c r="AF61" s="447">
        <v>1</v>
      </c>
      <c r="AG61" s="447">
        <v>1</v>
      </c>
      <c r="AH61" s="447">
        <v>1</v>
      </c>
      <c r="AI61" s="447">
        <v>1</v>
      </c>
      <c r="AJ61" s="420"/>
      <c r="AK61" s="1113"/>
      <c r="AL61" s="1113"/>
    </row>
    <row r="62" spans="1:38" ht="12">
      <c r="A62" s="419" t="s">
        <v>1062</v>
      </c>
      <c r="B62" s="1462" t="s">
        <v>849</v>
      </c>
      <c r="C62" s="1551">
        <f>Scenarios!E301</f>
        <v>0</v>
      </c>
      <c r="D62" s="790"/>
      <c r="E62" s="791"/>
      <c r="F62" s="447">
        <v>0</v>
      </c>
      <c r="G62" s="447">
        <v>0</v>
      </c>
      <c r="H62" s="447">
        <v>0</v>
      </c>
      <c r="I62" s="447">
        <v>0</v>
      </c>
      <c r="J62" s="447">
        <v>0</v>
      </c>
      <c r="K62" s="447">
        <v>0</v>
      </c>
      <c r="L62" s="447">
        <v>0</v>
      </c>
      <c r="M62" s="447">
        <v>0</v>
      </c>
      <c r="N62" s="447">
        <v>0</v>
      </c>
      <c r="O62" s="447">
        <v>0</v>
      </c>
      <c r="P62" s="447">
        <v>0</v>
      </c>
      <c r="Q62" s="447">
        <v>0</v>
      </c>
      <c r="R62" s="447">
        <v>0</v>
      </c>
      <c r="S62" s="447">
        <v>0</v>
      </c>
      <c r="T62" s="447">
        <v>0</v>
      </c>
      <c r="U62" s="447">
        <v>0</v>
      </c>
      <c r="V62" s="447">
        <v>0</v>
      </c>
      <c r="W62" s="447">
        <v>0</v>
      </c>
      <c r="X62" s="447">
        <v>0</v>
      </c>
      <c r="Y62" s="447">
        <v>0</v>
      </c>
      <c r="Z62" s="447">
        <v>0</v>
      </c>
      <c r="AA62" s="447">
        <v>0</v>
      </c>
      <c r="AB62" s="447">
        <v>0</v>
      </c>
      <c r="AC62" s="447">
        <v>0</v>
      </c>
      <c r="AD62" s="447">
        <v>0</v>
      </c>
      <c r="AE62" s="447">
        <v>0</v>
      </c>
      <c r="AF62" s="447">
        <v>0</v>
      </c>
      <c r="AG62" s="447">
        <v>0</v>
      </c>
      <c r="AH62" s="447">
        <v>0</v>
      </c>
      <c r="AI62" s="447">
        <v>0</v>
      </c>
      <c r="AJ62" s="420"/>
      <c r="AK62" s="1113"/>
      <c r="AL62" s="1113"/>
    </row>
    <row r="63" spans="1:38" ht="12">
      <c r="A63" s="419" t="s">
        <v>1063</v>
      </c>
      <c r="B63" s="1462" t="s">
        <v>850</v>
      </c>
      <c r="C63" s="1551">
        <f>Scenarios!E302</f>
        <v>0</v>
      </c>
      <c r="D63" s="790"/>
      <c r="E63" s="791"/>
      <c r="F63" s="447">
        <v>0</v>
      </c>
      <c r="G63" s="447">
        <v>0</v>
      </c>
      <c r="H63" s="447">
        <v>0</v>
      </c>
      <c r="I63" s="447">
        <v>0</v>
      </c>
      <c r="J63" s="447">
        <v>0</v>
      </c>
      <c r="K63" s="447">
        <v>0</v>
      </c>
      <c r="L63" s="447">
        <v>0</v>
      </c>
      <c r="M63" s="447">
        <v>0</v>
      </c>
      <c r="N63" s="447">
        <v>0</v>
      </c>
      <c r="O63" s="447">
        <v>0</v>
      </c>
      <c r="P63" s="447">
        <v>0</v>
      </c>
      <c r="Q63" s="447">
        <v>0</v>
      </c>
      <c r="R63" s="447">
        <v>0</v>
      </c>
      <c r="S63" s="447">
        <v>0</v>
      </c>
      <c r="T63" s="447">
        <v>0</v>
      </c>
      <c r="U63" s="447">
        <v>0</v>
      </c>
      <c r="V63" s="447">
        <v>0</v>
      </c>
      <c r="W63" s="447">
        <v>0</v>
      </c>
      <c r="X63" s="447">
        <v>0</v>
      </c>
      <c r="Y63" s="447">
        <v>0</v>
      </c>
      <c r="Z63" s="447">
        <v>0</v>
      </c>
      <c r="AA63" s="447">
        <v>0</v>
      </c>
      <c r="AB63" s="447">
        <v>0</v>
      </c>
      <c r="AC63" s="447">
        <v>0</v>
      </c>
      <c r="AD63" s="447">
        <v>0</v>
      </c>
      <c r="AE63" s="447">
        <v>0</v>
      </c>
      <c r="AF63" s="447">
        <v>0</v>
      </c>
      <c r="AG63" s="447">
        <v>0</v>
      </c>
      <c r="AH63" s="447">
        <v>0</v>
      </c>
      <c r="AI63" s="447">
        <v>0</v>
      </c>
      <c r="AJ63" s="420"/>
      <c r="AK63" s="1113"/>
      <c r="AL63" s="1113"/>
    </row>
    <row r="64" spans="1:38">
      <c r="A64" s="419" t="s">
        <v>1064</v>
      </c>
      <c r="B64" s="433" t="s">
        <v>608</v>
      </c>
      <c r="C64" s="1551">
        <f>Scenarios!E303</f>
        <v>0</v>
      </c>
      <c r="D64" s="790"/>
      <c r="E64" s="791"/>
      <c r="F64" s="447">
        <v>0</v>
      </c>
      <c r="G64" s="447">
        <v>0</v>
      </c>
      <c r="H64" s="447">
        <v>0</v>
      </c>
      <c r="I64" s="447">
        <v>0</v>
      </c>
      <c r="J64" s="447">
        <v>0</v>
      </c>
      <c r="K64" s="447">
        <v>0</v>
      </c>
      <c r="L64" s="447">
        <v>0</v>
      </c>
      <c r="M64" s="447">
        <v>0</v>
      </c>
      <c r="N64" s="447">
        <v>0</v>
      </c>
      <c r="O64" s="447">
        <v>0</v>
      </c>
      <c r="P64" s="447">
        <v>0</v>
      </c>
      <c r="Q64" s="447">
        <v>0</v>
      </c>
      <c r="R64" s="447">
        <v>0</v>
      </c>
      <c r="S64" s="447">
        <v>0</v>
      </c>
      <c r="T64" s="447">
        <v>0</v>
      </c>
      <c r="U64" s="447">
        <v>0</v>
      </c>
      <c r="V64" s="447">
        <v>0</v>
      </c>
      <c r="W64" s="447">
        <v>0</v>
      </c>
      <c r="X64" s="447">
        <v>0</v>
      </c>
      <c r="Y64" s="447">
        <v>0</v>
      </c>
      <c r="Z64" s="447">
        <v>0</v>
      </c>
      <c r="AA64" s="447">
        <v>0</v>
      </c>
      <c r="AB64" s="447">
        <v>0</v>
      </c>
      <c r="AC64" s="447">
        <v>0</v>
      </c>
      <c r="AD64" s="447">
        <v>0</v>
      </c>
      <c r="AE64" s="447">
        <v>0</v>
      </c>
      <c r="AF64" s="447">
        <v>0</v>
      </c>
      <c r="AG64" s="447">
        <v>0</v>
      </c>
      <c r="AH64" s="447">
        <v>0</v>
      </c>
      <c r="AI64" s="447">
        <v>0</v>
      </c>
      <c r="AJ64" s="420"/>
      <c r="AK64" s="432"/>
      <c r="AL64" s="432"/>
    </row>
    <row r="65" spans="1:38">
      <c r="A65" s="419" t="s">
        <v>1065</v>
      </c>
      <c r="B65" s="427" t="s">
        <v>851</v>
      </c>
      <c r="C65" s="1464">
        <f>SUM(C66:C69)</f>
        <v>20</v>
      </c>
      <c r="D65" s="849">
        <f>$C$102</f>
        <v>0.02</v>
      </c>
      <c r="E65" s="97">
        <v>0</v>
      </c>
      <c r="F65" s="428">
        <f t="shared" ref="F65:AI65" si="11">SUMPRODUCT($C$66:$C$69,F66:F69)*(1+$D65)^(F2-1)</f>
        <v>20</v>
      </c>
      <c r="G65" s="429">
        <f t="shared" si="11"/>
        <v>20.399999999999999</v>
      </c>
      <c r="H65" s="429">
        <f t="shared" si="11"/>
        <v>20.808</v>
      </c>
      <c r="I65" s="429">
        <f t="shared" si="11"/>
        <v>21.224159999999998</v>
      </c>
      <c r="J65" s="429">
        <f t="shared" si="11"/>
        <v>21.648643199999999</v>
      </c>
      <c r="K65" s="429">
        <f t="shared" si="11"/>
        <v>22.081616064000002</v>
      </c>
      <c r="L65" s="429">
        <f t="shared" si="11"/>
        <v>22.523248385280002</v>
      </c>
      <c r="M65" s="429">
        <f t="shared" si="11"/>
        <v>22.973713352985598</v>
      </c>
      <c r="N65" s="429">
        <f t="shared" si="11"/>
        <v>23.43318762004531</v>
      </c>
      <c r="O65" s="429">
        <f t="shared" si="11"/>
        <v>23.901851372446217</v>
      </c>
      <c r="P65" s="429">
        <f t="shared" si="11"/>
        <v>24.379888399895144</v>
      </c>
      <c r="Q65" s="429">
        <f t="shared" si="11"/>
        <v>24.867486167893041</v>
      </c>
      <c r="R65" s="429">
        <f t="shared" si="11"/>
        <v>25.364835891250905</v>
      </c>
      <c r="S65" s="429">
        <f t="shared" si="11"/>
        <v>25.872132609075923</v>
      </c>
      <c r="T65" s="429">
        <f t="shared" si="11"/>
        <v>0</v>
      </c>
      <c r="U65" s="429">
        <f t="shared" si="11"/>
        <v>0</v>
      </c>
      <c r="V65" s="429">
        <f t="shared" si="11"/>
        <v>0</v>
      </c>
      <c r="W65" s="429">
        <f t="shared" si="11"/>
        <v>0</v>
      </c>
      <c r="X65" s="429">
        <f t="shared" si="11"/>
        <v>0</v>
      </c>
      <c r="Y65" s="429">
        <f t="shared" si="11"/>
        <v>0</v>
      </c>
      <c r="Z65" s="429">
        <f t="shared" si="11"/>
        <v>0</v>
      </c>
      <c r="AA65" s="429">
        <f t="shared" si="11"/>
        <v>0</v>
      </c>
      <c r="AB65" s="429">
        <f t="shared" si="11"/>
        <v>0</v>
      </c>
      <c r="AC65" s="429">
        <f t="shared" si="11"/>
        <v>0</v>
      </c>
      <c r="AD65" s="429">
        <f t="shared" si="11"/>
        <v>0</v>
      </c>
      <c r="AE65" s="429">
        <f t="shared" si="11"/>
        <v>0</v>
      </c>
      <c r="AF65" s="429">
        <f t="shared" si="11"/>
        <v>0</v>
      </c>
      <c r="AG65" s="429">
        <f t="shared" si="11"/>
        <v>0</v>
      </c>
      <c r="AH65" s="429">
        <f t="shared" si="11"/>
        <v>0</v>
      </c>
      <c r="AI65" s="430">
        <f t="shared" si="11"/>
        <v>0</v>
      </c>
      <c r="AJ65" s="27"/>
      <c r="AK65" s="27"/>
      <c r="AL65" s="432"/>
    </row>
    <row r="66" spans="1:38" ht="12">
      <c r="A66" s="419" t="s">
        <v>1066</v>
      </c>
      <c r="B66" s="1462" t="s">
        <v>852</v>
      </c>
      <c r="C66" s="1581">
        <f>Scenarios!E305</f>
        <v>0</v>
      </c>
      <c r="D66" s="788"/>
      <c r="E66" s="789"/>
      <c r="F66" s="447">
        <v>0</v>
      </c>
      <c r="G66" s="447">
        <v>0</v>
      </c>
      <c r="H66" s="447">
        <v>0</v>
      </c>
      <c r="I66" s="447">
        <v>0</v>
      </c>
      <c r="J66" s="447">
        <v>0</v>
      </c>
      <c r="K66" s="447">
        <v>0</v>
      </c>
      <c r="L66" s="447">
        <v>0</v>
      </c>
      <c r="M66" s="447">
        <v>0</v>
      </c>
      <c r="N66" s="447">
        <v>0</v>
      </c>
      <c r="O66" s="447">
        <v>0</v>
      </c>
      <c r="P66" s="447">
        <v>0</v>
      </c>
      <c r="Q66" s="447">
        <v>0</v>
      </c>
      <c r="R66" s="447">
        <v>0</v>
      </c>
      <c r="S66" s="447">
        <v>0</v>
      </c>
      <c r="T66" s="447">
        <v>0</v>
      </c>
      <c r="U66" s="447">
        <v>0</v>
      </c>
      <c r="V66" s="447">
        <v>0</v>
      </c>
      <c r="W66" s="447">
        <v>0</v>
      </c>
      <c r="X66" s="447">
        <v>0</v>
      </c>
      <c r="Y66" s="447">
        <v>0</v>
      </c>
      <c r="Z66" s="447">
        <v>0</v>
      </c>
      <c r="AA66" s="447">
        <v>0</v>
      </c>
      <c r="AB66" s="447">
        <v>0</v>
      </c>
      <c r="AC66" s="447">
        <v>0</v>
      </c>
      <c r="AD66" s="447">
        <v>0</v>
      </c>
      <c r="AE66" s="447">
        <v>0</v>
      </c>
      <c r="AF66" s="447">
        <v>0</v>
      </c>
      <c r="AG66" s="447">
        <v>0</v>
      </c>
      <c r="AH66" s="447">
        <v>0</v>
      </c>
      <c r="AI66" s="447">
        <v>0</v>
      </c>
      <c r="AJ66" s="420"/>
      <c r="AK66" s="1116"/>
      <c r="AL66" s="1113"/>
    </row>
    <row r="67" spans="1:38" ht="12">
      <c r="A67" s="419" t="s">
        <v>1067</v>
      </c>
      <c r="B67" s="431" t="s">
        <v>853</v>
      </c>
      <c r="C67" s="1581">
        <f>Scenarios!E306</f>
        <v>0</v>
      </c>
      <c r="D67" s="790"/>
      <c r="E67" s="791"/>
      <c r="F67" s="447">
        <v>0</v>
      </c>
      <c r="G67" s="447">
        <v>0</v>
      </c>
      <c r="H67" s="447">
        <v>0</v>
      </c>
      <c r="I67" s="447">
        <v>0</v>
      </c>
      <c r="J67" s="447">
        <v>0</v>
      </c>
      <c r="K67" s="447">
        <v>0</v>
      </c>
      <c r="L67" s="447">
        <v>0</v>
      </c>
      <c r="M67" s="447">
        <v>0</v>
      </c>
      <c r="N67" s="447">
        <v>0</v>
      </c>
      <c r="O67" s="447">
        <v>0</v>
      </c>
      <c r="P67" s="447">
        <v>0</v>
      </c>
      <c r="Q67" s="447">
        <v>0</v>
      </c>
      <c r="R67" s="447">
        <v>0</v>
      </c>
      <c r="S67" s="447">
        <v>0</v>
      </c>
      <c r="T67" s="447">
        <v>0</v>
      </c>
      <c r="U67" s="447">
        <v>0</v>
      </c>
      <c r="V67" s="447">
        <v>0</v>
      </c>
      <c r="W67" s="447">
        <v>0</v>
      </c>
      <c r="X67" s="447">
        <v>0</v>
      </c>
      <c r="Y67" s="447">
        <v>0</v>
      </c>
      <c r="Z67" s="447">
        <v>0</v>
      </c>
      <c r="AA67" s="447">
        <v>0</v>
      </c>
      <c r="AB67" s="447">
        <v>0</v>
      </c>
      <c r="AC67" s="447">
        <v>0</v>
      </c>
      <c r="AD67" s="447">
        <v>0</v>
      </c>
      <c r="AE67" s="447">
        <v>0</v>
      </c>
      <c r="AF67" s="447">
        <v>0</v>
      </c>
      <c r="AG67" s="447">
        <v>0</v>
      </c>
      <c r="AH67" s="447">
        <v>0</v>
      </c>
      <c r="AI67" s="447">
        <v>0</v>
      </c>
      <c r="AJ67" s="420"/>
      <c r="AK67" s="1116"/>
      <c r="AL67" s="1113"/>
    </row>
    <row r="68" spans="1:38" ht="12">
      <c r="A68" s="419" t="s">
        <v>1068</v>
      </c>
      <c r="B68" s="431" t="s">
        <v>851</v>
      </c>
      <c r="C68" s="1581">
        <f>Scenarios!E307</f>
        <v>20</v>
      </c>
      <c r="D68" s="790"/>
      <c r="E68" s="791"/>
      <c r="F68" s="447">
        <f>IF(F2&lt;=Inputs!$D$196,1,0)</f>
        <v>1</v>
      </c>
      <c r="G68" s="447">
        <f>IF(G2&lt;=Inputs!$D$196,1,0)</f>
        <v>1</v>
      </c>
      <c r="H68" s="447">
        <f>IF(H2&lt;=Inputs!$D$196,1,0)</f>
        <v>1</v>
      </c>
      <c r="I68" s="447">
        <f>IF(I2&lt;=Inputs!$D$196,1,0)</f>
        <v>1</v>
      </c>
      <c r="J68" s="447">
        <f>IF(J2&lt;=Inputs!$D$196,1,0)</f>
        <v>1</v>
      </c>
      <c r="K68" s="447">
        <f>IF(K2&lt;=Inputs!$D$196,1,0)</f>
        <v>1</v>
      </c>
      <c r="L68" s="447">
        <f>IF(L2&lt;=Inputs!$D$196,1,0)</f>
        <v>1</v>
      </c>
      <c r="M68" s="447">
        <f>IF(M2&lt;=Inputs!$D$196,1,0)</f>
        <v>1</v>
      </c>
      <c r="N68" s="447">
        <f>IF(N2&lt;=Inputs!$D$196,1,0)</f>
        <v>1</v>
      </c>
      <c r="O68" s="447">
        <f>IF(O2&lt;=Inputs!$D$196,1,0)</f>
        <v>1</v>
      </c>
      <c r="P68" s="447">
        <f>IF(P2&lt;=Inputs!$D$196,1,0)</f>
        <v>1</v>
      </c>
      <c r="Q68" s="447">
        <f>IF(Q2&lt;=Inputs!$D$196,1,0)</f>
        <v>1</v>
      </c>
      <c r="R68" s="447">
        <f>IF(R2&lt;=Inputs!$D$196,1,0)</f>
        <v>1</v>
      </c>
      <c r="S68" s="447">
        <f>IF(S2&lt;=Inputs!$D$196,1,0)</f>
        <v>1</v>
      </c>
      <c r="T68" s="447">
        <f>IF(T2&lt;=Inputs!$D$196,1,0)</f>
        <v>0</v>
      </c>
      <c r="U68" s="447">
        <f>IF(U2&lt;=Inputs!$D$196,1,0)</f>
        <v>0</v>
      </c>
      <c r="V68" s="447">
        <f>IF(V2&lt;=Inputs!$D$196,1,0)</f>
        <v>0</v>
      </c>
      <c r="W68" s="447">
        <f>IF(W2&lt;=Inputs!$D$196,1,0)</f>
        <v>0</v>
      </c>
      <c r="X68" s="447">
        <f>IF(X2&lt;=Inputs!$D$196,1,0)</f>
        <v>0</v>
      </c>
      <c r="Y68" s="447">
        <f>IF(Y2&lt;=Inputs!$D$196,1,0)</f>
        <v>0</v>
      </c>
      <c r="Z68" s="447">
        <f>IF(Z2&lt;=Inputs!$D$196,1,0)</f>
        <v>0</v>
      </c>
      <c r="AA68" s="447">
        <f>IF(AA2&lt;=Inputs!$D$196,1,0)</f>
        <v>0</v>
      </c>
      <c r="AB68" s="447">
        <f>IF(AB2&lt;=Inputs!$D$196,1,0)</f>
        <v>0</v>
      </c>
      <c r="AC68" s="447">
        <f>IF(AC2&lt;=Inputs!$D$196,1,0)</f>
        <v>0</v>
      </c>
      <c r="AD68" s="447">
        <f>IF(AD2&lt;=Inputs!$D$196,1,0)</f>
        <v>0</v>
      </c>
      <c r="AE68" s="447">
        <f>IF(AE2&lt;=Inputs!$D$196,1,0)</f>
        <v>0</v>
      </c>
      <c r="AF68" s="447">
        <f>IF(AF2&lt;=Inputs!$D$196,1,0)</f>
        <v>0</v>
      </c>
      <c r="AG68" s="447">
        <f>IF(AG2&lt;=Inputs!$D$196,1,0)</f>
        <v>0</v>
      </c>
      <c r="AH68" s="447">
        <f>IF(AH2&lt;=Inputs!$D$196,1,0)</f>
        <v>0</v>
      </c>
      <c r="AI68" s="447">
        <f>IF(AI2&lt;=Inputs!$D$196,1,0)</f>
        <v>0</v>
      </c>
      <c r="AJ68" s="420"/>
      <c r="AK68" s="1116"/>
      <c r="AL68" s="1113"/>
    </row>
    <row r="69" spans="1:38" ht="12">
      <c r="A69" s="419" t="s">
        <v>1069</v>
      </c>
      <c r="B69" s="433" t="s">
        <v>608</v>
      </c>
      <c r="C69" s="1581">
        <f>Scenarios!E308</f>
        <v>0</v>
      </c>
      <c r="D69" s="790"/>
      <c r="E69" s="791"/>
      <c r="F69" s="447">
        <v>0</v>
      </c>
      <c r="G69" s="447">
        <v>0</v>
      </c>
      <c r="H69" s="447">
        <v>0</v>
      </c>
      <c r="I69" s="447">
        <v>0</v>
      </c>
      <c r="J69" s="447">
        <v>0</v>
      </c>
      <c r="K69" s="447">
        <v>0</v>
      </c>
      <c r="L69" s="447">
        <v>0</v>
      </c>
      <c r="M69" s="447">
        <v>0</v>
      </c>
      <c r="N69" s="447">
        <v>0</v>
      </c>
      <c r="O69" s="447">
        <v>0</v>
      </c>
      <c r="P69" s="447">
        <v>0</v>
      </c>
      <c r="Q69" s="447">
        <v>0</v>
      </c>
      <c r="R69" s="447">
        <v>0</v>
      </c>
      <c r="S69" s="447">
        <v>0</v>
      </c>
      <c r="T69" s="447">
        <v>0</v>
      </c>
      <c r="U69" s="447">
        <v>0</v>
      </c>
      <c r="V69" s="447">
        <v>0</v>
      </c>
      <c r="W69" s="447">
        <v>0</v>
      </c>
      <c r="X69" s="447">
        <v>0</v>
      </c>
      <c r="Y69" s="447">
        <v>0</v>
      </c>
      <c r="Z69" s="447">
        <v>0</v>
      </c>
      <c r="AA69" s="447">
        <v>0</v>
      </c>
      <c r="AB69" s="447">
        <v>0</v>
      </c>
      <c r="AC69" s="447">
        <v>0</v>
      </c>
      <c r="AD69" s="447">
        <v>0</v>
      </c>
      <c r="AE69" s="447">
        <v>0</v>
      </c>
      <c r="AF69" s="447">
        <v>0</v>
      </c>
      <c r="AG69" s="447">
        <v>0</v>
      </c>
      <c r="AH69" s="447">
        <v>0</v>
      </c>
      <c r="AI69" s="447">
        <v>0</v>
      </c>
      <c r="AJ69" s="420"/>
      <c r="AK69" s="1116"/>
      <c r="AL69" s="1113"/>
    </row>
    <row r="70" spans="1:38">
      <c r="A70" s="419" t="s">
        <v>1070</v>
      </c>
      <c r="B70" s="427" t="s">
        <v>854</v>
      </c>
      <c r="C70" s="1464">
        <f>SUM(C71:C75)</f>
        <v>32</v>
      </c>
      <c r="D70" s="849">
        <f>$C$102</f>
        <v>0.02</v>
      </c>
      <c r="E70" s="97">
        <v>0</v>
      </c>
      <c r="F70" s="428">
        <f t="shared" ref="F70:AI70" si="12">SUMPRODUCT($C$71:$C$75,F71:F75)*(1+$D70)^(F2-1)</f>
        <v>32</v>
      </c>
      <c r="G70" s="429">
        <f t="shared" si="12"/>
        <v>32.64</v>
      </c>
      <c r="H70" s="429">
        <f t="shared" si="12"/>
        <v>12.4848</v>
      </c>
      <c r="I70" s="429">
        <f t="shared" si="12"/>
        <v>12.734496</v>
      </c>
      <c r="J70" s="429">
        <f t="shared" si="12"/>
        <v>12.989185920000001</v>
      </c>
      <c r="K70" s="429">
        <f t="shared" si="12"/>
        <v>13.2489696384</v>
      </c>
      <c r="L70" s="429">
        <f t="shared" si="12"/>
        <v>13.513949031168</v>
      </c>
      <c r="M70" s="429">
        <f t="shared" si="12"/>
        <v>13.784228011791358</v>
      </c>
      <c r="N70" s="429">
        <f t="shared" si="12"/>
        <v>14.059912572027187</v>
      </c>
      <c r="O70" s="429">
        <f t="shared" si="12"/>
        <v>14.34111082346773</v>
      </c>
      <c r="P70" s="429">
        <f t="shared" si="12"/>
        <v>14.627933039937085</v>
      </c>
      <c r="Q70" s="429">
        <f t="shared" si="12"/>
        <v>14.920491700735823</v>
      </c>
      <c r="R70" s="429">
        <f t="shared" si="12"/>
        <v>15.218901534750543</v>
      </c>
      <c r="S70" s="429">
        <f t="shared" si="12"/>
        <v>15.523279565445552</v>
      </c>
      <c r="T70" s="429">
        <f t="shared" si="12"/>
        <v>15.833745156754466</v>
      </c>
      <c r="U70" s="429">
        <f t="shared" si="12"/>
        <v>16.150420059889552</v>
      </c>
      <c r="V70" s="429">
        <f t="shared" si="12"/>
        <v>16.473428461087344</v>
      </c>
      <c r="W70" s="429">
        <f t="shared" si="12"/>
        <v>16.802897030309094</v>
      </c>
      <c r="X70" s="429">
        <f t="shared" si="12"/>
        <v>17.138954970915272</v>
      </c>
      <c r="Y70" s="429">
        <f t="shared" si="12"/>
        <v>17.481734070333577</v>
      </c>
      <c r="Z70" s="429">
        <f t="shared" si="12"/>
        <v>17.83136875174025</v>
      </c>
      <c r="AA70" s="429">
        <f t="shared" si="12"/>
        <v>18.187996126775055</v>
      </c>
      <c r="AB70" s="429">
        <f t="shared" si="12"/>
        <v>18.551756049310555</v>
      </c>
      <c r="AC70" s="429">
        <f t="shared" si="12"/>
        <v>18.922791170296765</v>
      </c>
      <c r="AD70" s="429">
        <f t="shared" si="12"/>
        <v>19.301246993702701</v>
      </c>
      <c r="AE70" s="429">
        <f t="shared" si="12"/>
        <v>19.687271933576753</v>
      </c>
      <c r="AF70" s="429">
        <f t="shared" si="12"/>
        <v>20.08101737224829</v>
      </c>
      <c r="AG70" s="429">
        <f t="shared" si="12"/>
        <v>20.482637719693255</v>
      </c>
      <c r="AH70" s="429">
        <f t="shared" si="12"/>
        <v>20.892290474087122</v>
      </c>
      <c r="AI70" s="430">
        <f t="shared" si="12"/>
        <v>21.310136283568863</v>
      </c>
      <c r="AJ70" s="27"/>
      <c r="AK70" s="1010"/>
      <c r="AL70" s="432"/>
    </row>
    <row r="71" spans="1:38" ht="12">
      <c r="A71" s="419" t="s">
        <v>1071</v>
      </c>
      <c r="B71" s="431" t="s">
        <v>855</v>
      </c>
      <c r="C71" s="1551">
        <f>Scenarios!E310</f>
        <v>10</v>
      </c>
      <c r="D71" s="788"/>
      <c r="E71" s="789"/>
      <c r="F71" s="447">
        <v>1</v>
      </c>
      <c r="G71" s="447">
        <v>1</v>
      </c>
      <c r="H71" s="447">
        <v>1</v>
      </c>
      <c r="I71" s="447">
        <v>1</v>
      </c>
      <c r="J71" s="447">
        <v>1</v>
      </c>
      <c r="K71" s="447">
        <v>1</v>
      </c>
      <c r="L71" s="447">
        <v>1</v>
      </c>
      <c r="M71" s="447">
        <v>1</v>
      </c>
      <c r="N71" s="447">
        <v>1</v>
      </c>
      <c r="O71" s="447">
        <v>1</v>
      </c>
      <c r="P71" s="447">
        <v>1</v>
      </c>
      <c r="Q71" s="447">
        <v>1</v>
      </c>
      <c r="R71" s="447">
        <v>1</v>
      </c>
      <c r="S71" s="447">
        <v>1</v>
      </c>
      <c r="T71" s="447">
        <v>1</v>
      </c>
      <c r="U71" s="447">
        <v>1</v>
      </c>
      <c r="V71" s="447">
        <v>1</v>
      </c>
      <c r="W71" s="447">
        <v>1</v>
      </c>
      <c r="X71" s="447">
        <v>1</v>
      </c>
      <c r="Y71" s="447">
        <v>1</v>
      </c>
      <c r="Z71" s="447">
        <v>1</v>
      </c>
      <c r="AA71" s="447">
        <v>1</v>
      </c>
      <c r="AB71" s="447">
        <v>1</v>
      </c>
      <c r="AC71" s="447">
        <v>1</v>
      </c>
      <c r="AD71" s="447">
        <v>1</v>
      </c>
      <c r="AE71" s="447">
        <v>1</v>
      </c>
      <c r="AF71" s="447">
        <v>1</v>
      </c>
      <c r="AG71" s="447">
        <v>1</v>
      </c>
      <c r="AH71" s="447">
        <v>1</v>
      </c>
      <c r="AI71" s="447">
        <v>1</v>
      </c>
      <c r="AJ71" s="420"/>
      <c r="AK71" s="1113"/>
      <c r="AL71" s="1113"/>
    </row>
    <row r="72" spans="1:38" ht="12">
      <c r="A72" s="419" t="s">
        <v>1072</v>
      </c>
      <c r="B72" s="431" t="s">
        <v>856</v>
      </c>
      <c r="C72" s="1551">
        <f>Scenarios!E311</f>
        <v>0</v>
      </c>
      <c r="D72" s="790"/>
      <c r="E72" s="791"/>
      <c r="F72" s="447">
        <v>0</v>
      </c>
      <c r="G72" s="447">
        <v>0</v>
      </c>
      <c r="H72" s="447">
        <v>0</v>
      </c>
      <c r="I72" s="447">
        <v>0</v>
      </c>
      <c r="J72" s="447">
        <v>0</v>
      </c>
      <c r="K72" s="447">
        <v>0</v>
      </c>
      <c r="L72" s="447">
        <v>0</v>
      </c>
      <c r="M72" s="447">
        <v>0</v>
      </c>
      <c r="N72" s="447">
        <v>0</v>
      </c>
      <c r="O72" s="447">
        <v>0</v>
      </c>
      <c r="P72" s="447">
        <v>0</v>
      </c>
      <c r="Q72" s="447">
        <v>0</v>
      </c>
      <c r="R72" s="447">
        <v>0</v>
      </c>
      <c r="S72" s="447">
        <v>0</v>
      </c>
      <c r="T72" s="447">
        <v>0</v>
      </c>
      <c r="U72" s="447">
        <v>0</v>
      </c>
      <c r="V72" s="447">
        <v>0</v>
      </c>
      <c r="W72" s="447">
        <v>0</v>
      </c>
      <c r="X72" s="447">
        <v>0</v>
      </c>
      <c r="Y72" s="447">
        <v>0</v>
      </c>
      <c r="Z72" s="447">
        <v>0</v>
      </c>
      <c r="AA72" s="447">
        <v>0</v>
      </c>
      <c r="AB72" s="447">
        <v>0</v>
      </c>
      <c r="AC72" s="447">
        <v>0</v>
      </c>
      <c r="AD72" s="447">
        <v>0</v>
      </c>
      <c r="AE72" s="447">
        <v>0</v>
      </c>
      <c r="AF72" s="447">
        <v>0</v>
      </c>
      <c r="AG72" s="447">
        <v>0</v>
      </c>
      <c r="AH72" s="447">
        <v>0</v>
      </c>
      <c r="AI72" s="447">
        <v>0</v>
      </c>
      <c r="AJ72" s="420"/>
      <c r="AK72" s="1113"/>
      <c r="AL72" s="1113"/>
    </row>
    <row r="73" spans="1:38" ht="12">
      <c r="A73" s="419" t="s">
        <v>1073</v>
      </c>
      <c r="B73" s="431" t="s">
        <v>857</v>
      </c>
      <c r="C73" s="1551">
        <f>Scenarios!E312</f>
        <v>10</v>
      </c>
      <c r="D73" s="790"/>
      <c r="E73" s="791"/>
      <c r="F73" s="447">
        <v>1</v>
      </c>
      <c r="G73" s="447">
        <v>1</v>
      </c>
      <c r="H73" s="447">
        <v>0</v>
      </c>
      <c r="I73" s="447">
        <v>0</v>
      </c>
      <c r="J73" s="447">
        <v>0</v>
      </c>
      <c r="K73" s="447">
        <v>0</v>
      </c>
      <c r="L73" s="447">
        <v>0</v>
      </c>
      <c r="M73" s="447">
        <v>0</v>
      </c>
      <c r="N73" s="447">
        <v>0</v>
      </c>
      <c r="O73" s="447">
        <v>0</v>
      </c>
      <c r="P73" s="447">
        <v>0</v>
      </c>
      <c r="Q73" s="447">
        <v>0</v>
      </c>
      <c r="R73" s="447">
        <v>0</v>
      </c>
      <c r="S73" s="447">
        <v>0</v>
      </c>
      <c r="T73" s="447">
        <v>0</v>
      </c>
      <c r="U73" s="447">
        <v>0</v>
      </c>
      <c r="V73" s="447">
        <v>0</v>
      </c>
      <c r="W73" s="447">
        <v>0</v>
      </c>
      <c r="X73" s="447">
        <v>0</v>
      </c>
      <c r="Y73" s="447">
        <v>0</v>
      </c>
      <c r="Z73" s="447">
        <v>0</v>
      </c>
      <c r="AA73" s="447">
        <v>0</v>
      </c>
      <c r="AB73" s="447">
        <v>0</v>
      </c>
      <c r="AC73" s="447">
        <v>0</v>
      </c>
      <c r="AD73" s="447">
        <v>0</v>
      </c>
      <c r="AE73" s="447">
        <v>0</v>
      </c>
      <c r="AF73" s="447">
        <v>0</v>
      </c>
      <c r="AG73" s="447">
        <v>0</v>
      </c>
      <c r="AH73" s="447">
        <v>0</v>
      </c>
      <c r="AI73" s="447">
        <v>0</v>
      </c>
      <c r="AJ73" s="420"/>
      <c r="AK73" s="1113"/>
      <c r="AL73" s="1113"/>
    </row>
    <row r="74" spans="1:38" ht="12">
      <c r="A74" s="419" t="s">
        <v>1074</v>
      </c>
      <c r="B74" s="431" t="s">
        <v>858</v>
      </c>
      <c r="C74" s="1551">
        <f>Scenarios!E313</f>
        <v>10</v>
      </c>
      <c r="D74" s="790"/>
      <c r="E74" s="791"/>
      <c r="F74" s="447">
        <v>1</v>
      </c>
      <c r="G74" s="447">
        <v>1</v>
      </c>
      <c r="H74" s="447">
        <v>0</v>
      </c>
      <c r="I74" s="447">
        <v>0</v>
      </c>
      <c r="J74" s="447">
        <v>0</v>
      </c>
      <c r="K74" s="447">
        <v>0</v>
      </c>
      <c r="L74" s="447">
        <v>0</v>
      </c>
      <c r="M74" s="447">
        <v>0</v>
      </c>
      <c r="N74" s="447">
        <v>0</v>
      </c>
      <c r="O74" s="447">
        <v>0</v>
      </c>
      <c r="P74" s="447">
        <v>0</v>
      </c>
      <c r="Q74" s="447">
        <v>0</v>
      </c>
      <c r="R74" s="447">
        <v>0</v>
      </c>
      <c r="S74" s="447">
        <v>0</v>
      </c>
      <c r="T74" s="447">
        <v>0</v>
      </c>
      <c r="U74" s="447">
        <v>0</v>
      </c>
      <c r="V74" s="447">
        <v>0</v>
      </c>
      <c r="W74" s="447">
        <v>0</v>
      </c>
      <c r="X74" s="447">
        <v>0</v>
      </c>
      <c r="Y74" s="447">
        <v>0</v>
      </c>
      <c r="Z74" s="447">
        <v>0</v>
      </c>
      <c r="AA74" s="447">
        <v>0</v>
      </c>
      <c r="AB74" s="447">
        <v>0</v>
      </c>
      <c r="AC74" s="447">
        <v>0</v>
      </c>
      <c r="AD74" s="447">
        <v>0</v>
      </c>
      <c r="AE74" s="447">
        <v>0</v>
      </c>
      <c r="AF74" s="447">
        <v>0</v>
      </c>
      <c r="AG74" s="447">
        <v>0</v>
      </c>
      <c r="AH74" s="447">
        <v>0</v>
      </c>
      <c r="AI74" s="447">
        <v>0</v>
      </c>
      <c r="AJ74" s="420"/>
      <c r="AK74" s="1113"/>
      <c r="AL74" s="1113"/>
    </row>
    <row r="75" spans="1:38" ht="12">
      <c r="A75" s="419" t="s">
        <v>1075</v>
      </c>
      <c r="B75" s="431" t="s">
        <v>859</v>
      </c>
      <c r="C75" s="1551">
        <f>Scenarios!E314</f>
        <v>2</v>
      </c>
      <c r="D75" s="790"/>
      <c r="E75" s="791"/>
      <c r="F75" s="447">
        <v>1</v>
      </c>
      <c r="G75" s="447">
        <v>1</v>
      </c>
      <c r="H75" s="447">
        <v>1</v>
      </c>
      <c r="I75" s="447">
        <v>1</v>
      </c>
      <c r="J75" s="447">
        <v>1</v>
      </c>
      <c r="K75" s="447">
        <v>1</v>
      </c>
      <c r="L75" s="447">
        <v>1</v>
      </c>
      <c r="M75" s="447">
        <v>1</v>
      </c>
      <c r="N75" s="447">
        <v>1</v>
      </c>
      <c r="O75" s="447">
        <v>1</v>
      </c>
      <c r="P75" s="447">
        <v>1</v>
      </c>
      <c r="Q75" s="447">
        <v>1</v>
      </c>
      <c r="R75" s="447">
        <v>1</v>
      </c>
      <c r="S75" s="447">
        <v>1</v>
      </c>
      <c r="T75" s="447">
        <v>1</v>
      </c>
      <c r="U75" s="447">
        <v>1</v>
      </c>
      <c r="V75" s="447">
        <v>1</v>
      </c>
      <c r="W75" s="447">
        <v>1</v>
      </c>
      <c r="X75" s="447">
        <v>1</v>
      </c>
      <c r="Y75" s="447">
        <v>1</v>
      </c>
      <c r="Z75" s="447">
        <v>1</v>
      </c>
      <c r="AA75" s="447">
        <v>1</v>
      </c>
      <c r="AB75" s="447">
        <v>1</v>
      </c>
      <c r="AC75" s="447">
        <v>1</v>
      </c>
      <c r="AD75" s="447">
        <v>1</v>
      </c>
      <c r="AE75" s="447">
        <v>1</v>
      </c>
      <c r="AF75" s="447">
        <v>1</v>
      </c>
      <c r="AG75" s="447">
        <v>1</v>
      </c>
      <c r="AH75" s="447">
        <v>1</v>
      </c>
      <c r="AI75" s="447">
        <v>1</v>
      </c>
      <c r="AJ75" s="420"/>
      <c r="AK75" s="1113"/>
      <c r="AL75" s="1113"/>
    </row>
    <row r="76" spans="1:38">
      <c r="A76" s="419" t="s">
        <v>1076</v>
      </c>
      <c r="B76" s="427" t="s">
        <v>1077</v>
      </c>
      <c r="C76" s="1464">
        <f>SUM(C82,C90,C70,C65,C58,C53,C48,C45,C39,C35,C31,C26,C8,C3)*$D$76</f>
        <v>65.322527999999991</v>
      </c>
      <c r="D76" s="1443">
        <v>0.04</v>
      </c>
      <c r="E76" s="97">
        <v>0</v>
      </c>
      <c r="F76" s="428">
        <f t="shared" ref="F76:AI76" si="13">(F82+F90+F70+F65+F58+F53+F48+F45+F39+F35+F31+F26+F8+F3)*$D$76</f>
        <v>51.489632</v>
      </c>
      <c r="G76" s="429">
        <f t="shared" si="13"/>
        <v>49.837136000000008</v>
      </c>
      <c r="H76" s="429">
        <f t="shared" si="13"/>
        <v>49.515942079999995</v>
      </c>
      <c r="I76" s="429">
        <f t="shared" si="13"/>
        <v>50.353572281599995</v>
      </c>
      <c r="J76" s="429">
        <f t="shared" si="13"/>
        <v>51.207955087232001</v>
      </c>
      <c r="K76" s="429">
        <f t="shared" si="13"/>
        <v>52.079425548976644</v>
      </c>
      <c r="L76" s="429">
        <f t="shared" si="13"/>
        <v>52.96832541995618</v>
      </c>
      <c r="M76" s="429">
        <f t="shared" si="13"/>
        <v>53.875003288355295</v>
      </c>
      <c r="N76" s="429">
        <f t="shared" si="13"/>
        <v>54.799814714122405</v>
      </c>
      <c r="O76" s="429">
        <f t="shared" si="13"/>
        <v>55.743122368404848</v>
      </c>
      <c r="P76" s="429">
        <f t="shared" si="13"/>
        <v>71.621392175772939</v>
      </c>
      <c r="Q76" s="429">
        <f t="shared" si="13"/>
        <v>72.602809459288409</v>
      </c>
      <c r="R76" s="429">
        <f t="shared" si="13"/>
        <v>73.603855088474177</v>
      </c>
      <c r="S76" s="429">
        <f t="shared" si="13"/>
        <v>74.624921630243648</v>
      </c>
      <c r="T76" s="429">
        <f t="shared" si="13"/>
        <v>74.610826492398232</v>
      </c>
      <c r="U76" s="429">
        <f t="shared" si="13"/>
        <v>75.652032462246183</v>
      </c>
      <c r="V76" s="429">
        <f t="shared" si="13"/>
        <v>76.714062551491111</v>
      </c>
      <c r="W76" s="429">
        <f t="shared" si="13"/>
        <v>77.797333242520935</v>
      </c>
      <c r="X76" s="429">
        <f t="shared" si="13"/>
        <v>78.902269347371359</v>
      </c>
      <c r="Y76" s="429">
        <f t="shared" si="13"/>
        <v>80.029304174318767</v>
      </c>
      <c r="Z76" s="429">
        <f t="shared" si="13"/>
        <v>81.178879697805172</v>
      </c>
      <c r="AA76" s="429">
        <f t="shared" si="13"/>
        <v>82.351446731761257</v>
      </c>
      <c r="AB76" s="429">
        <f t="shared" si="13"/>
        <v>83.547465106396487</v>
      </c>
      <c r="AC76" s="429">
        <f t="shared" si="13"/>
        <v>84.76740384852441</v>
      </c>
      <c r="AD76" s="429">
        <f t="shared" si="13"/>
        <v>86.011741365494899</v>
      </c>
      <c r="AE76" s="429">
        <f t="shared" si="13"/>
        <v>87.280965632804808</v>
      </c>
      <c r="AF76" s="429">
        <f t="shared" si="13"/>
        <v>88.575574385460897</v>
      </c>
      <c r="AG76" s="429">
        <f t="shared" si="13"/>
        <v>89.896075313170115</v>
      </c>
      <c r="AH76" s="429">
        <f t="shared" si="13"/>
        <v>91.242986259433536</v>
      </c>
      <c r="AI76" s="430">
        <f t="shared" si="13"/>
        <v>92.616835424622181</v>
      </c>
      <c r="AJ76" s="27"/>
      <c r="AK76" s="232"/>
    </row>
    <row r="77" spans="1:38">
      <c r="A77" s="420"/>
      <c r="B77" s="420"/>
      <c r="C77" s="420"/>
      <c r="D77" s="420"/>
      <c r="E77" s="420"/>
      <c r="F77" s="420"/>
      <c r="G77" s="420"/>
      <c r="H77" s="420"/>
      <c r="I77" s="420"/>
      <c r="J77" s="420"/>
      <c r="K77" s="420"/>
      <c r="L77" s="420"/>
      <c r="M77" s="420"/>
      <c r="N77" s="420"/>
      <c r="O77" s="420"/>
      <c r="P77" s="420"/>
      <c r="Q77" s="420"/>
      <c r="R77" s="420"/>
      <c r="S77" s="420"/>
      <c r="T77" s="420"/>
      <c r="U77" s="420"/>
      <c r="V77" s="420"/>
      <c r="W77" s="420"/>
      <c r="X77" s="420"/>
      <c r="Y77" s="420"/>
      <c r="Z77" s="420"/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  <c r="AL77" s="438"/>
    </row>
    <row r="78" spans="1:38">
      <c r="A78" s="419" t="s">
        <v>1078</v>
      </c>
      <c r="B78" s="427" t="s">
        <v>1079</v>
      </c>
      <c r="C78" s="23"/>
      <c r="D78" s="875">
        <v>0</v>
      </c>
      <c r="E78" s="97">
        <v>0</v>
      </c>
      <c r="F78" s="428">
        <v>0</v>
      </c>
      <c r="G78" s="429">
        <v>0</v>
      </c>
      <c r="H78" s="429">
        <v>0</v>
      </c>
      <c r="I78" s="429">
        <v>0</v>
      </c>
      <c r="J78" s="429">
        <v>0</v>
      </c>
      <c r="K78" s="429">
        <v>0</v>
      </c>
      <c r="L78" s="429">
        <v>0</v>
      </c>
      <c r="M78" s="429">
        <v>0</v>
      </c>
      <c r="N78" s="429">
        <v>0</v>
      </c>
      <c r="O78" s="429">
        <v>0</v>
      </c>
      <c r="P78" s="429">
        <v>0</v>
      </c>
      <c r="Q78" s="429">
        <v>0</v>
      </c>
      <c r="R78" s="429">
        <v>0</v>
      </c>
      <c r="S78" s="429">
        <v>0</v>
      </c>
      <c r="T78" s="429">
        <v>0</v>
      </c>
      <c r="U78" s="429">
        <v>0</v>
      </c>
      <c r="V78" s="429">
        <v>0</v>
      </c>
      <c r="W78" s="429">
        <v>0</v>
      </c>
      <c r="X78" s="429">
        <v>0</v>
      </c>
      <c r="Y78" s="429">
        <v>0</v>
      </c>
      <c r="Z78" s="429">
        <v>0</v>
      </c>
      <c r="AA78" s="429">
        <v>0</v>
      </c>
      <c r="AB78" s="429">
        <v>0</v>
      </c>
      <c r="AC78" s="429">
        <v>0</v>
      </c>
      <c r="AD78" s="429">
        <v>0</v>
      </c>
      <c r="AE78" s="429">
        <v>0</v>
      </c>
      <c r="AF78" s="429">
        <v>0</v>
      </c>
      <c r="AG78" s="429">
        <v>0</v>
      </c>
      <c r="AH78" s="429">
        <v>0</v>
      </c>
      <c r="AI78" s="430">
        <v>0</v>
      </c>
      <c r="AJ78" s="420"/>
      <c r="AK78" s="438"/>
      <c r="AL78" s="432"/>
    </row>
    <row r="79" spans="1:38">
      <c r="A79" s="419" t="s">
        <v>913</v>
      </c>
      <c r="B79" s="431" t="s">
        <v>1080</v>
      </c>
      <c r="C79" s="785" t="s">
        <v>1081</v>
      </c>
      <c r="D79" s="796"/>
      <c r="E79" s="797"/>
      <c r="F79" s="447">
        <v>0</v>
      </c>
      <c r="G79" s="447">
        <v>0</v>
      </c>
      <c r="H79" s="447">
        <v>0</v>
      </c>
      <c r="I79" s="447">
        <v>0</v>
      </c>
      <c r="J79" s="447">
        <v>0</v>
      </c>
      <c r="K79" s="447">
        <v>0</v>
      </c>
      <c r="L79" s="447">
        <v>0</v>
      </c>
      <c r="M79" s="447">
        <v>0</v>
      </c>
      <c r="N79" s="447">
        <v>0</v>
      </c>
      <c r="O79" s="447">
        <v>0</v>
      </c>
      <c r="P79" s="447">
        <v>0</v>
      </c>
      <c r="Q79" s="447">
        <v>0</v>
      </c>
      <c r="R79" s="447">
        <v>0</v>
      </c>
      <c r="S79" s="447">
        <v>0</v>
      </c>
      <c r="T79" s="447">
        <v>0</v>
      </c>
      <c r="U79" s="447">
        <v>0</v>
      </c>
      <c r="V79" s="447">
        <v>0</v>
      </c>
      <c r="W79" s="447">
        <v>0</v>
      </c>
      <c r="X79" s="447">
        <v>0</v>
      </c>
      <c r="Y79" s="447">
        <v>0</v>
      </c>
      <c r="Z79" s="447">
        <v>0</v>
      </c>
      <c r="AA79" s="447">
        <v>0</v>
      </c>
      <c r="AB79" s="447">
        <v>0</v>
      </c>
      <c r="AC79" s="447">
        <v>0</v>
      </c>
      <c r="AD79" s="447">
        <v>0</v>
      </c>
      <c r="AE79" s="447">
        <v>0</v>
      </c>
      <c r="AF79" s="447">
        <v>0</v>
      </c>
      <c r="AG79" s="447">
        <v>0</v>
      </c>
      <c r="AH79" s="447">
        <v>0</v>
      </c>
      <c r="AI79" s="447">
        <v>0</v>
      </c>
      <c r="AJ79" s="420"/>
      <c r="AK79" s="432"/>
      <c r="AL79" s="432"/>
    </row>
    <row r="80" spans="1:38">
      <c r="A80" s="419" t="s">
        <v>917</v>
      </c>
      <c r="B80" s="431" t="s">
        <v>1082</v>
      </c>
      <c r="C80" s="785" t="s">
        <v>1081</v>
      </c>
      <c r="D80" s="798"/>
      <c r="E80" s="799"/>
      <c r="F80" s="447">
        <v>0</v>
      </c>
      <c r="G80" s="447">
        <v>0</v>
      </c>
      <c r="H80" s="447">
        <v>0</v>
      </c>
      <c r="I80" s="447">
        <v>0</v>
      </c>
      <c r="J80" s="447">
        <v>0</v>
      </c>
      <c r="K80" s="447">
        <v>0</v>
      </c>
      <c r="L80" s="447">
        <v>0</v>
      </c>
      <c r="M80" s="447">
        <v>0</v>
      </c>
      <c r="N80" s="447">
        <v>0</v>
      </c>
      <c r="O80" s="447">
        <v>0</v>
      </c>
      <c r="P80" s="447">
        <v>0</v>
      </c>
      <c r="Q80" s="447">
        <v>0</v>
      </c>
      <c r="R80" s="447">
        <v>0</v>
      </c>
      <c r="S80" s="447">
        <v>0</v>
      </c>
      <c r="T80" s="447">
        <v>0</v>
      </c>
      <c r="U80" s="447">
        <v>0</v>
      </c>
      <c r="V80" s="447">
        <v>0</v>
      </c>
      <c r="W80" s="447">
        <v>0</v>
      </c>
      <c r="X80" s="447">
        <v>0</v>
      </c>
      <c r="Y80" s="447">
        <v>0</v>
      </c>
      <c r="Z80" s="447">
        <v>0</v>
      </c>
      <c r="AA80" s="447">
        <v>0</v>
      </c>
      <c r="AB80" s="447">
        <v>0</v>
      </c>
      <c r="AC80" s="447">
        <v>0</v>
      </c>
      <c r="AD80" s="447">
        <v>0</v>
      </c>
      <c r="AE80" s="447">
        <v>0</v>
      </c>
      <c r="AF80" s="447">
        <v>0</v>
      </c>
      <c r="AG80" s="447">
        <v>0</v>
      </c>
      <c r="AH80" s="447">
        <v>0</v>
      </c>
      <c r="AI80" s="447">
        <v>0</v>
      </c>
      <c r="AJ80" s="420"/>
      <c r="AK80" s="432"/>
      <c r="AL80" s="432"/>
    </row>
    <row r="81" spans="1:38">
      <c r="A81" s="419" t="s">
        <v>919</v>
      </c>
      <c r="B81" s="431" t="s">
        <v>1083</v>
      </c>
      <c r="C81" s="785" t="s">
        <v>1081</v>
      </c>
      <c r="D81" s="798"/>
      <c r="E81" s="799"/>
      <c r="F81" s="447">
        <v>0</v>
      </c>
      <c r="G81" s="447">
        <v>0</v>
      </c>
      <c r="H81" s="447">
        <v>0</v>
      </c>
      <c r="I81" s="447">
        <v>0</v>
      </c>
      <c r="J81" s="447">
        <v>0</v>
      </c>
      <c r="K81" s="447">
        <v>0</v>
      </c>
      <c r="L81" s="447">
        <v>0</v>
      </c>
      <c r="M81" s="447">
        <v>0</v>
      </c>
      <c r="N81" s="447">
        <v>0</v>
      </c>
      <c r="O81" s="447">
        <v>0</v>
      </c>
      <c r="P81" s="447">
        <v>0</v>
      </c>
      <c r="Q81" s="447">
        <v>0</v>
      </c>
      <c r="R81" s="447">
        <v>0</v>
      </c>
      <c r="S81" s="447">
        <v>0</v>
      </c>
      <c r="T81" s="447">
        <v>0</v>
      </c>
      <c r="U81" s="447">
        <v>0</v>
      </c>
      <c r="V81" s="447">
        <v>0</v>
      </c>
      <c r="W81" s="447">
        <v>0</v>
      </c>
      <c r="X81" s="447">
        <v>0</v>
      </c>
      <c r="Y81" s="447">
        <v>0</v>
      </c>
      <c r="Z81" s="447">
        <v>0</v>
      </c>
      <c r="AA81" s="447">
        <v>0</v>
      </c>
      <c r="AB81" s="447">
        <v>0</v>
      </c>
      <c r="AC81" s="447">
        <v>0</v>
      </c>
      <c r="AD81" s="447">
        <v>0</v>
      </c>
      <c r="AE81" s="447">
        <v>0</v>
      </c>
      <c r="AF81" s="447">
        <v>0</v>
      </c>
      <c r="AG81" s="447">
        <v>0</v>
      </c>
      <c r="AH81" s="447">
        <v>0</v>
      </c>
      <c r="AI81" s="447">
        <v>0</v>
      </c>
      <c r="AJ81" s="420"/>
      <c r="AK81" s="432"/>
      <c r="AL81" s="432"/>
    </row>
    <row r="82" spans="1:38">
      <c r="A82" s="419" t="s">
        <v>1084</v>
      </c>
      <c r="B82" s="427" t="s">
        <v>1085</v>
      </c>
      <c r="C82" s="23">
        <f>SUM(C83:C85)</f>
        <v>0</v>
      </c>
      <c r="D82" s="849">
        <f>$C$102</f>
        <v>0.02</v>
      </c>
      <c r="E82" s="97">
        <v>0</v>
      </c>
      <c r="F82" s="428">
        <f t="shared" ref="F82:AI82" si="14">SUMPRODUCT($C$83:$C$85,F83:F85)*(1+$D35)^(F2-1)</f>
        <v>0</v>
      </c>
      <c r="G82" s="429">
        <f t="shared" si="14"/>
        <v>0</v>
      </c>
      <c r="H82" s="429">
        <f t="shared" si="14"/>
        <v>0</v>
      </c>
      <c r="I82" s="429">
        <f t="shared" si="14"/>
        <v>0</v>
      </c>
      <c r="J82" s="429">
        <f t="shared" si="14"/>
        <v>0</v>
      </c>
      <c r="K82" s="429">
        <f t="shared" si="14"/>
        <v>0</v>
      </c>
      <c r="L82" s="429">
        <f t="shared" si="14"/>
        <v>0</v>
      </c>
      <c r="M82" s="429">
        <f t="shared" si="14"/>
        <v>0</v>
      </c>
      <c r="N82" s="429">
        <f t="shared" si="14"/>
        <v>0</v>
      </c>
      <c r="O82" s="429">
        <f t="shared" si="14"/>
        <v>0</v>
      </c>
      <c r="P82" s="429">
        <f t="shared" si="14"/>
        <v>0</v>
      </c>
      <c r="Q82" s="429">
        <f t="shared" si="14"/>
        <v>0</v>
      </c>
      <c r="R82" s="429">
        <f t="shared" si="14"/>
        <v>0</v>
      </c>
      <c r="S82" s="429">
        <f t="shared" si="14"/>
        <v>0</v>
      </c>
      <c r="T82" s="429">
        <f t="shared" si="14"/>
        <v>0</v>
      </c>
      <c r="U82" s="429">
        <f t="shared" si="14"/>
        <v>0</v>
      </c>
      <c r="V82" s="429">
        <f t="shared" si="14"/>
        <v>0</v>
      </c>
      <c r="W82" s="429">
        <f t="shared" si="14"/>
        <v>0</v>
      </c>
      <c r="X82" s="429">
        <f t="shared" si="14"/>
        <v>0</v>
      </c>
      <c r="Y82" s="429">
        <f t="shared" si="14"/>
        <v>0</v>
      </c>
      <c r="Z82" s="429">
        <f t="shared" si="14"/>
        <v>0</v>
      </c>
      <c r="AA82" s="429">
        <f t="shared" si="14"/>
        <v>0</v>
      </c>
      <c r="AB82" s="429">
        <f t="shared" si="14"/>
        <v>0</v>
      </c>
      <c r="AC82" s="429">
        <f t="shared" si="14"/>
        <v>0</v>
      </c>
      <c r="AD82" s="429">
        <f t="shared" si="14"/>
        <v>0</v>
      </c>
      <c r="AE82" s="429">
        <f t="shared" si="14"/>
        <v>0</v>
      </c>
      <c r="AF82" s="429">
        <f t="shared" si="14"/>
        <v>0</v>
      </c>
      <c r="AG82" s="429">
        <f t="shared" si="14"/>
        <v>0</v>
      </c>
      <c r="AH82" s="429">
        <f t="shared" si="14"/>
        <v>0</v>
      </c>
      <c r="AI82" s="430">
        <f t="shared" si="14"/>
        <v>0</v>
      </c>
      <c r="AJ82" s="420"/>
      <c r="AK82" s="439"/>
      <c r="AL82" s="432"/>
    </row>
    <row r="83" spans="1:38">
      <c r="A83" s="419" t="s">
        <v>1086</v>
      </c>
      <c r="B83" s="431" t="s">
        <v>1087</v>
      </c>
      <c r="C83" s="784">
        <v>0</v>
      </c>
      <c r="D83" s="788"/>
      <c r="E83" s="789"/>
      <c r="F83" s="447">
        <v>0</v>
      </c>
      <c r="G83" s="447">
        <v>0</v>
      </c>
      <c r="H83" s="447">
        <v>0</v>
      </c>
      <c r="I83" s="447">
        <v>0</v>
      </c>
      <c r="J83" s="447">
        <v>0</v>
      </c>
      <c r="K83" s="447">
        <v>0</v>
      </c>
      <c r="L83" s="447">
        <v>0</v>
      </c>
      <c r="M83" s="447">
        <v>0</v>
      </c>
      <c r="N83" s="447">
        <v>0</v>
      </c>
      <c r="O83" s="447">
        <v>0</v>
      </c>
      <c r="P83" s="447">
        <v>0</v>
      </c>
      <c r="Q83" s="447">
        <v>0</v>
      </c>
      <c r="R83" s="447">
        <v>0</v>
      </c>
      <c r="S83" s="447">
        <v>0</v>
      </c>
      <c r="T83" s="447">
        <v>0</v>
      </c>
      <c r="U83" s="447">
        <v>0</v>
      </c>
      <c r="V83" s="447">
        <v>0</v>
      </c>
      <c r="W83" s="447">
        <v>0</v>
      </c>
      <c r="X83" s="447">
        <v>0</v>
      </c>
      <c r="Y83" s="447">
        <v>0</v>
      </c>
      <c r="Z83" s="447">
        <v>0</v>
      </c>
      <c r="AA83" s="447">
        <v>0</v>
      </c>
      <c r="AB83" s="447">
        <v>0</v>
      </c>
      <c r="AC83" s="447">
        <v>0</v>
      </c>
      <c r="AD83" s="447">
        <v>0</v>
      </c>
      <c r="AE83" s="447">
        <v>0</v>
      </c>
      <c r="AF83" s="447">
        <v>0</v>
      </c>
      <c r="AG83" s="447">
        <v>0</v>
      </c>
      <c r="AH83" s="447">
        <v>0</v>
      </c>
      <c r="AI83" s="447">
        <v>0</v>
      </c>
      <c r="AJ83" s="420"/>
      <c r="AK83" s="432"/>
      <c r="AL83" s="440"/>
    </row>
    <row r="84" spans="1:38">
      <c r="A84" s="419" t="s">
        <v>1088</v>
      </c>
      <c r="B84" s="431" t="s">
        <v>1089</v>
      </c>
      <c r="C84" s="784">
        <v>0</v>
      </c>
      <c r="D84" s="790"/>
      <c r="E84" s="791"/>
      <c r="F84" s="447">
        <v>0</v>
      </c>
      <c r="G84" s="447">
        <v>0</v>
      </c>
      <c r="H84" s="447">
        <v>0</v>
      </c>
      <c r="I84" s="447">
        <v>0</v>
      </c>
      <c r="J84" s="447">
        <v>0</v>
      </c>
      <c r="K84" s="447">
        <v>0</v>
      </c>
      <c r="L84" s="447">
        <v>0</v>
      </c>
      <c r="M84" s="447">
        <v>0</v>
      </c>
      <c r="N84" s="447">
        <v>0</v>
      </c>
      <c r="O84" s="447">
        <v>0</v>
      </c>
      <c r="P84" s="447">
        <v>0</v>
      </c>
      <c r="Q84" s="447">
        <v>0</v>
      </c>
      <c r="R84" s="447">
        <v>0</v>
      </c>
      <c r="S84" s="447">
        <v>0</v>
      </c>
      <c r="T84" s="447">
        <v>0</v>
      </c>
      <c r="U84" s="447">
        <v>0</v>
      </c>
      <c r="V84" s="447">
        <v>0</v>
      </c>
      <c r="W84" s="447">
        <v>0</v>
      </c>
      <c r="X84" s="447">
        <v>0</v>
      </c>
      <c r="Y84" s="447">
        <v>0</v>
      </c>
      <c r="Z84" s="447">
        <v>0</v>
      </c>
      <c r="AA84" s="447">
        <v>0</v>
      </c>
      <c r="AB84" s="447">
        <v>0</v>
      </c>
      <c r="AC84" s="447">
        <v>0</v>
      </c>
      <c r="AD84" s="447">
        <v>0</v>
      </c>
      <c r="AE84" s="447">
        <v>0</v>
      </c>
      <c r="AF84" s="447">
        <v>0</v>
      </c>
      <c r="AG84" s="447">
        <v>0</v>
      </c>
      <c r="AH84" s="447">
        <v>0</v>
      </c>
      <c r="AI84" s="447">
        <v>0</v>
      </c>
      <c r="AJ84" s="420"/>
      <c r="AK84" s="440"/>
      <c r="AL84" s="432"/>
    </row>
    <row r="85" spans="1:38">
      <c r="A85" s="419" t="s">
        <v>1090</v>
      </c>
      <c r="B85" s="431" t="s">
        <v>1091</v>
      </c>
      <c r="C85" s="784">
        <v>0</v>
      </c>
      <c r="D85" s="792"/>
      <c r="E85" s="793"/>
      <c r="F85" s="447">
        <v>0</v>
      </c>
      <c r="G85" s="447">
        <v>0</v>
      </c>
      <c r="H85" s="447">
        <v>0</v>
      </c>
      <c r="I85" s="447">
        <v>0</v>
      </c>
      <c r="J85" s="447">
        <v>0</v>
      </c>
      <c r="K85" s="447">
        <v>0</v>
      </c>
      <c r="L85" s="447">
        <v>0</v>
      </c>
      <c r="M85" s="447">
        <v>0</v>
      </c>
      <c r="N85" s="447">
        <v>0</v>
      </c>
      <c r="O85" s="447">
        <v>0</v>
      </c>
      <c r="P85" s="447">
        <v>0</v>
      </c>
      <c r="Q85" s="447">
        <v>0</v>
      </c>
      <c r="R85" s="447">
        <v>0</v>
      </c>
      <c r="S85" s="447">
        <v>0</v>
      </c>
      <c r="T85" s="447">
        <v>0</v>
      </c>
      <c r="U85" s="447">
        <v>0</v>
      </c>
      <c r="V85" s="447">
        <v>0</v>
      </c>
      <c r="W85" s="447">
        <v>0</v>
      </c>
      <c r="X85" s="447">
        <v>0</v>
      </c>
      <c r="Y85" s="447">
        <v>0</v>
      </c>
      <c r="Z85" s="447">
        <v>0</v>
      </c>
      <c r="AA85" s="447">
        <v>0</v>
      </c>
      <c r="AB85" s="447">
        <v>0</v>
      </c>
      <c r="AC85" s="447">
        <v>0</v>
      </c>
      <c r="AD85" s="447">
        <v>0</v>
      </c>
      <c r="AE85" s="447">
        <v>0</v>
      </c>
      <c r="AF85" s="447">
        <v>0</v>
      </c>
      <c r="AG85" s="447">
        <v>0</v>
      </c>
      <c r="AH85" s="447">
        <v>0</v>
      </c>
      <c r="AI85" s="447">
        <v>0</v>
      </c>
      <c r="AJ85" s="420"/>
      <c r="AK85" s="432"/>
      <c r="AL85" s="432"/>
    </row>
    <row r="86" spans="1:38">
      <c r="A86" s="419" t="s">
        <v>1092</v>
      </c>
      <c r="B86" s="427" t="s">
        <v>1093</v>
      </c>
      <c r="C86" s="23">
        <f>SUM(C87:C89)</f>
        <v>0</v>
      </c>
      <c r="D86" s="876"/>
      <c r="E86" s="876"/>
      <c r="F86" s="429">
        <f t="shared" ref="F86:AI86" si="15">SUMPRODUCT($C$87:$C$89,F87:F89)*(1+$D86)^(F7-1)</f>
        <v>0</v>
      </c>
      <c r="G86" s="429">
        <f t="shared" si="15"/>
        <v>0</v>
      </c>
      <c r="H86" s="429">
        <f t="shared" si="15"/>
        <v>0</v>
      </c>
      <c r="I86" s="429">
        <f t="shared" si="15"/>
        <v>0</v>
      </c>
      <c r="J86" s="429">
        <f t="shared" si="15"/>
        <v>0</v>
      </c>
      <c r="K86" s="429">
        <f t="shared" si="15"/>
        <v>0</v>
      </c>
      <c r="L86" s="429">
        <f t="shared" si="15"/>
        <v>0</v>
      </c>
      <c r="M86" s="429">
        <f t="shared" si="15"/>
        <v>0</v>
      </c>
      <c r="N86" s="429">
        <f t="shared" si="15"/>
        <v>0</v>
      </c>
      <c r="O86" s="429">
        <f t="shared" si="15"/>
        <v>0</v>
      </c>
      <c r="P86" s="429">
        <f t="shared" si="15"/>
        <v>0</v>
      </c>
      <c r="Q86" s="429">
        <f t="shared" si="15"/>
        <v>0</v>
      </c>
      <c r="R86" s="429">
        <f t="shared" si="15"/>
        <v>0</v>
      </c>
      <c r="S86" s="429">
        <f t="shared" si="15"/>
        <v>0</v>
      </c>
      <c r="T86" s="429">
        <f t="shared" si="15"/>
        <v>0</v>
      </c>
      <c r="U86" s="429">
        <f t="shared" si="15"/>
        <v>0</v>
      </c>
      <c r="V86" s="429">
        <f t="shared" si="15"/>
        <v>0</v>
      </c>
      <c r="W86" s="429">
        <f t="shared" si="15"/>
        <v>0</v>
      </c>
      <c r="X86" s="429">
        <f t="shared" si="15"/>
        <v>0</v>
      </c>
      <c r="Y86" s="429">
        <f t="shared" si="15"/>
        <v>0</v>
      </c>
      <c r="Z86" s="429">
        <f t="shared" si="15"/>
        <v>0</v>
      </c>
      <c r="AA86" s="429">
        <f t="shared" si="15"/>
        <v>0</v>
      </c>
      <c r="AB86" s="429">
        <f t="shared" si="15"/>
        <v>0</v>
      </c>
      <c r="AC86" s="429">
        <f t="shared" si="15"/>
        <v>0</v>
      </c>
      <c r="AD86" s="429">
        <f t="shared" si="15"/>
        <v>0</v>
      </c>
      <c r="AE86" s="429">
        <f t="shared" si="15"/>
        <v>0</v>
      </c>
      <c r="AF86" s="429">
        <f t="shared" si="15"/>
        <v>0</v>
      </c>
      <c r="AG86" s="429">
        <f t="shared" si="15"/>
        <v>0</v>
      </c>
      <c r="AH86" s="429">
        <f t="shared" si="15"/>
        <v>0</v>
      </c>
      <c r="AI86" s="430">
        <f t="shared" si="15"/>
        <v>0</v>
      </c>
      <c r="AJ86" s="420"/>
      <c r="AK86" s="432"/>
      <c r="AL86" s="432"/>
    </row>
    <row r="87" spans="1:38">
      <c r="A87" s="419" t="s">
        <v>1094</v>
      </c>
      <c r="B87" s="431" t="s">
        <v>1095</v>
      </c>
      <c r="C87" s="787">
        <v>0</v>
      </c>
      <c r="D87" s="788"/>
      <c r="E87" s="789"/>
      <c r="F87" s="447">
        <v>0</v>
      </c>
      <c r="G87" s="447">
        <v>0</v>
      </c>
      <c r="H87" s="447">
        <v>0</v>
      </c>
      <c r="I87" s="447">
        <v>0</v>
      </c>
      <c r="J87" s="447">
        <v>0</v>
      </c>
      <c r="K87" s="447">
        <v>0</v>
      </c>
      <c r="L87" s="447">
        <v>0</v>
      </c>
      <c r="M87" s="447">
        <v>0</v>
      </c>
      <c r="N87" s="447">
        <v>0</v>
      </c>
      <c r="O87" s="447">
        <v>0</v>
      </c>
      <c r="P87" s="447">
        <v>0</v>
      </c>
      <c r="Q87" s="447">
        <v>0</v>
      </c>
      <c r="R87" s="447">
        <v>0</v>
      </c>
      <c r="S87" s="447">
        <v>0</v>
      </c>
      <c r="T87" s="447">
        <v>0</v>
      </c>
      <c r="U87" s="447">
        <v>0</v>
      </c>
      <c r="V87" s="447">
        <v>0</v>
      </c>
      <c r="W87" s="447">
        <v>0</v>
      </c>
      <c r="X87" s="447">
        <v>0</v>
      </c>
      <c r="Y87" s="447">
        <v>0</v>
      </c>
      <c r="Z87" s="447">
        <v>0</v>
      </c>
      <c r="AA87" s="447">
        <v>0</v>
      </c>
      <c r="AB87" s="447">
        <v>0</v>
      </c>
      <c r="AC87" s="447">
        <v>0</v>
      </c>
      <c r="AD87" s="447">
        <v>0</v>
      </c>
      <c r="AE87" s="447">
        <v>0</v>
      </c>
      <c r="AF87" s="447">
        <v>0</v>
      </c>
      <c r="AG87" s="447">
        <v>0</v>
      </c>
      <c r="AH87" s="447">
        <v>0</v>
      </c>
      <c r="AI87" s="447">
        <v>0</v>
      </c>
      <c r="AJ87" s="420"/>
      <c r="AK87" s="432"/>
      <c r="AL87" s="432"/>
    </row>
    <row r="88" spans="1:38">
      <c r="A88" s="419" t="s">
        <v>1096</v>
      </c>
      <c r="B88" s="431" t="s">
        <v>1097</v>
      </c>
      <c r="C88" s="787">
        <v>0</v>
      </c>
      <c r="D88" s="790"/>
      <c r="E88" s="791"/>
      <c r="F88" s="447">
        <v>0</v>
      </c>
      <c r="G88" s="447">
        <v>0</v>
      </c>
      <c r="H88" s="447">
        <v>0</v>
      </c>
      <c r="I88" s="447">
        <v>0</v>
      </c>
      <c r="J88" s="447">
        <v>0</v>
      </c>
      <c r="K88" s="447">
        <v>0</v>
      </c>
      <c r="L88" s="447">
        <v>0</v>
      </c>
      <c r="M88" s="447">
        <v>0</v>
      </c>
      <c r="N88" s="447">
        <v>0</v>
      </c>
      <c r="O88" s="447">
        <v>0</v>
      </c>
      <c r="P88" s="447">
        <v>0</v>
      </c>
      <c r="Q88" s="447">
        <v>0</v>
      </c>
      <c r="R88" s="447">
        <v>0</v>
      </c>
      <c r="S88" s="447">
        <v>0</v>
      </c>
      <c r="T88" s="447">
        <v>0</v>
      </c>
      <c r="U88" s="447">
        <v>0</v>
      </c>
      <c r="V88" s="447">
        <v>0</v>
      </c>
      <c r="W88" s="447">
        <v>0</v>
      </c>
      <c r="X88" s="447">
        <v>0</v>
      </c>
      <c r="Y88" s="447">
        <v>0</v>
      </c>
      <c r="Z88" s="447">
        <v>0</v>
      </c>
      <c r="AA88" s="447">
        <v>0</v>
      </c>
      <c r="AB88" s="447">
        <v>0</v>
      </c>
      <c r="AC88" s="447">
        <v>0</v>
      </c>
      <c r="AD88" s="447">
        <v>0</v>
      </c>
      <c r="AE88" s="447">
        <v>0</v>
      </c>
      <c r="AF88" s="447">
        <v>0</v>
      </c>
      <c r="AG88" s="447">
        <v>0</v>
      </c>
      <c r="AH88" s="447">
        <v>0</v>
      </c>
      <c r="AI88" s="447">
        <v>0</v>
      </c>
      <c r="AJ88" s="420"/>
      <c r="AK88" s="432"/>
      <c r="AL88" s="432"/>
    </row>
    <row r="89" spans="1:38">
      <c r="A89" s="419" t="s">
        <v>1098</v>
      </c>
      <c r="B89" s="431" t="s">
        <v>1099</v>
      </c>
      <c r="C89" s="787">
        <v>0</v>
      </c>
      <c r="D89" s="792"/>
      <c r="E89" s="793"/>
      <c r="F89" s="447">
        <v>0</v>
      </c>
      <c r="G89" s="447">
        <v>0</v>
      </c>
      <c r="H89" s="447">
        <v>0</v>
      </c>
      <c r="I89" s="447">
        <v>0</v>
      </c>
      <c r="J89" s="447">
        <v>0</v>
      </c>
      <c r="K89" s="447">
        <v>0</v>
      </c>
      <c r="L89" s="447">
        <v>0</v>
      </c>
      <c r="M89" s="447">
        <v>0</v>
      </c>
      <c r="N89" s="447">
        <v>0</v>
      </c>
      <c r="O89" s="447">
        <v>0</v>
      </c>
      <c r="P89" s="447">
        <v>0</v>
      </c>
      <c r="Q89" s="447">
        <v>0</v>
      </c>
      <c r="R89" s="447">
        <v>0</v>
      </c>
      <c r="S89" s="447">
        <v>0</v>
      </c>
      <c r="T89" s="447">
        <v>0</v>
      </c>
      <c r="U89" s="447">
        <v>0</v>
      </c>
      <c r="V89" s="447">
        <v>0</v>
      </c>
      <c r="W89" s="447">
        <v>0</v>
      </c>
      <c r="X89" s="447">
        <v>0</v>
      </c>
      <c r="Y89" s="447">
        <v>0</v>
      </c>
      <c r="Z89" s="447">
        <v>0</v>
      </c>
      <c r="AA89" s="447">
        <v>0</v>
      </c>
      <c r="AB89" s="447">
        <v>0</v>
      </c>
      <c r="AC89" s="447">
        <v>0</v>
      </c>
      <c r="AD89" s="447">
        <v>0</v>
      </c>
      <c r="AE89" s="447">
        <v>0</v>
      </c>
      <c r="AF89" s="447">
        <v>0</v>
      </c>
      <c r="AG89" s="447">
        <v>0</v>
      </c>
      <c r="AH89" s="447">
        <v>0</v>
      </c>
      <c r="AI89" s="447">
        <v>0</v>
      </c>
      <c r="AJ89" s="420"/>
      <c r="AK89" s="432"/>
      <c r="AL89" s="232"/>
    </row>
    <row r="90" spans="1:38">
      <c r="A90" s="419" t="s">
        <v>1100</v>
      </c>
      <c r="B90" s="427" t="s">
        <v>691</v>
      </c>
      <c r="C90" s="232">
        <f>SUM(C91:C93)</f>
        <v>0</v>
      </c>
      <c r="D90" s="849">
        <f>$C$102</f>
        <v>0.02</v>
      </c>
      <c r="E90" s="97">
        <v>0</v>
      </c>
      <c r="F90" s="428">
        <f t="shared" ref="F90:AI90" si="16">SUMPRODUCT($C$91:$C$93,F91:F93)*(1+$D90)^(F2-1)</f>
        <v>0</v>
      </c>
      <c r="G90" s="429">
        <f t="shared" si="16"/>
        <v>0</v>
      </c>
      <c r="H90" s="429">
        <f t="shared" si="16"/>
        <v>0</v>
      </c>
      <c r="I90" s="429">
        <f t="shared" si="16"/>
        <v>0</v>
      </c>
      <c r="J90" s="429">
        <f t="shared" si="16"/>
        <v>0</v>
      </c>
      <c r="K90" s="429">
        <f t="shared" si="16"/>
        <v>0</v>
      </c>
      <c r="L90" s="429">
        <f t="shared" si="16"/>
        <v>0</v>
      </c>
      <c r="M90" s="429">
        <f t="shared" si="16"/>
        <v>0</v>
      </c>
      <c r="N90" s="429">
        <f t="shared" si="16"/>
        <v>0</v>
      </c>
      <c r="O90" s="429">
        <f t="shared" si="16"/>
        <v>0</v>
      </c>
      <c r="P90" s="429">
        <f t="shared" si="16"/>
        <v>0</v>
      </c>
      <c r="Q90" s="429">
        <f t="shared" si="16"/>
        <v>0</v>
      </c>
      <c r="R90" s="429">
        <f t="shared" si="16"/>
        <v>0</v>
      </c>
      <c r="S90" s="429">
        <f t="shared" si="16"/>
        <v>0</v>
      </c>
      <c r="T90" s="429">
        <f t="shared" si="16"/>
        <v>0</v>
      </c>
      <c r="U90" s="429">
        <f t="shared" si="16"/>
        <v>0</v>
      </c>
      <c r="V90" s="429">
        <f t="shared" si="16"/>
        <v>0</v>
      </c>
      <c r="W90" s="429">
        <f t="shared" si="16"/>
        <v>0</v>
      </c>
      <c r="X90" s="429">
        <f t="shared" si="16"/>
        <v>0</v>
      </c>
      <c r="Y90" s="429">
        <f t="shared" si="16"/>
        <v>0</v>
      </c>
      <c r="Z90" s="429">
        <f t="shared" si="16"/>
        <v>0</v>
      </c>
      <c r="AA90" s="429">
        <f t="shared" si="16"/>
        <v>0</v>
      </c>
      <c r="AB90" s="429">
        <f t="shared" si="16"/>
        <v>0</v>
      </c>
      <c r="AC90" s="429">
        <f t="shared" si="16"/>
        <v>0</v>
      </c>
      <c r="AD90" s="429">
        <f t="shared" si="16"/>
        <v>0</v>
      </c>
      <c r="AE90" s="429">
        <f t="shared" si="16"/>
        <v>0</v>
      </c>
      <c r="AF90" s="429">
        <f t="shared" si="16"/>
        <v>0</v>
      </c>
      <c r="AG90" s="429">
        <f t="shared" si="16"/>
        <v>0</v>
      </c>
      <c r="AH90" s="429">
        <f t="shared" si="16"/>
        <v>0</v>
      </c>
      <c r="AI90" s="430">
        <f t="shared" si="16"/>
        <v>0</v>
      </c>
      <c r="AJ90" s="27"/>
      <c r="AK90" s="232"/>
      <c r="AL90" s="432"/>
    </row>
    <row r="91" spans="1:38">
      <c r="A91" s="419" t="s">
        <v>1101</v>
      </c>
      <c r="B91" s="433" t="str">
        <f>B104</f>
        <v>Stamp Duty</v>
      </c>
      <c r="C91" s="786">
        <v>0</v>
      </c>
      <c r="D91" s="790"/>
      <c r="E91" s="791"/>
      <c r="F91" s="447">
        <v>1</v>
      </c>
      <c r="G91" s="447">
        <v>1</v>
      </c>
      <c r="H91" s="447">
        <v>1</v>
      </c>
      <c r="I91" s="447">
        <v>1</v>
      </c>
      <c r="J91" s="447">
        <v>1</v>
      </c>
      <c r="K91" s="447">
        <v>1</v>
      </c>
      <c r="L91" s="447">
        <v>1</v>
      </c>
      <c r="M91" s="447">
        <v>1</v>
      </c>
      <c r="N91" s="447">
        <v>1</v>
      </c>
      <c r="O91" s="447">
        <v>1</v>
      </c>
      <c r="P91" s="447">
        <v>1</v>
      </c>
      <c r="Q91" s="447">
        <v>1</v>
      </c>
      <c r="R91" s="447">
        <v>1</v>
      </c>
      <c r="S91" s="447">
        <v>1</v>
      </c>
      <c r="T91" s="447">
        <v>1</v>
      </c>
      <c r="U91" s="447">
        <v>1</v>
      </c>
      <c r="V91" s="447">
        <v>1</v>
      </c>
      <c r="W91" s="447">
        <v>1</v>
      </c>
      <c r="X91" s="447">
        <v>1</v>
      </c>
      <c r="Y91" s="447">
        <v>1</v>
      </c>
      <c r="Z91" s="447">
        <v>1</v>
      </c>
      <c r="AA91" s="447">
        <v>1</v>
      </c>
      <c r="AB91" s="447">
        <v>1</v>
      </c>
      <c r="AC91" s="447">
        <v>1</v>
      </c>
      <c r="AD91" s="447">
        <v>1</v>
      </c>
      <c r="AE91" s="447">
        <v>1</v>
      </c>
      <c r="AF91" s="447">
        <v>1</v>
      </c>
      <c r="AG91" s="447">
        <v>1</v>
      </c>
      <c r="AH91" s="447">
        <v>1</v>
      </c>
      <c r="AI91" s="447">
        <v>1</v>
      </c>
      <c r="AJ91" s="420"/>
      <c r="AK91" s="432"/>
      <c r="AL91" s="432"/>
    </row>
    <row r="92" spans="1:38">
      <c r="A92" s="419" t="s">
        <v>1102</v>
      </c>
      <c r="B92" s="433"/>
      <c r="C92" s="786">
        <v>0</v>
      </c>
      <c r="D92" s="790"/>
      <c r="E92" s="791"/>
      <c r="F92" s="447">
        <v>0</v>
      </c>
      <c r="G92" s="447">
        <v>0</v>
      </c>
      <c r="H92" s="447">
        <v>0</v>
      </c>
      <c r="I92" s="447">
        <v>0</v>
      </c>
      <c r="J92" s="447">
        <v>0</v>
      </c>
      <c r="K92" s="447">
        <v>0</v>
      </c>
      <c r="L92" s="447">
        <v>0</v>
      </c>
      <c r="M92" s="447">
        <v>0</v>
      </c>
      <c r="N92" s="447">
        <v>0</v>
      </c>
      <c r="O92" s="447">
        <v>0</v>
      </c>
      <c r="P92" s="447">
        <v>0</v>
      </c>
      <c r="Q92" s="447">
        <v>0</v>
      </c>
      <c r="R92" s="447">
        <v>0</v>
      </c>
      <c r="S92" s="447">
        <v>0</v>
      </c>
      <c r="T92" s="447">
        <v>0</v>
      </c>
      <c r="U92" s="447">
        <v>0</v>
      </c>
      <c r="V92" s="447">
        <v>0</v>
      </c>
      <c r="W92" s="447">
        <v>0</v>
      </c>
      <c r="X92" s="447">
        <v>0</v>
      </c>
      <c r="Y92" s="447">
        <v>0</v>
      </c>
      <c r="Z92" s="447">
        <v>0</v>
      </c>
      <c r="AA92" s="447">
        <v>0</v>
      </c>
      <c r="AB92" s="447">
        <v>0</v>
      </c>
      <c r="AC92" s="447">
        <v>0</v>
      </c>
      <c r="AD92" s="447">
        <v>0</v>
      </c>
      <c r="AE92" s="447">
        <v>0</v>
      </c>
      <c r="AF92" s="447">
        <v>0</v>
      </c>
      <c r="AG92" s="447">
        <v>0</v>
      </c>
      <c r="AH92" s="447">
        <v>0</v>
      </c>
      <c r="AI92" s="447">
        <v>0</v>
      </c>
      <c r="AJ92" s="420"/>
      <c r="AK92" s="432"/>
      <c r="AL92" s="432"/>
    </row>
    <row r="93" spans="1:38">
      <c r="A93" s="419" t="s">
        <v>1103</v>
      </c>
      <c r="B93" s="433" t="s">
        <v>608</v>
      </c>
      <c r="C93" s="786">
        <v>0</v>
      </c>
      <c r="D93" s="792"/>
      <c r="E93" s="793"/>
      <c r="F93" s="447">
        <v>0</v>
      </c>
      <c r="G93" s="447">
        <v>0</v>
      </c>
      <c r="H93" s="447">
        <v>0</v>
      </c>
      <c r="I93" s="447">
        <v>0</v>
      </c>
      <c r="J93" s="447">
        <v>0</v>
      </c>
      <c r="K93" s="447">
        <v>0</v>
      </c>
      <c r="L93" s="447">
        <v>0</v>
      </c>
      <c r="M93" s="447">
        <v>0</v>
      </c>
      <c r="N93" s="447">
        <v>0</v>
      </c>
      <c r="O93" s="447">
        <v>0</v>
      </c>
      <c r="P93" s="447">
        <v>0</v>
      </c>
      <c r="Q93" s="447">
        <v>0</v>
      </c>
      <c r="R93" s="447">
        <v>0</v>
      </c>
      <c r="S93" s="447">
        <v>0</v>
      </c>
      <c r="T93" s="447">
        <v>0</v>
      </c>
      <c r="U93" s="447">
        <v>0</v>
      </c>
      <c r="V93" s="447">
        <v>0</v>
      </c>
      <c r="W93" s="447">
        <v>0</v>
      </c>
      <c r="X93" s="447">
        <v>0</v>
      </c>
      <c r="Y93" s="447">
        <v>0</v>
      </c>
      <c r="Z93" s="447">
        <v>0</v>
      </c>
      <c r="AA93" s="447">
        <v>0</v>
      </c>
      <c r="AB93" s="447">
        <v>0</v>
      </c>
      <c r="AC93" s="447">
        <v>0</v>
      </c>
      <c r="AD93" s="447">
        <v>0</v>
      </c>
      <c r="AE93" s="447">
        <v>0</v>
      </c>
      <c r="AF93" s="447">
        <v>0</v>
      </c>
      <c r="AG93" s="447">
        <v>0</v>
      </c>
      <c r="AH93" s="447">
        <v>0</v>
      </c>
      <c r="AI93" s="447">
        <v>0</v>
      </c>
      <c r="AJ93" s="420"/>
      <c r="AK93" s="432"/>
    </row>
    <row r="94" spans="1:38">
      <c r="B94" s="420"/>
      <c r="C94" s="441"/>
      <c r="D94" s="420"/>
      <c r="E94" s="420"/>
      <c r="F94" s="420"/>
      <c r="G94" s="420"/>
      <c r="H94" s="420"/>
      <c r="I94" s="420"/>
      <c r="J94" s="420"/>
      <c r="K94" s="420"/>
      <c r="L94" s="420"/>
      <c r="M94" s="420"/>
      <c r="N94" s="420"/>
      <c r="O94" s="420"/>
      <c r="P94" s="420"/>
      <c r="Q94" s="420"/>
      <c r="R94" s="420"/>
      <c r="S94" s="420"/>
      <c r="T94" s="420"/>
      <c r="U94" s="420"/>
      <c r="V94" s="420"/>
      <c r="W94" s="420"/>
      <c r="X94" s="420"/>
      <c r="Y94" s="420"/>
      <c r="Z94" s="420"/>
      <c r="AA94" s="420"/>
      <c r="AB94" s="420"/>
      <c r="AC94" s="420"/>
      <c r="AD94" s="420"/>
      <c r="AE94" s="420"/>
      <c r="AF94" s="420"/>
      <c r="AG94" s="420"/>
      <c r="AH94" s="420"/>
      <c r="AI94" s="420"/>
      <c r="AJ94" s="420"/>
    </row>
    <row r="95" spans="1:38">
      <c r="B95" s="442" t="s">
        <v>1104</v>
      </c>
      <c r="C95" s="428">
        <f>C82+C90+C70+C65+C58+C53+C48+C45+C39+C35+C31+C26+C8+C3</f>
        <v>1633.0631999999998</v>
      </c>
      <c r="D95" s="800"/>
      <c r="E95" s="801"/>
      <c r="F95" s="429">
        <f t="shared" ref="F95:AI95" si="17">F82+F90+F70+F65+F58+F53+F48+F45+F39+F35+F31+F26+F8+F3+F78</f>
        <v>1287.2408</v>
      </c>
      <c r="G95" s="429">
        <f t="shared" si="17"/>
        <v>1245.9284000000002</v>
      </c>
      <c r="H95" s="429">
        <f t="shared" si="17"/>
        <v>1237.8985519999999</v>
      </c>
      <c r="I95" s="429">
        <f t="shared" si="17"/>
        <v>1258.8393070399998</v>
      </c>
      <c r="J95" s="429">
        <f t="shared" si="17"/>
        <v>1280.1988771808001</v>
      </c>
      <c r="K95" s="429">
        <f t="shared" si="17"/>
        <v>1301.985638724416</v>
      </c>
      <c r="L95" s="429">
        <f t="shared" si="17"/>
        <v>1324.2081354989045</v>
      </c>
      <c r="M95" s="429">
        <f t="shared" si="17"/>
        <v>1346.8750822088823</v>
      </c>
      <c r="N95" s="429">
        <f t="shared" si="17"/>
        <v>1369.9953678530601</v>
      </c>
      <c r="O95" s="429">
        <f t="shared" si="17"/>
        <v>1393.5780592101212</v>
      </c>
      <c r="P95" s="429">
        <f t="shared" si="17"/>
        <v>1790.5348043943236</v>
      </c>
      <c r="Q95" s="429">
        <f t="shared" si="17"/>
        <v>1815.07023648221</v>
      </c>
      <c r="R95" s="429">
        <f t="shared" si="17"/>
        <v>1840.0963772118544</v>
      </c>
      <c r="S95" s="429">
        <f t="shared" si="17"/>
        <v>1865.6230407560911</v>
      </c>
      <c r="T95" s="429">
        <f t="shared" si="17"/>
        <v>1865.2706623099557</v>
      </c>
      <c r="U95" s="429">
        <f t="shared" si="17"/>
        <v>1891.3008115561545</v>
      </c>
      <c r="V95" s="429">
        <f t="shared" si="17"/>
        <v>1917.8515637872779</v>
      </c>
      <c r="W95" s="429">
        <f t="shared" si="17"/>
        <v>1944.9333310630234</v>
      </c>
      <c r="X95" s="429">
        <f t="shared" si="17"/>
        <v>1972.5567336842839</v>
      </c>
      <c r="Y95" s="429">
        <f t="shared" si="17"/>
        <v>2000.7326043579692</v>
      </c>
      <c r="Z95" s="429">
        <f t="shared" si="17"/>
        <v>2029.4719924451292</v>
      </c>
      <c r="AA95" s="429">
        <f t="shared" si="17"/>
        <v>2058.7861682940315</v>
      </c>
      <c r="AB95" s="429">
        <f t="shared" si="17"/>
        <v>2088.6866276599121</v>
      </c>
      <c r="AC95" s="429">
        <f t="shared" si="17"/>
        <v>2119.1850962131102</v>
      </c>
      <c r="AD95" s="429">
        <f t="shared" si="17"/>
        <v>2150.2935341373723</v>
      </c>
      <c r="AE95" s="429">
        <f t="shared" si="17"/>
        <v>2182.02414082012</v>
      </c>
      <c r="AF95" s="429">
        <f t="shared" si="17"/>
        <v>2214.3893596365224</v>
      </c>
      <c r="AG95" s="429">
        <f t="shared" si="17"/>
        <v>2247.4018828292528</v>
      </c>
      <c r="AH95" s="429">
        <f t="shared" si="17"/>
        <v>2281.0746564858382</v>
      </c>
      <c r="AI95" s="430">
        <f t="shared" si="17"/>
        <v>2315.4208856155547</v>
      </c>
      <c r="AJ95" s="443"/>
    </row>
    <row r="96" spans="1:38">
      <c r="B96" s="442" t="s">
        <v>1105</v>
      </c>
      <c r="C96" s="428">
        <f>(C82+C90+C70+C65+C58+C53+C48+C45+C39+C35+C31+C26+C8+C3+C76)</f>
        <v>1698.3857279999997</v>
      </c>
      <c r="D96" s="802"/>
      <c r="E96" s="803"/>
      <c r="F96" s="429">
        <f>(F82+F90+F70+F65+F58+F53+F48+F45+F39+F35+F31+F26+F8+F3+F76+F78)</f>
        <v>1338.7304320000001</v>
      </c>
      <c r="G96" s="429">
        <f t="shared" ref="G96:AI96" si="18">(G82+G90+G70+G65+G58+G53+G48+G45+G39+G35+G31+G26+G8+G3+G76+G78)</f>
        <v>1295.7655360000003</v>
      </c>
      <c r="H96" s="429">
        <f t="shared" si="18"/>
        <v>1287.4144940799999</v>
      </c>
      <c r="I96" s="429">
        <f t="shared" si="18"/>
        <v>1309.1928793215998</v>
      </c>
      <c r="J96" s="429">
        <f t="shared" si="18"/>
        <v>1331.4068322680321</v>
      </c>
      <c r="K96" s="429">
        <f t="shared" si="18"/>
        <v>1354.0650642733926</v>
      </c>
      <c r="L96" s="429">
        <f t="shared" si="18"/>
        <v>1377.1764609188608</v>
      </c>
      <c r="M96" s="429">
        <f t="shared" si="18"/>
        <v>1400.7500854972377</v>
      </c>
      <c r="N96" s="429">
        <f t="shared" si="18"/>
        <v>1424.7951825671826</v>
      </c>
      <c r="O96" s="429">
        <f t="shared" si="18"/>
        <v>1449.321181578526</v>
      </c>
      <c r="P96" s="429">
        <f t="shared" si="18"/>
        <v>1862.1561965700967</v>
      </c>
      <c r="Q96" s="429">
        <f t="shared" si="18"/>
        <v>1887.6730459414985</v>
      </c>
      <c r="R96" s="429">
        <f t="shared" si="18"/>
        <v>1913.7002323003285</v>
      </c>
      <c r="S96" s="429">
        <f t="shared" si="18"/>
        <v>1940.2479623863346</v>
      </c>
      <c r="T96" s="429">
        <f t="shared" si="18"/>
        <v>1939.8814888023539</v>
      </c>
      <c r="U96" s="429">
        <f t="shared" si="18"/>
        <v>1966.9528440184006</v>
      </c>
      <c r="V96" s="429">
        <f t="shared" si="18"/>
        <v>1994.5656263387691</v>
      </c>
      <c r="W96" s="429">
        <f t="shared" si="18"/>
        <v>2022.7306643055442</v>
      </c>
      <c r="X96" s="429">
        <f t="shared" si="18"/>
        <v>2051.4590030316554</v>
      </c>
      <c r="Y96" s="429">
        <f t="shared" si="18"/>
        <v>2080.7619085322881</v>
      </c>
      <c r="Z96" s="429">
        <f t="shared" si="18"/>
        <v>2110.6508721429345</v>
      </c>
      <c r="AA96" s="429">
        <f t="shared" si="18"/>
        <v>2141.1376150257929</v>
      </c>
      <c r="AB96" s="429">
        <f t="shared" si="18"/>
        <v>2172.2340927663085</v>
      </c>
      <c r="AC96" s="429">
        <f t="shared" si="18"/>
        <v>2203.9525000616345</v>
      </c>
      <c r="AD96" s="429">
        <f t="shared" si="18"/>
        <v>2236.3052755028671</v>
      </c>
      <c r="AE96" s="429">
        <f t="shared" si="18"/>
        <v>2269.305106452925</v>
      </c>
      <c r="AF96" s="429">
        <f t="shared" si="18"/>
        <v>2302.9649340219835</v>
      </c>
      <c r="AG96" s="429">
        <f t="shared" si="18"/>
        <v>2337.2979581424229</v>
      </c>
      <c r="AH96" s="429">
        <f t="shared" si="18"/>
        <v>2372.3176427452718</v>
      </c>
      <c r="AI96" s="429">
        <f t="shared" si="18"/>
        <v>2408.0377210401766</v>
      </c>
      <c r="AJ96" s="443"/>
    </row>
    <row r="97" spans="2:36">
      <c r="B97" s="92"/>
      <c r="C97" s="444"/>
      <c r="D97" s="445"/>
      <c r="E97" s="445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3"/>
    </row>
    <row r="98" spans="2:36">
      <c r="B98" s="48" t="str">
        <f>CapEx!B147</f>
        <v>Inputs (repeating)</v>
      </c>
      <c r="C98" s="444"/>
      <c r="D98" s="445"/>
      <c r="E98" s="445"/>
      <c r="F98" s="1548">
        <f>F96/Scenarios!E8</f>
        <v>17.788073770927451</v>
      </c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3"/>
    </row>
    <row r="99" spans="2:36">
      <c r="B99" s="419"/>
      <c r="C99" s="444"/>
      <c r="D99" s="445"/>
      <c r="E99" s="445"/>
      <c r="F99" s="880"/>
      <c r="G99" s="880"/>
      <c r="H99" s="880"/>
      <c r="I99" s="880"/>
      <c r="J99" s="880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3"/>
    </row>
    <row r="100" spans="2:36">
      <c r="B100" s="1" t="str">
        <f>Inputs!$A$10</f>
        <v>Scheduled Construction Time</v>
      </c>
      <c r="C100" s="720">
        <f>Inputs!D10</f>
        <v>12</v>
      </c>
      <c r="D100" s="445"/>
      <c r="E100" s="445"/>
      <c r="F100" s="880"/>
      <c r="G100" s="880"/>
      <c r="H100" s="880"/>
      <c r="I100" s="880"/>
      <c r="J100" s="880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3"/>
    </row>
    <row r="101" spans="2:36">
      <c r="B101" s="1" t="str">
        <f>Inputs!$A$51</f>
        <v xml:space="preserve">Capacity </v>
      </c>
      <c r="C101" s="721">
        <f>Inputs!$D$51</f>
        <v>75.260000000000005</v>
      </c>
    </row>
    <row r="102" spans="2:36">
      <c r="B102" s="1" t="str">
        <f>Inputs!A85</f>
        <v>EUR CPI</v>
      </c>
      <c r="C102" s="722">
        <f>Inputs!D85</f>
        <v>0.02</v>
      </c>
    </row>
    <row r="103" spans="2:36">
      <c r="B103" s="1" t="s">
        <v>1106</v>
      </c>
      <c r="C103" s="723">
        <f>MAX(Inputs!$D$196,Inputs!$D$259)</f>
        <v>14</v>
      </c>
    </row>
    <row r="104" spans="2:36">
      <c r="B104" s="1" t="str">
        <f>Inputs!$A$442</f>
        <v>Stamp Duty</v>
      </c>
      <c r="C104" s="722">
        <f>Inputs!$D$444</f>
        <v>0</v>
      </c>
    </row>
    <row r="105" spans="2:36">
      <c r="B105" s="1" t="s">
        <v>1107</v>
      </c>
    </row>
    <row r="106" spans="2:36">
      <c r="F106" s="1070"/>
      <c r="G106" s="1070"/>
      <c r="H106" s="1070"/>
      <c r="I106" s="1070"/>
      <c r="J106" s="1070"/>
      <c r="K106" s="1070"/>
      <c r="L106" s="1070"/>
      <c r="M106" s="1070"/>
      <c r="N106" s="1070"/>
      <c r="O106" s="1070"/>
      <c r="P106" s="1070"/>
      <c r="Q106" s="1070"/>
      <c r="R106" s="1070"/>
      <c r="S106" s="1070"/>
      <c r="T106" s="1070"/>
      <c r="U106" s="1070"/>
      <c r="V106" s="1070"/>
      <c r="W106" s="1070"/>
      <c r="X106" s="1070"/>
      <c r="Y106" s="1070"/>
      <c r="Z106" s="1070"/>
      <c r="AA106" s="1070"/>
      <c r="AB106" s="1070"/>
      <c r="AC106" s="1070"/>
      <c r="AD106" s="1070"/>
      <c r="AE106" s="1070"/>
      <c r="AF106" s="1070"/>
      <c r="AG106" s="1070"/>
      <c r="AH106" s="1070"/>
      <c r="AI106" s="1070"/>
    </row>
    <row r="118" spans="33:35">
      <c r="AG118" s="420"/>
      <c r="AH118" s="420"/>
      <c r="AI118" s="420"/>
    </row>
  </sheetData>
  <conditionalFormatting sqref="AJ28:AJ30 AJ34">
    <cfRule type="cellIs" dxfId="137" priority="182" operator="equal">
      <formula>1</formula>
    </cfRule>
  </conditionalFormatting>
  <conditionalFormatting sqref="AJ32">
    <cfRule type="cellIs" dxfId="136" priority="181" operator="equal">
      <formula>1</formula>
    </cfRule>
  </conditionalFormatting>
  <conditionalFormatting sqref="AJ36">
    <cfRule type="cellIs" dxfId="135" priority="179" operator="equal">
      <formula>1</formula>
    </cfRule>
  </conditionalFormatting>
  <conditionalFormatting sqref="AJ46">
    <cfRule type="cellIs" dxfId="134" priority="178" operator="equal">
      <formula>1</formula>
    </cfRule>
  </conditionalFormatting>
  <conditionalFormatting sqref="AJ40:AJ43">
    <cfRule type="cellIs" dxfId="133" priority="177" operator="equal">
      <formula>1</formula>
    </cfRule>
  </conditionalFormatting>
  <conditionalFormatting sqref="AJ51">
    <cfRule type="cellIs" dxfId="132" priority="174" operator="equal">
      <formula>1</formula>
    </cfRule>
  </conditionalFormatting>
  <conditionalFormatting sqref="AJ55">
    <cfRule type="cellIs" dxfId="131" priority="172" operator="equal">
      <formula>1</formula>
    </cfRule>
  </conditionalFormatting>
  <conditionalFormatting sqref="AJ59:AJ60">
    <cfRule type="cellIs" dxfId="130" priority="171" operator="equal">
      <formula>1</formula>
    </cfRule>
  </conditionalFormatting>
  <conditionalFormatting sqref="AJ66">
    <cfRule type="cellIs" dxfId="129" priority="170" operator="equal">
      <formula>1</formula>
    </cfRule>
  </conditionalFormatting>
  <conditionalFormatting sqref="AJ71">
    <cfRule type="cellIs" dxfId="128" priority="168" operator="equal">
      <formula>1</formula>
    </cfRule>
  </conditionalFormatting>
  <conditionalFormatting sqref="AJ54">
    <cfRule type="cellIs" dxfId="127" priority="163" operator="equal">
      <formula>1</formula>
    </cfRule>
  </conditionalFormatting>
  <conditionalFormatting sqref="AJ37">
    <cfRule type="cellIs" dxfId="126" priority="124" operator="equal">
      <formula>1</formula>
    </cfRule>
  </conditionalFormatting>
  <conditionalFormatting sqref="AJ54:AJ55">
    <cfRule type="cellIs" dxfId="125" priority="153" operator="greaterThan">
      <formula>0</formula>
    </cfRule>
  </conditionalFormatting>
  <conditionalFormatting sqref="AJ10">
    <cfRule type="cellIs" dxfId="124" priority="129" operator="equal">
      <formula>1</formula>
    </cfRule>
  </conditionalFormatting>
  <conditionalFormatting sqref="AJ72">
    <cfRule type="cellIs" dxfId="123" priority="149" operator="equal">
      <formula>1</formula>
    </cfRule>
  </conditionalFormatting>
  <conditionalFormatting sqref="AJ75">
    <cfRule type="cellIs" dxfId="122" priority="148" operator="equal">
      <formula>1</formula>
    </cfRule>
  </conditionalFormatting>
  <conditionalFormatting sqref="AJ83:AJ89">
    <cfRule type="cellIs" dxfId="121" priority="146" operator="equal">
      <formula>1</formula>
    </cfRule>
  </conditionalFormatting>
  <conditionalFormatting sqref="AJ73">
    <cfRule type="cellIs" dxfId="120" priority="145" operator="equal">
      <formula>1</formula>
    </cfRule>
  </conditionalFormatting>
  <conditionalFormatting sqref="AJ74">
    <cfRule type="cellIs" dxfId="119" priority="143" operator="equal">
      <formula>1</formula>
    </cfRule>
  </conditionalFormatting>
  <conditionalFormatting sqref="AJ66">
    <cfRule type="cellIs" dxfId="118" priority="142" operator="equal">
      <formula>1</formula>
    </cfRule>
  </conditionalFormatting>
  <conditionalFormatting sqref="AJ27">
    <cfRule type="cellIs" dxfId="117" priority="131" operator="equal">
      <formula>1</formula>
    </cfRule>
  </conditionalFormatting>
  <conditionalFormatting sqref="AJ33">
    <cfRule type="cellIs" dxfId="116" priority="130" operator="equal">
      <formula>1</formula>
    </cfRule>
  </conditionalFormatting>
  <conditionalFormatting sqref="AJ37">
    <cfRule type="cellIs" dxfId="115" priority="120" operator="equal">
      <formula>1</formula>
    </cfRule>
  </conditionalFormatting>
  <conditionalFormatting sqref="AJ54">
    <cfRule type="cellIs" dxfId="114" priority="118" operator="equal">
      <formula>1</formula>
    </cfRule>
  </conditionalFormatting>
  <conditionalFormatting sqref="AJ50">
    <cfRule type="cellIs" dxfId="113" priority="115" operator="equal">
      <formula>1</formula>
    </cfRule>
  </conditionalFormatting>
  <conditionalFormatting sqref="AJ56">
    <cfRule type="cellIs" dxfId="112" priority="114" operator="equal">
      <formula>1</formula>
    </cfRule>
  </conditionalFormatting>
  <conditionalFormatting sqref="AJ57">
    <cfRule type="cellIs" dxfId="111" priority="113" operator="equal">
      <formula>1</formula>
    </cfRule>
  </conditionalFormatting>
  <conditionalFormatting sqref="AJ61">
    <cfRule type="cellIs" dxfId="110" priority="107" operator="equal">
      <formula>1</formula>
    </cfRule>
  </conditionalFormatting>
  <conditionalFormatting sqref="AJ62">
    <cfRule type="cellIs" dxfId="109" priority="106" operator="equal">
      <formula>1</formula>
    </cfRule>
  </conditionalFormatting>
  <conditionalFormatting sqref="AJ63">
    <cfRule type="cellIs" dxfId="108" priority="105" operator="equal">
      <formula>1</formula>
    </cfRule>
  </conditionalFormatting>
  <conditionalFormatting sqref="AJ64">
    <cfRule type="cellIs" dxfId="107" priority="104" operator="equal">
      <formula>1</formula>
    </cfRule>
  </conditionalFormatting>
  <conditionalFormatting sqref="AJ67">
    <cfRule type="cellIs" dxfId="106" priority="100" operator="equal">
      <formula>1</formula>
    </cfRule>
  </conditionalFormatting>
  <conditionalFormatting sqref="AJ68">
    <cfRule type="cellIs" dxfId="105" priority="99" operator="equal">
      <formula>1</formula>
    </cfRule>
  </conditionalFormatting>
  <conditionalFormatting sqref="AJ69">
    <cfRule type="cellIs" dxfId="104" priority="98" operator="equal">
      <formula>1</formula>
    </cfRule>
  </conditionalFormatting>
  <conditionalFormatting sqref="AJ78">
    <cfRule type="cellIs" dxfId="103" priority="92" operator="equal">
      <formula>1</formula>
    </cfRule>
  </conditionalFormatting>
  <conditionalFormatting sqref="AJ79">
    <cfRule type="cellIs" dxfId="102" priority="91" operator="equal">
      <formula>1</formula>
    </cfRule>
  </conditionalFormatting>
  <conditionalFormatting sqref="AJ80">
    <cfRule type="cellIs" dxfId="101" priority="90" operator="equal">
      <formula>1</formula>
    </cfRule>
  </conditionalFormatting>
  <conditionalFormatting sqref="AJ81">
    <cfRule type="cellIs" dxfId="100" priority="89" operator="equal">
      <formula>1</formula>
    </cfRule>
  </conditionalFormatting>
  <conditionalFormatting sqref="AJ91">
    <cfRule type="cellIs" dxfId="99" priority="81" operator="equal">
      <formula>1</formula>
    </cfRule>
  </conditionalFormatting>
  <conditionalFormatting sqref="AJ92">
    <cfRule type="cellIs" dxfId="98" priority="80" operator="equal">
      <formula>1</formula>
    </cfRule>
  </conditionalFormatting>
  <conditionalFormatting sqref="AJ93">
    <cfRule type="cellIs" dxfId="97" priority="79" operator="equal">
      <formula>1</formula>
    </cfRule>
  </conditionalFormatting>
  <conditionalFormatting sqref="C83:C85 C87:C89">
    <cfRule type="cellIs" dxfId="96" priority="76" operator="equal">
      <formula>1</formula>
    </cfRule>
  </conditionalFormatting>
  <conditionalFormatting sqref="F8:AI8">
    <cfRule type="cellIs" dxfId="95" priority="66" operator="equal">
      <formula>1</formula>
    </cfRule>
  </conditionalFormatting>
  <conditionalFormatting sqref="C91">
    <cfRule type="cellIs" dxfId="94" priority="19" operator="equal">
      <formula>1</formula>
    </cfRule>
  </conditionalFormatting>
  <conditionalFormatting sqref="F49:AI52 F54:AI57 F79:AI81 F83:AI85 F87:AI89 F46:AI47 F91:AI93 F11:AI15 F71:AI75 F59:AI64 F36:AI38 F27:AI30 F32:AI34 K21:AI21 F22:J22 P22:AI22 F23:O23 U23:AI23 F24:T24 Z24:AI24 F25:Y25 AE25:AI25 F40:AI44 F66:AI69">
    <cfRule type="cellIs" dxfId="93" priority="15" operator="greaterThan">
      <formula>0</formula>
    </cfRule>
  </conditionalFormatting>
  <conditionalFormatting sqref="F4:F7">
    <cfRule type="cellIs" dxfId="92" priority="14" operator="greaterThan">
      <formula>0</formula>
    </cfRule>
  </conditionalFormatting>
  <conditionalFormatting sqref="G4:AI7">
    <cfRule type="cellIs" dxfId="91" priority="13" operator="greaterThan">
      <formula>0</formula>
    </cfRule>
  </conditionalFormatting>
  <conditionalFormatting sqref="F9:G9">
    <cfRule type="cellIs" dxfId="90" priority="12" operator="greaterThan">
      <formula>0</formula>
    </cfRule>
  </conditionalFormatting>
  <conditionalFormatting sqref="G10:AI10">
    <cfRule type="cellIs" dxfId="89" priority="11" operator="greaterThan">
      <formula>0</formula>
    </cfRule>
  </conditionalFormatting>
  <conditionalFormatting sqref="H9:AI9">
    <cfRule type="cellIs" dxfId="88" priority="10" operator="greaterThan">
      <formula>0</formula>
    </cfRule>
  </conditionalFormatting>
  <conditionalFormatting sqref="F10">
    <cfRule type="cellIs" dxfId="87" priority="9" operator="greaterThan">
      <formula>0</formula>
    </cfRule>
  </conditionalFormatting>
  <conditionalFormatting sqref="F98">
    <cfRule type="expression" dxfId="86" priority="8">
      <formula>AND(F98&lt;&gt;#REF!, OR(#REF!="", F98&lt;&gt;""))</formula>
    </cfRule>
  </conditionalFormatting>
  <conditionalFormatting sqref="F98">
    <cfRule type="expression" dxfId="85" priority="7">
      <formula>AND(F98&lt;&gt;#REF!, OR(#REF!="", F98&lt;&gt;""))</formula>
    </cfRule>
  </conditionalFormatting>
  <conditionalFormatting sqref="F16:AI20">
    <cfRule type="cellIs" dxfId="84" priority="6" operator="greaterThan">
      <formula>0</formula>
    </cfRule>
  </conditionalFormatting>
  <conditionalFormatting sqref="F21:J21">
    <cfRule type="cellIs" dxfId="83" priority="5" operator="greaterThan">
      <formula>0</formula>
    </cfRule>
  </conditionalFormatting>
  <conditionalFormatting sqref="K22:O22">
    <cfRule type="cellIs" dxfId="82" priority="4" operator="greaterThan">
      <formula>0</formula>
    </cfRule>
  </conditionalFormatting>
  <conditionalFormatting sqref="P23:T23">
    <cfRule type="cellIs" dxfId="81" priority="3" operator="greaterThan">
      <formula>0</formula>
    </cfRule>
  </conditionalFormatting>
  <conditionalFormatting sqref="U24:Y24">
    <cfRule type="cellIs" dxfId="80" priority="2" operator="greaterThan">
      <formula>0</formula>
    </cfRule>
  </conditionalFormatting>
  <conditionalFormatting sqref="Z25:AD25">
    <cfRule type="cellIs" dxfId="79" priority="1" operator="greaterThan">
      <formula>0</formula>
    </cfRule>
  </conditionalFormatting>
  <hyperlinks>
    <hyperlink ref="B1" location="Sensitivity!D43" display="Sensitivity!D43" xr:uid="{00000000-0004-0000-0300-000000000000}"/>
  </hyperlinks>
  <pageMargins left="0.7" right="0.7" top="0.75" bottom="0.75" header="0.3" footer="0.3"/>
  <pageSetup paperSize="9" scale="20" orientation="landscape" r:id="rId1"/>
  <ignoredErrors>
    <ignoredError sqref="F35:AI35" emptyCellReferenc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" id="{57074263-47A4-4319-B947-4CE6068C3810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_sourcesuses"/>
  <dimension ref="A1:AJ75"/>
  <sheetViews>
    <sheetView showGridLines="0" zoomScale="77" zoomScaleNormal="100" workbookViewId="0">
      <pane xSplit="6" ySplit="4" topLeftCell="G5" activePane="bottomRight" state="frozen"/>
      <selection pane="bottomRight" activeCell="G42" sqref="G42"/>
      <selection pane="bottomLeft" activeCell="A10" sqref="A10"/>
      <selection pane="topRight" activeCell="F1" sqref="F1"/>
    </sheetView>
  </sheetViews>
  <sheetFormatPr defaultColWidth="9.140625" defaultRowHeight="11.25"/>
  <cols>
    <col min="1" max="1" width="38.5703125" style="304" customWidth="1"/>
    <col min="2" max="3" width="7.85546875" style="304" customWidth="1"/>
    <col min="4" max="4" width="8.5703125" style="304" bestFit="1" customWidth="1"/>
    <col min="5" max="6" width="2.5703125" style="304" customWidth="1"/>
    <col min="7" max="36" width="9.5703125" style="304" customWidth="1"/>
    <col min="37" max="37" width="2.5703125" style="304" customWidth="1"/>
    <col min="38" max="16384" width="9.140625" style="304"/>
  </cols>
  <sheetData>
    <row r="1" spans="1:36">
      <c r="A1" s="996" t="s">
        <v>1108</v>
      </c>
      <c r="C1" s="812"/>
      <c r="E1" s="894">
        <f ca="1">Outputs!$D$46</f>
        <v>11182.479442004989</v>
      </c>
      <c r="G1" s="1000">
        <f>Flags!G37</f>
        <v>47298</v>
      </c>
      <c r="H1" s="1000">
        <f>Flags!H37</f>
        <v>47300</v>
      </c>
      <c r="I1" s="1000">
        <f>Flags!I37</f>
        <v>47331</v>
      </c>
      <c r="J1" s="1000">
        <f>Flags!J37</f>
        <v>47362</v>
      </c>
      <c r="K1" s="1000">
        <f>Flags!K37</f>
        <v>47392</v>
      </c>
      <c r="L1" s="1000">
        <f>Flags!L37</f>
        <v>47423</v>
      </c>
      <c r="M1" s="1000">
        <f>Flags!M37</f>
        <v>47453</v>
      </c>
      <c r="N1" s="1000">
        <f>Flags!N37</f>
        <v>47484</v>
      </c>
      <c r="O1" s="1000">
        <f>Flags!O37</f>
        <v>47515</v>
      </c>
      <c r="P1" s="1000">
        <f>Flags!P37</f>
        <v>47543</v>
      </c>
      <c r="Q1" s="1000">
        <f>Flags!Q37</f>
        <v>47574</v>
      </c>
      <c r="R1" s="1000">
        <f>Flags!R37</f>
        <v>47604</v>
      </c>
      <c r="S1" s="1000">
        <f>Flags!S37</f>
        <v>47635</v>
      </c>
      <c r="T1" s="1000">
        <f>Flags!T37</f>
        <v>47665</v>
      </c>
      <c r="U1" s="1000">
        <f>Flags!U37</f>
        <v>47696</v>
      </c>
      <c r="V1" s="1000">
        <f>Flags!V37</f>
        <v>47727</v>
      </c>
      <c r="W1" s="1000">
        <f>Flags!W37</f>
        <v>47757</v>
      </c>
      <c r="X1" s="1000">
        <f>Flags!X37</f>
        <v>47788</v>
      </c>
      <c r="Y1" s="1000">
        <f>Flags!Y37</f>
        <v>47818</v>
      </c>
      <c r="Z1" s="1000">
        <f>Flags!Z37</f>
        <v>47849</v>
      </c>
      <c r="AA1" s="1000">
        <f>Flags!AA37</f>
        <v>47880</v>
      </c>
      <c r="AB1" s="1000">
        <f>Flags!AB37</f>
        <v>47908</v>
      </c>
      <c r="AC1" s="1000">
        <f>Flags!AC37</f>
        <v>47939</v>
      </c>
      <c r="AD1" s="1000">
        <f>Flags!AD37</f>
        <v>47969</v>
      </c>
      <c r="AE1" s="1000">
        <f>Flags!AE37</f>
        <v>48000</v>
      </c>
      <c r="AF1" s="1000">
        <f>Flags!AF37</f>
        <v>48030</v>
      </c>
      <c r="AG1" s="1000">
        <f>Flags!AG37</f>
        <v>48061</v>
      </c>
      <c r="AH1" s="1000">
        <f>Flags!AH37</f>
        <v>48092</v>
      </c>
      <c r="AI1" s="1000">
        <f>Flags!AI37</f>
        <v>48122</v>
      </c>
      <c r="AJ1" s="1000">
        <f>Flags!AJ37</f>
        <v>48153</v>
      </c>
    </row>
    <row r="2" spans="1:36" s="331" customFormat="1">
      <c r="A2" s="996" t="s">
        <v>1109</v>
      </c>
      <c r="G2" s="1000">
        <f>Flags!G38</f>
        <v>47299</v>
      </c>
      <c r="H2" s="1000">
        <f>Flags!H38</f>
        <v>47330</v>
      </c>
      <c r="I2" s="1000">
        <f>Flags!I38</f>
        <v>47361</v>
      </c>
      <c r="J2" s="1000">
        <f>Flags!J38</f>
        <v>47391</v>
      </c>
      <c r="K2" s="1000">
        <f>Flags!K38</f>
        <v>47422</v>
      </c>
      <c r="L2" s="1000">
        <f>Flags!L38</f>
        <v>47452</v>
      </c>
      <c r="M2" s="1000">
        <f>Flags!M38</f>
        <v>47483</v>
      </c>
      <c r="N2" s="1000">
        <f>Flags!N38</f>
        <v>47514</v>
      </c>
      <c r="O2" s="1000">
        <f>Flags!O38</f>
        <v>47542</v>
      </c>
      <c r="P2" s="1000">
        <f>Flags!P38</f>
        <v>47573</v>
      </c>
      <c r="Q2" s="1000">
        <f>Flags!Q38</f>
        <v>47603</v>
      </c>
      <c r="R2" s="1000">
        <f>Flags!R38</f>
        <v>47634</v>
      </c>
      <c r="S2" s="1000">
        <f>Flags!S38</f>
        <v>47664</v>
      </c>
      <c r="T2" s="1000">
        <f>Flags!T38</f>
        <v>47695</v>
      </c>
      <c r="U2" s="1000">
        <f>Flags!U38</f>
        <v>47726</v>
      </c>
      <c r="V2" s="1000">
        <f>Flags!V38</f>
        <v>47756</v>
      </c>
      <c r="W2" s="1000">
        <f>Flags!W38</f>
        <v>47787</v>
      </c>
      <c r="X2" s="1000">
        <f>Flags!X38</f>
        <v>47817</v>
      </c>
      <c r="Y2" s="1000">
        <f>Flags!Y38</f>
        <v>47848</v>
      </c>
      <c r="Z2" s="1000">
        <f>Flags!Z38</f>
        <v>47879</v>
      </c>
      <c r="AA2" s="1000">
        <f>Flags!AA38</f>
        <v>47907</v>
      </c>
      <c r="AB2" s="1000">
        <f>Flags!AB38</f>
        <v>47938</v>
      </c>
      <c r="AC2" s="1000">
        <f>Flags!AC38</f>
        <v>47968</v>
      </c>
      <c r="AD2" s="1000">
        <f>Flags!AD38</f>
        <v>47999</v>
      </c>
      <c r="AE2" s="1000">
        <f>Flags!AE38</f>
        <v>48029</v>
      </c>
      <c r="AF2" s="1000">
        <f>Flags!AF38</f>
        <v>48060</v>
      </c>
      <c r="AG2" s="1000">
        <f>Flags!AG38</f>
        <v>48091</v>
      </c>
      <c r="AH2" s="1000">
        <f>Flags!AH38</f>
        <v>48121</v>
      </c>
      <c r="AI2" s="1000">
        <f>Flags!AI38</f>
        <v>48152</v>
      </c>
      <c r="AJ2" s="1000">
        <f>Flags!AJ38</f>
        <v>48182</v>
      </c>
    </row>
    <row r="3" spans="1:36" s="331" customFormat="1">
      <c r="A3" s="871" t="str">
        <f>Flags!A39</f>
        <v>Month of Year</v>
      </c>
      <c r="D3" s="484"/>
      <c r="E3" s="484"/>
      <c r="G3" s="973">
        <f>Flags!G39*G5</f>
        <v>6</v>
      </c>
      <c r="H3" s="973">
        <f>Flags!H39*H5</f>
        <v>7</v>
      </c>
      <c r="I3" s="973">
        <f>Flags!I39*I5</f>
        <v>8</v>
      </c>
      <c r="J3" s="973">
        <f>Flags!J39*J5</f>
        <v>9</v>
      </c>
      <c r="K3" s="973">
        <f>Flags!K39*K5</f>
        <v>10</v>
      </c>
      <c r="L3" s="973">
        <f>Flags!L39*L5</f>
        <v>11</v>
      </c>
      <c r="M3" s="973">
        <f>Flags!M39*M5</f>
        <v>12</v>
      </c>
      <c r="N3" s="973">
        <f>Flags!N39*N5</f>
        <v>1</v>
      </c>
      <c r="O3" s="973">
        <f>Flags!O39*O5</f>
        <v>2</v>
      </c>
      <c r="P3" s="973">
        <f>Flags!P39*P5</f>
        <v>3</v>
      </c>
      <c r="Q3" s="973">
        <f>Flags!Q39*Q5</f>
        <v>4</v>
      </c>
      <c r="R3" s="973">
        <f>Flags!R39*R5</f>
        <v>5</v>
      </c>
      <c r="S3" s="973">
        <f>Flags!S39*S5</f>
        <v>0</v>
      </c>
      <c r="T3" s="973">
        <f>Flags!T39*T5</f>
        <v>0</v>
      </c>
      <c r="U3" s="973">
        <f>Flags!U39*U5</f>
        <v>0</v>
      </c>
      <c r="V3" s="973">
        <f>Flags!V39*V5</f>
        <v>0</v>
      </c>
      <c r="W3" s="973">
        <f>Flags!W39*W5</f>
        <v>0</v>
      </c>
      <c r="X3" s="973">
        <f>Flags!X39*X5</f>
        <v>0</v>
      </c>
      <c r="Y3" s="973">
        <f>Flags!Y39*Y5</f>
        <v>0</v>
      </c>
      <c r="Z3" s="973">
        <f>Flags!Z39*Z5</f>
        <v>0</v>
      </c>
      <c r="AA3" s="973">
        <f>Flags!AA39*AA5</f>
        <v>0</v>
      </c>
      <c r="AB3" s="973">
        <f>Flags!AB39*AB5</f>
        <v>0</v>
      </c>
      <c r="AC3" s="973">
        <f>Flags!AC39*AC5</f>
        <v>0</v>
      </c>
      <c r="AD3" s="973">
        <f>Flags!AD39*AD5</f>
        <v>0</v>
      </c>
      <c r="AE3" s="973">
        <f>Flags!AE39*AE5</f>
        <v>0</v>
      </c>
      <c r="AF3" s="973">
        <f>Flags!AF39*AF5</f>
        <v>0</v>
      </c>
      <c r="AG3" s="973">
        <f>Flags!AG39*AG5</f>
        <v>0</v>
      </c>
      <c r="AH3" s="973">
        <f>Flags!AH39*AH5</f>
        <v>0</v>
      </c>
      <c r="AI3" s="973">
        <f>Flags!AI39*AI5</f>
        <v>0</v>
      </c>
      <c r="AJ3" s="973">
        <f>Flags!AJ39*AJ5</f>
        <v>0</v>
      </c>
    </row>
    <row r="4" spans="1:36" s="331" customFormat="1">
      <c r="A4" s="861" t="s">
        <v>1110</v>
      </c>
      <c r="B4" s="864"/>
      <c r="C4" s="864"/>
      <c r="D4" s="864"/>
      <c r="E4" s="864"/>
      <c r="F4" s="863"/>
      <c r="G4" s="1077">
        <f>Flags!G40</f>
        <v>1</v>
      </c>
      <c r="H4" s="1077">
        <f>Flags!H40</f>
        <v>2</v>
      </c>
      <c r="I4" s="1077">
        <f>Flags!I40</f>
        <v>3</v>
      </c>
      <c r="J4" s="1077">
        <f>Flags!J40</f>
        <v>4</v>
      </c>
      <c r="K4" s="1077">
        <f>Flags!K40</f>
        <v>5</v>
      </c>
      <c r="L4" s="1077">
        <f>Flags!L40</f>
        <v>6</v>
      </c>
      <c r="M4" s="1077">
        <f>Flags!M40</f>
        <v>7</v>
      </c>
      <c r="N4" s="1077">
        <f>Flags!N40</f>
        <v>8</v>
      </c>
      <c r="O4" s="1077">
        <f>Flags!O40</f>
        <v>9</v>
      </c>
      <c r="P4" s="1077">
        <f>Flags!P40</f>
        <v>10</v>
      </c>
      <c r="Q4" s="1077">
        <f>Flags!Q40</f>
        <v>11</v>
      </c>
      <c r="R4" s="1077">
        <f>Flags!R40</f>
        <v>12</v>
      </c>
      <c r="S4" s="1077">
        <f>Flags!S40</f>
        <v>13</v>
      </c>
      <c r="T4" s="1077">
        <f>Flags!T40</f>
        <v>14</v>
      </c>
      <c r="U4" s="1077">
        <f>Flags!U40</f>
        <v>15</v>
      </c>
      <c r="V4" s="1077">
        <f>Flags!V40</f>
        <v>16</v>
      </c>
      <c r="W4" s="1077">
        <f>Flags!W40</f>
        <v>17</v>
      </c>
      <c r="X4" s="1077">
        <f>Flags!X40</f>
        <v>18</v>
      </c>
      <c r="Y4" s="1077">
        <f>Flags!Y40</f>
        <v>19</v>
      </c>
      <c r="Z4" s="1077">
        <f>Flags!Z40</f>
        <v>20</v>
      </c>
      <c r="AA4" s="1077">
        <f>Flags!AA40</f>
        <v>21</v>
      </c>
      <c r="AB4" s="1077">
        <f>Flags!AB40</f>
        <v>22</v>
      </c>
      <c r="AC4" s="1077">
        <f>Flags!AC40</f>
        <v>23</v>
      </c>
      <c r="AD4" s="1077">
        <f>Flags!AD40</f>
        <v>24</v>
      </c>
      <c r="AE4" s="1077">
        <f>Flags!AE40</f>
        <v>25</v>
      </c>
      <c r="AF4" s="1077">
        <f>Flags!AF40</f>
        <v>26</v>
      </c>
      <c r="AG4" s="1077">
        <f>Flags!AG40</f>
        <v>27</v>
      </c>
      <c r="AH4" s="1077">
        <f>Flags!AH40</f>
        <v>28</v>
      </c>
      <c r="AI4" s="1077">
        <f>Flags!AI40</f>
        <v>29</v>
      </c>
      <c r="AJ4" s="1077">
        <f>Flags!AJ40</f>
        <v>30</v>
      </c>
    </row>
    <row r="5" spans="1:36" s="331" customFormat="1">
      <c r="A5" s="871" t="str">
        <f>Flags!A42</f>
        <v>Construction Period</v>
      </c>
      <c r="D5" s="484"/>
      <c r="E5" s="484"/>
      <c r="G5" s="535" t="b">
        <f>Flags!G42</f>
        <v>1</v>
      </c>
      <c r="H5" s="535" t="b">
        <f>Flags!H42</f>
        <v>1</v>
      </c>
      <c r="I5" s="535" t="b">
        <f>Flags!I42</f>
        <v>1</v>
      </c>
      <c r="J5" s="535" t="b">
        <f>Flags!J42</f>
        <v>1</v>
      </c>
      <c r="K5" s="535" t="b">
        <f>Flags!K42</f>
        <v>1</v>
      </c>
      <c r="L5" s="535" t="b">
        <f>Flags!L42</f>
        <v>1</v>
      </c>
      <c r="M5" s="535" t="b">
        <f>Flags!M42</f>
        <v>1</v>
      </c>
      <c r="N5" s="535" t="b">
        <f>Flags!N42</f>
        <v>1</v>
      </c>
      <c r="O5" s="535" t="b">
        <f>Flags!O42</f>
        <v>1</v>
      </c>
      <c r="P5" s="535" t="b">
        <f>Flags!P42</f>
        <v>1</v>
      </c>
      <c r="Q5" s="535" t="b">
        <f>Flags!Q42</f>
        <v>1</v>
      </c>
      <c r="R5" s="535" t="b">
        <f>Flags!R42</f>
        <v>1</v>
      </c>
      <c r="S5" s="535" t="b">
        <f>Flags!S42</f>
        <v>0</v>
      </c>
      <c r="T5" s="535" t="b">
        <f>Flags!T42</f>
        <v>0</v>
      </c>
      <c r="U5" s="535" t="b">
        <f>Flags!U42</f>
        <v>0</v>
      </c>
      <c r="V5" s="535" t="b">
        <f>Flags!V42</f>
        <v>0</v>
      </c>
      <c r="W5" s="535" t="b">
        <f>Flags!W42</f>
        <v>0</v>
      </c>
      <c r="X5" s="535" t="b">
        <f>Flags!X42</f>
        <v>0</v>
      </c>
      <c r="Y5" s="535" t="b">
        <f>Flags!Y42</f>
        <v>0</v>
      </c>
      <c r="Z5" s="535" t="b">
        <f>Flags!Z42</f>
        <v>0</v>
      </c>
      <c r="AA5" s="535" t="b">
        <f>Flags!AA42</f>
        <v>0</v>
      </c>
      <c r="AB5" s="535" t="b">
        <f>Flags!AB42</f>
        <v>0</v>
      </c>
      <c r="AC5" s="535" t="b">
        <f>Flags!AC42</f>
        <v>0</v>
      </c>
      <c r="AD5" s="535" t="b">
        <f>Flags!AD42</f>
        <v>0</v>
      </c>
      <c r="AE5" s="535" t="b">
        <f>Flags!AE42</f>
        <v>0</v>
      </c>
      <c r="AF5" s="535" t="b">
        <f>Flags!AF42</f>
        <v>0</v>
      </c>
      <c r="AG5" s="535" t="b">
        <f>Flags!AG42</f>
        <v>0</v>
      </c>
      <c r="AH5" s="535" t="b">
        <f>Flags!AH42</f>
        <v>0</v>
      </c>
      <c r="AI5" s="535" t="b">
        <f>Flags!AI42</f>
        <v>0</v>
      </c>
      <c r="AJ5" s="535" t="b">
        <f>Flags!AJ42</f>
        <v>0</v>
      </c>
    </row>
    <row r="6" spans="1:36" s="331" customFormat="1">
      <c r="A6" s="871" t="str">
        <f>Flags!A44</f>
        <v>Interest Period</v>
      </c>
      <c r="B6" s="304"/>
      <c r="G6" s="1007">
        <f>Flags!G44</f>
        <v>5.5555555555555558E-3</v>
      </c>
      <c r="H6" s="1007">
        <f>Flags!H44</f>
        <v>8.611111111111111E-2</v>
      </c>
      <c r="I6" s="1007">
        <f>Flags!I44</f>
        <v>8.611111111111111E-2</v>
      </c>
      <c r="J6" s="1007">
        <f>Flags!J44</f>
        <v>8.3333333333333329E-2</v>
      </c>
      <c r="K6" s="1007">
        <f>Flags!K44</f>
        <v>8.611111111111111E-2</v>
      </c>
      <c r="L6" s="1007">
        <f>Flags!L44</f>
        <v>8.3333333333333329E-2</v>
      </c>
      <c r="M6" s="1007">
        <f>Flags!M44</f>
        <v>8.611111111111111E-2</v>
      </c>
      <c r="N6" s="1007">
        <f>Flags!N44</f>
        <v>8.611111111111111E-2</v>
      </c>
      <c r="O6" s="1007">
        <f>Flags!O44</f>
        <v>7.7777777777777779E-2</v>
      </c>
      <c r="P6" s="1007">
        <f>Flags!P44</f>
        <v>8.611111111111111E-2</v>
      </c>
      <c r="Q6" s="1007">
        <f>Flags!Q44</f>
        <v>8.3333333333333329E-2</v>
      </c>
      <c r="R6" s="1007">
        <f>Flags!R44</f>
        <v>8.611111111111111E-2</v>
      </c>
      <c r="S6" s="1007">
        <f>Flags!S44</f>
        <v>8.3333333333333329E-2</v>
      </c>
      <c r="T6" s="1007">
        <f>Flags!T44</f>
        <v>8.611111111111111E-2</v>
      </c>
      <c r="U6" s="1007">
        <f>Flags!U44</f>
        <v>8.611111111111111E-2</v>
      </c>
      <c r="V6" s="1007">
        <f>Flags!V44</f>
        <v>8.3333333333333329E-2</v>
      </c>
      <c r="W6" s="1007">
        <f>Flags!W44</f>
        <v>8.611111111111111E-2</v>
      </c>
      <c r="X6" s="1007">
        <f>Flags!X44</f>
        <v>8.3333333333333329E-2</v>
      </c>
      <c r="Y6" s="1007">
        <f>Flags!Y44</f>
        <v>8.611111111111111E-2</v>
      </c>
      <c r="Z6" s="1007">
        <f>Flags!Z44</f>
        <v>8.611111111111111E-2</v>
      </c>
      <c r="AA6" s="1007">
        <f>Flags!AA44</f>
        <v>7.7777777777777779E-2</v>
      </c>
      <c r="AB6" s="1007">
        <f>Flags!AB44</f>
        <v>8.611111111111111E-2</v>
      </c>
      <c r="AC6" s="1007">
        <f>Flags!AC44</f>
        <v>8.3333333333333329E-2</v>
      </c>
      <c r="AD6" s="1007">
        <f>Flags!AD44</f>
        <v>8.611111111111111E-2</v>
      </c>
      <c r="AE6" s="1007">
        <f>Flags!AE44</f>
        <v>8.3333333333333329E-2</v>
      </c>
      <c r="AF6" s="1007">
        <f>Flags!AF44</f>
        <v>8.611111111111111E-2</v>
      </c>
      <c r="AG6" s="1007">
        <f>Flags!AG44</f>
        <v>8.611111111111111E-2</v>
      </c>
      <c r="AH6" s="1007">
        <f>Flags!AH44</f>
        <v>8.3333333333333329E-2</v>
      </c>
      <c r="AI6" s="1007">
        <f>Flags!AI44</f>
        <v>8.611111111111111E-2</v>
      </c>
      <c r="AJ6" s="1007">
        <f>Flags!AJ44</f>
        <v>8.3333333333333329E-2</v>
      </c>
    </row>
    <row r="7" spans="1:36" s="331" customFormat="1">
      <c r="D7" s="484"/>
      <c r="E7" s="484"/>
      <c r="G7" s="629"/>
      <c r="H7" s="629"/>
      <c r="I7" s="629"/>
      <c r="J7" s="629"/>
      <c r="K7" s="629"/>
      <c r="L7" s="629"/>
      <c r="M7" s="629"/>
      <c r="N7" s="629"/>
      <c r="O7" s="629"/>
      <c r="P7" s="629"/>
      <c r="Q7" s="629"/>
      <c r="R7" s="629"/>
      <c r="S7" s="629"/>
      <c r="T7" s="629"/>
      <c r="U7" s="629"/>
      <c r="V7" s="629"/>
      <c r="W7" s="629"/>
      <c r="X7" s="629"/>
      <c r="Y7" s="629"/>
      <c r="Z7" s="629"/>
      <c r="AA7" s="629"/>
      <c r="AB7" s="629"/>
      <c r="AC7" s="629"/>
      <c r="AD7" s="629"/>
      <c r="AE7" s="629"/>
      <c r="AF7" s="629"/>
      <c r="AG7" s="629"/>
      <c r="AH7" s="629"/>
      <c r="AI7" s="629"/>
      <c r="AJ7" s="629"/>
    </row>
    <row r="8" spans="1:36" s="331" customFormat="1">
      <c r="A8" s="304"/>
      <c r="B8" s="331" t="s">
        <v>333</v>
      </c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</row>
    <row r="9" spans="1:36">
      <c r="A9" s="449" t="str">
        <f>Inputs!A23</f>
        <v>Production Units</v>
      </c>
      <c r="B9" s="450"/>
      <c r="C9" s="1092">
        <f>Inputs!C23</f>
        <v>10912.7</v>
      </c>
      <c r="D9" s="1255">
        <f>SUM(G9:AJ9)</f>
        <v>1</v>
      </c>
      <c r="E9" s="1099"/>
      <c r="G9" s="1086">
        <f>Inputs!E23</f>
        <v>8.3333333333333329E-2</v>
      </c>
      <c r="H9" s="1087">
        <f>Inputs!F23</f>
        <v>8.3333333333333329E-2</v>
      </c>
      <c r="I9" s="1087">
        <f>Inputs!G23</f>
        <v>8.3333333333333329E-2</v>
      </c>
      <c r="J9" s="1087">
        <f>Inputs!H23</f>
        <v>8.3333333333333329E-2</v>
      </c>
      <c r="K9" s="1087">
        <f>Inputs!I23</f>
        <v>8.3333333333333329E-2</v>
      </c>
      <c r="L9" s="1087">
        <f>Inputs!J23</f>
        <v>8.3333333333333329E-2</v>
      </c>
      <c r="M9" s="1087">
        <f>Inputs!K23</f>
        <v>8.3333333333333329E-2</v>
      </c>
      <c r="N9" s="1087">
        <f>Inputs!L23</f>
        <v>8.3333333333333329E-2</v>
      </c>
      <c r="O9" s="1087">
        <f>Inputs!M23</f>
        <v>8.3333333333333329E-2</v>
      </c>
      <c r="P9" s="1087">
        <f>Inputs!N23</f>
        <v>8.3333333333333329E-2</v>
      </c>
      <c r="Q9" s="1087">
        <f>Inputs!O23</f>
        <v>8.3333333333333329E-2</v>
      </c>
      <c r="R9" s="1087">
        <f>Inputs!P23</f>
        <v>8.3333333333333329E-2</v>
      </c>
      <c r="S9" s="1087">
        <f>Inputs!Q23</f>
        <v>0</v>
      </c>
      <c r="T9" s="1087">
        <f>Inputs!R23</f>
        <v>0</v>
      </c>
      <c r="U9" s="1087">
        <f>Inputs!S23</f>
        <v>0</v>
      </c>
      <c r="V9" s="1087">
        <f>Inputs!T23</f>
        <v>0</v>
      </c>
      <c r="W9" s="1087">
        <f>Inputs!U23</f>
        <v>0</v>
      </c>
      <c r="X9" s="1087">
        <f>Inputs!V23</f>
        <v>0</v>
      </c>
      <c r="Y9" s="1087">
        <f>Inputs!W23</f>
        <v>0</v>
      </c>
      <c r="Z9" s="1087">
        <f>Inputs!X23</f>
        <v>0</v>
      </c>
      <c r="AA9" s="1087">
        <f>Inputs!Y23</f>
        <v>0</v>
      </c>
      <c r="AB9" s="1087">
        <f>Inputs!Z23</f>
        <v>0</v>
      </c>
      <c r="AC9" s="1087">
        <f>Inputs!AA23</f>
        <v>0</v>
      </c>
      <c r="AD9" s="1087">
        <f>Inputs!AB23</f>
        <v>0</v>
      </c>
      <c r="AE9" s="1087">
        <f>Inputs!AC23</f>
        <v>0</v>
      </c>
      <c r="AF9" s="1087">
        <f>Inputs!AD23</f>
        <v>0</v>
      </c>
      <c r="AG9" s="1087">
        <f>Inputs!AE23</f>
        <v>0</v>
      </c>
      <c r="AH9" s="1087">
        <f>Inputs!AF23</f>
        <v>0</v>
      </c>
      <c r="AI9" s="1087">
        <f>Inputs!AG23</f>
        <v>0</v>
      </c>
      <c r="AJ9" s="1087">
        <f>Inputs!AH23</f>
        <v>0</v>
      </c>
    </row>
    <row r="10" spans="1:36">
      <c r="A10" s="451" t="str">
        <f>Inputs!A24</f>
        <v>EPC Contract</v>
      </c>
      <c r="C10" s="1093">
        <f>Inputs!C24</f>
        <v>26430</v>
      </c>
      <c r="D10" s="1256">
        <f t="shared" ref="D10:D31" si="0">SUM(G10:AJ10)</f>
        <v>1</v>
      </c>
      <c r="E10" s="1099"/>
      <c r="G10" s="1088">
        <f>Inputs!E24</f>
        <v>8.3333333333333329E-2</v>
      </c>
      <c r="H10" s="1089">
        <f>Inputs!F24</f>
        <v>8.3333333333333329E-2</v>
      </c>
      <c r="I10" s="1089">
        <f>Inputs!G24</f>
        <v>8.3333333333333329E-2</v>
      </c>
      <c r="J10" s="1089">
        <f>Inputs!H24</f>
        <v>8.3333333333333329E-2</v>
      </c>
      <c r="K10" s="1089">
        <f>Inputs!I24</f>
        <v>8.3333333333333329E-2</v>
      </c>
      <c r="L10" s="1089">
        <f>Inputs!J24</f>
        <v>8.3333333333333329E-2</v>
      </c>
      <c r="M10" s="1089">
        <f>Inputs!K24</f>
        <v>8.3333333333333329E-2</v>
      </c>
      <c r="N10" s="1089">
        <f>Inputs!L24</f>
        <v>8.3333333333333329E-2</v>
      </c>
      <c r="O10" s="1089">
        <f>Inputs!M24</f>
        <v>8.3333333333333329E-2</v>
      </c>
      <c r="P10" s="1089">
        <f>Inputs!N24</f>
        <v>8.3333333333333329E-2</v>
      </c>
      <c r="Q10" s="1089">
        <f>Inputs!O24</f>
        <v>8.3333333333333329E-2</v>
      </c>
      <c r="R10" s="1089">
        <f>Inputs!P24</f>
        <v>8.3333333333333329E-2</v>
      </c>
      <c r="S10" s="1089">
        <f>Inputs!Q24</f>
        <v>0</v>
      </c>
      <c r="T10" s="1089">
        <f>Inputs!R24</f>
        <v>0</v>
      </c>
      <c r="U10" s="1089">
        <f>Inputs!S24</f>
        <v>0</v>
      </c>
      <c r="V10" s="1089">
        <f>Inputs!T24</f>
        <v>0</v>
      </c>
      <c r="W10" s="1089">
        <f>Inputs!U24</f>
        <v>0</v>
      </c>
      <c r="X10" s="1089">
        <f>Inputs!V24</f>
        <v>0</v>
      </c>
      <c r="Y10" s="1089">
        <f>Inputs!W24</f>
        <v>0</v>
      </c>
      <c r="Z10" s="1089">
        <f>Inputs!X24</f>
        <v>0</v>
      </c>
      <c r="AA10" s="1089">
        <f>Inputs!Y24</f>
        <v>0</v>
      </c>
      <c r="AB10" s="1089">
        <f>Inputs!Z24</f>
        <v>0</v>
      </c>
      <c r="AC10" s="1089">
        <f>Inputs!AA24</f>
        <v>0</v>
      </c>
      <c r="AD10" s="1089">
        <f>Inputs!AB24</f>
        <v>0</v>
      </c>
      <c r="AE10" s="1089">
        <f>Inputs!AC24</f>
        <v>0</v>
      </c>
      <c r="AF10" s="1089">
        <f>Inputs!AD24</f>
        <v>0</v>
      </c>
      <c r="AG10" s="1089">
        <f>Inputs!AE24</f>
        <v>0</v>
      </c>
      <c r="AH10" s="1089">
        <f>Inputs!AF24</f>
        <v>0</v>
      </c>
      <c r="AI10" s="1089">
        <f>Inputs!AG24</f>
        <v>0</v>
      </c>
      <c r="AJ10" s="1089">
        <f>Inputs!AH24</f>
        <v>0</v>
      </c>
    </row>
    <row r="11" spans="1:36">
      <c r="A11" s="451" t="str">
        <f>Inputs!A25</f>
        <v>EPC other costs</v>
      </c>
      <c r="C11" s="1093">
        <f>Inputs!C25</f>
        <v>2014</v>
      </c>
      <c r="D11" s="1256">
        <f t="shared" si="0"/>
        <v>1</v>
      </c>
      <c r="E11" s="1099"/>
      <c r="G11" s="1088">
        <f>Inputs!E25</f>
        <v>8.3333333333333329E-2</v>
      </c>
      <c r="H11" s="1089">
        <f>Inputs!F25</f>
        <v>8.3333333333333329E-2</v>
      </c>
      <c r="I11" s="1089">
        <f>Inputs!G25</f>
        <v>8.3333333333333329E-2</v>
      </c>
      <c r="J11" s="1089">
        <f>Inputs!H25</f>
        <v>8.3333333333333329E-2</v>
      </c>
      <c r="K11" s="1089">
        <f>Inputs!I25</f>
        <v>8.3333333333333329E-2</v>
      </c>
      <c r="L11" s="1089">
        <f>Inputs!J25</f>
        <v>8.3333333333333329E-2</v>
      </c>
      <c r="M11" s="1089">
        <f>Inputs!K25</f>
        <v>8.3333333333333329E-2</v>
      </c>
      <c r="N11" s="1089">
        <f>Inputs!L25</f>
        <v>8.3333333333333329E-2</v>
      </c>
      <c r="O11" s="1089">
        <f>Inputs!M25</f>
        <v>8.3333333333333329E-2</v>
      </c>
      <c r="P11" s="1089">
        <f>Inputs!N25</f>
        <v>8.3333333333333329E-2</v>
      </c>
      <c r="Q11" s="1089">
        <f>Inputs!O25</f>
        <v>8.3333333333333329E-2</v>
      </c>
      <c r="R11" s="1089">
        <f>Inputs!P25</f>
        <v>8.3333333333333329E-2</v>
      </c>
      <c r="S11" s="1089">
        <f>Inputs!Q25</f>
        <v>0</v>
      </c>
      <c r="T11" s="1089">
        <f>Inputs!R25</f>
        <v>0</v>
      </c>
      <c r="U11" s="1089">
        <f>Inputs!S25</f>
        <v>0</v>
      </c>
      <c r="V11" s="1089">
        <f>Inputs!T25</f>
        <v>0</v>
      </c>
      <c r="W11" s="1089">
        <f>Inputs!U25</f>
        <v>0</v>
      </c>
      <c r="X11" s="1089">
        <f>Inputs!V25</f>
        <v>0</v>
      </c>
      <c r="Y11" s="1089">
        <f>Inputs!W25</f>
        <v>0</v>
      </c>
      <c r="Z11" s="1089">
        <f>Inputs!X25</f>
        <v>0</v>
      </c>
      <c r="AA11" s="1089">
        <f>Inputs!Y25</f>
        <v>0</v>
      </c>
      <c r="AB11" s="1089">
        <f>Inputs!Z25</f>
        <v>0</v>
      </c>
      <c r="AC11" s="1089">
        <f>Inputs!AA25</f>
        <v>0</v>
      </c>
      <c r="AD11" s="1089">
        <f>Inputs!AB25</f>
        <v>0</v>
      </c>
      <c r="AE11" s="1089">
        <f>Inputs!AC25</f>
        <v>0</v>
      </c>
      <c r="AF11" s="1089">
        <f>Inputs!AD25</f>
        <v>0</v>
      </c>
      <c r="AG11" s="1089">
        <f>Inputs!AE25</f>
        <v>0</v>
      </c>
      <c r="AH11" s="1089">
        <f>Inputs!AF25</f>
        <v>0</v>
      </c>
      <c r="AI11" s="1089">
        <f>Inputs!AG25</f>
        <v>0</v>
      </c>
      <c r="AJ11" s="1089">
        <f>Inputs!AH25</f>
        <v>0</v>
      </c>
    </row>
    <row r="12" spans="1:36">
      <c r="A12" s="451" t="str">
        <f>Inputs!A26</f>
        <v>Grid connection</v>
      </c>
      <c r="C12" s="1093">
        <f>Inputs!C26</f>
        <v>4050</v>
      </c>
      <c r="D12" s="1256">
        <f t="shared" si="0"/>
        <v>1</v>
      </c>
      <c r="E12" s="1099"/>
      <c r="G12" s="1088">
        <f>Inputs!E26</f>
        <v>8.3333333333333329E-2</v>
      </c>
      <c r="H12" s="1089">
        <f>Inputs!F26</f>
        <v>8.3333333333333329E-2</v>
      </c>
      <c r="I12" s="1089">
        <f>Inputs!G26</f>
        <v>8.3333333333333329E-2</v>
      </c>
      <c r="J12" s="1089">
        <f>Inputs!H26</f>
        <v>8.3333333333333329E-2</v>
      </c>
      <c r="K12" s="1089">
        <f>Inputs!I26</f>
        <v>8.3333333333333329E-2</v>
      </c>
      <c r="L12" s="1089">
        <f>Inputs!J26</f>
        <v>8.3333333333333329E-2</v>
      </c>
      <c r="M12" s="1089">
        <f>Inputs!K26</f>
        <v>8.3333333333333329E-2</v>
      </c>
      <c r="N12" s="1089">
        <f>Inputs!L26</f>
        <v>8.3333333333333329E-2</v>
      </c>
      <c r="O12" s="1089">
        <f>Inputs!M26</f>
        <v>8.3333333333333329E-2</v>
      </c>
      <c r="P12" s="1089">
        <f>Inputs!N26</f>
        <v>8.3333333333333329E-2</v>
      </c>
      <c r="Q12" s="1089">
        <f>Inputs!O26</f>
        <v>8.3333333333333329E-2</v>
      </c>
      <c r="R12" s="1089">
        <f>Inputs!P26</f>
        <v>8.3333333333333329E-2</v>
      </c>
      <c r="S12" s="1089">
        <f>Inputs!Q26</f>
        <v>0</v>
      </c>
      <c r="T12" s="1089">
        <f>Inputs!R26</f>
        <v>0</v>
      </c>
      <c r="U12" s="1089">
        <f>Inputs!S26</f>
        <v>0</v>
      </c>
      <c r="V12" s="1089">
        <f>Inputs!T26</f>
        <v>0</v>
      </c>
      <c r="W12" s="1089">
        <f>Inputs!U26</f>
        <v>0</v>
      </c>
      <c r="X12" s="1089">
        <f>Inputs!V26</f>
        <v>0</v>
      </c>
      <c r="Y12" s="1089">
        <f>Inputs!W26</f>
        <v>0</v>
      </c>
      <c r="Z12" s="1089">
        <f>Inputs!X26</f>
        <v>0</v>
      </c>
      <c r="AA12" s="1089">
        <f>Inputs!Y26</f>
        <v>0</v>
      </c>
      <c r="AB12" s="1089">
        <f>Inputs!Z26</f>
        <v>0</v>
      </c>
      <c r="AC12" s="1089">
        <f>Inputs!AA26</f>
        <v>0</v>
      </c>
      <c r="AD12" s="1089">
        <f>Inputs!AB26</f>
        <v>0</v>
      </c>
      <c r="AE12" s="1089">
        <f>Inputs!AC26</f>
        <v>0</v>
      </c>
      <c r="AF12" s="1089">
        <f>Inputs!AD26</f>
        <v>0</v>
      </c>
      <c r="AG12" s="1089">
        <f>Inputs!AE26</f>
        <v>0</v>
      </c>
      <c r="AH12" s="1089">
        <f>Inputs!AF26</f>
        <v>0</v>
      </c>
      <c r="AI12" s="1089">
        <f>Inputs!AG26</f>
        <v>0</v>
      </c>
      <c r="AJ12" s="1089">
        <f>Inputs!AH26</f>
        <v>0</v>
      </c>
    </row>
    <row r="13" spans="1:36">
      <c r="A13" s="451" t="str">
        <f>Inputs!A27</f>
        <v>Investments to prepare operation phase</v>
      </c>
      <c r="C13" s="1093">
        <f>Inputs!C27</f>
        <v>150</v>
      </c>
      <c r="D13" s="1256">
        <f t="shared" si="0"/>
        <v>1</v>
      </c>
      <c r="E13" s="1099"/>
      <c r="G13" s="1088">
        <f>Inputs!E27</f>
        <v>8.3333333333333329E-2</v>
      </c>
      <c r="H13" s="1089">
        <f>Inputs!F27</f>
        <v>8.3333333333333329E-2</v>
      </c>
      <c r="I13" s="1089">
        <f>Inputs!G27</f>
        <v>8.3333333333333329E-2</v>
      </c>
      <c r="J13" s="1089">
        <f>Inputs!H27</f>
        <v>8.3333333333333329E-2</v>
      </c>
      <c r="K13" s="1089">
        <f>Inputs!I27</f>
        <v>8.3333333333333329E-2</v>
      </c>
      <c r="L13" s="1089">
        <f>Inputs!J27</f>
        <v>8.3333333333333329E-2</v>
      </c>
      <c r="M13" s="1089">
        <f>Inputs!K27</f>
        <v>8.3333333333333329E-2</v>
      </c>
      <c r="N13" s="1089">
        <f>Inputs!L27</f>
        <v>8.3333333333333329E-2</v>
      </c>
      <c r="O13" s="1089">
        <f>Inputs!M27</f>
        <v>8.3333333333333329E-2</v>
      </c>
      <c r="P13" s="1089">
        <f>Inputs!N27</f>
        <v>8.3333333333333329E-2</v>
      </c>
      <c r="Q13" s="1089">
        <f>Inputs!O27</f>
        <v>8.3333333333333329E-2</v>
      </c>
      <c r="R13" s="1089">
        <f>Inputs!P27</f>
        <v>8.3333333333333329E-2</v>
      </c>
      <c r="S13" s="1089">
        <f>Inputs!Q27</f>
        <v>0</v>
      </c>
      <c r="T13" s="1089">
        <f>Inputs!R27</f>
        <v>0</v>
      </c>
      <c r="U13" s="1089">
        <f>Inputs!S27</f>
        <v>0</v>
      </c>
      <c r="V13" s="1089">
        <f>Inputs!T27</f>
        <v>0</v>
      </c>
      <c r="W13" s="1089">
        <f>Inputs!U27</f>
        <v>0</v>
      </c>
      <c r="X13" s="1089">
        <f>Inputs!V27</f>
        <v>0</v>
      </c>
      <c r="Y13" s="1089">
        <f>Inputs!W27</f>
        <v>0</v>
      </c>
      <c r="Z13" s="1089">
        <f>Inputs!X27</f>
        <v>0</v>
      </c>
      <c r="AA13" s="1089">
        <f>Inputs!Y27</f>
        <v>0</v>
      </c>
      <c r="AB13" s="1089">
        <f>Inputs!Z27</f>
        <v>0</v>
      </c>
      <c r="AC13" s="1089">
        <f>Inputs!AA27</f>
        <v>0</v>
      </c>
      <c r="AD13" s="1089">
        <f>Inputs!AB27</f>
        <v>0</v>
      </c>
      <c r="AE13" s="1089">
        <f>Inputs!AC27</f>
        <v>0</v>
      </c>
      <c r="AF13" s="1089">
        <f>Inputs!AD27</f>
        <v>0</v>
      </c>
      <c r="AG13" s="1089">
        <f>Inputs!AE27</f>
        <v>0</v>
      </c>
      <c r="AH13" s="1089">
        <f>Inputs!AF27</f>
        <v>0</v>
      </c>
      <c r="AI13" s="1089">
        <f>Inputs!AG27</f>
        <v>0</v>
      </c>
      <c r="AJ13" s="1089">
        <f>Inputs!AH27</f>
        <v>0</v>
      </c>
    </row>
    <row r="14" spans="1:36">
      <c r="A14" s="451" t="str">
        <f>Inputs!A28</f>
        <v>Insurances</v>
      </c>
      <c r="C14" s="1093">
        <f>Inputs!C28</f>
        <v>320</v>
      </c>
      <c r="D14" s="1256">
        <f t="shared" si="0"/>
        <v>1</v>
      </c>
      <c r="E14" s="1099"/>
      <c r="G14" s="1088">
        <f>Inputs!E28</f>
        <v>1</v>
      </c>
      <c r="H14" s="1089">
        <f>Inputs!F28</f>
        <v>0</v>
      </c>
      <c r="I14" s="1089">
        <f>Inputs!G28</f>
        <v>0</v>
      </c>
      <c r="J14" s="1089">
        <f>Inputs!H28</f>
        <v>0</v>
      </c>
      <c r="K14" s="1089">
        <f>Inputs!I28</f>
        <v>0</v>
      </c>
      <c r="L14" s="1089">
        <f>Inputs!J28</f>
        <v>0</v>
      </c>
      <c r="M14" s="1089">
        <f>Inputs!K28</f>
        <v>0</v>
      </c>
      <c r="N14" s="1089">
        <f>Inputs!L28</f>
        <v>0</v>
      </c>
      <c r="O14" s="1089">
        <f>Inputs!M28</f>
        <v>0</v>
      </c>
      <c r="P14" s="1089">
        <f>Inputs!N28</f>
        <v>0</v>
      </c>
      <c r="Q14" s="1089">
        <f>Inputs!O28</f>
        <v>0</v>
      </c>
      <c r="R14" s="1089">
        <f>Inputs!P28</f>
        <v>0</v>
      </c>
      <c r="S14" s="1089">
        <f>Inputs!Q28</f>
        <v>0</v>
      </c>
      <c r="T14" s="1089">
        <f>Inputs!R28</f>
        <v>0</v>
      </c>
      <c r="U14" s="1089">
        <f>Inputs!S28</f>
        <v>0</v>
      </c>
      <c r="V14" s="1089">
        <f>Inputs!T28</f>
        <v>0</v>
      </c>
      <c r="W14" s="1089">
        <f>Inputs!U28</f>
        <v>0</v>
      </c>
      <c r="X14" s="1089">
        <f>Inputs!V28</f>
        <v>0</v>
      </c>
      <c r="Y14" s="1089">
        <f>Inputs!W28</f>
        <v>0</v>
      </c>
      <c r="Z14" s="1089">
        <f>Inputs!X28</f>
        <v>0</v>
      </c>
      <c r="AA14" s="1089">
        <f>Inputs!Y28</f>
        <v>0</v>
      </c>
      <c r="AB14" s="1089">
        <f>Inputs!Z28</f>
        <v>0</v>
      </c>
      <c r="AC14" s="1089">
        <f>Inputs!AA28</f>
        <v>0</v>
      </c>
      <c r="AD14" s="1089">
        <f>Inputs!AB28</f>
        <v>0</v>
      </c>
      <c r="AE14" s="1089">
        <f>Inputs!AC28</f>
        <v>0</v>
      </c>
      <c r="AF14" s="1089">
        <f>Inputs!AD28</f>
        <v>0</v>
      </c>
      <c r="AG14" s="1089">
        <f>Inputs!AE28</f>
        <v>0</v>
      </c>
      <c r="AH14" s="1089">
        <f>Inputs!AF28</f>
        <v>0</v>
      </c>
      <c r="AI14" s="1089">
        <f>Inputs!AG28</f>
        <v>0</v>
      </c>
      <c r="AJ14" s="1089">
        <f>Inputs!AH28</f>
        <v>0</v>
      </c>
    </row>
    <row r="15" spans="1:36">
      <c r="A15" s="451" t="str">
        <f>Inputs!A29</f>
        <v>Lease and Property Tax</v>
      </c>
      <c r="C15" s="1093">
        <f>Inputs!C29</f>
        <v>0</v>
      </c>
      <c r="D15" s="1256">
        <f t="shared" si="0"/>
        <v>0</v>
      </c>
      <c r="E15" s="1099"/>
      <c r="G15" s="1088">
        <f>Inputs!E29</f>
        <v>0</v>
      </c>
      <c r="H15" s="1089">
        <f>Inputs!F29</f>
        <v>0</v>
      </c>
      <c r="I15" s="1089">
        <f>Inputs!G29</f>
        <v>0</v>
      </c>
      <c r="J15" s="1089">
        <f>Inputs!H29</f>
        <v>0</v>
      </c>
      <c r="K15" s="1089">
        <f>Inputs!I29</f>
        <v>0</v>
      </c>
      <c r="L15" s="1089">
        <f>Inputs!J29</f>
        <v>0</v>
      </c>
      <c r="M15" s="1089">
        <f>Inputs!K29</f>
        <v>0</v>
      </c>
      <c r="N15" s="1089">
        <f>Inputs!L29</f>
        <v>0</v>
      </c>
      <c r="O15" s="1089">
        <f>Inputs!M29</f>
        <v>0</v>
      </c>
      <c r="P15" s="1089">
        <f>Inputs!N29</f>
        <v>0</v>
      </c>
      <c r="Q15" s="1089">
        <f>Inputs!O29</f>
        <v>0</v>
      </c>
      <c r="R15" s="1089">
        <f>Inputs!P29</f>
        <v>0</v>
      </c>
      <c r="S15" s="1089">
        <f>Inputs!Q29</f>
        <v>0</v>
      </c>
      <c r="T15" s="1089">
        <f>Inputs!R29</f>
        <v>0</v>
      </c>
      <c r="U15" s="1089">
        <f>Inputs!S29</f>
        <v>0</v>
      </c>
      <c r="V15" s="1089">
        <f>Inputs!T29</f>
        <v>0</v>
      </c>
      <c r="W15" s="1089">
        <f>Inputs!U29</f>
        <v>0</v>
      </c>
      <c r="X15" s="1089">
        <f>Inputs!V29</f>
        <v>0</v>
      </c>
      <c r="Y15" s="1089">
        <f>Inputs!W29</f>
        <v>0</v>
      </c>
      <c r="Z15" s="1089">
        <f>Inputs!X29</f>
        <v>0</v>
      </c>
      <c r="AA15" s="1089">
        <f>Inputs!Y29</f>
        <v>0</v>
      </c>
      <c r="AB15" s="1089">
        <f>Inputs!Z29</f>
        <v>0</v>
      </c>
      <c r="AC15" s="1089">
        <f>Inputs!AA29</f>
        <v>0</v>
      </c>
      <c r="AD15" s="1089">
        <f>Inputs!AB29</f>
        <v>0</v>
      </c>
      <c r="AE15" s="1089">
        <f>Inputs!AC29</f>
        <v>0</v>
      </c>
      <c r="AF15" s="1089">
        <f>Inputs!AD29</f>
        <v>0</v>
      </c>
      <c r="AG15" s="1089">
        <f>Inputs!AE29</f>
        <v>0</v>
      </c>
      <c r="AH15" s="1089">
        <f>Inputs!AF29</f>
        <v>0</v>
      </c>
      <c r="AI15" s="1089">
        <f>Inputs!AG29</f>
        <v>0</v>
      </c>
      <c r="AJ15" s="1089">
        <f>Inputs!AH29</f>
        <v>0</v>
      </c>
    </row>
    <row r="16" spans="1:36">
      <c r="A16" s="451" t="str">
        <f>Inputs!A30</f>
        <v>Project finance costs due at closing</v>
      </c>
      <c r="C16" s="1093">
        <f>Inputs!C30</f>
        <v>355</v>
      </c>
      <c r="D16" s="1256">
        <f t="shared" si="0"/>
        <v>1</v>
      </c>
      <c r="E16" s="1099"/>
      <c r="G16" s="1088">
        <f>Inputs!E30</f>
        <v>1</v>
      </c>
      <c r="H16" s="1089">
        <f>Inputs!F30</f>
        <v>0</v>
      </c>
      <c r="I16" s="1089">
        <f>Inputs!G30</f>
        <v>0</v>
      </c>
      <c r="J16" s="1089">
        <f>Inputs!H30</f>
        <v>0</v>
      </c>
      <c r="K16" s="1089">
        <f>Inputs!I30</f>
        <v>0</v>
      </c>
      <c r="L16" s="1089">
        <f>Inputs!J30</f>
        <v>0</v>
      </c>
      <c r="M16" s="1089">
        <f>Inputs!K30</f>
        <v>0</v>
      </c>
      <c r="N16" s="1089">
        <f>Inputs!L30</f>
        <v>0</v>
      </c>
      <c r="O16" s="1089">
        <f>Inputs!M30</f>
        <v>0</v>
      </c>
      <c r="P16" s="1089">
        <f>Inputs!N30</f>
        <v>0</v>
      </c>
      <c r="Q16" s="1089">
        <f>Inputs!O30</f>
        <v>0</v>
      </c>
      <c r="R16" s="1089">
        <f>Inputs!P30</f>
        <v>0</v>
      </c>
      <c r="S16" s="1089">
        <f>Inputs!Q30</f>
        <v>0</v>
      </c>
      <c r="T16" s="1089">
        <f>Inputs!R30</f>
        <v>0</v>
      </c>
      <c r="U16" s="1089">
        <f>Inputs!S30</f>
        <v>0</v>
      </c>
      <c r="V16" s="1089">
        <f>Inputs!T30</f>
        <v>0</v>
      </c>
      <c r="W16" s="1089">
        <f>Inputs!U30</f>
        <v>0</v>
      </c>
      <c r="X16" s="1089">
        <f>Inputs!V30</f>
        <v>0</v>
      </c>
      <c r="Y16" s="1089">
        <f>Inputs!W30</f>
        <v>0</v>
      </c>
      <c r="Z16" s="1089">
        <f>Inputs!X30</f>
        <v>0</v>
      </c>
      <c r="AA16" s="1089">
        <f>Inputs!Y30</f>
        <v>0</v>
      </c>
      <c r="AB16" s="1089">
        <f>Inputs!Z30</f>
        <v>0</v>
      </c>
      <c r="AC16" s="1089">
        <f>Inputs!AA30</f>
        <v>0</v>
      </c>
      <c r="AD16" s="1089">
        <f>Inputs!AB30</f>
        <v>0</v>
      </c>
      <c r="AE16" s="1089">
        <f>Inputs!AC30</f>
        <v>0</v>
      </c>
      <c r="AF16" s="1089">
        <f>Inputs!AD30</f>
        <v>0</v>
      </c>
      <c r="AG16" s="1089">
        <f>Inputs!AE30</f>
        <v>0</v>
      </c>
      <c r="AH16" s="1089">
        <f>Inputs!AF30</f>
        <v>0</v>
      </c>
      <c r="AI16" s="1089">
        <f>Inputs!AG30</f>
        <v>0</v>
      </c>
      <c r="AJ16" s="1089">
        <f>Inputs!AH30</f>
        <v>0</v>
      </c>
    </row>
    <row r="17" spans="1:36">
      <c r="A17" s="451" t="str">
        <f>Inputs!A31</f>
        <v>Construction Management</v>
      </c>
      <c r="C17" s="1093">
        <f>Inputs!C31</f>
        <v>0</v>
      </c>
      <c r="D17" s="1256">
        <f t="shared" si="0"/>
        <v>0</v>
      </c>
      <c r="E17" s="1099"/>
      <c r="G17" s="1088">
        <f>Inputs!E31</f>
        <v>0</v>
      </c>
      <c r="H17" s="1089">
        <f>Inputs!F31</f>
        <v>0</v>
      </c>
      <c r="I17" s="1089">
        <f>Inputs!G31</f>
        <v>0</v>
      </c>
      <c r="J17" s="1089">
        <f>Inputs!H31</f>
        <v>0</v>
      </c>
      <c r="K17" s="1089">
        <f>Inputs!I31</f>
        <v>0</v>
      </c>
      <c r="L17" s="1089">
        <f>Inputs!J31</f>
        <v>0</v>
      </c>
      <c r="M17" s="1089">
        <f>Inputs!K31</f>
        <v>0</v>
      </c>
      <c r="N17" s="1089">
        <f>Inputs!L31</f>
        <v>0</v>
      </c>
      <c r="O17" s="1089">
        <f>Inputs!M31</f>
        <v>0</v>
      </c>
      <c r="P17" s="1089">
        <f>Inputs!N31</f>
        <v>0</v>
      </c>
      <c r="Q17" s="1089">
        <f>Inputs!O31</f>
        <v>0</v>
      </c>
      <c r="R17" s="1089">
        <f>Inputs!P31</f>
        <v>0</v>
      </c>
      <c r="S17" s="1089">
        <f>Inputs!Q31</f>
        <v>0</v>
      </c>
      <c r="T17" s="1089">
        <f>Inputs!R31</f>
        <v>0</v>
      </c>
      <c r="U17" s="1089">
        <f>Inputs!S31</f>
        <v>0</v>
      </c>
      <c r="V17" s="1089">
        <f>Inputs!T31</f>
        <v>0</v>
      </c>
      <c r="W17" s="1089">
        <f>Inputs!U31</f>
        <v>0</v>
      </c>
      <c r="X17" s="1089">
        <f>Inputs!V31</f>
        <v>0</v>
      </c>
      <c r="Y17" s="1089">
        <f>Inputs!W31</f>
        <v>0</v>
      </c>
      <c r="Z17" s="1089">
        <f>Inputs!X31</f>
        <v>0</v>
      </c>
      <c r="AA17" s="1089">
        <f>Inputs!Y31</f>
        <v>0</v>
      </c>
      <c r="AB17" s="1089">
        <f>Inputs!Z31</f>
        <v>0</v>
      </c>
      <c r="AC17" s="1089">
        <f>Inputs!AA31</f>
        <v>0</v>
      </c>
      <c r="AD17" s="1089">
        <f>Inputs!AB31</f>
        <v>0</v>
      </c>
      <c r="AE17" s="1089">
        <f>Inputs!AC31</f>
        <v>0</v>
      </c>
      <c r="AF17" s="1089">
        <f>Inputs!AD31</f>
        <v>0</v>
      </c>
      <c r="AG17" s="1089">
        <f>Inputs!AE31</f>
        <v>0</v>
      </c>
      <c r="AH17" s="1089">
        <f>Inputs!AF31</f>
        <v>0</v>
      </c>
      <c r="AI17" s="1089">
        <f>Inputs!AG31</f>
        <v>0</v>
      </c>
      <c r="AJ17" s="1089">
        <f>Inputs!AH31</f>
        <v>0</v>
      </c>
    </row>
    <row r="18" spans="1:36">
      <c r="A18" s="451" t="str">
        <f>Inputs!A32</f>
        <v>Commissioning</v>
      </c>
      <c r="C18" s="1093">
        <f>Inputs!C32</f>
        <v>17</v>
      </c>
      <c r="D18" s="1256">
        <f t="shared" si="0"/>
        <v>1</v>
      </c>
      <c r="E18" s="1099"/>
      <c r="G18" s="1088">
        <f>Inputs!E32</f>
        <v>0</v>
      </c>
      <c r="H18" s="1089">
        <f>Inputs!F32</f>
        <v>0</v>
      </c>
      <c r="I18" s="1089">
        <f>Inputs!G32</f>
        <v>0</v>
      </c>
      <c r="J18" s="1089">
        <f>Inputs!H32</f>
        <v>0</v>
      </c>
      <c r="K18" s="1089">
        <f>Inputs!I32</f>
        <v>0</v>
      </c>
      <c r="L18" s="1089">
        <f>Inputs!J32</f>
        <v>0</v>
      </c>
      <c r="M18" s="1089">
        <f>Inputs!K32</f>
        <v>0</v>
      </c>
      <c r="N18" s="1089">
        <f>Inputs!L32</f>
        <v>0</v>
      </c>
      <c r="O18" s="1089">
        <f>Inputs!M32</f>
        <v>0</v>
      </c>
      <c r="P18" s="1089">
        <f>Inputs!N32</f>
        <v>1</v>
      </c>
      <c r="Q18" s="1089">
        <f>Inputs!O32</f>
        <v>0</v>
      </c>
      <c r="R18" s="1089">
        <f>Inputs!P32</f>
        <v>0</v>
      </c>
      <c r="S18" s="1089">
        <f>Inputs!Q32</f>
        <v>0</v>
      </c>
      <c r="T18" s="1089">
        <f>Inputs!R32</f>
        <v>0</v>
      </c>
      <c r="U18" s="1089">
        <f>Inputs!S32</f>
        <v>0</v>
      </c>
      <c r="V18" s="1089">
        <f>Inputs!T32</f>
        <v>0</v>
      </c>
      <c r="W18" s="1089">
        <f>Inputs!U32</f>
        <v>0</v>
      </c>
      <c r="X18" s="1089">
        <f>Inputs!V32</f>
        <v>0</v>
      </c>
      <c r="Y18" s="1089">
        <f>Inputs!W32</f>
        <v>0</v>
      </c>
      <c r="Z18" s="1089">
        <f>Inputs!X32</f>
        <v>0</v>
      </c>
      <c r="AA18" s="1089">
        <f>Inputs!Y32</f>
        <v>0</v>
      </c>
      <c r="AB18" s="1089">
        <f>Inputs!Z32</f>
        <v>0</v>
      </c>
      <c r="AC18" s="1089">
        <f>Inputs!AA32</f>
        <v>0</v>
      </c>
      <c r="AD18" s="1089">
        <f>Inputs!AB32</f>
        <v>0</v>
      </c>
      <c r="AE18" s="1089">
        <f>Inputs!AC32</f>
        <v>0</v>
      </c>
      <c r="AF18" s="1089">
        <f>Inputs!AD32</f>
        <v>0</v>
      </c>
      <c r="AG18" s="1089">
        <f>Inputs!AE32</f>
        <v>0</v>
      </c>
      <c r="AH18" s="1089">
        <f>Inputs!AF32</f>
        <v>0</v>
      </c>
      <c r="AI18" s="1089">
        <f>Inputs!AG32</f>
        <v>0</v>
      </c>
      <c r="AJ18" s="1089">
        <f>Inputs!AH32</f>
        <v>0</v>
      </c>
    </row>
    <row r="19" spans="1:36">
      <c r="A19" s="451" t="str">
        <f>Inputs!A33</f>
        <v>Audit&amp;Accounting&amp;Legal Fees</v>
      </c>
      <c r="C19" s="1093">
        <f>Inputs!C33</f>
        <v>70</v>
      </c>
      <c r="D19" s="1256">
        <f t="shared" si="0"/>
        <v>1</v>
      </c>
      <c r="E19" s="1099"/>
      <c r="G19" s="1088">
        <f>Inputs!E33</f>
        <v>8.3333333333333329E-2</v>
      </c>
      <c r="H19" s="1089">
        <f>Inputs!F33</f>
        <v>8.3333333333333329E-2</v>
      </c>
      <c r="I19" s="1089">
        <f>Inputs!G33</f>
        <v>8.3333333333333329E-2</v>
      </c>
      <c r="J19" s="1089">
        <f>Inputs!H33</f>
        <v>8.3333333333333329E-2</v>
      </c>
      <c r="K19" s="1089">
        <f>Inputs!I33</f>
        <v>8.3333333333333329E-2</v>
      </c>
      <c r="L19" s="1089">
        <f>Inputs!J33</f>
        <v>8.3333333333333329E-2</v>
      </c>
      <c r="M19" s="1089">
        <f>Inputs!K33</f>
        <v>8.3333333333333329E-2</v>
      </c>
      <c r="N19" s="1089">
        <f>Inputs!L33</f>
        <v>8.3333333333333329E-2</v>
      </c>
      <c r="O19" s="1089">
        <f>Inputs!M33</f>
        <v>8.3333333333333329E-2</v>
      </c>
      <c r="P19" s="1089">
        <f>Inputs!N33</f>
        <v>8.3333333333333329E-2</v>
      </c>
      <c r="Q19" s="1089">
        <f>Inputs!O33</f>
        <v>8.3333333333333329E-2</v>
      </c>
      <c r="R19" s="1089">
        <f>Inputs!P33</f>
        <v>8.3333333333333329E-2</v>
      </c>
      <c r="S19" s="1089">
        <f>Inputs!Q33</f>
        <v>0</v>
      </c>
      <c r="T19" s="1089">
        <f>Inputs!R33</f>
        <v>0</v>
      </c>
      <c r="U19" s="1089">
        <f>Inputs!S33</f>
        <v>0</v>
      </c>
      <c r="V19" s="1089">
        <f>Inputs!T33</f>
        <v>0</v>
      </c>
      <c r="W19" s="1089">
        <f>Inputs!U33</f>
        <v>0</v>
      </c>
      <c r="X19" s="1089">
        <f>Inputs!V33</f>
        <v>0</v>
      </c>
      <c r="Y19" s="1089">
        <f>Inputs!W33</f>
        <v>0</v>
      </c>
      <c r="Z19" s="1089">
        <f>Inputs!X33</f>
        <v>0</v>
      </c>
      <c r="AA19" s="1089">
        <f>Inputs!Y33</f>
        <v>0</v>
      </c>
      <c r="AB19" s="1089">
        <f>Inputs!Z33</f>
        <v>0</v>
      </c>
      <c r="AC19" s="1089">
        <f>Inputs!AA33</f>
        <v>0</v>
      </c>
      <c r="AD19" s="1089">
        <f>Inputs!AB33</f>
        <v>0</v>
      </c>
      <c r="AE19" s="1089">
        <f>Inputs!AC33</f>
        <v>0</v>
      </c>
      <c r="AF19" s="1089">
        <f>Inputs!AD33</f>
        <v>0</v>
      </c>
      <c r="AG19" s="1089">
        <f>Inputs!AE33</f>
        <v>0</v>
      </c>
      <c r="AH19" s="1089">
        <f>Inputs!AF33</f>
        <v>0</v>
      </c>
      <c r="AI19" s="1089">
        <f>Inputs!AG33</f>
        <v>0</v>
      </c>
      <c r="AJ19" s="1089">
        <f>Inputs!AH33</f>
        <v>0</v>
      </c>
    </row>
    <row r="20" spans="1:36">
      <c r="A20" s="451" t="str">
        <f>Inputs!A34</f>
        <v>Construction Management</v>
      </c>
      <c r="C20" s="1093">
        <f>Inputs!C34</f>
        <v>1151.134</v>
      </c>
      <c r="D20" s="1256">
        <f t="shared" si="0"/>
        <v>1</v>
      </c>
      <c r="E20" s="1099"/>
      <c r="G20" s="1088">
        <f>Inputs!E34</f>
        <v>1</v>
      </c>
      <c r="H20" s="1089">
        <f>Inputs!F34</f>
        <v>0</v>
      </c>
      <c r="I20" s="1089">
        <f>Inputs!G34</f>
        <v>0</v>
      </c>
      <c r="J20" s="1089">
        <f>Inputs!H34</f>
        <v>0</v>
      </c>
      <c r="K20" s="1089">
        <f>Inputs!I34</f>
        <v>0</v>
      </c>
      <c r="L20" s="1089">
        <f>Inputs!J34</f>
        <v>0</v>
      </c>
      <c r="M20" s="1089">
        <f>Inputs!K34</f>
        <v>0</v>
      </c>
      <c r="N20" s="1089">
        <f>Inputs!L34</f>
        <v>0</v>
      </c>
      <c r="O20" s="1089">
        <f>Inputs!M34</f>
        <v>0</v>
      </c>
      <c r="P20" s="1089">
        <f>Inputs!N34</f>
        <v>0</v>
      </c>
      <c r="Q20" s="1089">
        <f>Inputs!O34</f>
        <v>0</v>
      </c>
      <c r="R20" s="1089">
        <f>Inputs!P34</f>
        <v>0</v>
      </c>
      <c r="S20" s="1089">
        <f>Inputs!Q34</f>
        <v>0</v>
      </c>
      <c r="T20" s="1089">
        <f>Inputs!R34</f>
        <v>0</v>
      </c>
      <c r="U20" s="1089">
        <f>Inputs!S34</f>
        <v>0</v>
      </c>
      <c r="V20" s="1089">
        <f>Inputs!T34</f>
        <v>0</v>
      </c>
      <c r="W20" s="1089">
        <f>Inputs!U34</f>
        <v>0</v>
      </c>
      <c r="X20" s="1089">
        <f>Inputs!V34</f>
        <v>0</v>
      </c>
      <c r="Y20" s="1089">
        <f>Inputs!W34</f>
        <v>0</v>
      </c>
      <c r="Z20" s="1089">
        <f>Inputs!X34</f>
        <v>0</v>
      </c>
      <c r="AA20" s="1089">
        <f>Inputs!Y34</f>
        <v>0</v>
      </c>
      <c r="AB20" s="1089">
        <f>Inputs!Z34</f>
        <v>0</v>
      </c>
      <c r="AC20" s="1089">
        <f>Inputs!AA34</f>
        <v>0</v>
      </c>
      <c r="AD20" s="1089">
        <f>Inputs!AB34</f>
        <v>0</v>
      </c>
      <c r="AE20" s="1089">
        <f>Inputs!AC34</f>
        <v>0</v>
      </c>
      <c r="AF20" s="1089">
        <f>Inputs!AD34</f>
        <v>0</v>
      </c>
      <c r="AG20" s="1089">
        <f>Inputs!AE34</f>
        <v>0</v>
      </c>
      <c r="AH20" s="1089">
        <f>Inputs!AF34</f>
        <v>0</v>
      </c>
      <c r="AI20" s="1089">
        <f>Inputs!AG34</f>
        <v>0</v>
      </c>
      <c r="AJ20" s="1089">
        <f>Inputs!AH34</f>
        <v>0</v>
      </c>
    </row>
    <row r="21" spans="1:36">
      <c r="A21" s="451" t="str">
        <f>Inputs!A35</f>
        <v>Contingencies</v>
      </c>
      <c r="C21" s="1093">
        <f>Inputs!C35</f>
        <v>1986.4400000000007</v>
      </c>
      <c r="D21" s="1256">
        <f t="shared" si="0"/>
        <v>1</v>
      </c>
      <c r="E21" s="1099"/>
      <c r="G21" s="1088">
        <f>Inputs!E35</f>
        <v>1</v>
      </c>
      <c r="H21" s="1089">
        <f>Inputs!F35</f>
        <v>0</v>
      </c>
      <c r="I21" s="1089">
        <f>Inputs!G35</f>
        <v>0</v>
      </c>
      <c r="J21" s="1089">
        <f>Inputs!H35</f>
        <v>0</v>
      </c>
      <c r="K21" s="1089">
        <f>Inputs!I35</f>
        <v>0</v>
      </c>
      <c r="L21" s="1089">
        <f>Inputs!J35</f>
        <v>0</v>
      </c>
      <c r="M21" s="1089">
        <f>Inputs!K35</f>
        <v>0</v>
      </c>
      <c r="N21" s="1089">
        <f>Inputs!L35</f>
        <v>0</v>
      </c>
      <c r="O21" s="1089">
        <f>Inputs!M35</f>
        <v>0</v>
      </c>
      <c r="P21" s="1089">
        <f>Inputs!N35</f>
        <v>0</v>
      </c>
      <c r="Q21" s="1089">
        <f>Inputs!O35</f>
        <v>0</v>
      </c>
      <c r="R21" s="1089">
        <f>Inputs!P35</f>
        <v>0</v>
      </c>
      <c r="S21" s="1089">
        <f>Inputs!Q35</f>
        <v>0</v>
      </c>
      <c r="T21" s="1089">
        <f>Inputs!R35</f>
        <v>0</v>
      </c>
      <c r="U21" s="1089">
        <f>Inputs!S35</f>
        <v>0</v>
      </c>
      <c r="V21" s="1089">
        <f>Inputs!T35</f>
        <v>0</v>
      </c>
      <c r="W21" s="1089">
        <f>Inputs!U35</f>
        <v>0</v>
      </c>
      <c r="X21" s="1089">
        <f>Inputs!V35</f>
        <v>0</v>
      </c>
      <c r="Y21" s="1089">
        <f>Inputs!W35</f>
        <v>0</v>
      </c>
      <c r="Z21" s="1089">
        <f>Inputs!X35</f>
        <v>0</v>
      </c>
      <c r="AA21" s="1089">
        <f>Inputs!Y35</f>
        <v>0</v>
      </c>
      <c r="AB21" s="1089">
        <f>Inputs!Z35</f>
        <v>0</v>
      </c>
      <c r="AC21" s="1089">
        <f>Inputs!AA35</f>
        <v>0</v>
      </c>
      <c r="AD21" s="1089">
        <f>Inputs!AB35</f>
        <v>0</v>
      </c>
      <c r="AE21" s="1089">
        <f>Inputs!AC35</f>
        <v>0</v>
      </c>
      <c r="AF21" s="1089">
        <f>Inputs!AD35</f>
        <v>0</v>
      </c>
      <c r="AG21" s="1089">
        <f>Inputs!AE35</f>
        <v>0</v>
      </c>
      <c r="AH21" s="1089">
        <f>Inputs!AF35</f>
        <v>0</v>
      </c>
      <c r="AI21" s="1089">
        <f>Inputs!AG35</f>
        <v>0</v>
      </c>
      <c r="AJ21" s="1089">
        <f>Inputs!AH35</f>
        <v>0</v>
      </c>
    </row>
    <row r="22" spans="1:36">
      <c r="A22" s="451" t="str">
        <f>Inputs!A36</f>
        <v>Taxes</v>
      </c>
      <c r="C22" s="1093">
        <f>Inputs!C36</f>
        <v>0</v>
      </c>
      <c r="D22" s="1256">
        <f t="shared" si="0"/>
        <v>0</v>
      </c>
      <c r="E22" s="1099"/>
      <c r="G22" s="1088">
        <f>Inputs!E36</f>
        <v>0</v>
      </c>
      <c r="H22" s="1089">
        <f>Inputs!F36</f>
        <v>0</v>
      </c>
      <c r="I22" s="1089">
        <f>Inputs!G36</f>
        <v>0</v>
      </c>
      <c r="J22" s="1089">
        <f>Inputs!H36</f>
        <v>0</v>
      </c>
      <c r="K22" s="1089">
        <f>Inputs!I36</f>
        <v>0</v>
      </c>
      <c r="L22" s="1089">
        <f>Inputs!J36</f>
        <v>0</v>
      </c>
      <c r="M22" s="1089">
        <f>Inputs!K36</f>
        <v>0</v>
      </c>
      <c r="N22" s="1089">
        <f>Inputs!L36</f>
        <v>0</v>
      </c>
      <c r="O22" s="1089">
        <f>Inputs!M36</f>
        <v>0</v>
      </c>
      <c r="P22" s="1089">
        <f>Inputs!N36</f>
        <v>0</v>
      </c>
      <c r="Q22" s="1089">
        <f>Inputs!O36</f>
        <v>0</v>
      </c>
      <c r="R22" s="1089">
        <f>Inputs!P36</f>
        <v>0</v>
      </c>
      <c r="S22" s="1089">
        <f>Inputs!Q36</f>
        <v>0</v>
      </c>
      <c r="T22" s="1089">
        <f>Inputs!R36</f>
        <v>0</v>
      </c>
      <c r="U22" s="1089">
        <f>Inputs!S36</f>
        <v>0</v>
      </c>
      <c r="V22" s="1089">
        <f>Inputs!T36</f>
        <v>0</v>
      </c>
      <c r="W22" s="1089">
        <f>Inputs!U36</f>
        <v>0</v>
      </c>
      <c r="X22" s="1089">
        <f>Inputs!V36</f>
        <v>0</v>
      </c>
      <c r="Y22" s="1089">
        <f>Inputs!W36</f>
        <v>0</v>
      </c>
      <c r="Z22" s="1089">
        <f>Inputs!X36</f>
        <v>0</v>
      </c>
      <c r="AA22" s="1089">
        <f>Inputs!Y36</f>
        <v>0</v>
      </c>
      <c r="AB22" s="1089">
        <f>Inputs!Z36</f>
        <v>0</v>
      </c>
      <c r="AC22" s="1089">
        <f>Inputs!AA36</f>
        <v>0</v>
      </c>
      <c r="AD22" s="1089">
        <f>Inputs!AB36</f>
        <v>0</v>
      </c>
      <c r="AE22" s="1089">
        <f>Inputs!AC36</f>
        <v>0</v>
      </c>
      <c r="AF22" s="1089">
        <f>Inputs!AD36</f>
        <v>0</v>
      </c>
      <c r="AG22" s="1089">
        <f>Inputs!AE36</f>
        <v>0</v>
      </c>
      <c r="AH22" s="1089">
        <f>Inputs!AF36</f>
        <v>0</v>
      </c>
      <c r="AI22" s="1089">
        <f>Inputs!AG36</f>
        <v>0</v>
      </c>
      <c r="AJ22" s="1089">
        <f>Inputs!AH36</f>
        <v>0</v>
      </c>
    </row>
    <row r="23" spans="1:36">
      <c r="A23" s="451" t="str">
        <f>Inputs!A37</f>
        <v xml:space="preserve"> Project Acquisition / Project Development </v>
      </c>
      <c r="C23" s="1093">
        <f>Inputs!C37</f>
        <v>18.326999999999998</v>
      </c>
      <c r="D23" s="1256">
        <f t="shared" si="0"/>
        <v>1</v>
      </c>
      <c r="E23" s="1099"/>
      <c r="G23" s="1088">
        <f>Inputs!E37</f>
        <v>0</v>
      </c>
      <c r="H23" s="1089">
        <f>Inputs!F37</f>
        <v>0</v>
      </c>
      <c r="I23" s="1089">
        <f>Inputs!G37</f>
        <v>0</v>
      </c>
      <c r="J23" s="1089">
        <f>Inputs!H37</f>
        <v>0</v>
      </c>
      <c r="K23" s="1089">
        <f>Inputs!I37</f>
        <v>0</v>
      </c>
      <c r="L23" s="1089">
        <f>Inputs!J37</f>
        <v>0</v>
      </c>
      <c r="M23" s="1089">
        <f>Inputs!K37</f>
        <v>0</v>
      </c>
      <c r="N23" s="1089">
        <f>Inputs!L37</f>
        <v>0</v>
      </c>
      <c r="O23" s="1089">
        <f>Inputs!M37</f>
        <v>0</v>
      </c>
      <c r="P23" s="1089">
        <f>Inputs!N37</f>
        <v>0</v>
      </c>
      <c r="Q23" s="1089">
        <f>Inputs!O37</f>
        <v>0</v>
      </c>
      <c r="R23" s="1089">
        <f>Inputs!P37</f>
        <v>1</v>
      </c>
      <c r="S23" s="1089">
        <f>Inputs!Q37</f>
        <v>0</v>
      </c>
      <c r="T23" s="1089">
        <f>Inputs!R37</f>
        <v>0</v>
      </c>
      <c r="U23" s="1089">
        <f>Inputs!S37</f>
        <v>0</v>
      </c>
      <c r="V23" s="1089">
        <f>Inputs!T37</f>
        <v>0</v>
      </c>
      <c r="W23" s="1089">
        <f>Inputs!U37</f>
        <v>0</v>
      </c>
      <c r="X23" s="1089">
        <f>Inputs!V37</f>
        <v>0</v>
      </c>
      <c r="Y23" s="1089">
        <f>Inputs!W37</f>
        <v>0</v>
      </c>
      <c r="Z23" s="1089">
        <f>Inputs!X37</f>
        <v>0</v>
      </c>
      <c r="AA23" s="1089">
        <f>Inputs!Y37</f>
        <v>0</v>
      </c>
      <c r="AB23" s="1089">
        <f>Inputs!Z37</f>
        <v>0</v>
      </c>
      <c r="AC23" s="1089">
        <f>Inputs!AA37</f>
        <v>0</v>
      </c>
      <c r="AD23" s="1089">
        <f>Inputs!AB37</f>
        <v>0</v>
      </c>
      <c r="AE23" s="1089">
        <f>Inputs!AC37</f>
        <v>0</v>
      </c>
      <c r="AF23" s="1089">
        <f>Inputs!AD37</f>
        <v>0</v>
      </c>
      <c r="AG23" s="1089">
        <f>Inputs!AE37</f>
        <v>0</v>
      </c>
      <c r="AH23" s="1089">
        <f>Inputs!AF37</f>
        <v>0</v>
      </c>
      <c r="AI23" s="1089">
        <f>Inputs!AG37</f>
        <v>0</v>
      </c>
      <c r="AJ23" s="1089">
        <f>Inputs!AH37</f>
        <v>0</v>
      </c>
    </row>
    <row r="24" spans="1:36">
      <c r="A24" s="451" t="str">
        <f>Inputs!A38</f>
        <v xml:space="preserve"> Project Rights </v>
      </c>
      <c r="C24" s="1093">
        <f>Inputs!C38</f>
        <v>8524.4845000000005</v>
      </c>
      <c r="D24" s="1256">
        <f t="shared" si="0"/>
        <v>1</v>
      </c>
      <c r="E24" s="1099"/>
      <c r="G24" s="1088">
        <f>Inputs!E38</f>
        <v>1</v>
      </c>
      <c r="H24" s="1089">
        <f>Inputs!F38</f>
        <v>0</v>
      </c>
      <c r="I24" s="1089">
        <f>Inputs!G38</f>
        <v>0</v>
      </c>
      <c r="J24" s="1089">
        <f>Inputs!H38</f>
        <v>0</v>
      </c>
      <c r="K24" s="1089">
        <f>Inputs!I38</f>
        <v>0</v>
      </c>
      <c r="L24" s="1089">
        <f>Inputs!J38</f>
        <v>0</v>
      </c>
      <c r="M24" s="1089">
        <f>Inputs!K38</f>
        <v>0</v>
      </c>
      <c r="N24" s="1089">
        <f>Inputs!L38</f>
        <v>0</v>
      </c>
      <c r="O24" s="1089">
        <f>Inputs!M38</f>
        <v>0</v>
      </c>
      <c r="P24" s="1089">
        <f>Inputs!N38</f>
        <v>0</v>
      </c>
      <c r="Q24" s="1089">
        <f>Inputs!O38</f>
        <v>0</v>
      </c>
      <c r="R24" s="1089">
        <f>Inputs!P38</f>
        <v>0</v>
      </c>
      <c r="S24" s="1089">
        <f>Inputs!Q38</f>
        <v>0</v>
      </c>
      <c r="T24" s="1089">
        <f>Inputs!R38</f>
        <v>0</v>
      </c>
      <c r="U24" s="1089">
        <f>Inputs!S38</f>
        <v>0</v>
      </c>
      <c r="V24" s="1089">
        <f>Inputs!T38</f>
        <v>0</v>
      </c>
      <c r="W24" s="1089">
        <f>Inputs!U38</f>
        <v>0</v>
      </c>
      <c r="X24" s="1089">
        <f>Inputs!V38</f>
        <v>0</v>
      </c>
      <c r="Y24" s="1089">
        <f>Inputs!W38</f>
        <v>0</v>
      </c>
      <c r="Z24" s="1089">
        <f>Inputs!X38</f>
        <v>0</v>
      </c>
      <c r="AA24" s="1089">
        <f>Inputs!Y38</f>
        <v>0</v>
      </c>
      <c r="AB24" s="1089">
        <f>Inputs!Z38</f>
        <v>0</v>
      </c>
      <c r="AC24" s="1089">
        <f>Inputs!AA38</f>
        <v>0</v>
      </c>
      <c r="AD24" s="1089">
        <f>Inputs!AB38</f>
        <v>0</v>
      </c>
      <c r="AE24" s="1089">
        <f>Inputs!AC38</f>
        <v>0</v>
      </c>
      <c r="AF24" s="1089">
        <f>Inputs!AD38</f>
        <v>0</v>
      </c>
      <c r="AG24" s="1089">
        <f>Inputs!AE38</f>
        <v>0</v>
      </c>
      <c r="AH24" s="1089">
        <f>Inputs!AF38</f>
        <v>0</v>
      </c>
      <c r="AI24" s="1089">
        <f>Inputs!AG38</f>
        <v>0</v>
      </c>
      <c r="AJ24" s="1089">
        <f>Inputs!AH38</f>
        <v>0</v>
      </c>
    </row>
    <row r="25" spans="1:36">
      <c r="A25" s="451" t="str">
        <f>Inputs!A39</f>
        <v>IDCs</v>
      </c>
      <c r="C25" s="1093">
        <f>Inputs!C39</f>
        <v>1086.031998482634</v>
      </c>
      <c r="D25" s="1256">
        <f t="shared" ca="1" si="0"/>
        <v>0.99998651611807132</v>
      </c>
      <c r="E25" s="1099"/>
      <c r="G25" s="1090">
        <f>IF(SUM($D55,$F57)=0,0,SUM(G55,G57)/SUM($D55,$F57))</f>
        <v>0</v>
      </c>
      <c r="H25" s="1091">
        <f t="shared" ref="H25:X25" ca="1" si="1">IF(SUM($D55,$D57)=0,0,SUM(H55,H57)/SUM($D55,$D57))</f>
        <v>4.2279851764935789E-4</v>
      </c>
      <c r="I25" s="1091">
        <f t="shared" ca="1" si="1"/>
        <v>2.38676311776761E-2</v>
      </c>
      <c r="J25" s="1091">
        <f t="shared" ca="1" si="1"/>
        <v>4.1360686257716155E-2</v>
      </c>
      <c r="K25" s="1091">
        <f t="shared" ca="1" si="1"/>
        <v>5.6950813104847946E-2</v>
      </c>
      <c r="L25" s="1091">
        <f t="shared" ca="1" si="1"/>
        <v>7.6322198416044346E-2</v>
      </c>
      <c r="M25" s="1091">
        <f t="shared" ca="1" si="1"/>
        <v>9.0798061903050856E-2</v>
      </c>
      <c r="N25" s="1091">
        <f t="shared" ca="1" si="1"/>
        <v>0.11117228401407682</v>
      </c>
      <c r="O25" s="1091">
        <f t="shared" ca="1" si="1"/>
        <v>0.12856555418407778</v>
      </c>
      <c r="P25" s="1091">
        <f t="shared" ca="1" si="1"/>
        <v>0.1318712942736491</v>
      </c>
      <c r="Q25" s="1091">
        <f t="shared" ca="1" si="1"/>
        <v>0.16348367093444888</v>
      </c>
      <c r="R25" s="1091">
        <f t="shared" ca="1" si="1"/>
        <v>0.17517152333483396</v>
      </c>
      <c r="S25" s="1091">
        <f t="shared" ca="1" si="1"/>
        <v>0</v>
      </c>
      <c r="T25" s="1091">
        <f t="shared" ca="1" si="1"/>
        <v>0</v>
      </c>
      <c r="U25" s="1091">
        <f t="shared" ca="1" si="1"/>
        <v>0</v>
      </c>
      <c r="V25" s="1091">
        <f t="shared" ca="1" si="1"/>
        <v>0</v>
      </c>
      <c r="W25" s="1091">
        <f t="shared" ca="1" si="1"/>
        <v>0</v>
      </c>
      <c r="X25" s="1091">
        <f t="shared" ca="1" si="1"/>
        <v>0</v>
      </c>
      <c r="Y25" s="1091">
        <f t="shared" ref="Y25:AJ25" ca="1" si="2">IF(SUM($D55,$D57)=0,0,SUM(Y55,Y57)/SUM($D55,$D57))</f>
        <v>0</v>
      </c>
      <c r="Z25" s="1091">
        <f t="shared" ca="1" si="2"/>
        <v>0</v>
      </c>
      <c r="AA25" s="1091">
        <f t="shared" ca="1" si="2"/>
        <v>0</v>
      </c>
      <c r="AB25" s="1091">
        <f t="shared" ca="1" si="2"/>
        <v>0</v>
      </c>
      <c r="AC25" s="1091">
        <f t="shared" ca="1" si="2"/>
        <v>0</v>
      </c>
      <c r="AD25" s="1091">
        <f t="shared" ca="1" si="2"/>
        <v>0</v>
      </c>
      <c r="AE25" s="1091">
        <f t="shared" ca="1" si="2"/>
        <v>0</v>
      </c>
      <c r="AF25" s="1091">
        <f t="shared" ca="1" si="2"/>
        <v>0</v>
      </c>
      <c r="AG25" s="1091">
        <f t="shared" ca="1" si="2"/>
        <v>0</v>
      </c>
      <c r="AH25" s="1091">
        <f t="shared" ca="1" si="2"/>
        <v>0</v>
      </c>
      <c r="AI25" s="1091">
        <f t="shared" ca="1" si="2"/>
        <v>0</v>
      </c>
      <c r="AJ25" s="1091">
        <f t="shared" ca="1" si="2"/>
        <v>0</v>
      </c>
    </row>
    <row r="26" spans="1:36">
      <c r="A26" s="451" t="str">
        <f>Inputs!A40</f>
        <v>Commitment Fees</v>
      </c>
      <c r="C26" s="1093">
        <f>Inputs!C40</f>
        <v>188.56290055498553</v>
      </c>
      <c r="D26" s="1256">
        <f t="shared" ca="1" si="0"/>
        <v>1.0000138277047488</v>
      </c>
      <c r="E26" s="1099"/>
      <c r="G26" s="1090">
        <f t="shared" ref="G26:X26" si="3">IF(SUM($D56,$D58)=0,0,SUM(G56,G58)/SUM($D56,$D58))</f>
        <v>0</v>
      </c>
      <c r="H26" s="1091">
        <f t="shared" ca="1" si="3"/>
        <v>1.2828314820268184E-2</v>
      </c>
      <c r="I26" s="1091">
        <f t="shared" ca="1" si="3"/>
        <v>0.18123270621458878</v>
      </c>
      <c r="J26" s="1091">
        <f t="shared" ca="1" si="3"/>
        <v>0.16335217654171572</v>
      </c>
      <c r="K26" s="1091">
        <f t="shared" ca="1" si="3"/>
        <v>0.14070650089546866</v>
      </c>
      <c r="L26" s="1091">
        <f t="shared" ca="1" si="3"/>
        <v>0.12738054747774996</v>
      </c>
      <c r="M26" s="1091">
        <f t="shared" ca="1" si="3"/>
        <v>0.10575053076790002</v>
      </c>
      <c r="N26" s="1091">
        <f t="shared" ca="1" si="3"/>
        <v>9.127444742855928E-2</v>
      </c>
      <c r="O26" s="1091">
        <f t="shared" ca="1" si="3"/>
        <v>7.3180335062949242E-2</v>
      </c>
      <c r="P26" s="1091">
        <f t="shared" ca="1" si="3"/>
        <v>4.9688263638714057E-2</v>
      </c>
      <c r="Q26" s="1091">
        <f t="shared" ca="1" si="3"/>
        <v>3.6766187483499864E-2</v>
      </c>
      <c r="R26" s="1091">
        <f t="shared" ca="1" si="3"/>
        <v>1.7853817373335128E-2</v>
      </c>
      <c r="S26" s="1091">
        <f t="shared" ca="1" si="3"/>
        <v>0</v>
      </c>
      <c r="T26" s="1091">
        <f t="shared" ca="1" si="3"/>
        <v>0</v>
      </c>
      <c r="U26" s="1091">
        <f t="shared" ca="1" si="3"/>
        <v>0</v>
      </c>
      <c r="V26" s="1091">
        <f t="shared" ca="1" si="3"/>
        <v>0</v>
      </c>
      <c r="W26" s="1091">
        <f t="shared" ca="1" si="3"/>
        <v>0</v>
      </c>
      <c r="X26" s="1091">
        <f t="shared" ca="1" si="3"/>
        <v>0</v>
      </c>
      <c r="Y26" s="1091">
        <f t="shared" ref="Y26:AJ26" ca="1" si="4">IF(SUM($D56,$D58)=0,0,SUM(Y56,Y58)/SUM($D56,$D58))</f>
        <v>0</v>
      </c>
      <c r="Z26" s="1091">
        <f t="shared" ca="1" si="4"/>
        <v>0</v>
      </c>
      <c r="AA26" s="1091">
        <f t="shared" ca="1" si="4"/>
        <v>0</v>
      </c>
      <c r="AB26" s="1091">
        <f t="shared" ca="1" si="4"/>
        <v>0</v>
      </c>
      <c r="AC26" s="1091">
        <f t="shared" ca="1" si="4"/>
        <v>0</v>
      </c>
      <c r="AD26" s="1091">
        <f t="shared" ca="1" si="4"/>
        <v>0</v>
      </c>
      <c r="AE26" s="1091">
        <f t="shared" ca="1" si="4"/>
        <v>0</v>
      </c>
      <c r="AF26" s="1091">
        <f t="shared" ca="1" si="4"/>
        <v>0</v>
      </c>
      <c r="AG26" s="1091">
        <f t="shared" ca="1" si="4"/>
        <v>0</v>
      </c>
      <c r="AH26" s="1091">
        <f t="shared" ca="1" si="4"/>
        <v>0</v>
      </c>
      <c r="AI26" s="1091">
        <f t="shared" ca="1" si="4"/>
        <v>0</v>
      </c>
      <c r="AJ26" s="1091">
        <f t="shared" ca="1" si="4"/>
        <v>0</v>
      </c>
    </row>
    <row r="27" spans="1:36">
      <c r="A27" s="451" t="str">
        <f>Inputs!A41</f>
        <v>Bank Fees</v>
      </c>
      <c r="B27" s="370">
        <f>Inputs!$D$430/(1-Inputs!$D$430)</f>
        <v>0</v>
      </c>
      <c r="C27" s="1093">
        <f>Inputs!C41</f>
        <v>477.30268707562993</v>
      </c>
      <c r="D27" s="1256">
        <f t="shared" si="0"/>
        <v>1</v>
      </c>
      <c r="E27" s="1099"/>
      <c r="G27" s="1088">
        <f>Inputs!E41</f>
        <v>1</v>
      </c>
      <c r="H27" s="1089">
        <f>Inputs!F41</f>
        <v>0</v>
      </c>
      <c r="I27" s="1089">
        <f>Inputs!G41</f>
        <v>0</v>
      </c>
      <c r="J27" s="1089">
        <f>Inputs!H41</f>
        <v>0</v>
      </c>
      <c r="K27" s="1089">
        <f>Inputs!I41</f>
        <v>0</v>
      </c>
      <c r="L27" s="1089">
        <f>Inputs!J41</f>
        <v>0</v>
      </c>
      <c r="M27" s="1089">
        <f>Inputs!K41</f>
        <v>0</v>
      </c>
      <c r="N27" s="1089">
        <f>Inputs!L41</f>
        <v>0</v>
      </c>
      <c r="O27" s="1089">
        <f>Inputs!M41</f>
        <v>0</v>
      </c>
      <c r="P27" s="1089">
        <f>Inputs!N41</f>
        <v>0</v>
      </c>
      <c r="Q27" s="1089">
        <f>Inputs!O41</f>
        <v>0</v>
      </c>
      <c r="R27" s="1089">
        <f>Inputs!P41</f>
        <v>0</v>
      </c>
      <c r="S27" s="1089">
        <f>Inputs!Q41</f>
        <v>0</v>
      </c>
      <c r="T27" s="1089">
        <f>Inputs!R41</f>
        <v>0</v>
      </c>
      <c r="U27" s="1089">
        <f>Inputs!S41</f>
        <v>0</v>
      </c>
      <c r="V27" s="1089">
        <f>Inputs!T41</f>
        <v>0</v>
      </c>
      <c r="W27" s="1089">
        <f>Inputs!U41</f>
        <v>0</v>
      </c>
      <c r="X27" s="1089">
        <f>Inputs!V41</f>
        <v>0</v>
      </c>
      <c r="Y27" s="1089">
        <f>Inputs!W41</f>
        <v>0</v>
      </c>
      <c r="Z27" s="1089">
        <f>Inputs!X41</f>
        <v>0</v>
      </c>
      <c r="AA27" s="1089">
        <f>Inputs!Y41</f>
        <v>0</v>
      </c>
      <c r="AB27" s="1089">
        <f>Inputs!Z41</f>
        <v>0</v>
      </c>
      <c r="AC27" s="1089">
        <f>Inputs!AA41</f>
        <v>0</v>
      </c>
      <c r="AD27" s="1089">
        <f>Inputs!AB41</f>
        <v>0</v>
      </c>
      <c r="AE27" s="1089">
        <f>Inputs!AC41</f>
        <v>0</v>
      </c>
      <c r="AF27" s="1089">
        <f>Inputs!AD41</f>
        <v>0</v>
      </c>
      <c r="AG27" s="1089">
        <f>Inputs!AE41</f>
        <v>0</v>
      </c>
      <c r="AH27" s="1089">
        <f>Inputs!AF41</f>
        <v>0</v>
      </c>
      <c r="AI27" s="1089">
        <f>Inputs!AG41</f>
        <v>0</v>
      </c>
      <c r="AJ27" s="1089">
        <f>Inputs!AH41</f>
        <v>0</v>
      </c>
    </row>
    <row r="28" spans="1:36">
      <c r="A28" s="451" t="str">
        <f>Inputs!A42</f>
        <v>Other Financial Costs</v>
      </c>
      <c r="B28" s="370"/>
      <c r="C28" s="1093">
        <f>Inputs!C42</f>
        <v>0</v>
      </c>
      <c r="D28" s="1256">
        <f>SUM(G28:AJ28)</f>
        <v>1</v>
      </c>
      <c r="E28" s="1099"/>
      <c r="G28" s="1088">
        <f>Inputs!E42</f>
        <v>1</v>
      </c>
      <c r="H28" s="1089">
        <f>Inputs!F42</f>
        <v>0</v>
      </c>
      <c r="I28" s="1089">
        <f>Inputs!G42</f>
        <v>0</v>
      </c>
      <c r="J28" s="1089">
        <f>Inputs!H42</f>
        <v>0</v>
      </c>
      <c r="K28" s="1089">
        <f>Inputs!I42</f>
        <v>0</v>
      </c>
      <c r="L28" s="1089">
        <f>Inputs!J42</f>
        <v>0</v>
      </c>
      <c r="M28" s="1089">
        <f>Inputs!K42</f>
        <v>0</v>
      </c>
      <c r="N28" s="1089">
        <f>Inputs!L42</f>
        <v>0</v>
      </c>
      <c r="O28" s="1089">
        <f>Inputs!M42</f>
        <v>0</v>
      </c>
      <c r="P28" s="1089">
        <f>Inputs!N42</f>
        <v>0</v>
      </c>
      <c r="Q28" s="1089">
        <f>Inputs!O42</f>
        <v>0</v>
      </c>
      <c r="R28" s="1089">
        <f>Inputs!P42</f>
        <v>0</v>
      </c>
      <c r="S28" s="1089">
        <f>Inputs!Q42</f>
        <v>0</v>
      </c>
      <c r="T28" s="1089">
        <f>Inputs!R42</f>
        <v>0</v>
      </c>
      <c r="U28" s="1089">
        <f>Inputs!S42</f>
        <v>0</v>
      </c>
      <c r="V28" s="1089">
        <f>Inputs!T42</f>
        <v>0</v>
      </c>
      <c r="W28" s="1089">
        <f>Inputs!U42</f>
        <v>0</v>
      </c>
      <c r="X28" s="1089">
        <f>Inputs!V42</f>
        <v>0</v>
      </c>
      <c r="Y28" s="1089">
        <f>Inputs!W42</f>
        <v>0</v>
      </c>
      <c r="Z28" s="1089">
        <f>Inputs!X42</f>
        <v>0</v>
      </c>
      <c r="AA28" s="1089">
        <f>Inputs!Y42</f>
        <v>0</v>
      </c>
      <c r="AB28" s="1089">
        <f>Inputs!Z42</f>
        <v>0</v>
      </c>
      <c r="AC28" s="1089">
        <f>Inputs!AA42</f>
        <v>0</v>
      </c>
      <c r="AD28" s="1089">
        <f>Inputs!AB42</f>
        <v>0</v>
      </c>
      <c r="AE28" s="1089">
        <f>Inputs!AC42</f>
        <v>0</v>
      </c>
      <c r="AF28" s="1089">
        <f>Inputs!AD42</f>
        <v>0</v>
      </c>
      <c r="AG28" s="1089">
        <f>Inputs!AE42</f>
        <v>0</v>
      </c>
      <c r="AH28" s="1089">
        <f>Inputs!AF42</f>
        <v>0</v>
      </c>
      <c r="AI28" s="1089">
        <f>Inputs!AG42</f>
        <v>0</v>
      </c>
      <c r="AJ28" s="1089">
        <f>Inputs!AH42</f>
        <v>0</v>
      </c>
    </row>
    <row r="29" spans="1:36">
      <c r="A29" s="451" t="str">
        <f>Inputs!A43</f>
        <v xml:space="preserve">Reserve Accounts </v>
      </c>
      <c r="C29" s="1093">
        <f>Inputs!C43</f>
        <v>0</v>
      </c>
      <c r="D29" s="1256">
        <f t="shared" si="0"/>
        <v>1</v>
      </c>
      <c r="E29" s="1099"/>
      <c r="G29" s="1088">
        <f>Inputs!E43</f>
        <v>0</v>
      </c>
      <c r="H29" s="1089">
        <f>Inputs!F43</f>
        <v>0</v>
      </c>
      <c r="I29" s="1089">
        <f>Inputs!G43</f>
        <v>0</v>
      </c>
      <c r="J29" s="1089">
        <f>Inputs!H43</f>
        <v>0</v>
      </c>
      <c r="K29" s="1089">
        <f>Inputs!I43</f>
        <v>0</v>
      </c>
      <c r="L29" s="1089">
        <f>Inputs!J43</f>
        <v>0</v>
      </c>
      <c r="M29" s="1089">
        <f>Inputs!K43</f>
        <v>0</v>
      </c>
      <c r="N29" s="1089">
        <f>Inputs!L43</f>
        <v>0</v>
      </c>
      <c r="O29" s="1089">
        <f>Inputs!M43</f>
        <v>0</v>
      </c>
      <c r="P29" s="1089">
        <f>Inputs!N43</f>
        <v>0</v>
      </c>
      <c r="Q29" s="1089">
        <f>Inputs!O43</f>
        <v>0</v>
      </c>
      <c r="R29" s="1089">
        <f>Inputs!P43</f>
        <v>1</v>
      </c>
      <c r="S29" s="1089">
        <f>Inputs!Q43</f>
        <v>0</v>
      </c>
      <c r="T29" s="1089">
        <f>Inputs!R43</f>
        <v>0</v>
      </c>
      <c r="U29" s="1089">
        <f>Inputs!S43</f>
        <v>0</v>
      </c>
      <c r="V29" s="1089">
        <f>Inputs!T43</f>
        <v>0</v>
      </c>
      <c r="W29" s="1089">
        <f>Inputs!U43</f>
        <v>0</v>
      </c>
      <c r="X29" s="1089">
        <f>Inputs!V43</f>
        <v>0</v>
      </c>
      <c r="Y29" s="1089">
        <f>Inputs!W43</f>
        <v>0</v>
      </c>
      <c r="Z29" s="1089">
        <f>Inputs!X43</f>
        <v>0</v>
      </c>
      <c r="AA29" s="1089">
        <f>Inputs!Y43</f>
        <v>0</v>
      </c>
      <c r="AB29" s="1089">
        <f>Inputs!Z43</f>
        <v>0</v>
      </c>
      <c r="AC29" s="1089">
        <f>Inputs!AA43</f>
        <v>0</v>
      </c>
      <c r="AD29" s="1089">
        <f>Inputs!AB43</f>
        <v>0</v>
      </c>
      <c r="AE29" s="1089">
        <f>Inputs!AC43</f>
        <v>0</v>
      </c>
      <c r="AF29" s="1089">
        <f>Inputs!AD43</f>
        <v>0</v>
      </c>
      <c r="AG29" s="1089">
        <f>Inputs!AE43</f>
        <v>0</v>
      </c>
      <c r="AH29" s="1089">
        <f>Inputs!AF43</f>
        <v>0</v>
      </c>
      <c r="AI29" s="1089">
        <f>Inputs!AG43</f>
        <v>0</v>
      </c>
      <c r="AJ29" s="1089">
        <f>Inputs!AH43</f>
        <v>0</v>
      </c>
    </row>
    <row r="30" spans="1:36">
      <c r="A30" s="451" t="str">
        <f>Inputs!A44</f>
        <v>VAT Costs</v>
      </c>
      <c r="C30" s="1094">
        <f ca="1">Inputs!C44</f>
        <v>222.06957126537966</v>
      </c>
      <c r="D30" s="1256">
        <f t="shared" si="0"/>
        <v>1</v>
      </c>
      <c r="E30" s="1099"/>
      <c r="G30" s="1088">
        <f>Inputs!E44</f>
        <v>0.25</v>
      </c>
      <c r="H30" s="1089">
        <f>Inputs!F44</f>
        <v>0.15</v>
      </c>
      <c r="I30" s="1089">
        <f>Inputs!G44</f>
        <v>0.15</v>
      </c>
      <c r="J30" s="1089">
        <f>Inputs!H44</f>
        <v>0.15</v>
      </c>
      <c r="K30" s="1089">
        <f>Inputs!I44</f>
        <v>0.15</v>
      </c>
      <c r="L30" s="1089">
        <f>Inputs!J44</f>
        <v>0.15</v>
      </c>
      <c r="M30" s="1089">
        <f>Inputs!K44</f>
        <v>0</v>
      </c>
      <c r="N30" s="1089">
        <f>Inputs!L44</f>
        <v>0</v>
      </c>
      <c r="O30" s="1089">
        <f>Inputs!M44</f>
        <v>0</v>
      </c>
      <c r="P30" s="1089">
        <f>Inputs!N44</f>
        <v>0</v>
      </c>
      <c r="Q30" s="1089">
        <f>Inputs!O44</f>
        <v>0</v>
      </c>
      <c r="R30" s="1089">
        <f>Inputs!P44</f>
        <v>0</v>
      </c>
      <c r="S30" s="1089">
        <f>Inputs!Q44</f>
        <v>0</v>
      </c>
      <c r="T30" s="1089">
        <f>Inputs!R44</f>
        <v>0</v>
      </c>
      <c r="U30" s="1089">
        <f>Inputs!S44</f>
        <v>0</v>
      </c>
      <c r="V30" s="1089">
        <f>Inputs!T44</f>
        <v>0</v>
      </c>
      <c r="W30" s="1089">
        <f>Inputs!U44</f>
        <v>0</v>
      </c>
      <c r="X30" s="1089">
        <f>Inputs!V44</f>
        <v>0</v>
      </c>
      <c r="Y30" s="1089">
        <f>Inputs!W44</f>
        <v>0</v>
      </c>
      <c r="Z30" s="1089">
        <f>Inputs!X44</f>
        <v>0</v>
      </c>
      <c r="AA30" s="1089">
        <f>Inputs!Y44</f>
        <v>0</v>
      </c>
      <c r="AB30" s="1089">
        <f>Inputs!Z44</f>
        <v>0</v>
      </c>
      <c r="AC30" s="1089">
        <f>Inputs!AA44</f>
        <v>0</v>
      </c>
      <c r="AD30" s="1089">
        <f>Inputs!AB44</f>
        <v>0</v>
      </c>
      <c r="AE30" s="1089">
        <f>Inputs!AC44</f>
        <v>0</v>
      </c>
      <c r="AF30" s="1089">
        <f>Inputs!AD44</f>
        <v>0</v>
      </c>
      <c r="AG30" s="1089">
        <f>Inputs!AE44</f>
        <v>0</v>
      </c>
      <c r="AH30" s="1089">
        <f>Inputs!AF44</f>
        <v>0</v>
      </c>
      <c r="AI30" s="1089">
        <f>Inputs!AG44</f>
        <v>0</v>
      </c>
      <c r="AJ30" s="1089">
        <f>Inputs!AH44</f>
        <v>0</v>
      </c>
    </row>
    <row r="31" spans="1:36">
      <c r="A31" s="452" t="s">
        <v>186</v>
      </c>
      <c r="B31" s="453"/>
      <c r="C31" s="855">
        <f ca="1">SUM(C9:C30)</f>
        <v>57973.052657378626</v>
      </c>
      <c r="D31" s="1257">
        <f t="shared" ca="1" si="0"/>
        <v>0.99999979237706893</v>
      </c>
      <c r="E31" s="1006"/>
      <c r="G31" s="890">
        <f t="shared" ref="G31:AJ31" ca="1" si="5">SUMPRODUCT($C9:$C30,G9:G30)/$C31</f>
        <v>0.28470877686522084</v>
      </c>
      <c r="H31" s="891">
        <f t="shared" ca="1" si="5"/>
        <v>6.3335407015635781E-2</v>
      </c>
      <c r="I31" s="891">
        <f t="shared" ca="1" si="5"/>
        <v>6.4322359683343669E-2</v>
      </c>
      <c r="J31" s="891">
        <f t="shared" ca="1" si="5"/>
        <v>6.4591905831308624E-2</v>
      </c>
      <c r="K31" s="891">
        <f t="shared" ca="1" si="5"/>
        <v>6.4810304582989572E-2</v>
      </c>
      <c r="L31" s="891">
        <f t="shared" ca="1" si="5"/>
        <v>6.5129852425040838E-2</v>
      </c>
      <c r="M31" s="891">
        <f t="shared" ca="1" si="5"/>
        <v>6.4756095956580051E-2</v>
      </c>
      <c r="N31" s="891">
        <f t="shared" ca="1" si="5"/>
        <v>6.509068942724415E-2</v>
      </c>
      <c r="O31" s="891">
        <f t="shared" ca="1" si="5"/>
        <v>6.5357671567096612E-2</v>
      </c>
      <c r="P31" s="891">
        <f t="shared" ca="1" si="5"/>
        <v>6.5636428776651393E-2</v>
      </c>
      <c r="Q31" s="891">
        <f t="shared" ca="1" si="5"/>
        <v>6.589336588377126E-2</v>
      </c>
      <c r="R31" s="891">
        <f t="shared" ca="1" si="5"/>
        <v>6.6366934362186103E-2</v>
      </c>
      <c r="S31" s="891">
        <f t="shared" ca="1" si="5"/>
        <v>0</v>
      </c>
      <c r="T31" s="891">
        <f t="shared" ca="1" si="5"/>
        <v>0</v>
      </c>
      <c r="U31" s="891">
        <f t="shared" ca="1" si="5"/>
        <v>0</v>
      </c>
      <c r="V31" s="891">
        <f t="shared" ca="1" si="5"/>
        <v>0</v>
      </c>
      <c r="W31" s="891">
        <f t="shared" ca="1" si="5"/>
        <v>0</v>
      </c>
      <c r="X31" s="891">
        <f t="shared" ca="1" si="5"/>
        <v>0</v>
      </c>
      <c r="Y31" s="891">
        <f t="shared" ca="1" si="5"/>
        <v>0</v>
      </c>
      <c r="Z31" s="891">
        <f t="shared" ca="1" si="5"/>
        <v>0</v>
      </c>
      <c r="AA31" s="891">
        <f t="shared" ca="1" si="5"/>
        <v>0</v>
      </c>
      <c r="AB31" s="891">
        <f t="shared" ca="1" si="5"/>
        <v>0</v>
      </c>
      <c r="AC31" s="891">
        <f t="shared" ca="1" si="5"/>
        <v>0</v>
      </c>
      <c r="AD31" s="891">
        <f t="shared" ca="1" si="5"/>
        <v>0</v>
      </c>
      <c r="AE31" s="891">
        <f t="shared" ca="1" si="5"/>
        <v>0</v>
      </c>
      <c r="AF31" s="891">
        <f t="shared" ca="1" si="5"/>
        <v>0</v>
      </c>
      <c r="AG31" s="891">
        <f t="shared" ca="1" si="5"/>
        <v>0</v>
      </c>
      <c r="AH31" s="891">
        <f t="shared" ca="1" si="5"/>
        <v>0</v>
      </c>
      <c r="AI31" s="891">
        <f t="shared" ca="1" si="5"/>
        <v>0</v>
      </c>
      <c r="AJ31" s="891">
        <f t="shared" ca="1" si="5"/>
        <v>0</v>
      </c>
    </row>
    <row r="32" spans="1:36">
      <c r="G32" s="454"/>
      <c r="H32" s="454"/>
      <c r="I32" s="454"/>
      <c r="J32" s="454"/>
      <c r="K32" s="454"/>
      <c r="L32" s="454"/>
      <c r="M32" s="454"/>
    </row>
    <row r="33" spans="1:36">
      <c r="A33" s="455" t="s">
        <v>180</v>
      </c>
      <c r="B33" s="455"/>
      <c r="C33" s="379"/>
      <c r="D33" s="379"/>
    </row>
    <row r="34" spans="1:36">
      <c r="A34" s="304" t="s">
        <v>1111</v>
      </c>
      <c r="D34" s="456">
        <f ca="1">SUM(G34:AJ34)</f>
        <v>57973.040620843502</v>
      </c>
      <c r="E34" s="1248"/>
      <c r="F34" s="1249"/>
      <c r="G34" s="505">
        <f ca="1">G31*$C$31</f>
        <v>16505.436913225309</v>
      </c>
      <c r="H34" s="505">
        <f t="shared" ref="H34:AJ34" ca="1" si="6">H31*$C$31</f>
        <v>3671.7468859939609</v>
      </c>
      <c r="I34" s="505">
        <f t="shared" ca="1" si="6"/>
        <v>3728.9635449693305</v>
      </c>
      <c r="J34" s="505">
        <f t="shared" ca="1" si="6"/>
        <v>3744.5899579988964</v>
      </c>
      <c r="K34" s="505">
        <f t="shared" ca="1" si="6"/>
        <v>3757.2512003304018</v>
      </c>
      <c r="L34" s="505">
        <f t="shared" ca="1" si="6"/>
        <v>3775.7763642041914</v>
      </c>
      <c r="M34" s="505">
        <f t="shared" ca="1" si="6"/>
        <v>3754.1085607770783</v>
      </c>
      <c r="N34" s="505">
        <f t="shared" ca="1" si="6"/>
        <v>3773.5059656707035</v>
      </c>
      <c r="O34" s="505">
        <f t="shared" ca="1" si="6"/>
        <v>3788.9837353229495</v>
      </c>
      <c r="P34" s="505">
        <f t="shared" ca="1" si="6"/>
        <v>3805.1441417110927</v>
      </c>
      <c r="Q34" s="505">
        <f t="shared" ca="1" si="6"/>
        <v>3820.0395701517878</v>
      </c>
      <c r="R34" s="505">
        <f t="shared" ca="1" si="6"/>
        <v>3847.4937804878059</v>
      </c>
      <c r="S34" s="505">
        <f t="shared" ca="1" si="6"/>
        <v>0</v>
      </c>
      <c r="T34" s="505">
        <f t="shared" ca="1" si="6"/>
        <v>0</v>
      </c>
      <c r="U34" s="505">
        <f t="shared" ca="1" si="6"/>
        <v>0</v>
      </c>
      <c r="V34" s="505">
        <f t="shared" ca="1" si="6"/>
        <v>0</v>
      </c>
      <c r="W34" s="505">
        <f t="shared" ca="1" si="6"/>
        <v>0</v>
      </c>
      <c r="X34" s="505">
        <f t="shared" ca="1" si="6"/>
        <v>0</v>
      </c>
      <c r="Y34" s="505">
        <f t="shared" ca="1" si="6"/>
        <v>0</v>
      </c>
      <c r="Z34" s="505">
        <f t="shared" ca="1" si="6"/>
        <v>0</v>
      </c>
      <c r="AA34" s="505">
        <f t="shared" ca="1" si="6"/>
        <v>0</v>
      </c>
      <c r="AB34" s="505">
        <f t="shared" ca="1" si="6"/>
        <v>0</v>
      </c>
      <c r="AC34" s="505">
        <f t="shared" ca="1" si="6"/>
        <v>0</v>
      </c>
      <c r="AD34" s="505">
        <f t="shared" ca="1" si="6"/>
        <v>0</v>
      </c>
      <c r="AE34" s="505">
        <f t="shared" ca="1" si="6"/>
        <v>0</v>
      </c>
      <c r="AF34" s="505">
        <f t="shared" ca="1" si="6"/>
        <v>0</v>
      </c>
      <c r="AG34" s="505">
        <f t="shared" ca="1" si="6"/>
        <v>0</v>
      </c>
      <c r="AH34" s="505">
        <f t="shared" ca="1" si="6"/>
        <v>0</v>
      </c>
      <c r="AI34" s="505">
        <f t="shared" ca="1" si="6"/>
        <v>0</v>
      </c>
      <c r="AJ34" s="505">
        <f t="shared" ca="1" si="6"/>
        <v>0</v>
      </c>
    </row>
    <row r="35" spans="1:36">
      <c r="A35" s="304" t="s">
        <v>1112</v>
      </c>
      <c r="D35" s="456">
        <f ca="1">MAX(G35:AJ35)</f>
        <v>57973.040620843502</v>
      </c>
      <c r="E35" s="1248"/>
      <c r="F35" s="1249"/>
      <c r="G35" s="505">
        <f ca="1">(G34+F35)</f>
        <v>16505.436913225309</v>
      </c>
      <c r="H35" s="505">
        <f t="shared" ref="H35:AJ35" ca="1" si="7">(H34+G35)</f>
        <v>20177.18379921927</v>
      </c>
      <c r="I35" s="505">
        <f t="shared" ca="1" si="7"/>
        <v>23906.147344188601</v>
      </c>
      <c r="J35" s="505">
        <f t="shared" ca="1" si="7"/>
        <v>27650.737302187496</v>
      </c>
      <c r="K35" s="505">
        <f t="shared" ca="1" si="7"/>
        <v>31407.988502517896</v>
      </c>
      <c r="L35" s="505">
        <f t="shared" ca="1" si="7"/>
        <v>35183.764866722086</v>
      </c>
      <c r="M35" s="505">
        <f t="shared" ca="1" si="7"/>
        <v>38937.873427499166</v>
      </c>
      <c r="N35" s="505">
        <f t="shared" ca="1" si="7"/>
        <v>42711.379393169867</v>
      </c>
      <c r="O35" s="505">
        <f t="shared" ca="1" si="7"/>
        <v>46500.36312849282</v>
      </c>
      <c r="P35" s="505">
        <f t="shared" ca="1" si="7"/>
        <v>50305.507270203911</v>
      </c>
      <c r="Q35" s="505">
        <f t="shared" ca="1" si="7"/>
        <v>54125.546840355695</v>
      </c>
      <c r="R35" s="505">
        <f t="shared" ca="1" si="7"/>
        <v>57973.040620843502</v>
      </c>
      <c r="S35" s="505">
        <f t="shared" ca="1" si="7"/>
        <v>57973.040620843502</v>
      </c>
      <c r="T35" s="505">
        <f t="shared" ca="1" si="7"/>
        <v>57973.040620843502</v>
      </c>
      <c r="U35" s="505">
        <f t="shared" ca="1" si="7"/>
        <v>57973.040620843502</v>
      </c>
      <c r="V35" s="505">
        <f t="shared" ca="1" si="7"/>
        <v>57973.040620843502</v>
      </c>
      <c r="W35" s="505">
        <f t="shared" ca="1" si="7"/>
        <v>57973.040620843502</v>
      </c>
      <c r="X35" s="505">
        <f t="shared" ca="1" si="7"/>
        <v>57973.040620843502</v>
      </c>
      <c r="Y35" s="505">
        <f t="shared" ca="1" si="7"/>
        <v>57973.040620843502</v>
      </c>
      <c r="Z35" s="505">
        <f t="shared" ca="1" si="7"/>
        <v>57973.040620843502</v>
      </c>
      <c r="AA35" s="505">
        <f t="shared" ca="1" si="7"/>
        <v>57973.040620843502</v>
      </c>
      <c r="AB35" s="505">
        <f t="shared" ca="1" si="7"/>
        <v>57973.040620843502</v>
      </c>
      <c r="AC35" s="505">
        <f t="shared" ca="1" si="7"/>
        <v>57973.040620843502</v>
      </c>
      <c r="AD35" s="505">
        <f t="shared" ca="1" si="7"/>
        <v>57973.040620843502</v>
      </c>
      <c r="AE35" s="505">
        <f t="shared" ca="1" si="7"/>
        <v>57973.040620843502</v>
      </c>
      <c r="AF35" s="505">
        <f t="shared" ca="1" si="7"/>
        <v>57973.040620843502</v>
      </c>
      <c r="AG35" s="505">
        <f t="shared" ca="1" si="7"/>
        <v>57973.040620843502</v>
      </c>
      <c r="AH35" s="505">
        <f t="shared" ca="1" si="7"/>
        <v>57973.040620843502</v>
      </c>
      <c r="AI35" s="505">
        <f t="shared" ca="1" si="7"/>
        <v>57973.040620843502</v>
      </c>
      <c r="AJ35" s="505">
        <f t="shared" ca="1" si="7"/>
        <v>57973.040620843502</v>
      </c>
    </row>
    <row r="36" spans="1:36">
      <c r="D36" s="1247"/>
      <c r="E36" s="1248"/>
      <c r="F36" s="1249"/>
      <c r="G36" s="1250"/>
      <c r="H36" s="1250"/>
      <c r="I36" s="1250"/>
      <c r="J36" s="1250"/>
      <c r="K36" s="1250"/>
      <c r="L36" s="1250"/>
      <c r="M36" s="1250"/>
      <c r="N36" s="1250"/>
      <c r="O36" s="1250"/>
      <c r="P36" s="1250"/>
      <c r="Q36" s="125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51"/>
      <c r="AG36" s="1251"/>
      <c r="AH36" s="1251"/>
      <c r="AI36" s="1251"/>
      <c r="AJ36" s="1251"/>
    </row>
    <row r="37" spans="1:36">
      <c r="A37" s="455" t="s">
        <v>179</v>
      </c>
      <c r="B37" s="455"/>
      <c r="C37" s="379"/>
      <c r="D37" s="457">
        <f ca="1">SUM(D38:D40)</f>
        <v>57973.040620843502</v>
      </c>
      <c r="E37" s="1252"/>
      <c r="F37" s="1253"/>
      <c r="G37" s="1102">
        <f t="shared" ref="G37:AD37" ca="1" si="8">SUM(G38:G40)</f>
        <v>16505.436913225309</v>
      </c>
      <c r="H37" s="1102">
        <f t="shared" ca="1" si="8"/>
        <v>20177.18379921927</v>
      </c>
      <c r="I37" s="1102">
        <f t="shared" ca="1" si="8"/>
        <v>23906.147344188601</v>
      </c>
      <c r="J37" s="1102">
        <f t="shared" ca="1" si="8"/>
        <v>27650.737302187496</v>
      </c>
      <c r="K37" s="1102">
        <f t="shared" ca="1" si="8"/>
        <v>31407.988502517896</v>
      </c>
      <c r="L37" s="1102">
        <f t="shared" ca="1" si="8"/>
        <v>35183.764866722086</v>
      </c>
      <c r="M37" s="1102">
        <f t="shared" ca="1" si="8"/>
        <v>38937.873427499166</v>
      </c>
      <c r="N37" s="1102">
        <f t="shared" ca="1" si="8"/>
        <v>42711.379393169867</v>
      </c>
      <c r="O37" s="1102">
        <f t="shared" ca="1" si="8"/>
        <v>46500.36312849282</v>
      </c>
      <c r="P37" s="1102">
        <f t="shared" ca="1" si="8"/>
        <v>50305.507270203911</v>
      </c>
      <c r="Q37" s="1102">
        <f t="shared" ca="1" si="8"/>
        <v>54125.546840355695</v>
      </c>
      <c r="R37" s="1102">
        <f t="shared" ca="1" si="8"/>
        <v>57973.040620843502</v>
      </c>
      <c r="S37" s="1102">
        <f t="shared" ca="1" si="8"/>
        <v>0</v>
      </c>
      <c r="T37" s="1102">
        <f t="shared" ca="1" si="8"/>
        <v>0</v>
      </c>
      <c r="U37" s="1102">
        <f t="shared" ca="1" si="8"/>
        <v>0</v>
      </c>
      <c r="V37" s="1102">
        <f t="shared" ca="1" si="8"/>
        <v>0</v>
      </c>
      <c r="W37" s="1102">
        <f t="shared" ca="1" si="8"/>
        <v>0</v>
      </c>
      <c r="X37" s="1102">
        <f t="shared" ca="1" si="8"/>
        <v>0</v>
      </c>
      <c r="Y37" s="1102">
        <f t="shared" ca="1" si="8"/>
        <v>0</v>
      </c>
      <c r="Z37" s="1102">
        <f t="shared" ca="1" si="8"/>
        <v>0</v>
      </c>
      <c r="AA37" s="1102">
        <f t="shared" ca="1" si="8"/>
        <v>0</v>
      </c>
      <c r="AB37" s="1102">
        <f t="shared" ca="1" si="8"/>
        <v>0</v>
      </c>
      <c r="AC37" s="1102">
        <f t="shared" ca="1" si="8"/>
        <v>0</v>
      </c>
      <c r="AD37" s="1102">
        <f t="shared" ca="1" si="8"/>
        <v>0</v>
      </c>
      <c r="AE37" s="1102">
        <f t="shared" ref="AE37:AJ37" ca="1" si="9">SUM(AE38:AE40)</f>
        <v>0</v>
      </c>
      <c r="AF37" s="1102">
        <f t="shared" ca="1" si="9"/>
        <v>0</v>
      </c>
      <c r="AG37" s="1102">
        <f t="shared" ca="1" si="9"/>
        <v>0</v>
      </c>
      <c r="AH37" s="1102">
        <f t="shared" ca="1" si="9"/>
        <v>0</v>
      </c>
      <c r="AI37" s="1102">
        <f t="shared" ca="1" si="9"/>
        <v>0</v>
      </c>
      <c r="AJ37" s="1102">
        <f t="shared" ca="1" si="9"/>
        <v>0</v>
      </c>
    </row>
    <row r="38" spans="1:36">
      <c r="A38" s="304" t="s">
        <v>1113</v>
      </c>
      <c r="C38" s="1056">
        <f ca="1">Inputs!$D$312+Inputs!$D$325</f>
        <v>15120.773894815633</v>
      </c>
      <c r="D38" s="456">
        <f ca="1">MAX(G38:AJ38)</f>
        <v>15120.773894815633</v>
      </c>
      <c r="E38" s="1248"/>
      <c r="F38" s="1249"/>
      <c r="G38" s="505">
        <f ca="1">MIN(G35,$C38)*G$5</f>
        <v>15120.773894815633</v>
      </c>
      <c r="H38" s="505">
        <f t="shared" ref="H38:AJ38" ca="1" si="10">MIN(H35,$C38)*H$5</f>
        <v>15120.773894815633</v>
      </c>
      <c r="I38" s="505">
        <f t="shared" ca="1" si="10"/>
        <v>15120.773894815633</v>
      </c>
      <c r="J38" s="505">
        <f t="shared" ca="1" si="10"/>
        <v>15120.773894815633</v>
      </c>
      <c r="K38" s="505">
        <f t="shared" ca="1" si="10"/>
        <v>15120.773894815633</v>
      </c>
      <c r="L38" s="505">
        <f t="shared" ca="1" si="10"/>
        <v>15120.773894815633</v>
      </c>
      <c r="M38" s="505">
        <f t="shared" ca="1" si="10"/>
        <v>15120.773894815633</v>
      </c>
      <c r="N38" s="505">
        <f t="shared" ca="1" si="10"/>
        <v>15120.773894815633</v>
      </c>
      <c r="O38" s="505">
        <f t="shared" ca="1" si="10"/>
        <v>15120.773894815633</v>
      </c>
      <c r="P38" s="505">
        <f t="shared" ca="1" si="10"/>
        <v>15120.773894815633</v>
      </c>
      <c r="Q38" s="505">
        <f t="shared" ca="1" si="10"/>
        <v>15120.773894815633</v>
      </c>
      <c r="R38" s="505">
        <f t="shared" ca="1" si="10"/>
        <v>15120.773894815633</v>
      </c>
      <c r="S38" s="505">
        <f t="shared" ca="1" si="10"/>
        <v>0</v>
      </c>
      <c r="T38" s="505">
        <f t="shared" ca="1" si="10"/>
        <v>0</v>
      </c>
      <c r="U38" s="505">
        <f t="shared" ca="1" si="10"/>
        <v>0</v>
      </c>
      <c r="V38" s="505">
        <f t="shared" ca="1" si="10"/>
        <v>0</v>
      </c>
      <c r="W38" s="505">
        <f t="shared" ca="1" si="10"/>
        <v>0</v>
      </c>
      <c r="X38" s="505">
        <f t="shared" ca="1" si="10"/>
        <v>0</v>
      </c>
      <c r="Y38" s="505">
        <f t="shared" ca="1" si="10"/>
        <v>0</v>
      </c>
      <c r="Z38" s="505">
        <f t="shared" ca="1" si="10"/>
        <v>0</v>
      </c>
      <c r="AA38" s="505">
        <f t="shared" ca="1" si="10"/>
        <v>0</v>
      </c>
      <c r="AB38" s="505">
        <f t="shared" ca="1" si="10"/>
        <v>0</v>
      </c>
      <c r="AC38" s="505">
        <f t="shared" ca="1" si="10"/>
        <v>0</v>
      </c>
      <c r="AD38" s="505">
        <f t="shared" ca="1" si="10"/>
        <v>0</v>
      </c>
      <c r="AE38" s="505">
        <f t="shared" ca="1" si="10"/>
        <v>0</v>
      </c>
      <c r="AF38" s="505">
        <f t="shared" ca="1" si="10"/>
        <v>0</v>
      </c>
      <c r="AG38" s="505">
        <f t="shared" ca="1" si="10"/>
        <v>0</v>
      </c>
      <c r="AH38" s="505">
        <f t="shared" ca="1" si="10"/>
        <v>0</v>
      </c>
      <c r="AI38" s="505">
        <f t="shared" ca="1" si="10"/>
        <v>0</v>
      </c>
      <c r="AJ38" s="505">
        <f t="shared" ca="1" si="10"/>
        <v>0</v>
      </c>
    </row>
    <row r="39" spans="1:36">
      <c r="A39" s="304" t="s">
        <v>1114</v>
      </c>
      <c r="C39" s="1056">
        <f ca="1">Inputs!$D$255</f>
        <v>0</v>
      </c>
      <c r="D39" s="456">
        <f ca="1">MAX(G39:AJ39)</f>
        <v>0</v>
      </c>
      <c r="E39" s="1248"/>
      <c r="F39" s="1249"/>
      <c r="G39" s="502">
        <f t="shared" ref="G39:AJ39" ca="1" si="11">MIN(G35-G38,$C39)*G$5</f>
        <v>0</v>
      </c>
      <c r="H39" s="502">
        <f t="shared" ca="1" si="11"/>
        <v>0</v>
      </c>
      <c r="I39" s="502">
        <f t="shared" ca="1" si="11"/>
        <v>0</v>
      </c>
      <c r="J39" s="502">
        <f t="shared" ca="1" si="11"/>
        <v>0</v>
      </c>
      <c r="K39" s="502">
        <f t="shared" ca="1" si="11"/>
        <v>0</v>
      </c>
      <c r="L39" s="502">
        <f t="shared" ca="1" si="11"/>
        <v>0</v>
      </c>
      <c r="M39" s="502">
        <f t="shared" ca="1" si="11"/>
        <v>0</v>
      </c>
      <c r="N39" s="502">
        <f t="shared" ca="1" si="11"/>
        <v>0</v>
      </c>
      <c r="O39" s="502">
        <f t="shared" ca="1" si="11"/>
        <v>0</v>
      </c>
      <c r="P39" s="502">
        <f t="shared" ca="1" si="11"/>
        <v>0</v>
      </c>
      <c r="Q39" s="502">
        <f t="shared" ca="1" si="11"/>
        <v>0</v>
      </c>
      <c r="R39" s="502">
        <f t="shared" ca="1" si="11"/>
        <v>0</v>
      </c>
      <c r="S39" s="502">
        <f t="shared" ca="1" si="11"/>
        <v>0</v>
      </c>
      <c r="T39" s="502">
        <f t="shared" ca="1" si="11"/>
        <v>0</v>
      </c>
      <c r="U39" s="502">
        <f t="shared" ca="1" si="11"/>
        <v>0</v>
      </c>
      <c r="V39" s="502">
        <f t="shared" ca="1" si="11"/>
        <v>0</v>
      </c>
      <c r="W39" s="502">
        <f t="shared" ca="1" si="11"/>
        <v>0</v>
      </c>
      <c r="X39" s="502">
        <f t="shared" ca="1" si="11"/>
        <v>0</v>
      </c>
      <c r="Y39" s="502">
        <f t="shared" ca="1" si="11"/>
        <v>0</v>
      </c>
      <c r="Z39" s="502">
        <f t="shared" ca="1" si="11"/>
        <v>0</v>
      </c>
      <c r="AA39" s="502">
        <f t="shared" ca="1" si="11"/>
        <v>0</v>
      </c>
      <c r="AB39" s="502">
        <f t="shared" ca="1" si="11"/>
        <v>0</v>
      </c>
      <c r="AC39" s="502">
        <f t="shared" ca="1" si="11"/>
        <v>0</v>
      </c>
      <c r="AD39" s="502">
        <f t="shared" ca="1" si="11"/>
        <v>0</v>
      </c>
      <c r="AE39" s="502">
        <f t="shared" ca="1" si="11"/>
        <v>0</v>
      </c>
      <c r="AF39" s="502">
        <f t="shared" ca="1" si="11"/>
        <v>0</v>
      </c>
      <c r="AG39" s="502">
        <f t="shared" ca="1" si="11"/>
        <v>0</v>
      </c>
      <c r="AH39" s="502">
        <f t="shared" ca="1" si="11"/>
        <v>0</v>
      </c>
      <c r="AI39" s="502">
        <f t="shared" ca="1" si="11"/>
        <v>0</v>
      </c>
      <c r="AJ39" s="502">
        <f t="shared" ca="1" si="11"/>
        <v>0</v>
      </c>
    </row>
    <row r="40" spans="1:36">
      <c r="A40" s="304" t="s">
        <v>1115</v>
      </c>
      <c r="C40" s="1056">
        <f ca="1">Inputs!D192</f>
        <v>42852.278762562994</v>
      </c>
      <c r="D40" s="456">
        <f ca="1">MAX(G40:AJ40)</f>
        <v>42852.266726027869</v>
      </c>
      <c r="E40" s="1248"/>
      <c r="F40" s="1249"/>
      <c r="G40" s="505">
        <f t="shared" ref="G40:AJ40" ca="1" si="12">(G35-G38-G39)*G$5</f>
        <v>1384.6630184096757</v>
      </c>
      <c r="H40" s="505">
        <f t="shared" ca="1" si="12"/>
        <v>5056.4099044036375</v>
      </c>
      <c r="I40" s="505">
        <f t="shared" ca="1" si="12"/>
        <v>8785.373449372968</v>
      </c>
      <c r="J40" s="505">
        <f t="shared" ca="1" si="12"/>
        <v>12529.963407371863</v>
      </c>
      <c r="K40" s="505">
        <f t="shared" ca="1" si="12"/>
        <v>16287.214607702263</v>
      </c>
      <c r="L40" s="505">
        <f t="shared" ca="1" si="12"/>
        <v>20062.990971906453</v>
      </c>
      <c r="M40" s="505">
        <f t="shared" ca="1" si="12"/>
        <v>23817.099532683533</v>
      </c>
      <c r="N40" s="505">
        <f t="shared" ca="1" si="12"/>
        <v>27590.605498354234</v>
      </c>
      <c r="O40" s="505">
        <f t="shared" ca="1" si="12"/>
        <v>31379.589233677187</v>
      </c>
      <c r="P40" s="505">
        <f t="shared" ca="1" si="12"/>
        <v>35184.733375388278</v>
      </c>
      <c r="Q40" s="505">
        <f t="shared" ca="1" si="12"/>
        <v>39004.772945540062</v>
      </c>
      <c r="R40" s="505">
        <f t="shared" ca="1" si="12"/>
        <v>42852.266726027869</v>
      </c>
      <c r="S40" s="505">
        <f t="shared" ca="1" si="12"/>
        <v>0</v>
      </c>
      <c r="T40" s="505">
        <f t="shared" ca="1" si="12"/>
        <v>0</v>
      </c>
      <c r="U40" s="505">
        <f t="shared" ca="1" si="12"/>
        <v>0</v>
      </c>
      <c r="V40" s="505">
        <f t="shared" ca="1" si="12"/>
        <v>0</v>
      </c>
      <c r="W40" s="505">
        <f t="shared" ca="1" si="12"/>
        <v>0</v>
      </c>
      <c r="X40" s="505">
        <f t="shared" ca="1" si="12"/>
        <v>0</v>
      </c>
      <c r="Y40" s="505">
        <f t="shared" ca="1" si="12"/>
        <v>0</v>
      </c>
      <c r="Z40" s="505">
        <f t="shared" ca="1" si="12"/>
        <v>0</v>
      </c>
      <c r="AA40" s="505">
        <f t="shared" ca="1" si="12"/>
        <v>0</v>
      </c>
      <c r="AB40" s="505">
        <f t="shared" ca="1" si="12"/>
        <v>0</v>
      </c>
      <c r="AC40" s="505">
        <f t="shared" ca="1" si="12"/>
        <v>0</v>
      </c>
      <c r="AD40" s="505">
        <f t="shared" ca="1" si="12"/>
        <v>0</v>
      </c>
      <c r="AE40" s="505">
        <f t="shared" ca="1" si="12"/>
        <v>0</v>
      </c>
      <c r="AF40" s="505">
        <f t="shared" ca="1" si="12"/>
        <v>0</v>
      </c>
      <c r="AG40" s="505">
        <f t="shared" ca="1" si="12"/>
        <v>0</v>
      </c>
      <c r="AH40" s="505">
        <f t="shared" ca="1" si="12"/>
        <v>0</v>
      </c>
      <c r="AI40" s="505">
        <f t="shared" ca="1" si="12"/>
        <v>0</v>
      </c>
      <c r="AJ40" s="505">
        <f t="shared" ca="1" si="12"/>
        <v>0</v>
      </c>
    </row>
    <row r="41" spans="1:36">
      <c r="D41" s="460"/>
      <c r="E41" s="460"/>
      <c r="F41" s="461"/>
      <c r="G41" s="461"/>
      <c r="H41" s="462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</row>
    <row r="42" spans="1:36">
      <c r="A42" s="398" t="s">
        <v>1116</v>
      </c>
      <c r="B42" s="398"/>
      <c r="D42" s="1245">
        <f ca="1">D37-D35</f>
        <v>0</v>
      </c>
      <c r="E42" s="396">
        <f ca="1">ABS(D35-D37)</f>
        <v>0</v>
      </c>
      <c r="G42" s="1246">
        <f t="shared" ref="G42:AJ42" ca="1" si="13">ABS(G35-G37)*G5</f>
        <v>0</v>
      </c>
      <c r="H42" s="1246">
        <f t="shared" ca="1" si="13"/>
        <v>0</v>
      </c>
      <c r="I42" s="1246">
        <f t="shared" ca="1" si="13"/>
        <v>0</v>
      </c>
      <c r="J42" s="1246">
        <f t="shared" ca="1" si="13"/>
        <v>0</v>
      </c>
      <c r="K42" s="1246">
        <f t="shared" ca="1" si="13"/>
        <v>0</v>
      </c>
      <c r="L42" s="1246">
        <f t="shared" ca="1" si="13"/>
        <v>0</v>
      </c>
      <c r="M42" s="1246">
        <f t="shared" ca="1" si="13"/>
        <v>0</v>
      </c>
      <c r="N42" s="1246">
        <f t="shared" ca="1" si="13"/>
        <v>0</v>
      </c>
      <c r="O42" s="1246">
        <f t="shared" ca="1" si="13"/>
        <v>0</v>
      </c>
      <c r="P42" s="1246">
        <f t="shared" ca="1" si="13"/>
        <v>0</v>
      </c>
      <c r="Q42" s="1246">
        <f t="shared" ca="1" si="13"/>
        <v>0</v>
      </c>
      <c r="R42" s="1246">
        <f t="shared" ca="1" si="13"/>
        <v>0</v>
      </c>
      <c r="S42" s="1246">
        <f t="shared" ca="1" si="13"/>
        <v>0</v>
      </c>
      <c r="T42" s="1246">
        <f t="shared" ca="1" si="13"/>
        <v>0</v>
      </c>
      <c r="U42" s="1246">
        <f t="shared" ca="1" si="13"/>
        <v>0</v>
      </c>
      <c r="V42" s="1246">
        <f t="shared" ca="1" si="13"/>
        <v>0</v>
      </c>
      <c r="W42" s="1246">
        <f t="shared" ca="1" si="13"/>
        <v>0</v>
      </c>
      <c r="X42" s="1246">
        <f t="shared" ca="1" si="13"/>
        <v>0</v>
      </c>
      <c r="Y42" s="1246">
        <f t="shared" ca="1" si="13"/>
        <v>0</v>
      </c>
      <c r="Z42" s="1246">
        <f t="shared" ca="1" si="13"/>
        <v>0</v>
      </c>
      <c r="AA42" s="1246">
        <f t="shared" ca="1" si="13"/>
        <v>0</v>
      </c>
      <c r="AB42" s="1246">
        <f t="shared" ca="1" si="13"/>
        <v>0</v>
      </c>
      <c r="AC42" s="1246">
        <f t="shared" ca="1" si="13"/>
        <v>0</v>
      </c>
      <c r="AD42" s="1246">
        <f t="shared" ca="1" si="13"/>
        <v>0</v>
      </c>
      <c r="AE42" s="1246">
        <f t="shared" ca="1" si="13"/>
        <v>0</v>
      </c>
      <c r="AF42" s="1246">
        <f t="shared" ca="1" si="13"/>
        <v>0</v>
      </c>
      <c r="AG42" s="1246">
        <f t="shared" ca="1" si="13"/>
        <v>0</v>
      </c>
      <c r="AH42" s="1246">
        <f t="shared" ca="1" si="13"/>
        <v>0</v>
      </c>
      <c r="AI42" s="1246">
        <f t="shared" ca="1" si="13"/>
        <v>0</v>
      </c>
      <c r="AJ42" s="1246">
        <f t="shared" ca="1" si="13"/>
        <v>0</v>
      </c>
    </row>
    <row r="43" spans="1:36">
      <c r="G43" s="464"/>
      <c r="H43" s="464"/>
      <c r="I43" s="464"/>
      <c r="J43" s="464"/>
      <c r="K43" s="464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</row>
    <row r="44" spans="1:36">
      <c r="A44" s="455" t="s">
        <v>179</v>
      </c>
      <c r="B44" s="455"/>
      <c r="C44" s="379"/>
      <c r="D44" s="457">
        <f ca="1">SUM(D45:D48)</f>
        <v>57973.040620843502</v>
      </c>
      <c r="E44" s="1102"/>
      <c r="F44" s="379"/>
      <c r="G44" s="458">
        <f t="shared" ref="G44:AD44" ca="1" si="14">SUM(G45:G48)</f>
        <v>16505.436913225309</v>
      </c>
      <c r="H44" s="458">
        <f t="shared" ca="1" si="14"/>
        <v>20177.18379921927</v>
      </c>
      <c r="I44" s="458">
        <f t="shared" ca="1" si="14"/>
        <v>23906.147344188601</v>
      </c>
      <c r="J44" s="458">
        <f t="shared" ca="1" si="14"/>
        <v>27650.737302187496</v>
      </c>
      <c r="K44" s="458">
        <f t="shared" ca="1" si="14"/>
        <v>31407.988502517896</v>
      </c>
      <c r="L44" s="458">
        <f t="shared" ca="1" si="14"/>
        <v>35183.764866722086</v>
      </c>
      <c r="M44" s="458">
        <f t="shared" ca="1" si="14"/>
        <v>38937.873427499166</v>
      </c>
      <c r="N44" s="458">
        <f t="shared" ca="1" si="14"/>
        <v>42711.379393169867</v>
      </c>
      <c r="O44" s="458">
        <f t="shared" ca="1" si="14"/>
        <v>46500.36312849282</v>
      </c>
      <c r="P44" s="458">
        <f t="shared" ca="1" si="14"/>
        <v>50305.507270203911</v>
      </c>
      <c r="Q44" s="458">
        <f t="shared" ca="1" si="14"/>
        <v>54125.546840355695</v>
      </c>
      <c r="R44" s="458">
        <f t="shared" ca="1" si="14"/>
        <v>57973.040620843502</v>
      </c>
      <c r="S44" s="458">
        <f t="shared" ca="1" si="14"/>
        <v>0</v>
      </c>
      <c r="T44" s="458">
        <f t="shared" ca="1" si="14"/>
        <v>0</v>
      </c>
      <c r="U44" s="458">
        <f t="shared" ca="1" si="14"/>
        <v>0</v>
      </c>
      <c r="V44" s="458">
        <f t="shared" ca="1" si="14"/>
        <v>0</v>
      </c>
      <c r="W44" s="458">
        <f t="shared" ca="1" si="14"/>
        <v>0</v>
      </c>
      <c r="X44" s="458">
        <f t="shared" ca="1" si="14"/>
        <v>0</v>
      </c>
      <c r="Y44" s="458">
        <f t="shared" ca="1" si="14"/>
        <v>0</v>
      </c>
      <c r="Z44" s="458">
        <f t="shared" ca="1" si="14"/>
        <v>0</v>
      </c>
      <c r="AA44" s="458">
        <f t="shared" ca="1" si="14"/>
        <v>0</v>
      </c>
      <c r="AB44" s="458">
        <f t="shared" ca="1" si="14"/>
        <v>0</v>
      </c>
      <c r="AC44" s="458">
        <f t="shared" ca="1" si="14"/>
        <v>0</v>
      </c>
      <c r="AD44" s="458">
        <f t="shared" ca="1" si="14"/>
        <v>0</v>
      </c>
      <c r="AE44" s="458">
        <f t="shared" ref="AE44:AJ44" ca="1" si="15">SUM(AE45:AE48)</f>
        <v>0</v>
      </c>
      <c r="AF44" s="458">
        <f t="shared" ca="1" si="15"/>
        <v>0</v>
      </c>
      <c r="AG44" s="458">
        <f t="shared" ca="1" si="15"/>
        <v>0</v>
      </c>
      <c r="AH44" s="458">
        <f t="shared" ca="1" si="15"/>
        <v>0</v>
      </c>
      <c r="AI44" s="458">
        <f t="shared" ca="1" si="15"/>
        <v>0</v>
      </c>
      <c r="AJ44" s="458">
        <f t="shared" ca="1" si="15"/>
        <v>0</v>
      </c>
    </row>
    <row r="45" spans="1:36">
      <c r="A45" s="304" t="str">
        <f>Inputs!A165</f>
        <v>Equity Shares</v>
      </c>
      <c r="C45" s="811">
        <f>Inputs!$D$312</f>
        <v>500</v>
      </c>
      <c r="D45" s="853">
        <f ca="1">MAX(G45:AJ45)</f>
        <v>500</v>
      </c>
      <c r="E45" s="1100"/>
      <c r="F45" s="461"/>
      <c r="G45" s="233">
        <f t="shared" ref="G45:AJ45" ca="1" si="16">MIN($C45,G35)*G5</f>
        <v>500</v>
      </c>
      <c r="H45" s="233">
        <f t="shared" ca="1" si="16"/>
        <v>500</v>
      </c>
      <c r="I45" s="233">
        <f t="shared" ca="1" si="16"/>
        <v>500</v>
      </c>
      <c r="J45" s="233">
        <f t="shared" ca="1" si="16"/>
        <v>500</v>
      </c>
      <c r="K45" s="233">
        <f t="shared" ca="1" si="16"/>
        <v>500</v>
      </c>
      <c r="L45" s="233">
        <f t="shared" ca="1" si="16"/>
        <v>500</v>
      </c>
      <c r="M45" s="233">
        <f t="shared" ca="1" si="16"/>
        <v>500</v>
      </c>
      <c r="N45" s="233">
        <f t="shared" ca="1" si="16"/>
        <v>500</v>
      </c>
      <c r="O45" s="233">
        <f t="shared" ca="1" si="16"/>
        <v>500</v>
      </c>
      <c r="P45" s="233">
        <f t="shared" ca="1" si="16"/>
        <v>500</v>
      </c>
      <c r="Q45" s="233">
        <f t="shared" ca="1" si="16"/>
        <v>500</v>
      </c>
      <c r="R45" s="233">
        <f t="shared" ca="1" si="16"/>
        <v>500</v>
      </c>
      <c r="S45" s="233">
        <f t="shared" ca="1" si="16"/>
        <v>0</v>
      </c>
      <c r="T45" s="233">
        <f t="shared" ca="1" si="16"/>
        <v>0</v>
      </c>
      <c r="U45" s="233">
        <f t="shared" ca="1" si="16"/>
        <v>0</v>
      </c>
      <c r="V45" s="233">
        <f t="shared" ca="1" si="16"/>
        <v>0</v>
      </c>
      <c r="W45" s="233">
        <f t="shared" ca="1" si="16"/>
        <v>0</v>
      </c>
      <c r="X45" s="233">
        <f t="shared" ca="1" si="16"/>
        <v>0</v>
      </c>
      <c r="Y45" s="233">
        <f t="shared" ca="1" si="16"/>
        <v>0</v>
      </c>
      <c r="Z45" s="233">
        <f t="shared" ca="1" si="16"/>
        <v>0</v>
      </c>
      <c r="AA45" s="233">
        <f t="shared" ca="1" si="16"/>
        <v>0</v>
      </c>
      <c r="AB45" s="233">
        <f t="shared" ca="1" si="16"/>
        <v>0</v>
      </c>
      <c r="AC45" s="233">
        <f t="shared" ca="1" si="16"/>
        <v>0</v>
      </c>
      <c r="AD45" s="233">
        <f t="shared" ca="1" si="16"/>
        <v>0</v>
      </c>
      <c r="AE45" s="233">
        <f t="shared" ca="1" si="16"/>
        <v>0</v>
      </c>
      <c r="AF45" s="233">
        <f t="shared" ca="1" si="16"/>
        <v>0</v>
      </c>
      <c r="AG45" s="233">
        <f t="shared" ca="1" si="16"/>
        <v>0</v>
      </c>
      <c r="AH45" s="233">
        <f t="shared" ca="1" si="16"/>
        <v>0</v>
      </c>
      <c r="AI45" s="233">
        <f t="shared" ca="1" si="16"/>
        <v>0</v>
      </c>
      <c r="AJ45" s="233">
        <f t="shared" ca="1" si="16"/>
        <v>0</v>
      </c>
    </row>
    <row r="46" spans="1:36">
      <c r="A46" s="304" t="str">
        <f>Inputs!A166</f>
        <v>Shareholder Loan</v>
      </c>
      <c r="C46" s="811">
        <f ca="1">Inputs!$D$325</f>
        <v>14620.773894815633</v>
      </c>
      <c r="D46" s="456">
        <f ca="1">IF(SUMIF(G46:AJ46,"&lt;0")&lt;&gt;0,MIN(G46:AJ46),MAX(G46:AJ46))</f>
        <v>14620.773894815633</v>
      </c>
      <c r="E46" s="505"/>
      <c r="F46" s="461"/>
      <c r="G46" s="233">
        <f ca="1">MIN(G$35-SUM(G$45:G45),$C46)*G5</f>
        <v>14620.773894815633</v>
      </c>
      <c r="H46" s="233">
        <f ca="1">MIN(H$35-SUM(H$45:H45),$C46)*H5</f>
        <v>14620.773894815633</v>
      </c>
      <c r="I46" s="233">
        <f ca="1">MIN(I$35-SUM(I$45:I45),$C46)*I5</f>
        <v>14620.773894815633</v>
      </c>
      <c r="J46" s="233">
        <f ca="1">MIN(J$35-SUM(J$45:J45),$C46)*J5</f>
        <v>14620.773894815633</v>
      </c>
      <c r="K46" s="233">
        <f ca="1">MIN(K$35-SUM(K$45:K45),$C46)*K5</f>
        <v>14620.773894815633</v>
      </c>
      <c r="L46" s="233">
        <f ca="1">MIN(L$35-SUM(L$45:L45),$C46)*L5</f>
        <v>14620.773894815633</v>
      </c>
      <c r="M46" s="233">
        <f ca="1">MIN(M$35-SUM(M$45:M45),$C46)*M5</f>
        <v>14620.773894815633</v>
      </c>
      <c r="N46" s="233">
        <f ca="1">MIN(N$35-SUM(N$45:N45),$C46)*N5</f>
        <v>14620.773894815633</v>
      </c>
      <c r="O46" s="233">
        <f ca="1">MIN(O$35-SUM(O$45:O45),$C46)*O5</f>
        <v>14620.773894815633</v>
      </c>
      <c r="P46" s="233">
        <f ca="1">MIN(P$35-SUM(P$45:P45),$C46)*P5</f>
        <v>14620.773894815633</v>
      </c>
      <c r="Q46" s="233">
        <f ca="1">MIN(Q$35-SUM(Q$45:Q45),$C46)*Q5</f>
        <v>14620.773894815633</v>
      </c>
      <c r="R46" s="233">
        <f ca="1">MIN(R$35-SUM(R$45:R45),$C46)*R5</f>
        <v>14620.773894815633</v>
      </c>
      <c r="S46" s="233">
        <f ca="1">MIN(S$35-SUM(S$45:S45),$C46)*S5</f>
        <v>0</v>
      </c>
      <c r="T46" s="233">
        <f ca="1">MIN(T$35-SUM(T$45:T45),$C46)*T5</f>
        <v>0</v>
      </c>
      <c r="U46" s="233">
        <f ca="1">MIN(U$35-SUM(U$45:U45),$C46)*U5</f>
        <v>0</v>
      </c>
      <c r="V46" s="233">
        <f ca="1">MIN(V$35-SUM(V$45:V45),$C46)*V5</f>
        <v>0</v>
      </c>
      <c r="W46" s="233">
        <f ca="1">MIN(W$35-SUM(W$45:W45),$C46)*W5</f>
        <v>0</v>
      </c>
      <c r="X46" s="233">
        <f ca="1">MIN(X$35-SUM(X$45:X45),$C46)*X5</f>
        <v>0</v>
      </c>
      <c r="Y46" s="233">
        <f ca="1">MIN(Y$35-SUM(Y$45:Y45),$C46)*Y5</f>
        <v>0</v>
      </c>
      <c r="Z46" s="233">
        <f ca="1">MIN(Z$35-SUM(Z$45:Z45),$C46)*Z5</f>
        <v>0</v>
      </c>
      <c r="AA46" s="233">
        <f ca="1">MIN(AA$35-SUM(AA$45:AA45),$C46)*AA5</f>
        <v>0</v>
      </c>
      <c r="AB46" s="233">
        <f ca="1">MIN(AB$35-SUM(AB$45:AB45),$C46)*AB5</f>
        <v>0</v>
      </c>
      <c r="AC46" s="233">
        <f ca="1">MIN(AC$35-SUM(AC$45:AC45),$C46)*AC5</f>
        <v>0</v>
      </c>
      <c r="AD46" s="233">
        <f ca="1">MIN(AD$35-SUM(AD$45:AD45),$C46)*AD5</f>
        <v>0</v>
      </c>
      <c r="AE46" s="233">
        <f ca="1">MIN(AE$35-SUM(AE$45:AE45),$C46)*AE5</f>
        <v>0</v>
      </c>
      <c r="AF46" s="233">
        <f ca="1">MIN(AF$35-SUM(AF$45:AF45),$C46)*AF5</f>
        <v>0</v>
      </c>
      <c r="AG46" s="233">
        <f ca="1">MIN(AG$35-SUM(AG$45:AG45),$C46)*AG5</f>
        <v>0</v>
      </c>
      <c r="AH46" s="233">
        <f ca="1">MIN(AH$35-SUM(AH$45:AH45),$C46)*AH5</f>
        <v>0</v>
      </c>
      <c r="AI46" s="233">
        <f ca="1">MIN(AI$35-SUM(AI$45:AI45),$C46)*AI5</f>
        <v>0</v>
      </c>
      <c r="AJ46" s="233">
        <f ca="1">MIN(AJ$35-SUM(AJ$45:AJ45),$C46)*AJ5</f>
        <v>0</v>
      </c>
    </row>
    <row r="47" spans="1:36">
      <c r="A47" s="304" t="str">
        <f>Inputs!A167</f>
        <v>Akuo Carbon Fund</v>
      </c>
      <c r="C47" s="811">
        <f ca="1">Inputs!$D$255</f>
        <v>0</v>
      </c>
      <c r="D47" s="659">
        <f ca="1">MAX(G47:AJ47)</f>
        <v>0</v>
      </c>
      <c r="E47" s="233"/>
      <c r="F47" s="465"/>
      <c r="G47" s="459">
        <f ca="1">MIN(G$35-SUM(G$45:G46),$C47)*G5</f>
        <v>0</v>
      </c>
      <c r="H47" s="459">
        <f ca="1">MIN(H$35-SUM(H$45:H46),$C47)*H5</f>
        <v>0</v>
      </c>
      <c r="I47" s="459">
        <f ca="1">MIN(I$35-SUM(I$45:I46),$C47)*I5</f>
        <v>0</v>
      </c>
      <c r="J47" s="459">
        <f ca="1">MIN(J$35-SUM(J$45:J46),$C47)*J5</f>
        <v>0</v>
      </c>
      <c r="K47" s="459">
        <f ca="1">MIN(K$35-SUM(K$45:K46),$C47)*K5</f>
        <v>0</v>
      </c>
      <c r="L47" s="459">
        <f ca="1">MIN(L$35-SUM(L$45:L46),$C47)*L5</f>
        <v>0</v>
      </c>
      <c r="M47" s="459">
        <f ca="1">MIN(M$35-SUM(M$45:M46),$C47)*M5</f>
        <v>0</v>
      </c>
      <c r="N47" s="459">
        <f ca="1">MIN(N$35-SUM(N$45:N46),$C47)*N5</f>
        <v>0</v>
      </c>
      <c r="O47" s="459">
        <f ca="1">MIN(O$35-SUM(O$45:O46),$C47)*O5</f>
        <v>0</v>
      </c>
      <c r="P47" s="459">
        <f ca="1">MIN(P$35-SUM(P$45:P46),$C47)*P5</f>
        <v>0</v>
      </c>
      <c r="Q47" s="459">
        <f ca="1">MIN(Q$35-SUM(Q$45:Q46),$C47)*Q5</f>
        <v>0</v>
      </c>
      <c r="R47" s="459">
        <f ca="1">MIN(R$35-SUM(R$45:R46),$C47)*R5</f>
        <v>0</v>
      </c>
      <c r="S47" s="459">
        <f ca="1">MIN(S$35-SUM(S$45:S46),$C47)*S5</f>
        <v>0</v>
      </c>
      <c r="T47" s="459">
        <f ca="1">MIN(T$35-SUM(T$45:T46),$C47)*T5</f>
        <v>0</v>
      </c>
      <c r="U47" s="459">
        <f ca="1">MIN(U$35-SUM(U$45:U46),$C47)*U5</f>
        <v>0</v>
      </c>
      <c r="V47" s="459">
        <f ca="1">MIN(V$35-SUM(V$45:V46),$C47)*V5</f>
        <v>0</v>
      </c>
      <c r="W47" s="459">
        <f ca="1">MIN(W$35-SUM(W$45:W46),$C47)*W5</f>
        <v>0</v>
      </c>
      <c r="X47" s="459">
        <f ca="1">MIN(X$35-SUM(X$45:X46),$C47)*X5</f>
        <v>0</v>
      </c>
      <c r="Y47" s="459">
        <f ca="1">MIN(Y$35-SUM(Y$45:Y46),$C47)*Y5</f>
        <v>0</v>
      </c>
      <c r="Z47" s="459">
        <f ca="1">MIN(Z$35-SUM(Z$45:Z46),$C47)*Z5</f>
        <v>0</v>
      </c>
      <c r="AA47" s="459">
        <f ca="1">MIN(AA$35-SUM(AA$45:AA46),$C47)*AA5</f>
        <v>0</v>
      </c>
      <c r="AB47" s="459">
        <f ca="1">MIN(AB$35-SUM(AB$45:AB46),$C47)*AB5</f>
        <v>0</v>
      </c>
      <c r="AC47" s="459">
        <f ca="1">MIN(AC$35-SUM(AC$45:AC46),$C47)*AC5</f>
        <v>0</v>
      </c>
      <c r="AD47" s="459">
        <f ca="1">MIN(AD$35-SUM(AD$45:AD46),$C47)*AD5</f>
        <v>0</v>
      </c>
      <c r="AE47" s="459">
        <f ca="1">MIN(AE$35-SUM(AE$45:AE46),$C47)*AE5</f>
        <v>0</v>
      </c>
      <c r="AF47" s="459">
        <f ca="1">MIN(AF$35-SUM(AF$45:AF46),$C47)*AF5</f>
        <v>0</v>
      </c>
      <c r="AG47" s="459">
        <f ca="1">MIN(AG$35-SUM(AG$45:AG46),$C47)*AG5</f>
        <v>0</v>
      </c>
      <c r="AH47" s="459">
        <f ca="1">MIN(AH$35-SUM(AH$45:AH46),$C47)*AH5</f>
        <v>0</v>
      </c>
      <c r="AI47" s="459">
        <f ca="1">MIN(AI$35-SUM(AI$45:AI46),$C47)*AI5</f>
        <v>0</v>
      </c>
      <c r="AJ47" s="459">
        <f ca="1">MIN(AJ$35-SUM(AJ$45:AJ46),$C47)*AJ5</f>
        <v>0</v>
      </c>
    </row>
    <row r="48" spans="1:36">
      <c r="A48" s="304" t="str">
        <f>Inputs!A168</f>
        <v>Senior Debt</v>
      </c>
      <c r="D48" s="456">
        <f ca="1">MAX(G48:AJ48)</f>
        <v>42852.266726027869</v>
      </c>
      <c r="E48" s="505"/>
      <c r="F48" s="465"/>
      <c r="G48" s="233">
        <f t="shared" ref="G48:AJ48" ca="1" si="17">MIN(G40,G35-SUM(G45:G47))*G5</f>
        <v>1384.6630184096757</v>
      </c>
      <c r="H48" s="233">
        <f t="shared" ca="1" si="17"/>
        <v>5056.4099044036375</v>
      </c>
      <c r="I48" s="233">
        <f t="shared" ca="1" si="17"/>
        <v>8785.373449372968</v>
      </c>
      <c r="J48" s="233">
        <f t="shared" ca="1" si="17"/>
        <v>12529.963407371863</v>
      </c>
      <c r="K48" s="233">
        <f t="shared" ca="1" si="17"/>
        <v>16287.214607702263</v>
      </c>
      <c r="L48" s="233">
        <f t="shared" ca="1" si="17"/>
        <v>20062.990971906453</v>
      </c>
      <c r="M48" s="233">
        <f t="shared" ca="1" si="17"/>
        <v>23817.099532683533</v>
      </c>
      <c r="N48" s="233">
        <f t="shared" ca="1" si="17"/>
        <v>27590.605498354234</v>
      </c>
      <c r="O48" s="233">
        <f t="shared" ca="1" si="17"/>
        <v>31379.589233677187</v>
      </c>
      <c r="P48" s="233">
        <f t="shared" ca="1" si="17"/>
        <v>35184.733375388278</v>
      </c>
      <c r="Q48" s="233">
        <f t="shared" ca="1" si="17"/>
        <v>39004.772945540062</v>
      </c>
      <c r="R48" s="233">
        <f t="shared" ca="1" si="17"/>
        <v>42852.266726027869</v>
      </c>
      <c r="S48" s="233">
        <f t="shared" ca="1" si="17"/>
        <v>0</v>
      </c>
      <c r="T48" s="233">
        <f t="shared" ca="1" si="17"/>
        <v>0</v>
      </c>
      <c r="U48" s="233">
        <f t="shared" ca="1" si="17"/>
        <v>0</v>
      </c>
      <c r="V48" s="233">
        <f t="shared" ca="1" si="17"/>
        <v>0</v>
      </c>
      <c r="W48" s="233">
        <f t="shared" ca="1" si="17"/>
        <v>0</v>
      </c>
      <c r="X48" s="233">
        <f t="shared" ca="1" si="17"/>
        <v>0</v>
      </c>
      <c r="Y48" s="233">
        <f t="shared" ca="1" si="17"/>
        <v>0</v>
      </c>
      <c r="Z48" s="233">
        <f t="shared" ca="1" si="17"/>
        <v>0</v>
      </c>
      <c r="AA48" s="233">
        <f t="shared" ca="1" si="17"/>
        <v>0</v>
      </c>
      <c r="AB48" s="233">
        <f t="shared" ca="1" si="17"/>
        <v>0</v>
      </c>
      <c r="AC48" s="233">
        <f t="shared" ca="1" si="17"/>
        <v>0</v>
      </c>
      <c r="AD48" s="233">
        <f t="shared" ca="1" si="17"/>
        <v>0</v>
      </c>
      <c r="AE48" s="233">
        <f t="shared" ca="1" si="17"/>
        <v>0</v>
      </c>
      <c r="AF48" s="233">
        <f t="shared" ca="1" si="17"/>
        <v>0</v>
      </c>
      <c r="AG48" s="233">
        <f t="shared" ca="1" si="17"/>
        <v>0</v>
      </c>
      <c r="AH48" s="233">
        <f t="shared" ca="1" si="17"/>
        <v>0</v>
      </c>
      <c r="AI48" s="233">
        <f t="shared" ca="1" si="17"/>
        <v>0</v>
      </c>
      <c r="AJ48" s="233">
        <f t="shared" ca="1" si="17"/>
        <v>0</v>
      </c>
    </row>
    <row r="49" spans="1:36">
      <c r="D49" s="466"/>
      <c r="E49" s="466"/>
      <c r="F49" s="467"/>
      <c r="G49" s="468"/>
      <c r="H49" s="468"/>
      <c r="I49" s="468"/>
      <c r="J49" s="468"/>
      <c r="K49" s="468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  <c r="AC49" s="469"/>
      <c r="AD49" s="469"/>
      <c r="AE49" s="469"/>
      <c r="AF49" s="469"/>
      <c r="AG49" s="469"/>
      <c r="AH49" s="469"/>
      <c r="AI49" s="469"/>
      <c r="AJ49" s="469"/>
    </row>
    <row r="50" spans="1:36">
      <c r="A50" s="455" t="s">
        <v>1117</v>
      </c>
      <c r="B50" s="470" t="s">
        <v>333</v>
      </c>
      <c r="C50" s="470" t="s">
        <v>1118</v>
      </c>
      <c r="D50" s="457"/>
      <c r="E50" s="1102"/>
      <c r="F50" s="379"/>
      <c r="G50" s="458">
        <f t="shared" ref="G50:AD50" si="18">SUM(G55:G58)</f>
        <v>0</v>
      </c>
      <c r="H50" s="458">
        <f t="shared" ca="1" si="18"/>
        <v>2.8781169708205039</v>
      </c>
      <c r="I50" s="458">
        <f t="shared" ca="1" si="18"/>
        <v>60.09477594619041</v>
      </c>
      <c r="J50" s="458">
        <f t="shared" ca="1" si="18"/>
        <v>75.721188975756675</v>
      </c>
      <c r="K50" s="458">
        <f t="shared" ca="1" si="18"/>
        <v>88.382431307261228</v>
      </c>
      <c r="L50" s="458">
        <f t="shared" ca="1" si="18"/>
        <v>106.90759518105133</v>
      </c>
      <c r="M50" s="458">
        <f t="shared" ca="1" si="18"/>
        <v>118.55022744374469</v>
      </c>
      <c r="N50" s="458">
        <f t="shared" ca="1" si="18"/>
        <v>137.9476323373695</v>
      </c>
      <c r="O50" s="458">
        <f t="shared" ca="1" si="18"/>
        <v>153.42540198961677</v>
      </c>
      <c r="P50" s="458">
        <f t="shared" ca="1" si="18"/>
        <v>152.58580837775941</v>
      </c>
      <c r="Q50" s="458">
        <f t="shared" ca="1" si="18"/>
        <v>184.48123681845397</v>
      </c>
      <c r="R50" s="458">
        <f t="shared" ca="1" si="18"/>
        <v>193.60844715447215</v>
      </c>
      <c r="S50" s="458">
        <f t="shared" ca="1" si="18"/>
        <v>0</v>
      </c>
      <c r="T50" s="458">
        <f t="shared" ca="1" si="18"/>
        <v>0</v>
      </c>
      <c r="U50" s="458">
        <f t="shared" ca="1" si="18"/>
        <v>0</v>
      </c>
      <c r="V50" s="458">
        <f t="shared" ca="1" si="18"/>
        <v>0</v>
      </c>
      <c r="W50" s="458">
        <f t="shared" ca="1" si="18"/>
        <v>0</v>
      </c>
      <c r="X50" s="458">
        <f t="shared" ca="1" si="18"/>
        <v>0</v>
      </c>
      <c r="Y50" s="458">
        <f t="shared" ca="1" si="18"/>
        <v>0</v>
      </c>
      <c r="Z50" s="458">
        <f t="shared" ca="1" si="18"/>
        <v>0</v>
      </c>
      <c r="AA50" s="458">
        <f t="shared" ca="1" si="18"/>
        <v>0</v>
      </c>
      <c r="AB50" s="458">
        <f t="shared" ca="1" si="18"/>
        <v>0</v>
      </c>
      <c r="AC50" s="458">
        <f t="shared" ca="1" si="18"/>
        <v>0</v>
      </c>
      <c r="AD50" s="458">
        <f t="shared" ca="1" si="18"/>
        <v>0</v>
      </c>
      <c r="AE50" s="458">
        <f t="shared" ref="AE50:AJ50" ca="1" si="19">SUM(AE55:AE58)</f>
        <v>0</v>
      </c>
      <c r="AF50" s="458">
        <f t="shared" ca="1" si="19"/>
        <v>0</v>
      </c>
      <c r="AG50" s="458">
        <f t="shared" ca="1" si="19"/>
        <v>0</v>
      </c>
      <c r="AH50" s="458">
        <f t="shared" ca="1" si="19"/>
        <v>0</v>
      </c>
      <c r="AI50" s="458">
        <f t="shared" ca="1" si="19"/>
        <v>0</v>
      </c>
      <c r="AJ50" s="458">
        <f t="shared" ca="1" si="19"/>
        <v>0</v>
      </c>
    </row>
    <row r="51" spans="1:36">
      <c r="A51" s="304" t="str">
        <f>A$46&amp;" "&amp;Inputs!$A$328</f>
        <v>Shareholder Loan Sponsor</v>
      </c>
      <c r="B51" s="970">
        <f>Inputs!D423/(1-Inputs!D423)</f>
        <v>0</v>
      </c>
      <c r="C51" s="970">
        <f>Inputs!$G$328</f>
        <v>0.08</v>
      </c>
      <c r="D51" s="459">
        <f ca="1">Inputs!D328*((1+C51)^((Inputs!$D$11-Inputs!$D$338)/equity_year)-1)</f>
        <v>1169.6619115852516</v>
      </c>
      <c r="E51" s="459"/>
      <c r="H51" s="459"/>
      <c r="I51" s="459"/>
      <c r="J51" s="459"/>
      <c r="K51" s="459"/>
      <c r="L51" s="459"/>
      <c r="M51" s="459"/>
      <c r="N51" s="459"/>
      <c r="O51" s="459"/>
      <c r="P51" s="459"/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E51" s="459"/>
      <c r="AF51" s="459"/>
      <c r="AG51" s="459"/>
      <c r="AH51" s="459"/>
      <c r="AI51" s="459"/>
      <c r="AJ51" s="459"/>
    </row>
    <row r="52" spans="1:36">
      <c r="A52" s="304" t="str">
        <f>A$46&amp;" "&amp;Inputs!$A$330</f>
        <v>Shareholder Loan Investor 1</v>
      </c>
      <c r="B52" s="970">
        <f>Inputs!D424/(1-Inputs!D424)</f>
        <v>0</v>
      </c>
      <c r="C52" s="970">
        <f>Inputs!$G$330</f>
        <v>0.08</v>
      </c>
      <c r="D52" s="459">
        <f ca="1">Inputs!$D330*((1+C52)^((Inputs!$D$11-Inputs!$D$338)/equity_year)-1)</f>
        <v>0</v>
      </c>
      <c r="E52" s="459"/>
      <c r="F52" s="472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59"/>
      <c r="T52" s="459"/>
      <c r="U52" s="459"/>
      <c r="V52" s="459"/>
      <c r="W52" s="459"/>
      <c r="X52" s="459"/>
      <c r="Y52" s="459"/>
      <c r="Z52" s="459"/>
      <c r="AA52" s="459"/>
      <c r="AB52" s="459"/>
      <c r="AC52" s="459"/>
      <c r="AD52" s="459"/>
      <c r="AE52" s="459"/>
      <c r="AF52" s="459"/>
      <c r="AG52" s="459"/>
      <c r="AH52" s="459"/>
      <c r="AI52" s="459"/>
      <c r="AJ52" s="459"/>
    </row>
    <row r="53" spans="1:36">
      <c r="A53" s="304" t="str">
        <f>A$46&amp;" "&amp;Inputs!$A$331</f>
        <v>Shareholder Loan Investor 2</v>
      </c>
      <c r="B53" s="970">
        <f>Inputs!D425/(1-Inputs!D425)</f>
        <v>0</v>
      </c>
      <c r="C53" s="970">
        <f>Inputs!$G$331</f>
        <v>0.08</v>
      </c>
      <c r="D53" s="459">
        <f ca="1">Inputs!$D331*((1+C53)^((Inputs!$D$11-Inputs!$D$338)/equity_year)-1)</f>
        <v>0</v>
      </c>
      <c r="E53" s="459"/>
      <c r="H53" s="459"/>
      <c r="I53" s="473"/>
      <c r="J53" s="473"/>
      <c r="K53" s="473"/>
      <c r="L53" s="473"/>
      <c r="M53" s="473"/>
      <c r="N53" s="473"/>
      <c r="O53" s="473"/>
      <c r="P53" s="459"/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</row>
    <row r="54" spans="1:36">
      <c r="B54" s="673"/>
      <c r="C54" s="970"/>
      <c r="D54" s="474">
        <f ca="1">SUM(D51:D53)</f>
        <v>1169.6619115852516</v>
      </c>
      <c r="E54" s="475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>
      <c r="A55" s="304" t="str">
        <f>A$47&amp;" IDCs"</f>
        <v>Akuo Carbon Fund IDCs</v>
      </c>
      <c r="B55" s="970">
        <f>Inputs!$D$422/(1-Inputs!$D$422)</f>
        <v>0</v>
      </c>
      <c r="C55" s="1061">
        <f>Inputs!C265</f>
        <v>785</v>
      </c>
      <c r="D55" s="475">
        <f>Macro!H11</f>
        <v>0</v>
      </c>
      <c r="E55" s="475"/>
      <c r="G55" s="233"/>
      <c r="H55" s="233">
        <f ca="1">($C55%/100+H$59)*G47*G$6*H$5</f>
        <v>0</v>
      </c>
      <c r="I55" s="233">
        <f t="shared" ref="I55:AJ55" ca="1" si="20">($C55%/100+I$59)*H47*H$6*I$5</f>
        <v>0</v>
      </c>
      <c r="J55" s="233">
        <f t="shared" ca="1" si="20"/>
        <v>0</v>
      </c>
      <c r="K55" s="233">
        <f t="shared" ca="1" si="20"/>
        <v>0</v>
      </c>
      <c r="L55" s="233">
        <f t="shared" ca="1" si="20"/>
        <v>0</v>
      </c>
      <c r="M55" s="233">
        <f t="shared" ca="1" si="20"/>
        <v>0</v>
      </c>
      <c r="N55" s="233">
        <f t="shared" ca="1" si="20"/>
        <v>0</v>
      </c>
      <c r="O55" s="233">
        <f t="shared" ca="1" si="20"/>
        <v>0</v>
      </c>
      <c r="P55" s="233">
        <f t="shared" ca="1" si="20"/>
        <v>0</v>
      </c>
      <c r="Q55" s="233">
        <f t="shared" ca="1" si="20"/>
        <v>0</v>
      </c>
      <c r="R55" s="233">
        <f t="shared" ca="1" si="20"/>
        <v>0</v>
      </c>
      <c r="S55" s="233">
        <f t="shared" ca="1" si="20"/>
        <v>0</v>
      </c>
      <c r="T55" s="233">
        <f t="shared" ca="1" si="20"/>
        <v>0</v>
      </c>
      <c r="U55" s="233">
        <f t="shared" ca="1" si="20"/>
        <v>0</v>
      </c>
      <c r="V55" s="233">
        <f t="shared" ca="1" si="20"/>
        <v>0</v>
      </c>
      <c r="W55" s="233">
        <f t="shared" ca="1" si="20"/>
        <v>0</v>
      </c>
      <c r="X55" s="233">
        <f t="shared" ca="1" si="20"/>
        <v>0</v>
      </c>
      <c r="Y55" s="233">
        <f t="shared" ca="1" si="20"/>
        <v>0</v>
      </c>
      <c r="Z55" s="233">
        <f t="shared" ca="1" si="20"/>
        <v>0</v>
      </c>
      <c r="AA55" s="233">
        <f t="shared" ca="1" si="20"/>
        <v>0</v>
      </c>
      <c r="AB55" s="233">
        <f t="shared" ca="1" si="20"/>
        <v>0</v>
      </c>
      <c r="AC55" s="233">
        <f t="shared" ca="1" si="20"/>
        <v>0</v>
      </c>
      <c r="AD55" s="233">
        <f t="shared" ca="1" si="20"/>
        <v>0</v>
      </c>
      <c r="AE55" s="233">
        <f t="shared" ca="1" si="20"/>
        <v>0</v>
      </c>
      <c r="AF55" s="233">
        <f t="shared" ca="1" si="20"/>
        <v>0</v>
      </c>
      <c r="AG55" s="233">
        <f t="shared" ca="1" si="20"/>
        <v>0</v>
      </c>
      <c r="AH55" s="233">
        <f t="shared" ca="1" si="20"/>
        <v>0</v>
      </c>
      <c r="AI55" s="233">
        <f t="shared" ca="1" si="20"/>
        <v>0</v>
      </c>
      <c r="AJ55" s="233">
        <f t="shared" ca="1" si="20"/>
        <v>0</v>
      </c>
    </row>
    <row r="56" spans="1:36">
      <c r="A56" s="304" t="str">
        <f>A$47&amp;" Commitment Fees"</f>
        <v>Akuo Carbon Fund Commitment Fees</v>
      </c>
      <c r="B56" s="970">
        <f>Inputs!$D$427/(1-Inputs!$D$427)</f>
        <v>0</v>
      </c>
      <c r="C56" s="970">
        <f>Inputs!C267</f>
        <v>0</v>
      </c>
      <c r="D56" s="475">
        <f>Macro!H12</f>
        <v>0</v>
      </c>
      <c r="E56" s="475"/>
      <c r="G56" s="233"/>
      <c r="H56" s="811">
        <f ca="1">$C56*(Inputs!$D$255-G$47)*G$6*G$5</f>
        <v>0</v>
      </c>
      <c r="I56" s="811">
        <f ca="1">$C56*(Inputs!$D$255-H$47)*H$6*H$5</f>
        <v>0</v>
      </c>
      <c r="J56" s="811">
        <f ca="1">$C56*(Inputs!$D$255-I$47)*I$6*I$5</f>
        <v>0</v>
      </c>
      <c r="K56" s="811">
        <f ca="1">$C56*(Inputs!$D$255-J$47)*J$6*J$5</f>
        <v>0</v>
      </c>
      <c r="L56" s="811">
        <f ca="1">$C56*(Inputs!$D$255-K$47)*K$6*K$5</f>
        <v>0</v>
      </c>
      <c r="M56" s="811">
        <f ca="1">$C56*(Inputs!$D$255-L$47)*L$6*L$5</f>
        <v>0</v>
      </c>
      <c r="N56" s="811">
        <f ca="1">$C56*(Inputs!$D$255-M$47)*M$6*M$5</f>
        <v>0</v>
      </c>
      <c r="O56" s="811">
        <f ca="1">$C56*(Inputs!$D$255-N$47)*N$6*N$5</f>
        <v>0</v>
      </c>
      <c r="P56" s="811">
        <f ca="1">$C56*(Inputs!$D$255-O$47)*O$6*O$5</f>
        <v>0</v>
      </c>
      <c r="Q56" s="811">
        <f ca="1">$C56*(Inputs!$D$255-P$47)*P$6*P$5</f>
        <v>0</v>
      </c>
      <c r="R56" s="811">
        <f ca="1">$C56*(Inputs!$D$255-Q$47)*Q$6*Q$5</f>
        <v>0</v>
      </c>
      <c r="S56" s="811">
        <f ca="1">$C56*(Inputs!$D$255-R$47)*R$6*R$5</f>
        <v>0</v>
      </c>
      <c r="T56" s="811">
        <f ca="1">$C56*(Inputs!$D$255-S$47)*S$6*S$5</f>
        <v>0</v>
      </c>
      <c r="U56" s="811">
        <f ca="1">$C56*(Inputs!$D$255-T$47)*T$6*T$5</f>
        <v>0</v>
      </c>
      <c r="V56" s="811">
        <f ca="1">$C56*(Inputs!$D$255-U$47)*U$6*U$5</f>
        <v>0</v>
      </c>
      <c r="W56" s="811">
        <f ca="1">$C56*(Inputs!$D$255-V$47)*V$6*V$5</f>
        <v>0</v>
      </c>
      <c r="X56" s="811">
        <f ca="1">$C56*(Inputs!$D$255-W$47)*W$6*W$5</f>
        <v>0</v>
      </c>
      <c r="Y56" s="811">
        <f ca="1">$C56*(Inputs!$D$255-X$47)*X$6*X$5</f>
        <v>0</v>
      </c>
      <c r="Z56" s="811">
        <f ca="1">$C56*(Inputs!$D$255-Y$47)*Y$6*Y$5</f>
        <v>0</v>
      </c>
      <c r="AA56" s="811">
        <f ca="1">$C56*(Inputs!$D$255-Z$47)*Z$6*Z$5</f>
        <v>0</v>
      </c>
      <c r="AB56" s="811">
        <f ca="1">$C56*(Inputs!$D$255-AA$47)*AA$6*AA$5</f>
        <v>0</v>
      </c>
      <c r="AC56" s="811">
        <f ca="1">$C56*(Inputs!$D$255-AB$47)*AB$6*AB$5</f>
        <v>0</v>
      </c>
      <c r="AD56" s="811">
        <f ca="1">$C56*(Inputs!$D$255-AC$47)*AC$6*AC$5</f>
        <v>0</v>
      </c>
      <c r="AE56" s="811">
        <f ca="1">$C56*(Inputs!$D$255-AD$47)*AD$6*AD$5</f>
        <v>0</v>
      </c>
      <c r="AF56" s="811">
        <f ca="1">$C56*(Inputs!$D$255-AE$47)*AE$6*AE$5</f>
        <v>0</v>
      </c>
      <c r="AG56" s="811">
        <f ca="1">$C56*(Inputs!$D$255-AF$47)*AF$6*AF$5</f>
        <v>0</v>
      </c>
      <c r="AH56" s="811">
        <f ca="1">$C56*(Inputs!$D$255-AG$47)*AG$6*AG$5</f>
        <v>0</v>
      </c>
      <c r="AI56" s="811">
        <f ca="1">$C56*(Inputs!$D$255-AH$47)*AH$6*AH$5</f>
        <v>0</v>
      </c>
      <c r="AJ56" s="811">
        <f ca="1">$C56*(Inputs!$D$255-AI$47)*AI$6*AI$5</f>
        <v>0</v>
      </c>
    </row>
    <row r="57" spans="1:36">
      <c r="A57" s="304" t="str">
        <f>A$48&amp;" IDCs"</f>
        <v>Senior Debt IDCs</v>
      </c>
      <c r="B57" s="970">
        <f>Inputs!$D$422/(1-Inputs!$D$422)</f>
        <v>0</v>
      </c>
      <c r="C57" s="1062">
        <f>Inputs!D213</f>
        <v>265</v>
      </c>
      <c r="D57" s="475">
        <f>Macro!H13</f>
        <v>1086.031998482634</v>
      </c>
      <c r="E57" s="475"/>
      <c r="G57" s="233"/>
      <c r="H57" s="233">
        <f t="shared" ref="H57:AJ57" ca="1" si="21">($C57%/100+H$59)*G$48*G$6*H$5</f>
        <v>0.45917271907822732</v>
      </c>
      <c r="I57" s="233">
        <f t="shared" ca="1" si="21"/>
        <v>25.921011186937996</v>
      </c>
      <c r="J57" s="233">
        <f t="shared" ca="1" si="21"/>
        <v>44.919028755080689</v>
      </c>
      <c r="K57" s="233">
        <f t="shared" ca="1" si="21"/>
        <v>61.850405371468995</v>
      </c>
      <c r="L57" s="233">
        <f t="shared" ca="1" si="21"/>
        <v>82.888349674364761</v>
      </c>
      <c r="M57" s="233">
        <f ca="1">($C57%/100+M$59)*L$48*L$6*M$5</f>
        <v>98.609600626920226</v>
      </c>
      <c r="N57" s="233">
        <f t="shared" ca="1" si="21"/>
        <v>120.73665778368682</v>
      </c>
      <c r="O57" s="233">
        <f t="shared" ca="1" si="21"/>
        <v>139.62630574656134</v>
      </c>
      <c r="P57" s="233">
        <f t="shared" ca="1" si="21"/>
        <v>143.21644526250267</v>
      </c>
      <c r="Q57" s="233">
        <f t="shared" ca="1" si="21"/>
        <v>177.54849786421681</v>
      </c>
      <c r="R57" s="233">
        <f t="shared" ca="1" si="21"/>
        <v>190.24187956457709</v>
      </c>
      <c r="S57" s="233">
        <f t="shared" ca="1" si="21"/>
        <v>0</v>
      </c>
      <c r="T57" s="233">
        <f t="shared" ca="1" si="21"/>
        <v>0</v>
      </c>
      <c r="U57" s="233">
        <f t="shared" ca="1" si="21"/>
        <v>0</v>
      </c>
      <c r="V57" s="233">
        <f t="shared" ca="1" si="21"/>
        <v>0</v>
      </c>
      <c r="W57" s="233">
        <f t="shared" ca="1" si="21"/>
        <v>0</v>
      </c>
      <c r="X57" s="233">
        <f t="shared" ca="1" si="21"/>
        <v>0</v>
      </c>
      <c r="Y57" s="233">
        <f t="shared" ca="1" si="21"/>
        <v>0</v>
      </c>
      <c r="Z57" s="233">
        <f t="shared" ca="1" si="21"/>
        <v>0</v>
      </c>
      <c r="AA57" s="233">
        <f t="shared" ca="1" si="21"/>
        <v>0</v>
      </c>
      <c r="AB57" s="233">
        <f t="shared" ca="1" si="21"/>
        <v>0</v>
      </c>
      <c r="AC57" s="233">
        <f t="shared" ca="1" si="21"/>
        <v>0</v>
      </c>
      <c r="AD57" s="233">
        <f t="shared" ca="1" si="21"/>
        <v>0</v>
      </c>
      <c r="AE57" s="233">
        <f t="shared" ca="1" si="21"/>
        <v>0</v>
      </c>
      <c r="AF57" s="233">
        <f t="shared" ca="1" si="21"/>
        <v>0</v>
      </c>
      <c r="AG57" s="233">
        <f t="shared" ca="1" si="21"/>
        <v>0</v>
      </c>
      <c r="AH57" s="233">
        <f t="shared" ca="1" si="21"/>
        <v>0</v>
      </c>
      <c r="AI57" s="233">
        <f t="shared" ca="1" si="21"/>
        <v>0</v>
      </c>
      <c r="AJ57" s="233">
        <f t="shared" ca="1" si="21"/>
        <v>0</v>
      </c>
    </row>
    <row r="58" spans="1:36">
      <c r="A58" s="304" t="str">
        <f>A$48&amp;" Commitment Fees"</f>
        <v>Senior Debt Commitment Fees</v>
      </c>
      <c r="B58" s="970">
        <f>Inputs!$D$427/(1-Inputs!$D$427)</f>
        <v>0</v>
      </c>
      <c r="C58" s="970">
        <f>Inputs!D214</f>
        <v>1.0499999999999999E-2</v>
      </c>
      <c r="D58" s="1206">
        <f>Macro!H14</f>
        <v>188.56290055498553</v>
      </c>
      <c r="E58" s="475"/>
      <c r="G58" s="233"/>
      <c r="H58" s="1205">
        <f ca="1">$C58*(Inputs!$D$195-G48)*G$6*H$5</f>
        <v>2.4189442517422766</v>
      </c>
      <c r="I58" s="1205">
        <f ca="1">$C58*(Inputs!$D$195-H48)*H$6*I$5</f>
        <v>34.173764759252414</v>
      </c>
      <c r="J58" s="1205">
        <f ca="1">$C58*(Inputs!$D$195-I48)*I$6*J$5</f>
        <v>30.802160220675983</v>
      </c>
      <c r="K58" s="1205">
        <f ca="1">$C58*(Inputs!$D$195-J48)*J$6*K$5</f>
        <v>26.532025935792237</v>
      </c>
      <c r="L58" s="1205">
        <f ca="1">$C58*(Inputs!$D$195-K48)*K$6*L$5</f>
        <v>24.019245506686577</v>
      </c>
      <c r="M58" s="1205">
        <f ca="1">$C58*(Inputs!$D$195-L48)*L$6*M$5</f>
        <v>19.940626816824469</v>
      </c>
      <c r="N58" s="1205">
        <f ca="1">$C58*(Inputs!$D$195-M48)*M$6*N$5</f>
        <v>17.210974553682679</v>
      </c>
      <c r="O58" s="1205">
        <f ca="1">$C58*(Inputs!$D$195-N48)*N$6*O$5</f>
        <v>13.799096243055418</v>
      </c>
      <c r="P58" s="1205">
        <f ca="1">$C58*(Inputs!$D$195-O48)*O$6*P$5</f>
        <v>9.3693631152567427</v>
      </c>
      <c r="Q58" s="1205">
        <f ca="1">$C58*(Inputs!$D$195-P48)*P$6*Q$5</f>
        <v>6.9327389542371387</v>
      </c>
      <c r="R58" s="1205">
        <f ca="1">$C58*(Inputs!$D$195-Q48)*Q$6*R$5</f>
        <v>3.3665675898950647</v>
      </c>
      <c r="S58" s="1205">
        <f ca="1">$C58*(Inputs!$D$195-R48)*R$6*S$5</f>
        <v>0</v>
      </c>
      <c r="T58" s="1205">
        <f ca="1">$C58*(Inputs!$D$195-S48)*S$6*T$5</f>
        <v>0</v>
      </c>
      <c r="U58" s="1205">
        <f ca="1">$C58*(Inputs!$D$195-T48)*T$6*U$5</f>
        <v>0</v>
      </c>
      <c r="V58" s="1205">
        <f ca="1">$C58*(Inputs!$D$195-U48)*U$6*V$5</f>
        <v>0</v>
      </c>
      <c r="W58" s="1205">
        <f ca="1">$C58*(Inputs!$D$195-V48)*V$6*W$5</f>
        <v>0</v>
      </c>
      <c r="X58" s="1205">
        <f ca="1">$C58*(Inputs!$D$195-W48)*W$6*X$5</f>
        <v>0</v>
      </c>
      <c r="Y58" s="1205">
        <f ca="1">$C58*(Inputs!$D$195-X48)*X$6*Y$5</f>
        <v>0</v>
      </c>
      <c r="Z58" s="1205">
        <f ca="1">$C58*(Inputs!$D$195-Y48)*Y$6*Z$5</f>
        <v>0</v>
      </c>
      <c r="AA58" s="1205">
        <f ca="1">$C58*(Inputs!$D$195-Z48)*Z$6*AA$5</f>
        <v>0</v>
      </c>
      <c r="AB58" s="1205">
        <f ca="1">$C58*(Inputs!$D$195-AA48)*AA$6*AB$5</f>
        <v>0</v>
      </c>
      <c r="AC58" s="1205">
        <f ca="1">$C58*(Inputs!$D$195-AB48)*AB$6*AC$5</f>
        <v>0</v>
      </c>
      <c r="AD58" s="1205">
        <f ca="1">$C58*(Inputs!$D$195-AC48)*AC$6*AD$5</f>
        <v>0</v>
      </c>
      <c r="AE58" s="1205">
        <f ca="1">$C58*(Inputs!$D$195-AD48)*AD$6*AE$5</f>
        <v>0</v>
      </c>
      <c r="AF58" s="1205">
        <f ca="1">$C58*(Inputs!$D$195-AE48)*AE$6*AF$5</f>
        <v>0</v>
      </c>
      <c r="AG58" s="1205">
        <f ca="1">$C58*(Inputs!$D$195-AF48)*AF$6*AG$5</f>
        <v>0</v>
      </c>
      <c r="AH58" s="1205">
        <f ca="1">$C58*(Inputs!$D$195-AG48)*AG$6*AH$5</f>
        <v>0</v>
      </c>
      <c r="AI58" s="1205">
        <f ca="1">$C58*(Inputs!$D$195-AH48)*AH$6*AI$5</f>
        <v>0</v>
      </c>
      <c r="AJ58" s="1205">
        <f ca="1">$C58*(Inputs!$D$195-AI48)*AI$6*AJ$5</f>
        <v>0</v>
      </c>
    </row>
    <row r="59" spans="1:36">
      <c r="A59" s="304" t="str">
        <f>Inputs!A204</f>
        <v>All-in Base Rate</v>
      </c>
      <c r="C59" s="670">
        <f>Inputs!$D$202*Inputs!$D$230+SUM(Inputs!$D$232:$D$234)%/100</f>
        <v>2.6000000000000002E-2</v>
      </c>
      <c r="D59" s="233"/>
      <c r="E59" s="233"/>
      <c r="F59" s="477"/>
      <c r="G59" s="1095">
        <f>$C59+G60</f>
        <v>3.3353599999999997E-2</v>
      </c>
      <c r="H59" s="1095">
        <f>$C59+H60</f>
        <v>3.3190400000000002E-2</v>
      </c>
      <c r="I59" s="1095">
        <f t="shared" ref="I59:AJ59" si="22">$C59+I60</f>
        <v>3.3031999999999999E-2</v>
      </c>
      <c r="J59" s="1095">
        <f t="shared" si="22"/>
        <v>3.2876000000000002E-2</v>
      </c>
      <c r="K59" s="1095">
        <f t="shared" si="22"/>
        <v>3.2734400000000004E-2</v>
      </c>
      <c r="L59" s="1095">
        <f t="shared" si="22"/>
        <v>3.2600000000000004E-2</v>
      </c>
      <c r="M59" s="1095">
        <f t="shared" si="22"/>
        <v>3.2480000000000002E-2</v>
      </c>
      <c r="N59" s="1095">
        <f t="shared" si="22"/>
        <v>3.2369599999999998E-2</v>
      </c>
      <c r="O59" s="1095">
        <f t="shared" si="22"/>
        <v>3.22688E-2</v>
      </c>
      <c r="P59" s="1095">
        <f t="shared" si="22"/>
        <v>3.218E-2</v>
      </c>
      <c r="Q59" s="1095">
        <f t="shared" si="22"/>
        <v>3.2100799999999999E-2</v>
      </c>
      <c r="R59" s="1095">
        <f t="shared" si="22"/>
        <v>3.2028800000000003E-2</v>
      </c>
      <c r="S59" s="1095">
        <f t="shared" si="22"/>
        <v>3.1966399999999999E-2</v>
      </c>
      <c r="T59" s="1095">
        <f t="shared" si="22"/>
        <v>3.1916E-2</v>
      </c>
      <c r="U59" s="1095">
        <f t="shared" si="22"/>
        <v>3.18728E-2</v>
      </c>
      <c r="V59" s="1095">
        <f t="shared" si="22"/>
        <v>3.1834399999999999E-2</v>
      </c>
      <c r="W59" s="1095">
        <f t="shared" si="22"/>
        <v>3.1798400000000004E-2</v>
      </c>
      <c r="X59" s="1095">
        <f t="shared" si="22"/>
        <v>3.1764800000000003E-2</v>
      </c>
      <c r="Y59" s="1095">
        <f t="shared" si="22"/>
        <v>3.1733600000000001E-2</v>
      </c>
      <c r="Z59" s="1095">
        <f t="shared" si="22"/>
        <v>3.1704799999999998E-2</v>
      </c>
      <c r="AA59" s="1095">
        <f t="shared" si="22"/>
        <v>3.1678400000000002E-2</v>
      </c>
      <c r="AB59" s="1095">
        <f t="shared" si="22"/>
        <v>3.1656799999999999E-2</v>
      </c>
      <c r="AC59" s="1095">
        <f t="shared" si="22"/>
        <v>3.1632800000000003E-2</v>
      </c>
      <c r="AD59" s="1095">
        <f t="shared" si="22"/>
        <v>3.1613599999999999E-2</v>
      </c>
      <c r="AE59" s="1095">
        <f t="shared" si="22"/>
        <v>3.1594400000000002E-2</v>
      </c>
      <c r="AF59" s="1095">
        <f t="shared" si="22"/>
        <v>3.1577599999999997E-2</v>
      </c>
      <c r="AG59" s="1095">
        <f t="shared" si="22"/>
        <v>3.15632E-2</v>
      </c>
      <c r="AH59" s="1095">
        <f t="shared" si="22"/>
        <v>3.1551200000000001E-2</v>
      </c>
      <c r="AI59" s="1095">
        <f t="shared" si="22"/>
        <v>3.1539200000000003E-2</v>
      </c>
      <c r="AJ59" s="1095">
        <f t="shared" si="22"/>
        <v>3.1527199999999998E-2</v>
      </c>
    </row>
    <row r="60" spans="1:36">
      <c r="C60" s="670">
        <f>+(1-Inputs!$D$230)*(1+Inputs!$D$298)</f>
        <v>0.23999999999999994</v>
      </c>
      <c r="D60" s="233"/>
      <c r="E60" s="233"/>
      <c r="F60" s="477"/>
      <c r="G60" s="1096">
        <f>IF(Inputs!A$301&gt;0,Inputs!A$301*$C60,0)</f>
        <v>7.3535999999999983E-3</v>
      </c>
      <c r="H60" s="1096">
        <f>IF(Inputs!B$301&gt;0,Inputs!B$301*$C60,0)</f>
        <v>7.1903999999999978E-3</v>
      </c>
      <c r="I60" s="1096">
        <f>IF(Inputs!C$301&gt;0,Inputs!C$301*$C60,0)</f>
        <v>7.0319999999999992E-3</v>
      </c>
      <c r="J60" s="1096">
        <f>IF(Inputs!D$301&gt;0,Inputs!D$301*$C60,0)</f>
        <v>6.8759999999999984E-3</v>
      </c>
      <c r="K60" s="1096">
        <f>IF(Inputs!E$301&gt;0,Inputs!E$301*$C60,0)</f>
        <v>6.7343999999999989E-3</v>
      </c>
      <c r="L60" s="1096">
        <f>IF(Inputs!F$301&gt;0,Inputs!F$301*$C60,0)</f>
        <v>6.5999999999999982E-3</v>
      </c>
      <c r="M60" s="1096">
        <f>IF(Inputs!G$301&gt;0,Inputs!G$301*$C60,0)</f>
        <v>6.4799999999999988E-3</v>
      </c>
      <c r="N60" s="1096">
        <f>IF(Inputs!H$301&gt;0,Inputs!H$301*$C60,0)</f>
        <v>6.3695999999999978E-3</v>
      </c>
      <c r="O60" s="1096">
        <f>IF(Inputs!I$301&gt;0,Inputs!I$301*$C60,0)</f>
        <v>6.2687999999999989E-3</v>
      </c>
      <c r="P60" s="1096">
        <f>IF(Inputs!J$301&gt;0,Inputs!J$301*$C60,0)</f>
        <v>6.1799999999999989E-3</v>
      </c>
      <c r="Q60" s="1096">
        <f>IF(Inputs!K$301&gt;0,Inputs!K$301*$C60,0)</f>
        <v>6.1007999999999982E-3</v>
      </c>
      <c r="R60" s="1096">
        <f>IF(Inputs!L$301&gt;0,Inputs!L$301*$C60,0)</f>
        <v>6.0287999999999982E-3</v>
      </c>
      <c r="S60" s="1096">
        <f>IF(Inputs!M$301&gt;0,Inputs!M$301*$C60,0)</f>
        <v>5.9663999999999993E-3</v>
      </c>
      <c r="T60" s="1096">
        <f>IF(Inputs!N$301&gt;0,Inputs!N$301*$C60,0)</f>
        <v>5.9159999999999976E-3</v>
      </c>
      <c r="U60" s="1096">
        <f>IF(Inputs!O$301&gt;0,Inputs!O$301*$C60,0)</f>
        <v>5.8727999999999992E-3</v>
      </c>
      <c r="V60" s="1096">
        <f>IF(Inputs!P$301&gt;0,Inputs!P$301*$C60,0)</f>
        <v>5.8343999999999991E-3</v>
      </c>
      <c r="W60" s="1096">
        <f>IF(Inputs!Q$301&gt;0,Inputs!Q$301*$C60,0)</f>
        <v>5.7983999999999987E-3</v>
      </c>
      <c r="X60" s="1096">
        <f>IF(Inputs!R$301&gt;0,Inputs!R$301*$C60,0)</f>
        <v>5.7647999999999987E-3</v>
      </c>
      <c r="Y60" s="1096">
        <f>IF(Inputs!S$301&gt;0,Inputs!S$301*$C60,0)</f>
        <v>5.7335999999999984E-3</v>
      </c>
      <c r="Z60" s="1096">
        <f>IF(Inputs!T$301&gt;0,Inputs!T$301*$C60,0)</f>
        <v>5.7047999999999986E-3</v>
      </c>
      <c r="AA60" s="1096">
        <f>IF(Inputs!U$301&gt;0,Inputs!U$301*$C60,0)</f>
        <v>5.6783999999999984E-3</v>
      </c>
      <c r="AB60" s="1096">
        <f>IF(Inputs!V$301&gt;0,Inputs!V$301*$C60,0)</f>
        <v>5.6567999999999983E-3</v>
      </c>
      <c r="AC60" s="1096">
        <f>IF(Inputs!W$301&gt;0,Inputs!W$301*$C60,0)</f>
        <v>5.6327999999999986E-3</v>
      </c>
      <c r="AD60" s="1096">
        <f>IF(Inputs!X$301&gt;0,Inputs!X$301*$C60,0)</f>
        <v>5.613599999999999E-3</v>
      </c>
      <c r="AE60" s="1096">
        <f>IF(Inputs!Y$301&gt;0,Inputs!Y$301*$C60,0)</f>
        <v>5.5943999999999985E-3</v>
      </c>
      <c r="AF60" s="1096">
        <f>IF(Inputs!Z$301&gt;0,Inputs!Z$301*$C60,0)</f>
        <v>5.5775999999999977E-3</v>
      </c>
      <c r="AG60" s="1096">
        <f>IF(Inputs!AA$301&gt;0,Inputs!AA$301*$C60,0)</f>
        <v>5.5631999999999982E-3</v>
      </c>
      <c r="AH60" s="1096">
        <f>IF(Inputs!AB$301&gt;0,Inputs!AB$301*$C60,0)</f>
        <v>5.5511999999999992E-3</v>
      </c>
      <c r="AI60" s="1096">
        <f>IF(Inputs!AC$301&gt;0,Inputs!AC$301*$C60,0)</f>
        <v>5.5391999999999985E-3</v>
      </c>
      <c r="AJ60" s="1096">
        <f>IF(Inputs!AD$301&gt;0,Inputs!AD$301*$C60,0)</f>
        <v>5.5271999999999977E-3</v>
      </c>
    </row>
    <row r="61" spans="1:36">
      <c r="A61" s="398" t="s">
        <v>1116</v>
      </c>
      <c r="B61" s="398"/>
      <c r="E61" s="396">
        <f ca="1">SUM(G61:AD61)</f>
        <v>0</v>
      </c>
      <c r="F61" s="479"/>
      <c r="G61" s="463">
        <f t="shared" ref="G61:AD61" ca="1" si="23">ABS(G44-G37)</f>
        <v>0</v>
      </c>
      <c r="H61" s="463">
        <f t="shared" ca="1" si="23"/>
        <v>0</v>
      </c>
      <c r="I61" s="463">
        <f t="shared" ca="1" si="23"/>
        <v>0</v>
      </c>
      <c r="J61" s="463">
        <f t="shared" ca="1" si="23"/>
        <v>0</v>
      </c>
      <c r="K61" s="463">
        <f t="shared" ca="1" si="23"/>
        <v>0</v>
      </c>
      <c r="L61" s="463">
        <f t="shared" ca="1" si="23"/>
        <v>0</v>
      </c>
      <c r="M61" s="463">
        <f t="shared" ca="1" si="23"/>
        <v>0</v>
      </c>
      <c r="N61" s="463">
        <f t="shared" ca="1" si="23"/>
        <v>0</v>
      </c>
      <c r="O61" s="463">
        <f t="shared" ca="1" si="23"/>
        <v>0</v>
      </c>
      <c r="P61" s="463">
        <f t="shared" ca="1" si="23"/>
        <v>0</v>
      </c>
      <c r="Q61" s="463">
        <f t="shared" ca="1" si="23"/>
        <v>0</v>
      </c>
      <c r="R61" s="463">
        <f t="shared" ca="1" si="23"/>
        <v>0</v>
      </c>
      <c r="S61" s="463">
        <f t="shared" ca="1" si="23"/>
        <v>0</v>
      </c>
      <c r="T61" s="463">
        <f t="shared" ca="1" si="23"/>
        <v>0</v>
      </c>
      <c r="U61" s="463">
        <f t="shared" ca="1" si="23"/>
        <v>0</v>
      </c>
      <c r="V61" s="463">
        <f t="shared" ca="1" si="23"/>
        <v>0</v>
      </c>
      <c r="W61" s="463">
        <f t="shared" ca="1" si="23"/>
        <v>0</v>
      </c>
      <c r="X61" s="463">
        <f t="shared" ca="1" si="23"/>
        <v>0</v>
      </c>
      <c r="Y61" s="463">
        <f t="shared" ca="1" si="23"/>
        <v>0</v>
      </c>
      <c r="Z61" s="463">
        <f t="shared" ca="1" si="23"/>
        <v>0</v>
      </c>
      <c r="AA61" s="463">
        <f t="shared" ca="1" si="23"/>
        <v>0</v>
      </c>
      <c r="AB61" s="463">
        <f t="shared" ca="1" si="23"/>
        <v>0</v>
      </c>
      <c r="AC61" s="463">
        <f t="shared" ca="1" si="23"/>
        <v>0</v>
      </c>
      <c r="AD61" s="463">
        <f t="shared" ca="1" si="23"/>
        <v>0</v>
      </c>
      <c r="AE61" s="463">
        <f t="shared" ref="AE61:AJ61" ca="1" si="24">ABS(AE44-AE37)</f>
        <v>0</v>
      </c>
      <c r="AF61" s="463">
        <f t="shared" ca="1" si="24"/>
        <v>0</v>
      </c>
      <c r="AG61" s="463">
        <f t="shared" ca="1" si="24"/>
        <v>0</v>
      </c>
      <c r="AH61" s="463">
        <f t="shared" ca="1" si="24"/>
        <v>0</v>
      </c>
      <c r="AI61" s="463">
        <f t="shared" ca="1" si="24"/>
        <v>0</v>
      </c>
      <c r="AJ61" s="463">
        <f t="shared" ca="1" si="24"/>
        <v>0</v>
      </c>
    </row>
    <row r="63" spans="1:36" s="481" customFormat="1">
      <c r="A63" s="455" t="str">
        <f>Inputs!A273</f>
        <v>VAT Facility</v>
      </c>
      <c r="B63" s="455"/>
      <c r="C63" s="455"/>
      <c r="D63" s="480">
        <f ca="1">SUM(G63:AJ63)</f>
        <v>222.06957126537966</v>
      </c>
      <c r="E63" s="480"/>
      <c r="F63" s="1101"/>
      <c r="G63" s="480">
        <f t="shared" ref="G63:AD63" ca="1" si="25">SUM(G68:G69)</f>
        <v>0.92319274546759289</v>
      </c>
      <c r="H63" s="480">
        <f t="shared" ca="1" si="25"/>
        <v>16.194145259724539</v>
      </c>
      <c r="I63" s="480">
        <f t="shared" ca="1" si="25"/>
        <v>18.078802964701392</v>
      </c>
      <c r="J63" s="480">
        <f t="shared" ca="1" si="25"/>
        <v>19.319478067430556</v>
      </c>
      <c r="K63" s="480">
        <f t="shared" ca="1" si="25"/>
        <v>21.84811837465509</v>
      </c>
      <c r="L63" s="480">
        <f t="shared" ca="1" si="25"/>
        <v>22.967202657708334</v>
      </c>
      <c r="M63" s="480">
        <f t="shared" ca="1" si="25"/>
        <v>15.203901949128127</v>
      </c>
      <c r="N63" s="480">
        <f t="shared" ca="1" si="25"/>
        <v>15.203901949128129</v>
      </c>
      <c r="O63" s="480">
        <f t="shared" ca="1" si="25"/>
        <v>13.732556599212504</v>
      </c>
      <c r="P63" s="480">
        <f t="shared" ca="1" si="25"/>
        <v>15.215654415100351</v>
      </c>
      <c r="Q63" s="480">
        <f t="shared" ca="1" si="25"/>
        <v>14.724826853322922</v>
      </c>
      <c r="R63" s="480">
        <f t="shared" ca="1" si="25"/>
        <v>15.228324264739936</v>
      </c>
      <c r="S63" s="480">
        <f t="shared" ca="1" si="25"/>
        <v>10.938622500138891</v>
      </c>
      <c r="T63" s="480">
        <f t="shared" ca="1" si="25"/>
        <v>9.0484383728287039</v>
      </c>
      <c r="U63" s="480">
        <f t="shared" ca="1" si="25"/>
        <v>6.7936334955138875</v>
      </c>
      <c r="V63" s="480">
        <f t="shared" ca="1" si="25"/>
        <v>4.3788077084722223</v>
      </c>
      <c r="W63" s="480">
        <f t="shared" ca="1" si="25"/>
        <v>2.2699630881064805</v>
      </c>
      <c r="X63" s="480">
        <f t="shared" ca="1" si="25"/>
        <v>0</v>
      </c>
      <c r="Y63" s="480">
        <f t="shared" ca="1" si="25"/>
        <v>0</v>
      </c>
      <c r="Z63" s="480">
        <f t="shared" ca="1" si="25"/>
        <v>0</v>
      </c>
      <c r="AA63" s="480">
        <f t="shared" ca="1" si="25"/>
        <v>0</v>
      </c>
      <c r="AB63" s="480">
        <f t="shared" ca="1" si="25"/>
        <v>0</v>
      </c>
      <c r="AC63" s="480">
        <f t="shared" ca="1" si="25"/>
        <v>0</v>
      </c>
      <c r="AD63" s="480">
        <f t="shared" ca="1" si="25"/>
        <v>0</v>
      </c>
      <c r="AE63" s="480">
        <f t="shared" ref="AE63:AJ63" ca="1" si="26">SUM(AE68:AE69)</f>
        <v>0</v>
      </c>
      <c r="AF63" s="480">
        <f t="shared" ca="1" si="26"/>
        <v>0</v>
      </c>
      <c r="AG63" s="480">
        <f t="shared" ca="1" si="26"/>
        <v>0</v>
      </c>
      <c r="AH63" s="480">
        <f t="shared" ca="1" si="26"/>
        <v>0</v>
      </c>
      <c r="AI63" s="480">
        <f t="shared" ca="1" si="26"/>
        <v>0</v>
      </c>
      <c r="AJ63" s="480">
        <f t="shared" ca="1" si="26"/>
        <v>0</v>
      </c>
    </row>
    <row r="64" spans="1:36" s="481" customFormat="1">
      <c r="A64" s="304" t="s">
        <v>1119</v>
      </c>
      <c r="B64" s="304"/>
      <c r="C64" s="1261">
        <f>(CapEx!$C$143-Inputs!$D$276)*Inputs!$D$436</f>
        <v>7664.6855350000023</v>
      </c>
      <c r="D64" s="459">
        <f>SUM(G64:AJ64)</f>
        <v>7664.6855350000023</v>
      </c>
      <c r="E64" s="459"/>
      <c r="G64" s="810">
        <f>$C64*CapEx!N143</f>
        <v>2560.7482783333344</v>
      </c>
      <c r="H64" s="810">
        <f>$C64*CapEx!O143</f>
        <v>463.44833333333344</v>
      </c>
      <c r="I64" s="810">
        <f>$C64*CapEx!P143</f>
        <v>463.44833333333344</v>
      </c>
      <c r="J64" s="810">
        <f>$C64*CapEx!Q143</f>
        <v>463.44833333333344</v>
      </c>
      <c r="K64" s="810">
        <f>$C64*CapEx!R143</f>
        <v>463.44833333333344</v>
      </c>
      <c r="L64" s="810">
        <f>$C64*CapEx!S143</f>
        <v>463.44833333333344</v>
      </c>
      <c r="M64" s="1265">
        <f>$C64*CapEx!T143</f>
        <v>463.44833333333344</v>
      </c>
      <c r="N64" s="1265">
        <f>$C64*CapEx!U143</f>
        <v>463.44833333333344</v>
      </c>
      <c r="O64" s="1265">
        <f>$C64*CapEx!V143</f>
        <v>463.44833333333344</v>
      </c>
      <c r="P64" s="1265">
        <f>$C64*CapEx!W143</f>
        <v>466.33833333333342</v>
      </c>
      <c r="Q64" s="1265">
        <f>$C64*CapEx!X143</f>
        <v>463.44833333333344</v>
      </c>
      <c r="R64" s="1265">
        <f>$C64*CapEx!Y143</f>
        <v>466.56392333333343</v>
      </c>
      <c r="S64" s="1265">
        <f>$C64*CapEx!Z143</f>
        <v>0</v>
      </c>
      <c r="T64" s="810">
        <f>$C64*CapEx!AA143</f>
        <v>0</v>
      </c>
      <c r="U64" s="810">
        <f>$C64*CapEx!AB143</f>
        <v>0</v>
      </c>
      <c r="V64" s="810">
        <f>$C64*CapEx!AC143</f>
        <v>0</v>
      </c>
      <c r="W64" s="810">
        <f>$C64*CapEx!AD143</f>
        <v>0</v>
      </c>
      <c r="X64" s="810">
        <f>$C64*CapEx!AE143</f>
        <v>0</v>
      </c>
      <c r="Y64" s="810">
        <f>$C64*CapEx!AF143</f>
        <v>0</v>
      </c>
      <c r="Z64" s="810">
        <f>$C64*CapEx!AG143</f>
        <v>0</v>
      </c>
      <c r="AA64" s="810">
        <f>$C64*CapEx!AH143</f>
        <v>0</v>
      </c>
      <c r="AB64" s="810">
        <f>$C64*CapEx!AI143</f>
        <v>0</v>
      </c>
      <c r="AC64" s="810">
        <f>$C64*CapEx!AJ143</f>
        <v>0</v>
      </c>
      <c r="AD64" s="810">
        <f>$C64*CapEx!AK143</f>
        <v>0</v>
      </c>
      <c r="AE64" s="810">
        <f>$C64*CapEx!AL143</f>
        <v>0</v>
      </c>
      <c r="AF64" s="810">
        <f>$C64*CapEx!AM143</f>
        <v>0</v>
      </c>
      <c r="AG64" s="810">
        <f>$C64*CapEx!AN143</f>
        <v>0</v>
      </c>
      <c r="AH64" s="810">
        <f>$C64*CapEx!AO143</f>
        <v>0</v>
      </c>
      <c r="AI64" s="810">
        <f>$C64*CapEx!AP143</f>
        <v>0</v>
      </c>
      <c r="AJ64" s="810">
        <f>$C64*CapEx!AQ143</f>
        <v>0</v>
      </c>
    </row>
    <row r="65" spans="1:36" s="481" customFormat="1">
      <c r="A65" s="304" t="s">
        <v>1120</v>
      </c>
      <c r="C65" s="1262">
        <f>Inputs!$D$286</f>
        <v>0</v>
      </c>
      <c r="D65" s="233">
        <f>SUM(G65:AJ65)</f>
        <v>0</v>
      </c>
      <c r="E65" s="233"/>
      <c r="G65" s="233">
        <f>$C65</f>
        <v>0</v>
      </c>
      <c r="H65" s="233">
        <f t="shared" ref="H65:AJ65" si="27">$C65</f>
        <v>0</v>
      </c>
      <c r="I65" s="233">
        <f t="shared" si="27"/>
        <v>0</v>
      </c>
      <c r="J65" s="233">
        <f t="shared" si="27"/>
        <v>0</v>
      </c>
      <c r="K65" s="233">
        <f t="shared" si="27"/>
        <v>0</v>
      </c>
      <c r="L65" s="233">
        <f t="shared" si="27"/>
        <v>0</v>
      </c>
      <c r="M65" s="1266">
        <f t="shared" si="27"/>
        <v>0</v>
      </c>
      <c r="N65" s="1266">
        <f t="shared" si="27"/>
        <v>0</v>
      </c>
      <c r="O65" s="1266">
        <f t="shared" si="27"/>
        <v>0</v>
      </c>
      <c r="P65" s="1266">
        <f t="shared" si="27"/>
        <v>0</v>
      </c>
      <c r="Q65" s="1266">
        <f t="shared" si="27"/>
        <v>0</v>
      </c>
      <c r="R65" s="1266">
        <f t="shared" si="27"/>
        <v>0</v>
      </c>
      <c r="S65" s="1266">
        <f t="shared" si="27"/>
        <v>0</v>
      </c>
      <c r="T65" s="233">
        <f t="shared" si="27"/>
        <v>0</v>
      </c>
      <c r="U65" s="233">
        <f t="shared" si="27"/>
        <v>0</v>
      </c>
      <c r="V65" s="233">
        <f t="shared" si="27"/>
        <v>0</v>
      </c>
      <c r="W65" s="233">
        <f t="shared" si="27"/>
        <v>0</v>
      </c>
      <c r="X65" s="233">
        <f t="shared" si="27"/>
        <v>0</v>
      </c>
      <c r="Y65" s="233">
        <f t="shared" si="27"/>
        <v>0</v>
      </c>
      <c r="Z65" s="233">
        <f t="shared" si="27"/>
        <v>0</v>
      </c>
      <c r="AA65" s="233">
        <f t="shared" si="27"/>
        <v>0</v>
      </c>
      <c r="AB65" s="233">
        <f t="shared" si="27"/>
        <v>0</v>
      </c>
      <c r="AC65" s="233">
        <f t="shared" si="27"/>
        <v>0</v>
      </c>
      <c r="AD65" s="233">
        <f t="shared" si="27"/>
        <v>0</v>
      </c>
      <c r="AE65" s="233">
        <f t="shared" si="27"/>
        <v>0</v>
      </c>
      <c r="AF65" s="233">
        <f t="shared" si="27"/>
        <v>0</v>
      </c>
      <c r="AG65" s="233">
        <f t="shared" si="27"/>
        <v>0</v>
      </c>
      <c r="AH65" s="233">
        <f t="shared" si="27"/>
        <v>0</v>
      </c>
      <c r="AI65" s="233">
        <f t="shared" si="27"/>
        <v>0</v>
      </c>
      <c r="AJ65" s="233">
        <f t="shared" si="27"/>
        <v>0</v>
      </c>
    </row>
    <row r="66" spans="1:36" s="481" customFormat="1">
      <c r="A66" s="304" t="s">
        <v>1121</v>
      </c>
      <c r="C66" s="1262">
        <f>Inputs!D437</f>
        <v>6</v>
      </c>
      <c r="D66" s="233"/>
      <c r="E66" s="233"/>
      <c r="G66" s="233">
        <f ca="1">IF(G4&gt;=$C$66,OFFSET(G64,0,-$C66),0)*($C66&lt;&gt;0)</f>
        <v>0</v>
      </c>
      <c r="H66" s="233">
        <f t="shared" ref="H66:AJ66" ca="1" si="28">IF(H4&gt;=$C$66,OFFSET(H64,0,-$C66),0)*($C66&lt;&gt;0)</f>
        <v>0</v>
      </c>
      <c r="I66" s="233">
        <f t="shared" ca="1" si="28"/>
        <v>0</v>
      </c>
      <c r="J66" s="233">
        <f t="shared" ca="1" si="28"/>
        <v>0</v>
      </c>
      <c r="K66" s="233">
        <f t="shared" ca="1" si="28"/>
        <v>0</v>
      </c>
      <c r="L66" s="233">
        <f t="shared" ca="1" si="28"/>
        <v>0</v>
      </c>
      <c r="M66" s="1266">
        <f t="shared" ca="1" si="28"/>
        <v>2560.7482783333344</v>
      </c>
      <c r="N66" s="1266">
        <f t="shared" ca="1" si="28"/>
        <v>463.44833333333344</v>
      </c>
      <c r="O66" s="1266">
        <f t="shared" ca="1" si="28"/>
        <v>463.44833333333344</v>
      </c>
      <c r="P66" s="1266">
        <f t="shared" ca="1" si="28"/>
        <v>463.44833333333344</v>
      </c>
      <c r="Q66" s="1266">
        <f t="shared" ca="1" si="28"/>
        <v>463.44833333333344</v>
      </c>
      <c r="R66" s="1266">
        <f t="shared" ca="1" si="28"/>
        <v>463.44833333333344</v>
      </c>
      <c r="S66" s="1266">
        <f t="shared" ca="1" si="28"/>
        <v>463.44833333333344</v>
      </c>
      <c r="T66" s="233">
        <f t="shared" ca="1" si="28"/>
        <v>463.44833333333344</v>
      </c>
      <c r="U66" s="233">
        <f ca="1">IF(U4&gt;=$C$66,OFFSET(U64,0,-$C66),0)*($C66&lt;&gt;0)</f>
        <v>463.44833333333344</v>
      </c>
      <c r="V66" s="233">
        <f t="shared" ca="1" si="28"/>
        <v>466.33833333333342</v>
      </c>
      <c r="W66" s="233">
        <f t="shared" ca="1" si="28"/>
        <v>463.44833333333344</v>
      </c>
      <c r="X66" s="233">
        <f t="shared" ca="1" si="28"/>
        <v>466.56392333333343</v>
      </c>
      <c r="Y66" s="233">
        <f t="shared" ca="1" si="28"/>
        <v>0</v>
      </c>
      <c r="Z66" s="233">
        <f t="shared" ca="1" si="28"/>
        <v>0</v>
      </c>
      <c r="AA66" s="233">
        <f t="shared" ca="1" si="28"/>
        <v>0</v>
      </c>
      <c r="AB66" s="233">
        <f t="shared" ca="1" si="28"/>
        <v>0</v>
      </c>
      <c r="AC66" s="233">
        <f t="shared" ca="1" si="28"/>
        <v>0</v>
      </c>
      <c r="AD66" s="233">
        <f t="shared" ca="1" si="28"/>
        <v>0</v>
      </c>
      <c r="AE66" s="233">
        <f t="shared" ca="1" si="28"/>
        <v>0</v>
      </c>
      <c r="AF66" s="233">
        <f t="shared" ca="1" si="28"/>
        <v>0</v>
      </c>
      <c r="AG66" s="233">
        <f t="shared" ca="1" si="28"/>
        <v>0</v>
      </c>
      <c r="AH66" s="233">
        <f t="shared" ca="1" si="28"/>
        <v>0</v>
      </c>
      <c r="AI66" s="233">
        <f t="shared" ca="1" si="28"/>
        <v>0</v>
      </c>
      <c r="AJ66" s="233">
        <f t="shared" ca="1" si="28"/>
        <v>0</v>
      </c>
    </row>
    <row r="67" spans="1:36" s="481" customFormat="1">
      <c r="A67" s="304" t="s">
        <v>1122</v>
      </c>
      <c r="C67" s="1263"/>
      <c r="D67" s="547">
        <f ca="1">MAX(G67:AJ67)</f>
        <v>4877.9899450000012</v>
      </c>
      <c r="E67" s="233"/>
      <c r="G67" s="233">
        <f ca="1">(SUM($G$64:G64)-SUM($G$65:G65)-SUM($G66:G66))</f>
        <v>2560.7482783333344</v>
      </c>
      <c r="H67" s="233">
        <f ca="1">(SUM($G$64:H64)-SUM($G$65:H65)-SUM($G66:H66))</f>
        <v>3024.1966116666676</v>
      </c>
      <c r="I67" s="233">
        <f ca="1">(SUM($G$64:I64)-SUM($G$65:I65)-SUM($G66:I66))</f>
        <v>3487.6449450000009</v>
      </c>
      <c r="J67" s="233">
        <f ca="1">(SUM($G$64:J64)-SUM($G$65:J65)-SUM($G66:J66))</f>
        <v>3951.0932783333342</v>
      </c>
      <c r="K67" s="233">
        <f ca="1">(SUM($G$64:K64)-SUM($G$65:K65)-SUM($G66:K66))</f>
        <v>4414.5416116666674</v>
      </c>
      <c r="L67" s="233">
        <f ca="1">(SUM($G$64:L64)-SUM($G$65:L65)-SUM($G66:L66))</f>
        <v>4877.9899450000012</v>
      </c>
      <c r="M67" s="1266">
        <f ca="1">(SUM($G$64:M64)-SUM($G$65:M65)-SUM($G66:M66))</f>
        <v>2780.6900000000005</v>
      </c>
      <c r="N67" s="1266">
        <f ca="1">(SUM($G$64:N64)-SUM($G$65:N65)-SUM($G66:N66))</f>
        <v>2780.690000000001</v>
      </c>
      <c r="O67" s="1266">
        <f ca="1">(SUM($G$64:O64)-SUM($G$65:O65)-SUM($G66:O66))</f>
        <v>2780.6900000000014</v>
      </c>
      <c r="P67" s="1266">
        <f ca="1">(SUM($G$64:P64)-SUM($G$65:P65)-SUM($G66:P66))</f>
        <v>2783.5800000000013</v>
      </c>
      <c r="Q67" s="1266">
        <f ca="1">(SUM($G$64:Q64)-SUM($G$65:Q65)-SUM($G66:Q66))</f>
        <v>2783.5800000000017</v>
      </c>
      <c r="R67" s="1266">
        <f ca="1">(SUM($G$64:R64)-SUM($G$65:R65)-SUM($G66:R66))</f>
        <v>2786.6955900000012</v>
      </c>
      <c r="S67" s="1266">
        <f ca="1">(SUM($G$64:S64)-SUM($G$65:S65)-SUM($G66:S66))</f>
        <v>2323.2472566666675</v>
      </c>
      <c r="T67" s="233">
        <f ca="1">(SUM($G$64:T64)-SUM($G$65:T65)-SUM($G66:T66))</f>
        <v>1859.7989233333337</v>
      </c>
      <c r="U67" s="233">
        <f ca="1">(SUM($G$64:U64)-SUM($G$65:U65)-SUM($G66:U66))</f>
        <v>1396.35059</v>
      </c>
      <c r="V67" s="233">
        <f ca="1">(SUM($G$64:V64)-SUM($G$65:V65)-SUM($G66:V66))</f>
        <v>930.01225666666687</v>
      </c>
      <c r="W67" s="233">
        <f ca="1">(SUM($G$64:W64)-SUM($G$65:W65)-SUM($G66:W66))</f>
        <v>466.56392333333315</v>
      </c>
      <c r="X67" s="233">
        <f ca="1">(SUM($G$64:X64)-SUM($G$65:X65)-SUM($G66:X66))</f>
        <v>0</v>
      </c>
      <c r="Y67" s="233">
        <f ca="1">(SUM($G$64:Y64)-SUM($G$65:Y65)-SUM($G66:Y66))</f>
        <v>0</v>
      </c>
      <c r="Z67" s="233">
        <f ca="1">(SUM($G$64:Z64)-SUM($G$65:Z65)-SUM($G66:Z66))</f>
        <v>0</v>
      </c>
      <c r="AA67" s="233">
        <f ca="1">(SUM($G$64:AA64)-SUM($G$65:AA65)-SUM($G66:AA66))</f>
        <v>0</v>
      </c>
      <c r="AB67" s="233">
        <f ca="1">(SUM($G$64:AB64)-SUM($G$65:AB65)-SUM($G66:AB66))</f>
        <v>0</v>
      </c>
      <c r="AC67" s="233">
        <f ca="1">(SUM($G$64:AC64)-SUM($G$65:AC65)-SUM($G66:AC66))</f>
        <v>0</v>
      </c>
      <c r="AD67" s="233">
        <f ca="1">(SUM($G$64:AD64)-SUM($G$65:AD65)-SUM($G66:AD66))</f>
        <v>0</v>
      </c>
      <c r="AE67" s="233">
        <f ca="1">(SUM($G$64:AE64)-SUM($G$65:AE65)-SUM($G66:AE66))</f>
        <v>0</v>
      </c>
      <c r="AF67" s="233">
        <f ca="1">(SUM($G$64:AF64)-SUM($G$65:AF65)-SUM($G66:AF66))</f>
        <v>0</v>
      </c>
      <c r="AG67" s="233">
        <f ca="1">(SUM($G$64:AG64)-SUM($G$65:AG65)-SUM($G66:AG66))</f>
        <v>0</v>
      </c>
      <c r="AH67" s="233">
        <f ca="1">(SUM($G$64:AH64)-SUM($G$65:AH65)-SUM($G66:AH66))</f>
        <v>0</v>
      </c>
      <c r="AI67" s="233">
        <f ca="1">(SUM($G$64:AI64)-SUM($G$65:AI65)-SUM($G66:AI66))</f>
        <v>0</v>
      </c>
      <c r="AJ67" s="233">
        <f ca="1">(SUM($G$64:AJ64)-SUM($G$65:AJ65)-SUM($G66:AJ66))</f>
        <v>0</v>
      </c>
    </row>
    <row r="68" spans="1:36" s="481" customFormat="1">
      <c r="A68" s="304" t="str">
        <f>A$63&amp;" IDCs"</f>
        <v>VAT Facility IDCs</v>
      </c>
      <c r="C68" s="1264">
        <f>Inputs!$D$285</f>
        <v>5.6499999999999995E-2</v>
      </c>
      <c r="D68" s="233">
        <f ca="1">SUM(G68:AJ68)</f>
        <v>208.44761845456716</v>
      </c>
      <c r="E68" s="233"/>
      <c r="F68" s="482"/>
      <c r="G68" s="233">
        <f ca="1">$C68*G67*G$6</f>
        <v>0.8037904318101855</v>
      </c>
      <c r="H68" s="233">
        <f t="shared" ref="H68:AJ68" ca="1" si="29">$C68*H67*H$6</f>
        <v>14.713556570372688</v>
      </c>
      <c r="I68" s="233">
        <f t="shared" ca="1" si="29"/>
        <v>16.968361447687503</v>
      </c>
      <c r="J68" s="233">
        <f t="shared" ca="1" si="29"/>
        <v>18.603064185486112</v>
      </c>
      <c r="K68" s="233">
        <f t="shared" ca="1" si="29"/>
        <v>21.477971202317129</v>
      </c>
      <c r="L68" s="233">
        <f t="shared" ca="1" si="29"/>
        <v>22.967202657708334</v>
      </c>
      <c r="M68" s="1266">
        <f t="shared" ca="1" si="29"/>
        <v>13.528829263888891</v>
      </c>
      <c r="N68" s="1266">
        <f t="shared" ca="1" si="29"/>
        <v>13.528829263888893</v>
      </c>
      <c r="O68" s="1266">
        <f t="shared" ca="1" si="29"/>
        <v>12.219587722222228</v>
      </c>
      <c r="P68" s="1266">
        <f t="shared" ca="1" si="29"/>
        <v>13.54288991666667</v>
      </c>
      <c r="Q68" s="1266">
        <f t="shared" ca="1" si="29"/>
        <v>13.106022500000005</v>
      </c>
      <c r="R68" s="1266">
        <f t="shared" ca="1" si="29"/>
        <v>13.558048127458338</v>
      </c>
      <c r="S68" s="1266">
        <f t="shared" ca="1" si="29"/>
        <v>10.938622500138891</v>
      </c>
      <c r="T68" s="233">
        <f t="shared" ca="1" si="29"/>
        <v>9.0484383728287039</v>
      </c>
      <c r="U68" s="233">
        <f t="shared" ca="1" si="29"/>
        <v>6.7936334955138875</v>
      </c>
      <c r="V68" s="233">
        <f t="shared" ca="1" si="29"/>
        <v>4.3788077084722223</v>
      </c>
      <c r="W68" s="233">
        <f t="shared" ca="1" si="29"/>
        <v>2.2699630881064805</v>
      </c>
      <c r="X68" s="233">
        <f t="shared" ca="1" si="29"/>
        <v>0</v>
      </c>
      <c r="Y68" s="233">
        <f t="shared" ca="1" si="29"/>
        <v>0</v>
      </c>
      <c r="Z68" s="233">
        <f t="shared" ca="1" si="29"/>
        <v>0</v>
      </c>
      <c r="AA68" s="233">
        <f t="shared" ca="1" si="29"/>
        <v>0</v>
      </c>
      <c r="AB68" s="233">
        <f t="shared" ca="1" si="29"/>
        <v>0</v>
      </c>
      <c r="AC68" s="233">
        <f t="shared" ca="1" si="29"/>
        <v>0</v>
      </c>
      <c r="AD68" s="233">
        <f t="shared" ca="1" si="29"/>
        <v>0</v>
      </c>
      <c r="AE68" s="233">
        <f t="shared" ca="1" si="29"/>
        <v>0</v>
      </c>
      <c r="AF68" s="233">
        <f t="shared" ca="1" si="29"/>
        <v>0</v>
      </c>
      <c r="AG68" s="233">
        <f t="shared" ca="1" si="29"/>
        <v>0</v>
      </c>
      <c r="AH68" s="233">
        <f t="shared" ca="1" si="29"/>
        <v>0</v>
      </c>
      <c r="AI68" s="233">
        <f t="shared" ca="1" si="29"/>
        <v>0</v>
      </c>
      <c r="AJ68" s="233">
        <f t="shared" ca="1" si="29"/>
        <v>0</v>
      </c>
    </row>
    <row r="69" spans="1:36">
      <c r="A69" s="304" t="str">
        <f>A$63&amp;" Commitment Fees"</f>
        <v>VAT Facility Commitment Fees</v>
      </c>
      <c r="C69" s="1264">
        <f>Inputs!$E$287*Inputs!$D$287</f>
        <v>9.2749999999999985E-3</v>
      </c>
      <c r="D69" s="233">
        <f ca="1">SUM(G69:AJ69)</f>
        <v>13.6219528108125</v>
      </c>
      <c r="E69" s="233"/>
      <c r="G69" s="233">
        <f ca="1">($D$67-G67)*$C69*G$5*G$6</f>
        <v>0.1194023136574074</v>
      </c>
      <c r="H69" s="233">
        <f t="shared" ref="H69:AJ69" ca="1" si="30">($D$67-H67)*$C69*H$5*H$6</f>
        <v>1.4805886893518516</v>
      </c>
      <c r="I69" s="233">
        <f t="shared" ca="1" si="30"/>
        <v>1.1104415170138888</v>
      </c>
      <c r="J69" s="233">
        <f t="shared" ca="1" si="30"/>
        <v>0.71641388194444455</v>
      </c>
      <c r="K69" s="233">
        <f t="shared" ca="1" si="30"/>
        <v>0.37014717233796318</v>
      </c>
      <c r="L69" s="233">
        <f t="shared" ca="1" si="30"/>
        <v>0</v>
      </c>
      <c r="M69" s="1266">
        <f t="shared" ca="1" si="30"/>
        <v>1.6750726852392364</v>
      </c>
      <c r="N69" s="1266">
        <f t="shared" ca="1" si="30"/>
        <v>1.6750726852392361</v>
      </c>
      <c r="O69" s="1266">
        <f t="shared" ca="1" si="30"/>
        <v>1.5129688769902774</v>
      </c>
      <c r="P69" s="1266">
        <f t="shared" ca="1" si="30"/>
        <v>1.6727644984336802</v>
      </c>
      <c r="Q69" s="1266">
        <f t="shared" ca="1" si="30"/>
        <v>1.6188043533229159</v>
      </c>
      <c r="R69" s="1266">
        <f t="shared" ca="1" si="30"/>
        <v>1.6702761372815969</v>
      </c>
      <c r="S69" s="1266">
        <f t="shared" ca="1" si="30"/>
        <v>0</v>
      </c>
      <c r="T69" s="233">
        <f t="shared" ca="1" si="30"/>
        <v>0</v>
      </c>
      <c r="U69" s="233">
        <f t="shared" ca="1" si="30"/>
        <v>0</v>
      </c>
      <c r="V69" s="233">
        <f t="shared" ca="1" si="30"/>
        <v>0</v>
      </c>
      <c r="W69" s="233">
        <f t="shared" ca="1" si="30"/>
        <v>0</v>
      </c>
      <c r="X69" s="233">
        <f t="shared" ca="1" si="30"/>
        <v>0</v>
      </c>
      <c r="Y69" s="233">
        <f t="shared" ca="1" si="30"/>
        <v>0</v>
      </c>
      <c r="Z69" s="233">
        <f t="shared" ca="1" si="30"/>
        <v>0</v>
      </c>
      <c r="AA69" s="233">
        <f t="shared" ca="1" si="30"/>
        <v>0</v>
      </c>
      <c r="AB69" s="233">
        <f t="shared" ca="1" si="30"/>
        <v>0</v>
      </c>
      <c r="AC69" s="233">
        <f t="shared" ca="1" si="30"/>
        <v>0</v>
      </c>
      <c r="AD69" s="233">
        <f t="shared" ca="1" si="30"/>
        <v>0</v>
      </c>
      <c r="AE69" s="233">
        <f t="shared" ca="1" si="30"/>
        <v>0</v>
      </c>
      <c r="AF69" s="233">
        <f t="shared" ca="1" si="30"/>
        <v>0</v>
      </c>
      <c r="AG69" s="233">
        <f t="shared" ca="1" si="30"/>
        <v>0</v>
      </c>
      <c r="AH69" s="233">
        <f t="shared" ca="1" si="30"/>
        <v>0</v>
      </c>
      <c r="AI69" s="233">
        <f t="shared" ca="1" si="30"/>
        <v>0</v>
      </c>
      <c r="AJ69" s="233">
        <f t="shared" ca="1" si="30"/>
        <v>0</v>
      </c>
    </row>
    <row r="70" spans="1:36">
      <c r="D70" s="396"/>
      <c r="E70" s="396"/>
      <c r="G70" s="472"/>
    </row>
    <row r="71" spans="1:36">
      <c r="A71" s="455" t="s">
        <v>1123</v>
      </c>
      <c r="B71" s="455"/>
      <c r="C71" s="455"/>
      <c r="D71" s="234">
        <f>SUM(G71:AJ71)</f>
        <v>0</v>
      </c>
      <c r="E71" s="234"/>
      <c r="F71" s="379"/>
      <c r="G71" s="671">
        <f>Macro!G18</f>
        <v>0</v>
      </c>
      <c r="H71" s="671">
        <f>Macro!H18</f>
        <v>0</v>
      </c>
      <c r="I71" s="671">
        <f>Macro!I18</f>
        <v>0</v>
      </c>
      <c r="J71" s="671">
        <f>Macro!J18</f>
        <v>0</v>
      </c>
      <c r="K71" s="671">
        <f>Macro!K18</f>
        <v>0</v>
      </c>
      <c r="L71" s="671">
        <f>Macro!L18</f>
        <v>0</v>
      </c>
      <c r="M71" s="671">
        <f>Macro!M18</f>
        <v>0</v>
      </c>
      <c r="N71" s="671">
        <f>Macro!N18</f>
        <v>0</v>
      </c>
      <c r="O71" s="671">
        <f>Macro!O18</f>
        <v>0</v>
      </c>
      <c r="P71" s="671">
        <f>Macro!P18</f>
        <v>0</v>
      </c>
      <c r="Q71" s="671">
        <f>Macro!Q18</f>
        <v>0</v>
      </c>
      <c r="R71" s="671">
        <f>Macro!R18</f>
        <v>0</v>
      </c>
      <c r="S71" s="671">
        <f>Macro!S18</f>
        <v>0</v>
      </c>
      <c r="T71" s="671">
        <f>Macro!T18</f>
        <v>0</v>
      </c>
      <c r="U71" s="671">
        <f>Macro!U18</f>
        <v>0</v>
      </c>
      <c r="V71" s="671">
        <f>Macro!V18</f>
        <v>0</v>
      </c>
      <c r="W71" s="671">
        <f>Macro!W18</f>
        <v>0</v>
      </c>
      <c r="X71" s="671">
        <f>Macro!X18</f>
        <v>0</v>
      </c>
      <c r="Y71" s="671">
        <f>Macro!Y18</f>
        <v>0</v>
      </c>
      <c r="Z71" s="671">
        <f>Macro!Z18</f>
        <v>0</v>
      </c>
      <c r="AA71" s="671">
        <f>Macro!AA18</f>
        <v>0</v>
      </c>
      <c r="AB71" s="671">
        <f>Macro!AB18</f>
        <v>0</v>
      </c>
      <c r="AC71" s="671">
        <f>Macro!AC18</f>
        <v>0</v>
      </c>
      <c r="AD71" s="671">
        <f>Macro!AD18</f>
        <v>0</v>
      </c>
      <c r="AE71" s="671">
        <f>Macro!AE18</f>
        <v>0</v>
      </c>
      <c r="AF71" s="671">
        <f>Macro!AF18</f>
        <v>0</v>
      </c>
      <c r="AG71" s="671">
        <f>Macro!AG18</f>
        <v>0</v>
      </c>
      <c r="AH71" s="671">
        <f>Macro!AH18</f>
        <v>0</v>
      </c>
      <c r="AI71" s="671">
        <f>Macro!AI18</f>
        <v>0</v>
      </c>
      <c r="AJ71" s="671">
        <f>Macro!AJ18</f>
        <v>0</v>
      </c>
    </row>
    <row r="72" spans="1:36">
      <c r="A72" s="304" t="s">
        <v>1124</v>
      </c>
      <c r="C72" s="313"/>
      <c r="D72" s="459">
        <f ca="1">SUM(G72:AJ72)</f>
        <v>0</v>
      </c>
      <c r="E72" s="459"/>
      <c r="G72" s="459">
        <f ca="1">(MONTH(G2)=monthsinyear)/COUNTIF($G$3:$AJ$3,"="&amp;monthsinyear)*($D$51*$B51+$D$52*$B52+$D$53*$B53)*G5+G55*$B55+G57*$B57+G56*$B56+G58*$B58+$C$27*$B27*G$27</f>
        <v>0</v>
      </c>
      <c r="H72" s="459">
        <f t="shared" ref="H72:AJ72" ca="1" si="31">(MONTH(H2)=monthsinyear)/COUNTIF($G$3:$AJ$3,"="&amp;monthsinyear)*($D$51*$B51+$D$52*$B52+$D$53*$B53)*H5+H55*$B55+H57*$B57+H56*$B56+H58*$B58+$C$27*$B27*H$27</f>
        <v>0</v>
      </c>
      <c r="I72" s="459">
        <f t="shared" ca="1" si="31"/>
        <v>0</v>
      </c>
      <c r="J72" s="459">
        <f t="shared" ca="1" si="31"/>
        <v>0</v>
      </c>
      <c r="K72" s="459">
        <f t="shared" ca="1" si="31"/>
        <v>0</v>
      </c>
      <c r="L72" s="459">
        <f t="shared" ca="1" si="31"/>
        <v>0</v>
      </c>
      <c r="M72" s="459">
        <f t="shared" ca="1" si="31"/>
        <v>0</v>
      </c>
      <c r="N72" s="459">
        <f t="shared" ca="1" si="31"/>
        <v>0</v>
      </c>
      <c r="O72" s="459">
        <f t="shared" ca="1" si="31"/>
        <v>0</v>
      </c>
      <c r="P72" s="459">
        <f t="shared" ca="1" si="31"/>
        <v>0</v>
      </c>
      <c r="Q72" s="459">
        <f t="shared" ca="1" si="31"/>
        <v>0</v>
      </c>
      <c r="R72" s="459">
        <f t="shared" ca="1" si="31"/>
        <v>0</v>
      </c>
      <c r="S72" s="459">
        <f t="shared" ca="1" si="31"/>
        <v>0</v>
      </c>
      <c r="T72" s="459">
        <f t="shared" ca="1" si="31"/>
        <v>0</v>
      </c>
      <c r="U72" s="459">
        <f ca="1">(MONTH(U2)=monthsinyear)/COUNTIF($G$3:$AJ$3,"="&amp;monthsinyear)*($D$51*$B51+$D$52*$B52+$D$53*$B53)*U5+U55*$B55+U57*$B57+U56*$B56+U58*$B58+$C$27*$B27*U$27</f>
        <v>0</v>
      </c>
      <c r="V72" s="459">
        <f t="shared" ca="1" si="31"/>
        <v>0</v>
      </c>
      <c r="W72" s="459">
        <f t="shared" ca="1" si="31"/>
        <v>0</v>
      </c>
      <c r="X72" s="459">
        <f t="shared" ca="1" si="31"/>
        <v>0</v>
      </c>
      <c r="Y72" s="459">
        <f t="shared" ca="1" si="31"/>
        <v>0</v>
      </c>
      <c r="Z72" s="459">
        <f t="shared" ca="1" si="31"/>
        <v>0</v>
      </c>
      <c r="AA72" s="459">
        <f t="shared" ca="1" si="31"/>
        <v>0</v>
      </c>
      <c r="AB72" s="459">
        <f t="shared" ca="1" si="31"/>
        <v>0</v>
      </c>
      <c r="AC72" s="459">
        <f t="shared" ca="1" si="31"/>
        <v>0</v>
      </c>
      <c r="AD72" s="459">
        <f t="shared" ca="1" si="31"/>
        <v>0</v>
      </c>
      <c r="AE72" s="459">
        <f t="shared" ca="1" si="31"/>
        <v>0</v>
      </c>
      <c r="AF72" s="459">
        <f t="shared" ca="1" si="31"/>
        <v>0</v>
      </c>
      <c r="AG72" s="459">
        <f t="shared" ca="1" si="31"/>
        <v>0</v>
      </c>
      <c r="AH72" s="459">
        <f t="shared" ca="1" si="31"/>
        <v>0</v>
      </c>
      <c r="AI72" s="459">
        <f t="shared" ca="1" si="31"/>
        <v>0</v>
      </c>
      <c r="AJ72" s="459">
        <f t="shared" ca="1" si="31"/>
        <v>0</v>
      </c>
    </row>
    <row r="73" spans="1:36">
      <c r="A73" s="304" t="s">
        <v>1125</v>
      </c>
      <c r="C73" s="811">
        <f ca="1">CapEx!$C$144</f>
        <v>0</v>
      </c>
      <c r="D73" s="459">
        <f ca="1">SUM(G73:AJ73)</f>
        <v>0</v>
      </c>
      <c r="E73" s="459"/>
      <c r="G73" s="810">
        <f ca="1">$C73*CapEx!N147*G5</f>
        <v>0</v>
      </c>
      <c r="H73" s="810">
        <f ca="1">$C73*CapEx!O147*H5</f>
        <v>0</v>
      </c>
      <c r="I73" s="810">
        <f ca="1">$C73*CapEx!P147*I5</f>
        <v>0</v>
      </c>
      <c r="J73" s="810">
        <f ca="1">$C73*CapEx!Q147*J5</f>
        <v>0</v>
      </c>
      <c r="K73" s="810">
        <f ca="1">$C73*CapEx!R147*K5</f>
        <v>0</v>
      </c>
      <c r="L73" s="810">
        <f ca="1">$C73*CapEx!S147*L5</f>
        <v>0</v>
      </c>
      <c r="M73" s="810">
        <f ca="1">$C73*CapEx!T147*M5</f>
        <v>0</v>
      </c>
      <c r="N73" s="810">
        <f ca="1">$C73*CapEx!U147*N5</f>
        <v>0</v>
      </c>
      <c r="O73" s="810">
        <f ca="1">$C73*CapEx!V147*O5</f>
        <v>0</v>
      </c>
      <c r="P73" s="810">
        <f ca="1">$C73*CapEx!W147*P5</f>
        <v>0</v>
      </c>
      <c r="Q73" s="810">
        <f ca="1">$C73*CapEx!X147*Q5</f>
        <v>0</v>
      </c>
      <c r="R73" s="810">
        <f ca="1">$C73*CapEx!Y147*R5</f>
        <v>0</v>
      </c>
      <c r="S73" s="810">
        <f ca="1">$C73*CapEx!Z147*S5</f>
        <v>0</v>
      </c>
      <c r="T73" s="810">
        <f ca="1">$C73*CapEx!AA147*T5</f>
        <v>0</v>
      </c>
      <c r="U73" s="810">
        <f ca="1">$C73*CapEx!AB147*U5</f>
        <v>0</v>
      </c>
      <c r="V73" s="810">
        <f ca="1">$C73*CapEx!AC147*V5</f>
        <v>0</v>
      </c>
      <c r="W73" s="810">
        <f ca="1">$C73*CapEx!AD147*W5</f>
        <v>0</v>
      </c>
      <c r="X73" s="810">
        <f ca="1">$C73*CapEx!AE147*X5</f>
        <v>0</v>
      </c>
      <c r="Y73" s="810">
        <f ca="1">$C73*CapEx!AF147*Y5</f>
        <v>0</v>
      </c>
      <c r="Z73" s="810">
        <f ca="1">$C73*CapEx!AG147*Z5</f>
        <v>0</v>
      </c>
      <c r="AA73" s="810">
        <f ca="1">$C73*CapEx!AH147*AA5</f>
        <v>0</v>
      </c>
      <c r="AB73" s="810">
        <f ca="1">$C73*CapEx!AI147*AB5</f>
        <v>0</v>
      </c>
      <c r="AC73" s="810">
        <f ca="1">$C73*CapEx!AJ147*AC5</f>
        <v>0</v>
      </c>
      <c r="AD73" s="810">
        <f ca="1">$C73*CapEx!AK147*AD5</f>
        <v>0</v>
      </c>
      <c r="AE73" s="810">
        <f ca="1">$C73*CapEx!AL147*AE5</f>
        <v>0</v>
      </c>
      <c r="AF73" s="810">
        <f ca="1">$C73*CapEx!AM147*AF5</f>
        <v>0</v>
      </c>
      <c r="AG73" s="810">
        <f ca="1">$C73*CapEx!AN147*AG5</f>
        <v>0</v>
      </c>
      <c r="AH73" s="810">
        <f ca="1">$C73*CapEx!AO147*AH5</f>
        <v>0</v>
      </c>
      <c r="AI73" s="810">
        <f ca="1">$C73*CapEx!AP147*AI5</f>
        <v>0</v>
      </c>
      <c r="AJ73" s="810">
        <f ca="1">$C73*CapEx!AQ147*AJ5</f>
        <v>0</v>
      </c>
    </row>
    <row r="75" spans="1:36">
      <c r="G75" s="483"/>
      <c r="H75" s="483"/>
      <c r="I75" s="483"/>
      <c r="J75" s="483"/>
      <c r="K75" s="483"/>
      <c r="L75" s="483"/>
      <c r="M75" s="483"/>
      <c r="N75" s="483"/>
      <c r="O75" s="483"/>
      <c r="P75" s="483"/>
      <c r="Q75" s="483"/>
      <c r="R75" s="483"/>
      <c r="S75" s="483"/>
      <c r="T75" s="483"/>
      <c r="U75" s="483"/>
      <c r="V75" s="483"/>
      <c r="W75" s="483"/>
      <c r="X75" s="483"/>
      <c r="Y75" s="483"/>
      <c r="Z75" s="483"/>
      <c r="AA75" s="483"/>
      <c r="AB75" s="483"/>
      <c r="AC75" s="483"/>
    </row>
  </sheetData>
  <conditionalFormatting sqref="G5:AJ6">
    <cfRule type="cellIs" dxfId="78" priority="10" operator="equal">
      <formula>1</formula>
    </cfRule>
  </conditionalFormatting>
  <conditionalFormatting sqref="AI5">
    <cfRule type="cellIs" dxfId="77" priority="5" operator="equal">
      <formula>1</formula>
    </cfRule>
  </conditionalFormatting>
  <conditionalFormatting sqref="AJ5">
    <cfRule type="cellIs" dxfId="76" priority="3" operator="equal">
      <formula>1</formula>
    </cfRule>
  </conditionalFormatting>
  <pageMargins left="0.7" right="0.7" top="0.75" bottom="0.75" header="0.3" footer="0.3"/>
  <pageSetup paperSize="9" scale="22" orientation="portrait" horizontalDpi="202" verticalDpi="196" r:id="rId1"/>
  <ignoredErrors>
    <ignoredError sqref="B56:B57 D46" formula="1"/>
    <ignoredError sqref="G50" emptyCellReferenc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11" id="{FC6172D3-CCFA-42A5-A42B-85C549D2F58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E42</xm:sqref>
        </x14:conditionalFormatting>
        <x14:conditionalFormatting xmlns:xm="http://schemas.microsoft.com/office/excel/2006/main">
          <x14:cfRule type="iconSet" priority="412" id="{96C07222-8CBF-4E2E-A149-257A429CC87C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E61</xm:sqref>
        </x14:conditionalFormatting>
        <x14:conditionalFormatting xmlns:xm="http://schemas.microsoft.com/office/excel/2006/main">
          <x14:cfRule type="iconSet" priority="1" id="{EAE848FE-3604-45C4-83E9-DDBB5F625553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_cashflow"/>
  <dimension ref="A1:EP333"/>
  <sheetViews>
    <sheetView showGridLines="0" zoomScaleNormal="100" workbookViewId="0">
      <pane xSplit="6" ySplit="5" topLeftCell="G101" activePane="bottomRight" state="frozen"/>
      <selection pane="bottomRight" activeCell="G169" sqref="G169:G170"/>
      <selection pane="bottomLeft" activeCell="A4" sqref="A4"/>
      <selection pane="topRight" activeCell="E1" sqref="E1"/>
    </sheetView>
  </sheetViews>
  <sheetFormatPr defaultColWidth="11.42578125" defaultRowHeight="11.25"/>
  <cols>
    <col min="1" max="1" width="38.5703125" style="304" customWidth="1"/>
    <col min="2" max="2" width="10.42578125" style="304" customWidth="1"/>
    <col min="3" max="3" width="7.85546875" style="304" customWidth="1"/>
    <col min="4" max="4" width="12.42578125" style="304" bestFit="1" customWidth="1"/>
    <col min="5" max="6" width="2.5703125" style="304" customWidth="1"/>
    <col min="7" max="26" width="9.5703125" style="304" customWidth="1"/>
    <col min="27" max="127" width="9.5703125" style="494" customWidth="1"/>
    <col min="128" max="128" width="2.5703125" style="494" customWidth="1"/>
    <col min="129" max="129" width="11.42578125" style="494" customWidth="1"/>
    <col min="130" max="16384" width="11.42578125" style="304"/>
  </cols>
  <sheetData>
    <row r="1" spans="1:129">
      <c r="A1" s="996" t="s">
        <v>1108</v>
      </c>
      <c r="E1" s="894">
        <f ca="1">Outputs!$D$46</f>
        <v>11182.479442004989</v>
      </c>
      <c r="F1" s="484"/>
      <c r="G1" s="972">
        <f>Flags!G5</f>
        <v>47298</v>
      </c>
      <c r="H1" s="972">
        <f>Flags!H5</f>
        <v>47665</v>
      </c>
      <c r="I1" s="972">
        <f>Flags!I5</f>
        <v>47849</v>
      </c>
      <c r="J1" s="972">
        <f>Flags!J5</f>
        <v>48030</v>
      </c>
      <c r="K1" s="972">
        <f>Flags!K5</f>
        <v>48214</v>
      </c>
      <c r="L1" s="972">
        <f>Flags!L5</f>
        <v>48396</v>
      </c>
      <c r="M1" s="972">
        <f>Flags!M5</f>
        <v>48580</v>
      </c>
      <c r="N1" s="972">
        <f>Flags!N5</f>
        <v>48761</v>
      </c>
      <c r="O1" s="972">
        <f>Flags!O5</f>
        <v>48945</v>
      </c>
      <c r="P1" s="972">
        <f>Flags!P5</f>
        <v>49126</v>
      </c>
      <c r="Q1" s="972">
        <f>Flags!Q5</f>
        <v>49310</v>
      </c>
      <c r="R1" s="972">
        <f>Flags!R5</f>
        <v>49491</v>
      </c>
      <c r="S1" s="972">
        <f>Flags!S5</f>
        <v>49675</v>
      </c>
      <c r="T1" s="972">
        <f>Flags!T5</f>
        <v>49857</v>
      </c>
      <c r="U1" s="972">
        <f>Flags!U5</f>
        <v>50041</v>
      </c>
      <c r="V1" s="972">
        <f>Flags!V5</f>
        <v>50222</v>
      </c>
      <c r="W1" s="972">
        <f>Flags!W5</f>
        <v>50406</v>
      </c>
      <c r="X1" s="972">
        <f>Flags!X5</f>
        <v>50587</v>
      </c>
      <c r="Y1" s="972">
        <f>Flags!Y5</f>
        <v>50771</v>
      </c>
      <c r="Z1" s="972">
        <f>Flags!Z5</f>
        <v>50952</v>
      </c>
      <c r="AA1" s="972">
        <f>Flags!AA5</f>
        <v>51136</v>
      </c>
      <c r="AB1" s="972">
        <f>Flags!AB5</f>
        <v>51318</v>
      </c>
      <c r="AC1" s="972">
        <f>Flags!AC5</f>
        <v>51502</v>
      </c>
      <c r="AD1" s="972">
        <f>Flags!AD5</f>
        <v>51683</v>
      </c>
      <c r="AE1" s="972">
        <f>Flags!AE5</f>
        <v>51867</v>
      </c>
      <c r="AF1" s="972">
        <f>Flags!AF5</f>
        <v>52048</v>
      </c>
      <c r="AG1" s="972">
        <f>Flags!AG5</f>
        <v>52232</v>
      </c>
      <c r="AH1" s="972">
        <f>Flags!AH5</f>
        <v>52413</v>
      </c>
      <c r="AI1" s="972">
        <f>Flags!AI5</f>
        <v>52597</v>
      </c>
      <c r="AJ1" s="972">
        <f>Flags!AJ5</f>
        <v>52779</v>
      </c>
      <c r="AK1" s="972">
        <f>Flags!AK5</f>
        <v>52963</v>
      </c>
      <c r="AL1" s="972">
        <f>Flags!AL5</f>
        <v>53144</v>
      </c>
      <c r="AM1" s="972">
        <f>Flags!AM5</f>
        <v>53328</v>
      </c>
      <c r="AN1" s="972">
        <f>Flags!AN5</f>
        <v>53509</v>
      </c>
      <c r="AO1" s="972">
        <f>Flags!AO5</f>
        <v>53693</v>
      </c>
      <c r="AP1" s="972">
        <f>Flags!AP5</f>
        <v>53874</v>
      </c>
      <c r="AQ1" s="972">
        <f>Flags!AQ5</f>
        <v>54058</v>
      </c>
      <c r="AR1" s="972">
        <f>Flags!AR5</f>
        <v>54240</v>
      </c>
      <c r="AS1" s="972">
        <f>Flags!AS5</f>
        <v>54424</v>
      </c>
      <c r="AT1" s="972">
        <f>Flags!AT5</f>
        <v>54605</v>
      </c>
      <c r="AU1" s="972">
        <f>Flags!AU5</f>
        <v>54789</v>
      </c>
      <c r="AV1" s="972">
        <f>Flags!AV5</f>
        <v>54970</v>
      </c>
      <c r="AW1" s="972">
        <f>Flags!AW5</f>
        <v>55154</v>
      </c>
      <c r="AX1" s="972">
        <f>Flags!AX5</f>
        <v>55335</v>
      </c>
      <c r="AY1" s="972">
        <f>Flags!AY5</f>
        <v>55519</v>
      </c>
      <c r="AZ1" s="972">
        <f>Flags!AZ5</f>
        <v>55701</v>
      </c>
      <c r="BA1" s="972">
        <f>Flags!BA5</f>
        <v>55885</v>
      </c>
      <c r="BB1" s="972">
        <f>Flags!BB5</f>
        <v>56066</v>
      </c>
      <c r="BC1" s="972">
        <f>Flags!BC5</f>
        <v>56250</v>
      </c>
      <c r="BD1" s="972">
        <f>Flags!BD5</f>
        <v>56431</v>
      </c>
      <c r="BE1" s="972">
        <f>Flags!BE5</f>
        <v>56615</v>
      </c>
      <c r="BF1" s="972">
        <f>Flags!BF5</f>
        <v>56796</v>
      </c>
      <c r="BG1" s="972">
        <f>Flags!BG5</f>
        <v>56980</v>
      </c>
      <c r="BH1" s="972">
        <f>Flags!BH5</f>
        <v>57162</v>
      </c>
      <c r="BI1" s="972">
        <f>Flags!BI5</f>
        <v>57346</v>
      </c>
      <c r="BJ1" s="972">
        <f>Flags!BJ5</f>
        <v>57527</v>
      </c>
      <c r="BK1" s="972">
        <f>Flags!BK5</f>
        <v>57711</v>
      </c>
      <c r="BL1" s="972">
        <f>Flags!BL5</f>
        <v>57892</v>
      </c>
      <c r="BM1" s="972">
        <f>Flags!BM5</f>
        <v>58076</v>
      </c>
      <c r="BN1" s="972">
        <f>Flags!BN5</f>
        <v>58257</v>
      </c>
      <c r="BO1" s="972">
        <f>Flags!BO5</f>
        <v>58441</v>
      </c>
      <c r="BP1" s="972"/>
      <c r="BQ1" s="972"/>
      <c r="BR1" s="972"/>
      <c r="BS1" s="972"/>
      <c r="BT1" s="972"/>
      <c r="BU1" s="972"/>
      <c r="BV1" s="972"/>
      <c r="BW1" s="972"/>
      <c r="BX1" s="972"/>
      <c r="BY1" s="972"/>
      <c r="BZ1" s="972"/>
      <c r="CA1" s="972"/>
      <c r="CB1" s="972"/>
      <c r="CC1" s="972"/>
      <c r="CD1" s="972"/>
      <c r="CE1" s="972"/>
      <c r="CF1" s="972"/>
      <c r="CG1" s="972"/>
      <c r="CH1" s="972"/>
      <c r="CI1" s="972"/>
      <c r="CJ1" s="972"/>
      <c r="CK1" s="972"/>
      <c r="CL1" s="972"/>
      <c r="CM1" s="972"/>
      <c r="CN1" s="972"/>
      <c r="CO1" s="972"/>
      <c r="CP1" s="972"/>
      <c r="CQ1" s="972"/>
      <c r="CR1" s="972"/>
      <c r="CS1" s="972"/>
      <c r="CT1" s="972"/>
      <c r="CU1" s="972"/>
      <c r="CV1" s="972"/>
      <c r="CW1" s="972"/>
      <c r="CX1" s="972"/>
      <c r="CY1" s="972"/>
      <c r="CZ1" s="972"/>
      <c r="DA1" s="972"/>
      <c r="DB1" s="972"/>
      <c r="DC1" s="972"/>
      <c r="DD1" s="972"/>
      <c r="DE1" s="972"/>
      <c r="DF1" s="972"/>
      <c r="DG1" s="972"/>
      <c r="DH1" s="972"/>
      <c r="DI1" s="972"/>
      <c r="DJ1" s="972"/>
      <c r="DK1" s="972"/>
      <c r="DL1" s="972"/>
      <c r="DM1" s="972"/>
      <c r="DN1" s="972"/>
      <c r="DO1" s="972"/>
      <c r="DP1" s="972"/>
      <c r="DQ1" s="972"/>
      <c r="DR1" s="972"/>
      <c r="DS1" s="972"/>
      <c r="DT1" s="972"/>
      <c r="DU1" s="972"/>
      <c r="DV1" s="972"/>
      <c r="DW1" s="972"/>
      <c r="DX1" s="485"/>
      <c r="DY1" s="485"/>
    </row>
    <row r="2" spans="1:129">
      <c r="A2" s="996" t="s">
        <v>1109</v>
      </c>
      <c r="E2" s="484"/>
      <c r="F2" s="484"/>
      <c r="G2" s="972">
        <f>Flags!G6</f>
        <v>47664</v>
      </c>
      <c r="H2" s="972">
        <f>Flags!H6</f>
        <v>47848</v>
      </c>
      <c r="I2" s="972">
        <f>Flags!I6</f>
        <v>48029</v>
      </c>
      <c r="J2" s="972">
        <f>Flags!J6</f>
        <v>48213</v>
      </c>
      <c r="K2" s="972">
        <f>Flags!K6</f>
        <v>48395</v>
      </c>
      <c r="L2" s="972">
        <f>Flags!L6</f>
        <v>48579</v>
      </c>
      <c r="M2" s="972">
        <f>Flags!M6</f>
        <v>48760</v>
      </c>
      <c r="N2" s="972">
        <f>Flags!N6</f>
        <v>48944</v>
      </c>
      <c r="O2" s="972">
        <f>Flags!O6</f>
        <v>49125</v>
      </c>
      <c r="P2" s="972">
        <f>Flags!P6</f>
        <v>49309</v>
      </c>
      <c r="Q2" s="972">
        <f>Flags!Q6</f>
        <v>49490</v>
      </c>
      <c r="R2" s="972">
        <f>Flags!R6</f>
        <v>49674</v>
      </c>
      <c r="S2" s="972">
        <f>Flags!S6</f>
        <v>49856</v>
      </c>
      <c r="T2" s="972">
        <f>Flags!T6</f>
        <v>50040</v>
      </c>
      <c r="U2" s="972">
        <f>Flags!U6</f>
        <v>50221</v>
      </c>
      <c r="V2" s="972">
        <f>Flags!V6</f>
        <v>50405</v>
      </c>
      <c r="W2" s="972">
        <f>Flags!W6</f>
        <v>50586</v>
      </c>
      <c r="X2" s="972">
        <f>Flags!X6</f>
        <v>50770</v>
      </c>
      <c r="Y2" s="972">
        <f>Flags!Y6</f>
        <v>50951</v>
      </c>
      <c r="Z2" s="972">
        <f>Flags!Z6</f>
        <v>51135</v>
      </c>
      <c r="AA2" s="972">
        <f>Flags!AA6</f>
        <v>51317</v>
      </c>
      <c r="AB2" s="972">
        <f>Flags!AB6</f>
        <v>51501</v>
      </c>
      <c r="AC2" s="972">
        <f>Flags!AC6</f>
        <v>51682</v>
      </c>
      <c r="AD2" s="972">
        <f>Flags!AD6</f>
        <v>51866</v>
      </c>
      <c r="AE2" s="972">
        <f>Flags!AE6</f>
        <v>52047</v>
      </c>
      <c r="AF2" s="972">
        <f>Flags!AF6</f>
        <v>52231</v>
      </c>
      <c r="AG2" s="972">
        <f>Flags!AG6</f>
        <v>52412</v>
      </c>
      <c r="AH2" s="972">
        <f>Flags!AH6</f>
        <v>52596</v>
      </c>
      <c r="AI2" s="972">
        <f>Flags!AI6</f>
        <v>52778</v>
      </c>
      <c r="AJ2" s="972">
        <f>Flags!AJ6</f>
        <v>52962</v>
      </c>
      <c r="AK2" s="972">
        <f>Flags!AK6</f>
        <v>53143</v>
      </c>
      <c r="AL2" s="972">
        <f>Flags!AL6</f>
        <v>53327</v>
      </c>
      <c r="AM2" s="972">
        <f>Flags!AM6</f>
        <v>53508</v>
      </c>
      <c r="AN2" s="972">
        <f>Flags!AN6</f>
        <v>53692</v>
      </c>
      <c r="AO2" s="972">
        <f>Flags!AO6</f>
        <v>53873</v>
      </c>
      <c r="AP2" s="972">
        <f>Flags!AP6</f>
        <v>54057</v>
      </c>
      <c r="AQ2" s="972">
        <f>Flags!AQ6</f>
        <v>54239</v>
      </c>
      <c r="AR2" s="972">
        <f>Flags!AR6</f>
        <v>54423</v>
      </c>
      <c r="AS2" s="972">
        <f>Flags!AS6</f>
        <v>54604</v>
      </c>
      <c r="AT2" s="972">
        <f>Flags!AT6</f>
        <v>54788</v>
      </c>
      <c r="AU2" s="972">
        <f>Flags!AU6</f>
        <v>54969</v>
      </c>
      <c r="AV2" s="972">
        <f>Flags!AV6</f>
        <v>55153</v>
      </c>
      <c r="AW2" s="972">
        <f>Flags!AW6</f>
        <v>55334</v>
      </c>
      <c r="AX2" s="972">
        <f>Flags!AX6</f>
        <v>55518</v>
      </c>
      <c r="AY2" s="972">
        <f>Flags!AY6</f>
        <v>55700</v>
      </c>
      <c r="AZ2" s="972">
        <f>Flags!AZ6</f>
        <v>55884</v>
      </c>
      <c r="BA2" s="972">
        <f>Flags!BA6</f>
        <v>56065</v>
      </c>
      <c r="BB2" s="972">
        <f>Flags!BB6</f>
        <v>56249</v>
      </c>
      <c r="BC2" s="972">
        <f>Flags!BC6</f>
        <v>56430</v>
      </c>
      <c r="BD2" s="972">
        <f>Flags!BD6</f>
        <v>56614</v>
      </c>
      <c r="BE2" s="972">
        <f>Flags!BE6</f>
        <v>56795</v>
      </c>
      <c r="BF2" s="972">
        <f>Flags!BF6</f>
        <v>56979</v>
      </c>
      <c r="BG2" s="972">
        <f>Flags!BG6</f>
        <v>57161</v>
      </c>
      <c r="BH2" s="972">
        <f>Flags!BH6</f>
        <v>57345</v>
      </c>
      <c r="BI2" s="972">
        <f>Flags!BI6</f>
        <v>57526</v>
      </c>
      <c r="BJ2" s="972">
        <f>Flags!BJ6</f>
        <v>57710</v>
      </c>
      <c r="BK2" s="972">
        <f>Flags!BK6</f>
        <v>57891</v>
      </c>
      <c r="BL2" s="972">
        <f>Flags!BL6</f>
        <v>58075</v>
      </c>
      <c r="BM2" s="972">
        <f>Flags!BM6</f>
        <v>58256</v>
      </c>
      <c r="BN2" s="972">
        <f>Flags!BN6</f>
        <v>58440</v>
      </c>
      <c r="BO2" s="972">
        <f>Flags!BO6</f>
        <v>58622</v>
      </c>
      <c r="BP2" s="972"/>
      <c r="BQ2" s="972"/>
      <c r="BR2" s="972"/>
      <c r="BS2" s="972"/>
      <c r="BT2" s="972"/>
      <c r="BU2" s="972"/>
      <c r="BV2" s="972"/>
      <c r="BW2" s="972"/>
      <c r="BX2" s="972"/>
      <c r="BY2" s="972"/>
      <c r="BZ2" s="972"/>
      <c r="CA2" s="972"/>
      <c r="CB2" s="972"/>
      <c r="CC2" s="972"/>
      <c r="CD2" s="972"/>
      <c r="CE2" s="972"/>
      <c r="CF2" s="972"/>
      <c r="CG2" s="972"/>
      <c r="CH2" s="972"/>
      <c r="CI2" s="972"/>
      <c r="CJ2" s="972"/>
      <c r="CK2" s="972"/>
      <c r="CL2" s="972"/>
      <c r="CM2" s="972"/>
      <c r="CN2" s="972"/>
      <c r="CO2" s="972"/>
      <c r="CP2" s="972"/>
      <c r="CQ2" s="972"/>
      <c r="CR2" s="972"/>
      <c r="CS2" s="972"/>
      <c r="CT2" s="972"/>
      <c r="CU2" s="972"/>
      <c r="CV2" s="972"/>
      <c r="CW2" s="972"/>
      <c r="CX2" s="972"/>
      <c r="CY2" s="972"/>
      <c r="CZ2" s="972"/>
      <c r="DA2" s="972"/>
      <c r="DB2" s="972"/>
      <c r="DC2" s="972"/>
      <c r="DD2" s="972"/>
      <c r="DE2" s="972"/>
      <c r="DF2" s="972"/>
      <c r="DG2" s="972"/>
      <c r="DH2" s="972"/>
      <c r="DI2" s="972"/>
      <c r="DJ2" s="972"/>
      <c r="DK2" s="972"/>
      <c r="DL2" s="972"/>
      <c r="DM2" s="972"/>
      <c r="DN2" s="972"/>
      <c r="DO2" s="972"/>
      <c r="DP2" s="972"/>
      <c r="DQ2" s="972"/>
      <c r="DR2" s="972"/>
      <c r="DS2" s="972"/>
      <c r="DT2" s="972"/>
      <c r="DU2" s="972"/>
      <c r="DV2" s="972"/>
      <c r="DW2" s="972"/>
      <c r="DX2" s="485"/>
      <c r="DY2" s="485"/>
    </row>
    <row r="3" spans="1:129">
      <c r="A3" s="996" t="s">
        <v>1126</v>
      </c>
      <c r="E3" s="484"/>
      <c r="F3" s="484"/>
      <c r="G3" s="105">
        <f>YEAR(G2)</f>
        <v>2030</v>
      </c>
      <c r="H3" s="105">
        <f>YEAR(H2)</f>
        <v>2030</v>
      </c>
      <c r="I3" s="105">
        <f t="shared" ref="I3:BO3" si="0">YEAR(I2)</f>
        <v>2031</v>
      </c>
      <c r="J3" s="105">
        <f t="shared" si="0"/>
        <v>2031</v>
      </c>
      <c r="K3" s="105">
        <f t="shared" si="0"/>
        <v>2032</v>
      </c>
      <c r="L3" s="105">
        <f t="shared" si="0"/>
        <v>2032</v>
      </c>
      <c r="M3" s="105">
        <f t="shared" si="0"/>
        <v>2033</v>
      </c>
      <c r="N3" s="105">
        <f t="shared" si="0"/>
        <v>2033</v>
      </c>
      <c r="O3" s="105">
        <f t="shared" si="0"/>
        <v>2034</v>
      </c>
      <c r="P3" s="105">
        <f t="shared" si="0"/>
        <v>2034</v>
      </c>
      <c r="Q3" s="105">
        <f t="shared" si="0"/>
        <v>2035</v>
      </c>
      <c r="R3" s="105">
        <f t="shared" si="0"/>
        <v>2035</v>
      </c>
      <c r="S3" s="105">
        <f t="shared" si="0"/>
        <v>2036</v>
      </c>
      <c r="T3" s="105">
        <f t="shared" si="0"/>
        <v>2036</v>
      </c>
      <c r="U3" s="105">
        <f t="shared" si="0"/>
        <v>2037</v>
      </c>
      <c r="V3" s="105">
        <f t="shared" si="0"/>
        <v>2037</v>
      </c>
      <c r="W3" s="105">
        <f t="shared" si="0"/>
        <v>2038</v>
      </c>
      <c r="X3" s="105">
        <f t="shared" si="0"/>
        <v>2038</v>
      </c>
      <c r="Y3" s="105">
        <f t="shared" si="0"/>
        <v>2039</v>
      </c>
      <c r="Z3" s="105">
        <f t="shared" si="0"/>
        <v>2039</v>
      </c>
      <c r="AA3" s="105">
        <f t="shared" si="0"/>
        <v>2040</v>
      </c>
      <c r="AB3" s="105">
        <f t="shared" si="0"/>
        <v>2040</v>
      </c>
      <c r="AC3" s="105">
        <f t="shared" si="0"/>
        <v>2041</v>
      </c>
      <c r="AD3" s="105">
        <f t="shared" si="0"/>
        <v>2041</v>
      </c>
      <c r="AE3" s="105">
        <f t="shared" si="0"/>
        <v>2042</v>
      </c>
      <c r="AF3" s="105">
        <f t="shared" si="0"/>
        <v>2042</v>
      </c>
      <c r="AG3" s="105">
        <f t="shared" si="0"/>
        <v>2043</v>
      </c>
      <c r="AH3" s="105">
        <f t="shared" si="0"/>
        <v>2043</v>
      </c>
      <c r="AI3" s="105">
        <f t="shared" si="0"/>
        <v>2044</v>
      </c>
      <c r="AJ3" s="105">
        <f t="shared" si="0"/>
        <v>2044</v>
      </c>
      <c r="AK3" s="105">
        <f t="shared" si="0"/>
        <v>2045</v>
      </c>
      <c r="AL3" s="105">
        <f t="shared" si="0"/>
        <v>2045</v>
      </c>
      <c r="AM3" s="105">
        <f t="shared" si="0"/>
        <v>2046</v>
      </c>
      <c r="AN3" s="105">
        <f t="shared" si="0"/>
        <v>2046</v>
      </c>
      <c r="AO3" s="105">
        <f t="shared" si="0"/>
        <v>2047</v>
      </c>
      <c r="AP3" s="105">
        <f t="shared" si="0"/>
        <v>2047</v>
      </c>
      <c r="AQ3" s="105">
        <f t="shared" si="0"/>
        <v>2048</v>
      </c>
      <c r="AR3" s="105">
        <f t="shared" si="0"/>
        <v>2048</v>
      </c>
      <c r="AS3" s="105">
        <f t="shared" si="0"/>
        <v>2049</v>
      </c>
      <c r="AT3" s="105">
        <f t="shared" si="0"/>
        <v>2049</v>
      </c>
      <c r="AU3" s="105">
        <f t="shared" si="0"/>
        <v>2050</v>
      </c>
      <c r="AV3" s="105">
        <f t="shared" si="0"/>
        <v>2050</v>
      </c>
      <c r="AW3" s="105">
        <f t="shared" si="0"/>
        <v>2051</v>
      </c>
      <c r="AX3" s="105">
        <f t="shared" si="0"/>
        <v>2051</v>
      </c>
      <c r="AY3" s="105">
        <f t="shared" si="0"/>
        <v>2052</v>
      </c>
      <c r="AZ3" s="105">
        <f t="shared" si="0"/>
        <v>2052</v>
      </c>
      <c r="BA3" s="105">
        <f t="shared" si="0"/>
        <v>2053</v>
      </c>
      <c r="BB3" s="105">
        <f t="shared" si="0"/>
        <v>2053</v>
      </c>
      <c r="BC3" s="105">
        <f t="shared" si="0"/>
        <v>2054</v>
      </c>
      <c r="BD3" s="105">
        <f t="shared" si="0"/>
        <v>2054</v>
      </c>
      <c r="BE3" s="105">
        <f t="shared" si="0"/>
        <v>2055</v>
      </c>
      <c r="BF3" s="105">
        <f t="shared" si="0"/>
        <v>2055</v>
      </c>
      <c r="BG3" s="105">
        <f t="shared" si="0"/>
        <v>2056</v>
      </c>
      <c r="BH3" s="105">
        <f t="shared" si="0"/>
        <v>2056</v>
      </c>
      <c r="BI3" s="105">
        <f t="shared" si="0"/>
        <v>2057</v>
      </c>
      <c r="BJ3" s="105">
        <f t="shared" si="0"/>
        <v>2057</v>
      </c>
      <c r="BK3" s="105">
        <f t="shared" si="0"/>
        <v>2058</v>
      </c>
      <c r="BL3" s="105">
        <f t="shared" si="0"/>
        <v>2058</v>
      </c>
      <c r="BM3" s="105">
        <f t="shared" si="0"/>
        <v>2059</v>
      </c>
      <c r="BN3" s="105">
        <f t="shared" si="0"/>
        <v>2059</v>
      </c>
      <c r="BO3" s="105">
        <f t="shared" si="0"/>
        <v>2060</v>
      </c>
      <c r="BP3" s="972"/>
      <c r="BQ3" s="972"/>
      <c r="BR3" s="972"/>
      <c r="BS3" s="972"/>
      <c r="BT3" s="972"/>
      <c r="BU3" s="972"/>
      <c r="BV3" s="972"/>
      <c r="BW3" s="972"/>
      <c r="BX3" s="972"/>
      <c r="BY3" s="972"/>
      <c r="BZ3" s="972"/>
      <c r="CA3" s="972"/>
      <c r="CB3" s="972"/>
      <c r="CC3" s="972"/>
      <c r="CD3" s="972"/>
      <c r="CE3" s="972"/>
      <c r="CF3" s="972"/>
      <c r="CG3" s="972"/>
      <c r="CH3" s="972"/>
      <c r="CI3" s="972"/>
      <c r="CJ3" s="972"/>
      <c r="CK3" s="972"/>
      <c r="CL3" s="972"/>
      <c r="CM3" s="972"/>
      <c r="CN3" s="972"/>
      <c r="CO3" s="972"/>
      <c r="CP3" s="972"/>
      <c r="CQ3" s="972"/>
      <c r="CR3" s="972"/>
      <c r="CS3" s="972"/>
      <c r="CT3" s="972"/>
      <c r="CU3" s="972"/>
      <c r="CV3" s="972"/>
      <c r="CW3" s="972"/>
      <c r="CX3" s="972"/>
      <c r="CY3" s="972"/>
      <c r="CZ3" s="972"/>
      <c r="DA3" s="972"/>
      <c r="DB3" s="972"/>
      <c r="DC3" s="972"/>
      <c r="DD3" s="972"/>
      <c r="DE3" s="972"/>
      <c r="DF3" s="972"/>
      <c r="DG3" s="972"/>
      <c r="DH3" s="972"/>
      <c r="DI3" s="972"/>
      <c r="DJ3" s="972"/>
      <c r="DK3" s="972"/>
      <c r="DL3" s="972"/>
      <c r="DM3" s="972"/>
      <c r="DN3" s="972"/>
      <c r="DO3" s="972"/>
      <c r="DP3" s="972"/>
      <c r="DQ3" s="972"/>
      <c r="DR3" s="972"/>
      <c r="DS3" s="972"/>
      <c r="DT3" s="972"/>
      <c r="DU3" s="972"/>
      <c r="DV3" s="972"/>
      <c r="DW3" s="972"/>
      <c r="DX3" s="485"/>
      <c r="DY3" s="485"/>
    </row>
    <row r="4" spans="1:129">
      <c r="A4" s="997" t="str">
        <f>Flags!A7</f>
        <v>Year</v>
      </c>
      <c r="B4" s="927">
        <f>Flags!B7</f>
        <v>2</v>
      </c>
      <c r="D4" s="484"/>
      <c r="E4" s="484"/>
      <c r="F4" s="484"/>
      <c r="G4" s="1001">
        <f>Flags!G7</f>
        <v>0</v>
      </c>
      <c r="H4" s="1001">
        <f>Flags!H7</f>
        <v>1</v>
      </c>
      <c r="I4" s="1001">
        <f>Flags!I7</f>
        <v>1</v>
      </c>
      <c r="J4" s="1001">
        <f>Flags!J7</f>
        <v>2</v>
      </c>
      <c r="K4" s="1001">
        <f>Flags!K7</f>
        <v>2</v>
      </c>
      <c r="L4" s="1001">
        <f>Flags!L7</f>
        <v>3</v>
      </c>
      <c r="M4" s="1001">
        <f>Flags!M7</f>
        <v>3</v>
      </c>
      <c r="N4" s="1001">
        <f>Flags!N7</f>
        <v>4</v>
      </c>
      <c r="O4" s="1001">
        <f>Flags!O7</f>
        <v>4</v>
      </c>
      <c r="P4" s="1001">
        <f>Flags!P7</f>
        <v>5</v>
      </c>
      <c r="Q4" s="1001">
        <f>Flags!Q7</f>
        <v>5</v>
      </c>
      <c r="R4" s="1001">
        <f>Flags!R7</f>
        <v>6</v>
      </c>
      <c r="S4" s="1001">
        <f>Flags!S7</f>
        <v>6</v>
      </c>
      <c r="T4" s="1001">
        <f>Flags!T7</f>
        <v>7</v>
      </c>
      <c r="U4" s="1001">
        <f>Flags!U7</f>
        <v>7</v>
      </c>
      <c r="V4" s="1001">
        <f>Flags!V7</f>
        <v>8</v>
      </c>
      <c r="W4" s="1001">
        <f>Flags!W7</f>
        <v>8</v>
      </c>
      <c r="X4" s="1001">
        <f>Flags!X7</f>
        <v>9</v>
      </c>
      <c r="Y4" s="1001">
        <f>Flags!Y7</f>
        <v>9</v>
      </c>
      <c r="Z4" s="1001">
        <f>Flags!Z7</f>
        <v>10</v>
      </c>
      <c r="AA4" s="1001">
        <f>Flags!AA7</f>
        <v>10</v>
      </c>
      <c r="AB4" s="1001">
        <f>Flags!AB7</f>
        <v>11</v>
      </c>
      <c r="AC4" s="1001">
        <f>Flags!AC7</f>
        <v>11</v>
      </c>
      <c r="AD4" s="1001">
        <f>Flags!AD7</f>
        <v>12</v>
      </c>
      <c r="AE4" s="1001">
        <f>Flags!AE7</f>
        <v>12</v>
      </c>
      <c r="AF4" s="1001">
        <f>Flags!AF7</f>
        <v>13</v>
      </c>
      <c r="AG4" s="1001">
        <f>Flags!AG7</f>
        <v>13</v>
      </c>
      <c r="AH4" s="1001">
        <f>Flags!AH7</f>
        <v>14</v>
      </c>
      <c r="AI4" s="1001">
        <f>Flags!AI7</f>
        <v>14</v>
      </c>
      <c r="AJ4" s="1001">
        <f>Flags!AJ7</f>
        <v>15</v>
      </c>
      <c r="AK4" s="1001">
        <f>Flags!AK7</f>
        <v>15</v>
      </c>
      <c r="AL4" s="1001">
        <f>Flags!AL7</f>
        <v>16</v>
      </c>
      <c r="AM4" s="1001">
        <f>Flags!AM7</f>
        <v>16</v>
      </c>
      <c r="AN4" s="1001">
        <f>Flags!AN7</f>
        <v>17</v>
      </c>
      <c r="AO4" s="1001">
        <f>Flags!AO7</f>
        <v>17</v>
      </c>
      <c r="AP4" s="1001">
        <f>Flags!AP7</f>
        <v>18</v>
      </c>
      <c r="AQ4" s="1001">
        <f>Flags!AQ7</f>
        <v>18</v>
      </c>
      <c r="AR4" s="1001">
        <f>Flags!AR7</f>
        <v>19</v>
      </c>
      <c r="AS4" s="1001">
        <f>Flags!AS7</f>
        <v>19</v>
      </c>
      <c r="AT4" s="1001">
        <f>Flags!AT7</f>
        <v>20</v>
      </c>
      <c r="AU4" s="1001">
        <f>Flags!AU7</f>
        <v>20</v>
      </c>
      <c r="AV4" s="1001">
        <f>Flags!AV7</f>
        <v>21</v>
      </c>
      <c r="AW4" s="1001">
        <f>Flags!AW7</f>
        <v>21</v>
      </c>
      <c r="AX4" s="1001">
        <f>Flags!AX7</f>
        <v>22</v>
      </c>
      <c r="AY4" s="1001">
        <f>Flags!AY7</f>
        <v>22</v>
      </c>
      <c r="AZ4" s="1001">
        <f>Flags!AZ7</f>
        <v>23</v>
      </c>
      <c r="BA4" s="1001">
        <f>Flags!BA7</f>
        <v>23</v>
      </c>
      <c r="BB4" s="1001">
        <f>Flags!BB7</f>
        <v>24</v>
      </c>
      <c r="BC4" s="1001">
        <f>Flags!BC7</f>
        <v>24</v>
      </c>
      <c r="BD4" s="1001">
        <f>Flags!BD7</f>
        <v>25</v>
      </c>
      <c r="BE4" s="1001">
        <f>Flags!BE7</f>
        <v>25</v>
      </c>
      <c r="BF4" s="1001">
        <f>Flags!BF7</f>
        <v>26</v>
      </c>
      <c r="BG4" s="1001">
        <f>Flags!BG7</f>
        <v>26</v>
      </c>
      <c r="BH4" s="1001">
        <f>Flags!BH7</f>
        <v>27</v>
      </c>
      <c r="BI4" s="1001">
        <f>Flags!BI7</f>
        <v>27</v>
      </c>
      <c r="BJ4" s="1001">
        <f>Flags!BJ7</f>
        <v>28</v>
      </c>
      <c r="BK4" s="1001">
        <f>Flags!BK7</f>
        <v>28</v>
      </c>
      <c r="BL4" s="1001">
        <f>Flags!BL7</f>
        <v>29</v>
      </c>
      <c r="BM4" s="1001">
        <f>Flags!BM7</f>
        <v>29</v>
      </c>
      <c r="BN4" s="1001">
        <f>Flags!BN7</f>
        <v>30</v>
      </c>
      <c r="BO4" s="1001">
        <f>Flags!BO7</f>
        <v>30</v>
      </c>
      <c r="BP4" s="1001"/>
      <c r="BQ4" s="1001"/>
      <c r="BR4" s="1001"/>
      <c r="BS4" s="1001"/>
      <c r="BT4" s="1001"/>
      <c r="BU4" s="1001"/>
      <c r="BV4" s="1001"/>
      <c r="BW4" s="1001"/>
      <c r="BX4" s="1001"/>
      <c r="BY4" s="1001"/>
      <c r="BZ4" s="1001"/>
      <c r="CA4" s="1001"/>
      <c r="CB4" s="1001"/>
      <c r="CC4" s="1001"/>
      <c r="CD4" s="1001"/>
      <c r="CE4" s="1001"/>
      <c r="CF4" s="1001"/>
      <c r="CG4" s="1001"/>
      <c r="CH4" s="1001"/>
      <c r="CI4" s="1001"/>
      <c r="CJ4" s="1001"/>
      <c r="CK4" s="1001"/>
      <c r="CL4" s="1001"/>
      <c r="CM4" s="1001"/>
      <c r="CN4" s="1001"/>
      <c r="CO4" s="1001"/>
      <c r="CP4" s="1001"/>
      <c r="CQ4" s="1001"/>
      <c r="CR4" s="1001"/>
      <c r="CS4" s="1001"/>
      <c r="CT4" s="1001"/>
      <c r="CU4" s="1001"/>
      <c r="CV4" s="1001"/>
      <c r="CW4" s="1001"/>
      <c r="CX4" s="1001"/>
      <c r="CY4" s="1001"/>
      <c r="CZ4" s="1001"/>
      <c r="DA4" s="1001"/>
      <c r="DB4" s="1001"/>
      <c r="DC4" s="1001"/>
      <c r="DD4" s="1001"/>
      <c r="DE4" s="1001"/>
      <c r="DF4" s="1001"/>
      <c r="DG4" s="1001"/>
      <c r="DH4" s="1001"/>
      <c r="DI4" s="1001"/>
      <c r="DJ4" s="1001"/>
      <c r="DK4" s="1001"/>
      <c r="DL4" s="1001"/>
      <c r="DM4" s="1001"/>
      <c r="DN4" s="1001"/>
      <c r="DO4" s="1001"/>
      <c r="DP4" s="1001"/>
      <c r="DQ4" s="1001"/>
      <c r="DR4" s="1001"/>
      <c r="DS4" s="1001"/>
      <c r="DT4" s="1001"/>
      <c r="DU4" s="1001"/>
      <c r="DV4" s="1001"/>
      <c r="DW4" s="1001"/>
      <c r="DX4" s="485"/>
      <c r="DY4" s="485"/>
    </row>
    <row r="5" spans="1:129">
      <c r="A5" s="861" t="s">
        <v>1127</v>
      </c>
      <c r="B5" s="864"/>
      <c r="C5" s="864"/>
      <c r="D5" s="864"/>
      <c r="E5" s="864"/>
      <c r="F5" s="863"/>
      <c r="G5" s="1076">
        <f>Flags!G8</f>
        <v>0</v>
      </c>
      <c r="H5" s="1076">
        <f>Flags!H8</f>
        <v>1</v>
      </c>
      <c r="I5" s="1076">
        <f>Flags!I8</f>
        <v>2</v>
      </c>
      <c r="J5" s="1076">
        <f>Flags!J8</f>
        <v>3</v>
      </c>
      <c r="K5" s="1076">
        <f>Flags!K8</f>
        <v>4</v>
      </c>
      <c r="L5" s="1076">
        <f>Flags!L8</f>
        <v>5</v>
      </c>
      <c r="M5" s="1076">
        <f>Flags!M8</f>
        <v>6</v>
      </c>
      <c r="N5" s="1076">
        <f>Flags!N8</f>
        <v>7</v>
      </c>
      <c r="O5" s="1076">
        <f>Flags!O8</f>
        <v>8</v>
      </c>
      <c r="P5" s="1076">
        <f>Flags!P8</f>
        <v>9</v>
      </c>
      <c r="Q5" s="1076">
        <f>Flags!Q8</f>
        <v>10</v>
      </c>
      <c r="R5" s="1076">
        <f>Flags!R8</f>
        <v>11</v>
      </c>
      <c r="S5" s="1076">
        <f>Flags!S8</f>
        <v>12</v>
      </c>
      <c r="T5" s="1076">
        <f>Flags!T8</f>
        <v>13</v>
      </c>
      <c r="U5" s="1076">
        <f>Flags!U8</f>
        <v>14</v>
      </c>
      <c r="V5" s="1076">
        <f>Flags!V8</f>
        <v>15</v>
      </c>
      <c r="W5" s="1076">
        <f>Flags!W8</f>
        <v>16</v>
      </c>
      <c r="X5" s="1076">
        <f>Flags!X8</f>
        <v>17</v>
      </c>
      <c r="Y5" s="1076">
        <f>Flags!Y8</f>
        <v>18</v>
      </c>
      <c r="Z5" s="1076">
        <f>Flags!Z8</f>
        <v>19</v>
      </c>
      <c r="AA5" s="1076">
        <f>Flags!AA8</f>
        <v>20</v>
      </c>
      <c r="AB5" s="1076">
        <f>Flags!AB8</f>
        <v>21</v>
      </c>
      <c r="AC5" s="1076">
        <f>Flags!AC8</f>
        <v>22</v>
      </c>
      <c r="AD5" s="1076">
        <f>Flags!AD8</f>
        <v>23</v>
      </c>
      <c r="AE5" s="1076">
        <f>Flags!AE8</f>
        <v>24</v>
      </c>
      <c r="AF5" s="1076">
        <f>Flags!AF8</f>
        <v>25</v>
      </c>
      <c r="AG5" s="1076">
        <f>Flags!AG8</f>
        <v>26</v>
      </c>
      <c r="AH5" s="1076">
        <f>Flags!AH8</f>
        <v>27</v>
      </c>
      <c r="AI5" s="1076">
        <f>Flags!AI8</f>
        <v>28</v>
      </c>
      <c r="AJ5" s="1076">
        <f>Flags!AJ8</f>
        <v>29</v>
      </c>
      <c r="AK5" s="1076">
        <f>Flags!AK8</f>
        <v>30</v>
      </c>
      <c r="AL5" s="1076">
        <f>Flags!AL8</f>
        <v>31</v>
      </c>
      <c r="AM5" s="1076">
        <f>Flags!AM8</f>
        <v>32</v>
      </c>
      <c r="AN5" s="1076">
        <f>Flags!AN8</f>
        <v>33</v>
      </c>
      <c r="AO5" s="1076">
        <f>Flags!AO8</f>
        <v>34</v>
      </c>
      <c r="AP5" s="1076">
        <f>Flags!AP8</f>
        <v>35</v>
      </c>
      <c r="AQ5" s="1076">
        <f>Flags!AQ8</f>
        <v>36</v>
      </c>
      <c r="AR5" s="1076">
        <f>Flags!AR8</f>
        <v>37</v>
      </c>
      <c r="AS5" s="1076">
        <f>Flags!AS8</f>
        <v>38</v>
      </c>
      <c r="AT5" s="1076">
        <f>Flags!AT8</f>
        <v>39</v>
      </c>
      <c r="AU5" s="1076">
        <f>Flags!AU8</f>
        <v>40</v>
      </c>
      <c r="AV5" s="1076">
        <f>Flags!AV8</f>
        <v>41</v>
      </c>
      <c r="AW5" s="1076">
        <f>Flags!AW8</f>
        <v>42</v>
      </c>
      <c r="AX5" s="1076">
        <f>Flags!AX8</f>
        <v>43</v>
      </c>
      <c r="AY5" s="1076">
        <f>Flags!AY8</f>
        <v>44</v>
      </c>
      <c r="AZ5" s="1076">
        <f>Flags!AZ8</f>
        <v>45</v>
      </c>
      <c r="BA5" s="1076">
        <f>Flags!BA8</f>
        <v>46</v>
      </c>
      <c r="BB5" s="1076">
        <f>Flags!BB8</f>
        <v>47</v>
      </c>
      <c r="BC5" s="1076">
        <f>Flags!BC8</f>
        <v>48</v>
      </c>
      <c r="BD5" s="1076">
        <f>Flags!BD8</f>
        <v>49</v>
      </c>
      <c r="BE5" s="1076">
        <f>Flags!BE8</f>
        <v>50</v>
      </c>
      <c r="BF5" s="1076">
        <f>Flags!BF8</f>
        <v>51</v>
      </c>
      <c r="BG5" s="1076">
        <f>Flags!BG8</f>
        <v>52</v>
      </c>
      <c r="BH5" s="1076">
        <f>Flags!BH8</f>
        <v>53</v>
      </c>
      <c r="BI5" s="1076">
        <f>Flags!BI8</f>
        <v>54</v>
      </c>
      <c r="BJ5" s="1076">
        <f>Flags!BJ8</f>
        <v>55</v>
      </c>
      <c r="BK5" s="1076">
        <f>Flags!BK8</f>
        <v>56</v>
      </c>
      <c r="BL5" s="1076">
        <f>Flags!BL8</f>
        <v>57</v>
      </c>
      <c r="BM5" s="1076">
        <f>Flags!BM8</f>
        <v>58</v>
      </c>
      <c r="BN5" s="1076">
        <f>Flags!BN8</f>
        <v>59</v>
      </c>
      <c r="BO5" s="1076">
        <f>Flags!BO8</f>
        <v>60</v>
      </c>
      <c r="BP5" s="1076"/>
      <c r="BQ5" s="1076"/>
      <c r="BR5" s="1076"/>
      <c r="BS5" s="1076"/>
      <c r="BT5" s="1076"/>
      <c r="BU5" s="1076"/>
      <c r="BV5" s="1076"/>
      <c r="BW5" s="1076"/>
      <c r="BX5" s="1076"/>
      <c r="BY5" s="1076"/>
      <c r="BZ5" s="1076"/>
      <c r="CA5" s="1076"/>
      <c r="CB5" s="1076"/>
      <c r="CC5" s="1076"/>
      <c r="CD5" s="1076"/>
      <c r="CE5" s="1076"/>
      <c r="CF5" s="1076"/>
      <c r="CG5" s="1076"/>
      <c r="CH5" s="1076"/>
      <c r="CI5" s="1076"/>
      <c r="CJ5" s="1076"/>
      <c r="CK5" s="1076"/>
      <c r="CL5" s="1076"/>
      <c r="CM5" s="1076"/>
      <c r="CN5" s="1076"/>
      <c r="CO5" s="1076"/>
      <c r="CP5" s="1076"/>
      <c r="CQ5" s="1076"/>
      <c r="CR5" s="1076"/>
      <c r="CS5" s="1076"/>
      <c r="CT5" s="1076"/>
      <c r="CU5" s="1076"/>
      <c r="CV5" s="1076"/>
      <c r="CW5" s="1076"/>
      <c r="CX5" s="1076"/>
      <c r="CY5" s="1076"/>
      <c r="CZ5" s="1076"/>
      <c r="DA5" s="1076"/>
      <c r="DB5" s="1076"/>
      <c r="DC5" s="1076"/>
      <c r="DD5" s="1076"/>
      <c r="DE5" s="1076"/>
      <c r="DF5" s="1076"/>
      <c r="DG5" s="1076"/>
      <c r="DH5" s="1076"/>
      <c r="DI5" s="1076"/>
      <c r="DJ5" s="1076"/>
      <c r="DK5" s="1076"/>
      <c r="DL5" s="1076"/>
      <c r="DM5" s="1076"/>
      <c r="DN5" s="1076"/>
      <c r="DO5" s="1076"/>
      <c r="DP5" s="1076"/>
      <c r="DQ5" s="1076"/>
      <c r="DR5" s="1076"/>
      <c r="DS5" s="1076"/>
      <c r="DT5" s="1076"/>
      <c r="DU5" s="1076"/>
      <c r="DV5" s="1076"/>
      <c r="DW5" s="1076"/>
      <c r="DX5" s="487"/>
      <c r="DY5" s="487"/>
    </row>
    <row r="6" spans="1:129">
      <c r="A6" s="997" t="str">
        <f>Flags!A12</f>
        <v>Project Life</v>
      </c>
      <c r="B6" s="927">
        <f>Flags!B12</f>
        <v>30</v>
      </c>
      <c r="D6" s="484"/>
      <c r="E6" s="484"/>
      <c r="F6" s="484"/>
      <c r="G6" s="972" t="b">
        <f>Flags!G12</f>
        <v>0</v>
      </c>
      <c r="H6" s="972" t="b">
        <f>Flags!H12</f>
        <v>1</v>
      </c>
      <c r="I6" s="972" t="b">
        <f>Flags!I12</f>
        <v>1</v>
      </c>
      <c r="J6" s="972" t="b">
        <f>Flags!J12</f>
        <v>1</v>
      </c>
      <c r="K6" s="972" t="b">
        <f>Flags!K12</f>
        <v>1</v>
      </c>
      <c r="L6" s="972" t="b">
        <f>Flags!L12</f>
        <v>1</v>
      </c>
      <c r="M6" s="972" t="b">
        <f>Flags!M12</f>
        <v>1</v>
      </c>
      <c r="N6" s="972" t="b">
        <f>Flags!N12</f>
        <v>1</v>
      </c>
      <c r="O6" s="972" t="b">
        <f>Flags!O12</f>
        <v>1</v>
      </c>
      <c r="P6" s="972" t="b">
        <f>Flags!P12</f>
        <v>1</v>
      </c>
      <c r="Q6" s="972" t="b">
        <f>Flags!Q12</f>
        <v>1</v>
      </c>
      <c r="R6" s="972" t="b">
        <f>Flags!R12</f>
        <v>1</v>
      </c>
      <c r="S6" s="972" t="b">
        <f>Flags!S12</f>
        <v>1</v>
      </c>
      <c r="T6" s="972" t="b">
        <f>Flags!T12</f>
        <v>1</v>
      </c>
      <c r="U6" s="972" t="b">
        <f>Flags!U12</f>
        <v>1</v>
      </c>
      <c r="V6" s="972" t="b">
        <f>Flags!V12</f>
        <v>1</v>
      </c>
      <c r="W6" s="972" t="b">
        <f>Flags!W12</f>
        <v>1</v>
      </c>
      <c r="X6" s="972" t="b">
        <f>Flags!X12</f>
        <v>1</v>
      </c>
      <c r="Y6" s="972" t="b">
        <f>Flags!Y12</f>
        <v>1</v>
      </c>
      <c r="Z6" s="972" t="b">
        <f>Flags!Z12</f>
        <v>1</v>
      </c>
      <c r="AA6" s="972" t="b">
        <f>Flags!AA12</f>
        <v>1</v>
      </c>
      <c r="AB6" s="972" t="b">
        <f>Flags!AB12</f>
        <v>1</v>
      </c>
      <c r="AC6" s="972" t="b">
        <f>Flags!AC12</f>
        <v>1</v>
      </c>
      <c r="AD6" s="972" t="b">
        <f>Flags!AD12</f>
        <v>1</v>
      </c>
      <c r="AE6" s="972" t="b">
        <f>Flags!AE12</f>
        <v>1</v>
      </c>
      <c r="AF6" s="972" t="b">
        <f>Flags!AF12</f>
        <v>1</v>
      </c>
      <c r="AG6" s="972" t="b">
        <f>Flags!AG12</f>
        <v>1</v>
      </c>
      <c r="AH6" s="972" t="b">
        <f>Flags!AH12</f>
        <v>1</v>
      </c>
      <c r="AI6" s="972" t="b">
        <f>Flags!AI12</f>
        <v>1</v>
      </c>
      <c r="AJ6" s="972" t="b">
        <f>Flags!AJ12</f>
        <v>1</v>
      </c>
      <c r="AK6" s="972" t="b">
        <f>Flags!AK12</f>
        <v>1</v>
      </c>
      <c r="AL6" s="972" t="b">
        <f>Flags!AL12</f>
        <v>1</v>
      </c>
      <c r="AM6" s="972" t="b">
        <f>Flags!AM12</f>
        <v>1</v>
      </c>
      <c r="AN6" s="972" t="b">
        <f>Flags!AN12</f>
        <v>1</v>
      </c>
      <c r="AO6" s="972" t="b">
        <f>Flags!AO12</f>
        <v>1</v>
      </c>
      <c r="AP6" s="972" t="b">
        <f>Flags!AP12</f>
        <v>1</v>
      </c>
      <c r="AQ6" s="972" t="b">
        <f>Flags!AQ12</f>
        <v>1</v>
      </c>
      <c r="AR6" s="972" t="b">
        <f>Flags!AR12</f>
        <v>1</v>
      </c>
      <c r="AS6" s="972" t="b">
        <f>Flags!AS12</f>
        <v>1</v>
      </c>
      <c r="AT6" s="972" t="b">
        <f>Flags!AT12</f>
        <v>1</v>
      </c>
      <c r="AU6" s="972" t="b">
        <f>Flags!AU12</f>
        <v>1</v>
      </c>
      <c r="AV6" s="972" t="b">
        <f>Flags!AV12</f>
        <v>1</v>
      </c>
      <c r="AW6" s="972" t="b">
        <f>Flags!AW12</f>
        <v>1</v>
      </c>
      <c r="AX6" s="972" t="b">
        <f>Flags!AX12</f>
        <v>1</v>
      </c>
      <c r="AY6" s="972" t="b">
        <f>Flags!AY12</f>
        <v>1</v>
      </c>
      <c r="AZ6" s="972" t="b">
        <f>Flags!AZ12</f>
        <v>1</v>
      </c>
      <c r="BA6" s="972" t="b">
        <f>Flags!BA12</f>
        <v>1</v>
      </c>
      <c r="BB6" s="972" t="b">
        <f>Flags!BB12</f>
        <v>1</v>
      </c>
      <c r="BC6" s="972" t="b">
        <f>Flags!BC12</f>
        <v>1</v>
      </c>
      <c r="BD6" s="972" t="b">
        <f>Flags!BD12</f>
        <v>1</v>
      </c>
      <c r="BE6" s="972" t="b">
        <f>Flags!BE12</f>
        <v>1</v>
      </c>
      <c r="BF6" s="972" t="b">
        <f>Flags!BF12</f>
        <v>1</v>
      </c>
      <c r="BG6" s="972" t="b">
        <f>Flags!BG12</f>
        <v>1</v>
      </c>
      <c r="BH6" s="972" t="b">
        <f>Flags!BH12</f>
        <v>1</v>
      </c>
      <c r="BI6" s="972" t="b">
        <f>Flags!BI12</f>
        <v>1</v>
      </c>
      <c r="BJ6" s="972" t="b">
        <f>Flags!BJ12</f>
        <v>1</v>
      </c>
      <c r="BK6" s="972" t="b">
        <f>Flags!BK12</f>
        <v>1</v>
      </c>
      <c r="BL6" s="972" t="b">
        <f>Flags!BL12</f>
        <v>1</v>
      </c>
      <c r="BM6" s="972" t="b">
        <f>Flags!BM12</f>
        <v>1</v>
      </c>
      <c r="BN6" s="972" t="b">
        <f>Flags!BN12</f>
        <v>1</v>
      </c>
      <c r="BO6" s="972" t="b">
        <f>Flags!BO12</f>
        <v>1</v>
      </c>
      <c r="BP6" s="972"/>
      <c r="BQ6" s="972"/>
      <c r="BR6" s="972"/>
      <c r="BS6" s="972"/>
      <c r="BT6" s="972"/>
      <c r="BU6" s="972"/>
      <c r="BV6" s="972"/>
      <c r="BW6" s="972"/>
      <c r="BX6" s="972"/>
      <c r="BY6" s="972"/>
      <c r="BZ6" s="972"/>
      <c r="CA6" s="972"/>
      <c r="CB6" s="972"/>
      <c r="CC6" s="972"/>
      <c r="CD6" s="972"/>
      <c r="CE6" s="972"/>
      <c r="CF6" s="972"/>
      <c r="CG6" s="972"/>
      <c r="CH6" s="972"/>
      <c r="CI6" s="972"/>
      <c r="CJ6" s="972"/>
      <c r="CK6" s="972"/>
      <c r="CL6" s="972"/>
      <c r="CM6" s="972"/>
      <c r="CN6" s="972"/>
      <c r="CO6" s="972"/>
      <c r="CP6" s="972"/>
      <c r="CQ6" s="972"/>
      <c r="CR6" s="972"/>
      <c r="CS6" s="972"/>
      <c r="CT6" s="972"/>
      <c r="CU6" s="972"/>
      <c r="CV6" s="972"/>
      <c r="CW6" s="972"/>
      <c r="CX6" s="972"/>
      <c r="CY6" s="972"/>
      <c r="CZ6" s="972"/>
      <c r="DA6" s="972"/>
      <c r="DB6" s="972"/>
      <c r="DC6" s="972"/>
      <c r="DD6" s="972"/>
      <c r="DE6" s="972"/>
      <c r="DF6" s="972"/>
      <c r="DG6" s="972"/>
      <c r="DH6" s="972"/>
      <c r="DI6" s="972"/>
      <c r="DJ6" s="972"/>
      <c r="DK6" s="972"/>
      <c r="DL6" s="972"/>
      <c r="DM6" s="972"/>
      <c r="DN6" s="972"/>
      <c r="DO6" s="972"/>
      <c r="DP6" s="972"/>
      <c r="DQ6" s="972"/>
      <c r="DR6" s="972"/>
      <c r="DS6" s="972"/>
      <c r="DT6" s="972"/>
      <c r="DU6" s="972"/>
      <c r="DV6" s="972"/>
      <c r="DW6" s="972"/>
      <c r="DX6" s="485"/>
      <c r="DY6" s="485"/>
    </row>
    <row r="7" spans="1:129">
      <c r="A7" s="997" t="str">
        <f>Flags!A13</f>
        <v>Operation Period (incl. Leap)</v>
      </c>
      <c r="D7" s="484"/>
      <c r="E7" s="484"/>
      <c r="F7" s="484"/>
      <c r="G7" s="1003">
        <f>Flags!G13</f>
        <v>0</v>
      </c>
      <c r="H7" s="1003">
        <f>Flags!H13</f>
        <v>0.50410958904109593</v>
      </c>
      <c r="I7" s="1003">
        <f>Flags!I13</f>
        <v>0.49589041095890413</v>
      </c>
      <c r="J7" s="1003">
        <f>Flags!J13</f>
        <v>0.50273224043715847</v>
      </c>
      <c r="K7" s="1003">
        <f>Flags!K13</f>
        <v>0.49726775956284153</v>
      </c>
      <c r="L7" s="1003">
        <f>Flags!L13</f>
        <v>0.50410958904109593</v>
      </c>
      <c r="M7" s="1003">
        <f>Flags!M13</f>
        <v>0.49589041095890413</v>
      </c>
      <c r="N7" s="1003">
        <f>Flags!N13</f>
        <v>0.50410958904109593</v>
      </c>
      <c r="O7" s="1003">
        <f>Flags!O13</f>
        <v>0.49589041095890413</v>
      </c>
      <c r="P7" s="1003">
        <f>Flags!P13</f>
        <v>0.50410958904109593</v>
      </c>
      <c r="Q7" s="1003">
        <f>Flags!Q13</f>
        <v>0.49589041095890413</v>
      </c>
      <c r="R7" s="1003">
        <f>Flags!R13</f>
        <v>0.50273224043715847</v>
      </c>
      <c r="S7" s="1003">
        <f>Flags!S13</f>
        <v>0.49726775956284153</v>
      </c>
      <c r="T7" s="1003">
        <f>Flags!T13</f>
        <v>0.50410958904109593</v>
      </c>
      <c r="U7" s="1003">
        <f>Flags!U13</f>
        <v>0.49589041095890413</v>
      </c>
      <c r="V7" s="1003">
        <f>Flags!V13</f>
        <v>0.50410958904109593</v>
      </c>
      <c r="W7" s="1003">
        <f>Flags!W13</f>
        <v>0.49589041095890413</v>
      </c>
      <c r="X7" s="1003">
        <f>Flags!X13</f>
        <v>0.50410958904109593</v>
      </c>
      <c r="Y7" s="1003">
        <f>Flags!Y13</f>
        <v>0.49589041095890413</v>
      </c>
      <c r="Z7" s="1003">
        <f>Flags!Z13</f>
        <v>0.50273224043715847</v>
      </c>
      <c r="AA7" s="1003">
        <f>Flags!AA13</f>
        <v>0.49726775956284153</v>
      </c>
      <c r="AB7" s="1003">
        <f>Flags!AB13</f>
        <v>0.50410958904109593</v>
      </c>
      <c r="AC7" s="1003">
        <f>Flags!AC13</f>
        <v>0.49589041095890413</v>
      </c>
      <c r="AD7" s="1003">
        <f>Flags!AD13</f>
        <v>0.50410958904109593</v>
      </c>
      <c r="AE7" s="1003">
        <f>Flags!AE13</f>
        <v>0.49589041095890413</v>
      </c>
      <c r="AF7" s="1003">
        <f>Flags!AF13</f>
        <v>0.50410958904109593</v>
      </c>
      <c r="AG7" s="1003">
        <f>Flags!AG13</f>
        <v>0.49589041095890413</v>
      </c>
      <c r="AH7" s="1003">
        <f>Flags!AH13</f>
        <v>0.50273224043715847</v>
      </c>
      <c r="AI7" s="1003">
        <f>Flags!AI13</f>
        <v>0.49726775956284153</v>
      </c>
      <c r="AJ7" s="1003">
        <f>Flags!AJ13</f>
        <v>0.50410958904109593</v>
      </c>
      <c r="AK7" s="1003">
        <f>Flags!AK13</f>
        <v>0.49589041095890413</v>
      </c>
      <c r="AL7" s="1003">
        <f>Flags!AL13</f>
        <v>0.50410958904109593</v>
      </c>
      <c r="AM7" s="1003">
        <f>Flags!AM13</f>
        <v>0.49589041095890413</v>
      </c>
      <c r="AN7" s="1003">
        <f>Flags!AN13</f>
        <v>0.50410958904109593</v>
      </c>
      <c r="AO7" s="1003">
        <f>Flags!AO13</f>
        <v>0.49589041095890413</v>
      </c>
      <c r="AP7" s="1003">
        <f>Flags!AP13</f>
        <v>0.50273224043715847</v>
      </c>
      <c r="AQ7" s="1003">
        <f>Flags!AQ13</f>
        <v>0.49726775956284153</v>
      </c>
      <c r="AR7" s="1003">
        <f>Flags!AR13</f>
        <v>0.50410958904109593</v>
      </c>
      <c r="AS7" s="1003">
        <f>Flags!AS13</f>
        <v>0.49589041095890413</v>
      </c>
      <c r="AT7" s="1003">
        <f>Flags!AT13</f>
        <v>0.50410958904109593</v>
      </c>
      <c r="AU7" s="1003">
        <f>Flags!AU13</f>
        <v>0.49589041095890413</v>
      </c>
      <c r="AV7" s="1003">
        <f>Flags!AV13</f>
        <v>0.50410958904109593</v>
      </c>
      <c r="AW7" s="1003">
        <f>Flags!AW13</f>
        <v>0.49589041095890413</v>
      </c>
      <c r="AX7" s="1003">
        <f>Flags!AX13</f>
        <v>0.50273224043715847</v>
      </c>
      <c r="AY7" s="1003">
        <f>Flags!AY13</f>
        <v>0.49726775956284153</v>
      </c>
      <c r="AZ7" s="1003">
        <f>Flags!AZ13</f>
        <v>0.50410958904109593</v>
      </c>
      <c r="BA7" s="1003">
        <f>Flags!BA13</f>
        <v>0.49589041095890413</v>
      </c>
      <c r="BB7" s="1003">
        <f>Flags!BB13</f>
        <v>0.50410958904109593</v>
      </c>
      <c r="BC7" s="1003">
        <f>Flags!BC13</f>
        <v>0.49589041095890413</v>
      </c>
      <c r="BD7" s="1003">
        <f>Flags!BD13</f>
        <v>0.50410958904109593</v>
      </c>
      <c r="BE7" s="1003">
        <f>Flags!BE13</f>
        <v>0.49589041095890413</v>
      </c>
      <c r="BF7" s="1003">
        <f>Flags!BF13</f>
        <v>0.50273224043715847</v>
      </c>
      <c r="BG7" s="1003">
        <f>Flags!BG13</f>
        <v>0.49726775956284153</v>
      </c>
      <c r="BH7" s="1003">
        <f>Flags!BH13</f>
        <v>0.50410958904109593</v>
      </c>
      <c r="BI7" s="1003">
        <f>Flags!BI13</f>
        <v>0.49589041095890413</v>
      </c>
      <c r="BJ7" s="1003">
        <f>Flags!BJ13</f>
        <v>0.50410958904109593</v>
      </c>
      <c r="BK7" s="1003">
        <f>Flags!BK13</f>
        <v>0.49589041095890413</v>
      </c>
      <c r="BL7" s="1003">
        <f>Flags!BL13</f>
        <v>0.50410958904109593</v>
      </c>
      <c r="BM7" s="1003">
        <f>Flags!BM13</f>
        <v>0.49589041095890413</v>
      </c>
      <c r="BN7" s="1003">
        <f>Flags!BN13</f>
        <v>0.50273224043715847</v>
      </c>
      <c r="BO7" s="1003">
        <f>Flags!BO13</f>
        <v>0.49726775956284153</v>
      </c>
      <c r="BP7" s="1003"/>
      <c r="BQ7" s="1003"/>
      <c r="BR7" s="1003"/>
      <c r="BS7" s="1003"/>
      <c r="BT7" s="1003"/>
      <c r="BU7" s="1003"/>
      <c r="BV7" s="1003"/>
      <c r="BW7" s="1003"/>
      <c r="BX7" s="1003"/>
      <c r="BY7" s="1003"/>
      <c r="BZ7" s="1003"/>
      <c r="CA7" s="1003"/>
      <c r="CB7" s="1003"/>
      <c r="CC7" s="1003"/>
      <c r="CD7" s="1003"/>
      <c r="CE7" s="1003"/>
      <c r="CF7" s="1003"/>
      <c r="CG7" s="1003"/>
      <c r="CH7" s="1003"/>
      <c r="CI7" s="1003"/>
      <c r="CJ7" s="1003"/>
      <c r="CK7" s="1003"/>
      <c r="CL7" s="1003"/>
      <c r="CM7" s="1003"/>
      <c r="CN7" s="1003"/>
      <c r="CO7" s="1003"/>
      <c r="CP7" s="1003"/>
      <c r="CQ7" s="1003"/>
      <c r="CR7" s="1003"/>
      <c r="CS7" s="1003"/>
      <c r="CT7" s="1003"/>
      <c r="CU7" s="1003"/>
      <c r="CV7" s="1003"/>
      <c r="CW7" s="1003"/>
      <c r="CX7" s="1003"/>
      <c r="CY7" s="1003"/>
      <c r="CZ7" s="1003"/>
      <c r="DA7" s="1003"/>
      <c r="DB7" s="1003"/>
      <c r="DC7" s="1003"/>
      <c r="DD7" s="1003"/>
      <c r="DE7" s="1003"/>
      <c r="DF7" s="1003"/>
      <c r="DG7" s="1003"/>
      <c r="DH7" s="1003"/>
      <c r="DI7" s="1003"/>
      <c r="DJ7" s="1003"/>
      <c r="DK7" s="1003"/>
      <c r="DL7" s="1003"/>
      <c r="DM7" s="1003"/>
      <c r="DN7" s="1003"/>
      <c r="DO7" s="1003"/>
      <c r="DP7" s="1003"/>
      <c r="DQ7" s="1003"/>
      <c r="DR7" s="1003"/>
      <c r="DS7" s="1003"/>
      <c r="DT7" s="1003"/>
      <c r="DU7" s="1003"/>
      <c r="DV7" s="1003"/>
      <c r="DW7" s="1003"/>
      <c r="DX7" s="485"/>
      <c r="DY7" s="485"/>
    </row>
    <row r="8" spans="1:129">
      <c r="A8" s="997" t="str">
        <f>Flags!A16</f>
        <v>Investment Horizon</v>
      </c>
      <c r="D8" s="484"/>
      <c r="E8" s="484"/>
      <c r="F8" s="484"/>
      <c r="G8" s="1003" t="b">
        <f>Flags!G16</f>
        <v>1</v>
      </c>
      <c r="H8" s="1003" t="b">
        <f>Flags!H16</f>
        <v>1</v>
      </c>
      <c r="I8" s="1003" t="b">
        <f>Flags!I16</f>
        <v>1</v>
      </c>
      <c r="J8" s="1003" t="b">
        <f>Flags!J16</f>
        <v>1</v>
      </c>
      <c r="K8" s="1003" t="b">
        <f>Flags!K16</f>
        <v>1</v>
      </c>
      <c r="L8" s="1003" t="b">
        <f>Flags!L16</f>
        <v>1</v>
      </c>
      <c r="M8" s="1003" t="b">
        <f>Flags!M16</f>
        <v>1</v>
      </c>
      <c r="N8" s="1003" t="b">
        <f>Flags!N16</f>
        <v>1</v>
      </c>
      <c r="O8" s="1003" t="b">
        <f>Flags!O16</f>
        <v>1</v>
      </c>
      <c r="P8" s="1003" t="b">
        <f>Flags!P16</f>
        <v>1</v>
      </c>
      <c r="Q8" s="1003" t="b">
        <f>Flags!Q16</f>
        <v>1</v>
      </c>
      <c r="R8" s="1003" t="b">
        <f>Flags!R16</f>
        <v>1</v>
      </c>
      <c r="S8" s="1003" t="b">
        <f>Flags!S16</f>
        <v>1</v>
      </c>
      <c r="T8" s="1003" t="b">
        <f>Flags!T16</f>
        <v>1</v>
      </c>
      <c r="U8" s="1003" t="b">
        <f>Flags!U16</f>
        <v>1</v>
      </c>
      <c r="V8" s="1003" t="b">
        <f>Flags!V16</f>
        <v>1</v>
      </c>
      <c r="W8" s="1003" t="b">
        <f>Flags!W16</f>
        <v>1</v>
      </c>
      <c r="X8" s="1003" t="b">
        <f>Flags!X16</f>
        <v>1</v>
      </c>
      <c r="Y8" s="1003" t="b">
        <f>Flags!Y16</f>
        <v>1</v>
      </c>
      <c r="Z8" s="1003" t="b">
        <f>Flags!Z16</f>
        <v>1</v>
      </c>
      <c r="AA8" s="1003" t="b">
        <f>Flags!AA16</f>
        <v>1</v>
      </c>
      <c r="AB8" s="1003" t="b">
        <f>Flags!AB16</f>
        <v>1</v>
      </c>
      <c r="AC8" s="1003" t="b">
        <f>Flags!AC16</f>
        <v>1</v>
      </c>
      <c r="AD8" s="1003" t="b">
        <f>Flags!AD16</f>
        <v>1</v>
      </c>
      <c r="AE8" s="1003" t="b">
        <f>Flags!AE16</f>
        <v>1</v>
      </c>
      <c r="AF8" s="1003" t="b">
        <f>Flags!AF16</f>
        <v>1</v>
      </c>
      <c r="AG8" s="1003" t="b">
        <f>Flags!AG16</f>
        <v>1</v>
      </c>
      <c r="AH8" s="1003" t="b">
        <f>Flags!AH16</f>
        <v>1</v>
      </c>
      <c r="AI8" s="1003" t="b">
        <f>Flags!AI16</f>
        <v>1</v>
      </c>
      <c r="AJ8" s="1003" t="b">
        <f>Flags!AJ16</f>
        <v>1</v>
      </c>
      <c r="AK8" s="1003" t="b">
        <f>Flags!AK16</f>
        <v>1</v>
      </c>
      <c r="AL8" s="1003" t="b">
        <f>Flags!AL16</f>
        <v>1</v>
      </c>
      <c r="AM8" s="1003" t="b">
        <f>Flags!AM16</f>
        <v>1</v>
      </c>
      <c r="AN8" s="1003" t="b">
        <f>Flags!AN16</f>
        <v>1</v>
      </c>
      <c r="AO8" s="1003" t="b">
        <f>Flags!AO16</f>
        <v>1</v>
      </c>
      <c r="AP8" s="1003" t="b">
        <f>Flags!AP16</f>
        <v>1</v>
      </c>
      <c r="AQ8" s="1003" t="b">
        <f>Flags!AQ16</f>
        <v>1</v>
      </c>
      <c r="AR8" s="1003" t="b">
        <f>Flags!AR16</f>
        <v>1</v>
      </c>
      <c r="AS8" s="1003" t="b">
        <f>Flags!AS16</f>
        <v>1</v>
      </c>
      <c r="AT8" s="1003" t="b">
        <f>Flags!AT16</f>
        <v>1</v>
      </c>
      <c r="AU8" s="1003" t="b">
        <f>Flags!AU16</f>
        <v>1</v>
      </c>
      <c r="AV8" s="1003" t="b">
        <f>Flags!AV16</f>
        <v>1</v>
      </c>
      <c r="AW8" s="1003" t="b">
        <f>Flags!AW16</f>
        <v>1</v>
      </c>
      <c r="AX8" s="1003" t="b">
        <f>Flags!AX16</f>
        <v>1</v>
      </c>
      <c r="AY8" s="1003" t="b">
        <f>Flags!AY16</f>
        <v>1</v>
      </c>
      <c r="AZ8" s="1003" t="b">
        <f>Flags!AZ16</f>
        <v>1</v>
      </c>
      <c r="BA8" s="1003" t="b">
        <f>Flags!BA16</f>
        <v>1</v>
      </c>
      <c r="BB8" s="1003" t="b">
        <f>Flags!BB16</f>
        <v>1</v>
      </c>
      <c r="BC8" s="1003" t="b">
        <f>Flags!BC16</f>
        <v>1</v>
      </c>
      <c r="BD8" s="1003" t="b">
        <f>Flags!BD16</f>
        <v>1</v>
      </c>
      <c r="BE8" s="1003" t="b">
        <f>Flags!BE16</f>
        <v>1</v>
      </c>
      <c r="BF8" s="1003" t="b">
        <f>Flags!BF16</f>
        <v>1</v>
      </c>
      <c r="BG8" s="1003" t="b">
        <f>Flags!BG16</f>
        <v>1</v>
      </c>
      <c r="BH8" s="1003" t="b">
        <f>Flags!BH16</f>
        <v>1</v>
      </c>
      <c r="BI8" s="1003" t="b">
        <f>Flags!BI16</f>
        <v>1</v>
      </c>
      <c r="BJ8" s="1003" t="b">
        <f>Flags!BJ16</f>
        <v>1</v>
      </c>
      <c r="BK8" s="1003" t="b">
        <f>Flags!BK16</f>
        <v>1</v>
      </c>
      <c r="BL8" s="1003" t="b">
        <f>Flags!BL16</f>
        <v>1</v>
      </c>
      <c r="BM8" s="1003" t="b">
        <f>Flags!BM16</f>
        <v>1</v>
      </c>
      <c r="BN8" s="1003" t="b">
        <f>Flags!BN16</f>
        <v>1</v>
      </c>
      <c r="BO8" s="1003" t="b">
        <f>Flags!BO16</f>
        <v>1</v>
      </c>
      <c r="BP8" s="1003"/>
      <c r="BQ8" s="1003"/>
      <c r="BR8" s="1003"/>
      <c r="BS8" s="1003"/>
      <c r="BT8" s="1003"/>
      <c r="BU8" s="1003"/>
      <c r="BV8" s="1003"/>
      <c r="BW8" s="1003"/>
      <c r="BX8" s="1003"/>
      <c r="BY8" s="1003"/>
      <c r="BZ8" s="1003"/>
      <c r="CA8" s="1003"/>
      <c r="CB8" s="1003"/>
      <c r="CC8" s="1003"/>
      <c r="CD8" s="1003"/>
      <c r="CE8" s="1003"/>
      <c r="CF8" s="1003"/>
      <c r="CG8" s="1003"/>
      <c r="CH8" s="1003"/>
      <c r="CI8" s="1003"/>
      <c r="CJ8" s="1003"/>
      <c r="CK8" s="1003"/>
      <c r="CL8" s="1003"/>
      <c r="CM8" s="1003"/>
      <c r="CN8" s="1003"/>
      <c r="CO8" s="1003"/>
      <c r="CP8" s="1003"/>
      <c r="CQ8" s="1003"/>
      <c r="CR8" s="1003"/>
      <c r="CS8" s="1003"/>
      <c r="CT8" s="1003"/>
      <c r="CU8" s="1003"/>
      <c r="CV8" s="1003"/>
      <c r="CW8" s="1003"/>
      <c r="CX8" s="1003"/>
      <c r="CY8" s="1003"/>
      <c r="CZ8" s="1003"/>
      <c r="DA8" s="1003"/>
      <c r="DB8" s="1003"/>
      <c r="DC8" s="1003"/>
      <c r="DD8" s="1003"/>
      <c r="DE8" s="1003"/>
      <c r="DF8" s="1003"/>
      <c r="DG8" s="1003"/>
      <c r="DH8" s="1003"/>
      <c r="DI8" s="1003"/>
      <c r="DJ8" s="1003"/>
      <c r="DK8" s="1003"/>
      <c r="DL8" s="1003"/>
      <c r="DM8" s="1003"/>
      <c r="DN8" s="1003"/>
      <c r="DO8" s="1003"/>
      <c r="DP8" s="1003"/>
      <c r="DQ8" s="1003"/>
      <c r="DR8" s="1003"/>
      <c r="DS8" s="1003"/>
      <c r="DT8" s="1003"/>
      <c r="DU8" s="1003"/>
      <c r="DV8" s="1003"/>
      <c r="DW8" s="1003"/>
      <c r="DX8" s="485"/>
      <c r="DY8" s="485"/>
    </row>
    <row r="9" spans="1:129">
      <c r="A9" s="997" t="str">
        <f>Flags!A17</f>
        <v>PPA Life</v>
      </c>
      <c r="B9" s="927">
        <f>Flags!$B$17</f>
        <v>12</v>
      </c>
      <c r="D9" s="484"/>
      <c r="E9" s="484"/>
      <c r="F9" s="484"/>
      <c r="G9" s="972" t="b">
        <f>Flags!G17</f>
        <v>0</v>
      </c>
      <c r="H9" s="972" t="b">
        <f>Flags!H17</f>
        <v>1</v>
      </c>
      <c r="I9" s="972" t="b">
        <f>Flags!I17</f>
        <v>1</v>
      </c>
      <c r="J9" s="972" t="b">
        <f>Flags!J17</f>
        <v>1</v>
      </c>
      <c r="K9" s="972" t="b">
        <f>Flags!K17</f>
        <v>1</v>
      </c>
      <c r="L9" s="972" t="b">
        <f>Flags!L17</f>
        <v>1</v>
      </c>
      <c r="M9" s="972" t="b">
        <f>Flags!M17</f>
        <v>1</v>
      </c>
      <c r="N9" s="972" t="b">
        <f>Flags!N17</f>
        <v>1</v>
      </c>
      <c r="O9" s="972" t="b">
        <f>Flags!O17</f>
        <v>1</v>
      </c>
      <c r="P9" s="972" t="b">
        <f>Flags!P17</f>
        <v>1</v>
      </c>
      <c r="Q9" s="972" t="b">
        <f>Flags!Q17</f>
        <v>1</v>
      </c>
      <c r="R9" s="972" t="b">
        <f>Flags!R17</f>
        <v>1</v>
      </c>
      <c r="S9" s="972" t="b">
        <f>Flags!S17</f>
        <v>1</v>
      </c>
      <c r="T9" s="972" t="b">
        <f>Flags!T17</f>
        <v>1</v>
      </c>
      <c r="U9" s="972" t="b">
        <f>Flags!U17</f>
        <v>1</v>
      </c>
      <c r="V9" s="972" t="b">
        <f>Flags!V17</f>
        <v>1</v>
      </c>
      <c r="W9" s="972" t="b">
        <f>Flags!W17</f>
        <v>1</v>
      </c>
      <c r="X9" s="972" t="b">
        <f>Flags!X17</f>
        <v>1</v>
      </c>
      <c r="Y9" s="972" t="b">
        <f>Flags!Y17</f>
        <v>1</v>
      </c>
      <c r="Z9" s="972" t="b">
        <f>Flags!Z17</f>
        <v>1</v>
      </c>
      <c r="AA9" s="972" t="b">
        <f>Flags!AA17</f>
        <v>1</v>
      </c>
      <c r="AB9" s="972" t="b">
        <f>Flags!AB17</f>
        <v>1</v>
      </c>
      <c r="AC9" s="972" t="b">
        <f>Flags!AC17</f>
        <v>1</v>
      </c>
      <c r="AD9" s="972" t="b">
        <f>Flags!AD17</f>
        <v>1</v>
      </c>
      <c r="AE9" s="972" t="b">
        <f>Flags!AE17</f>
        <v>1</v>
      </c>
      <c r="AF9" s="972" t="b">
        <f>Flags!AF17</f>
        <v>0</v>
      </c>
      <c r="AG9" s="972" t="b">
        <f>Flags!AG17</f>
        <v>0</v>
      </c>
      <c r="AH9" s="972" t="b">
        <f>Flags!AH17</f>
        <v>0</v>
      </c>
      <c r="AI9" s="972" t="b">
        <f>Flags!AI17</f>
        <v>0</v>
      </c>
      <c r="AJ9" s="972" t="b">
        <f>Flags!AJ17</f>
        <v>0</v>
      </c>
      <c r="AK9" s="972" t="b">
        <f>Flags!AK17</f>
        <v>0</v>
      </c>
      <c r="AL9" s="972" t="b">
        <f>Flags!AL17</f>
        <v>0</v>
      </c>
      <c r="AM9" s="972" t="b">
        <f>Flags!AM17</f>
        <v>0</v>
      </c>
      <c r="AN9" s="972" t="b">
        <f>Flags!AN17</f>
        <v>0</v>
      </c>
      <c r="AO9" s="972" t="b">
        <f>Flags!AO17</f>
        <v>0</v>
      </c>
      <c r="AP9" s="972" t="b">
        <f>Flags!AP17</f>
        <v>0</v>
      </c>
      <c r="AQ9" s="972" t="b">
        <f>Flags!AQ17</f>
        <v>0</v>
      </c>
      <c r="AR9" s="972" t="b">
        <f>Flags!AR17</f>
        <v>0</v>
      </c>
      <c r="AS9" s="972" t="b">
        <f>Flags!AS17</f>
        <v>0</v>
      </c>
      <c r="AT9" s="972" t="b">
        <f>Flags!AT17</f>
        <v>0</v>
      </c>
      <c r="AU9" s="972" t="b">
        <f>Flags!AU17</f>
        <v>0</v>
      </c>
      <c r="AV9" s="972" t="b">
        <f>Flags!AV17</f>
        <v>0</v>
      </c>
      <c r="AW9" s="972" t="b">
        <f>Flags!AW17</f>
        <v>0</v>
      </c>
      <c r="AX9" s="972" t="b">
        <f>Flags!AX17</f>
        <v>0</v>
      </c>
      <c r="AY9" s="972" t="b">
        <f>Flags!AY17</f>
        <v>0</v>
      </c>
      <c r="AZ9" s="972" t="b">
        <f>Flags!AZ17</f>
        <v>0</v>
      </c>
      <c r="BA9" s="972" t="b">
        <f>Flags!BA17</f>
        <v>0</v>
      </c>
      <c r="BB9" s="972" t="b">
        <f>Flags!BB17</f>
        <v>0</v>
      </c>
      <c r="BC9" s="972" t="b">
        <f>Flags!BC17</f>
        <v>0</v>
      </c>
      <c r="BD9" s="972" t="b">
        <f>Flags!BD17</f>
        <v>0</v>
      </c>
      <c r="BE9" s="972" t="b">
        <f>Flags!BE17</f>
        <v>0</v>
      </c>
      <c r="BF9" s="972" t="b">
        <f>Flags!BF17</f>
        <v>0</v>
      </c>
      <c r="BG9" s="972" t="b">
        <f>Flags!BG17</f>
        <v>0</v>
      </c>
      <c r="BH9" s="972" t="b">
        <f>Flags!BH17</f>
        <v>0</v>
      </c>
      <c r="BI9" s="972" t="b">
        <f>Flags!BI17</f>
        <v>0</v>
      </c>
      <c r="BJ9" s="972" t="b">
        <f>Flags!BJ17</f>
        <v>0</v>
      </c>
      <c r="BK9" s="972" t="b">
        <f>Flags!BK17</f>
        <v>0</v>
      </c>
      <c r="BL9" s="972" t="b">
        <f>Flags!BL17</f>
        <v>0</v>
      </c>
      <c r="BM9" s="972" t="b">
        <f>Flags!BM17</f>
        <v>0</v>
      </c>
      <c r="BN9" s="972" t="b">
        <f>Flags!BN17</f>
        <v>0</v>
      </c>
      <c r="BO9" s="972" t="b">
        <f>Flags!BO17</f>
        <v>0</v>
      </c>
      <c r="BP9" s="972"/>
      <c r="BQ9" s="972"/>
      <c r="BR9" s="972"/>
      <c r="BS9" s="972"/>
      <c r="BT9" s="972"/>
      <c r="BU9" s="972"/>
      <c r="BV9" s="972"/>
      <c r="BW9" s="972"/>
      <c r="BX9" s="972"/>
      <c r="BY9" s="972"/>
      <c r="BZ9" s="972"/>
      <c r="CA9" s="972"/>
      <c r="CB9" s="972"/>
      <c r="CC9" s="972"/>
      <c r="CD9" s="972"/>
      <c r="CE9" s="972"/>
      <c r="CF9" s="972"/>
      <c r="CG9" s="972"/>
      <c r="CH9" s="972"/>
      <c r="CI9" s="972"/>
      <c r="CJ9" s="972"/>
      <c r="CK9" s="972"/>
      <c r="CL9" s="972"/>
      <c r="CM9" s="972"/>
      <c r="CN9" s="972"/>
      <c r="CO9" s="972"/>
      <c r="CP9" s="972"/>
      <c r="CQ9" s="972"/>
      <c r="CR9" s="972"/>
      <c r="CS9" s="972"/>
      <c r="CT9" s="972"/>
      <c r="CU9" s="972"/>
      <c r="CV9" s="972"/>
      <c r="CW9" s="972"/>
      <c r="CX9" s="972"/>
      <c r="CY9" s="972"/>
      <c r="CZ9" s="972"/>
      <c r="DA9" s="972"/>
      <c r="DB9" s="972"/>
      <c r="DC9" s="972"/>
      <c r="DD9" s="972"/>
      <c r="DE9" s="972"/>
      <c r="DF9" s="972"/>
      <c r="DG9" s="972"/>
      <c r="DH9" s="972"/>
      <c r="DI9" s="972"/>
      <c r="DJ9" s="972"/>
      <c r="DK9" s="972"/>
      <c r="DL9" s="972"/>
      <c r="DM9" s="972"/>
      <c r="DN9" s="972"/>
      <c r="DO9" s="972"/>
      <c r="DP9" s="972"/>
      <c r="DQ9" s="972"/>
      <c r="DR9" s="972"/>
      <c r="DS9" s="972"/>
      <c r="DT9" s="972"/>
      <c r="DU9" s="972"/>
      <c r="DV9" s="972"/>
      <c r="DW9" s="972"/>
      <c r="DX9" s="485"/>
      <c r="DY9" s="485"/>
    </row>
    <row r="10" spans="1:129">
      <c r="A10" s="997"/>
      <c r="D10" s="484"/>
      <c r="E10" s="484"/>
      <c r="F10" s="484"/>
      <c r="G10" s="972"/>
      <c r="H10" s="972"/>
      <c r="I10" s="972"/>
      <c r="J10" s="972"/>
      <c r="K10" s="972"/>
      <c r="L10" s="972"/>
      <c r="M10" s="972"/>
      <c r="N10" s="972"/>
      <c r="O10" s="972"/>
      <c r="P10" s="972"/>
      <c r="Q10" s="972"/>
      <c r="R10" s="972"/>
      <c r="S10" s="972"/>
      <c r="T10" s="972"/>
      <c r="U10" s="972"/>
      <c r="V10" s="972"/>
      <c r="W10" s="972"/>
      <c r="X10" s="972"/>
      <c r="Y10" s="972"/>
      <c r="Z10" s="972"/>
      <c r="AA10" s="972"/>
      <c r="AB10" s="972"/>
      <c r="AC10" s="972"/>
      <c r="AD10" s="972"/>
      <c r="AE10" s="972"/>
      <c r="AF10" s="972"/>
      <c r="AG10" s="972"/>
      <c r="AH10" s="972"/>
      <c r="AI10" s="972"/>
      <c r="AJ10" s="972"/>
      <c r="AK10" s="972"/>
      <c r="AL10" s="972"/>
      <c r="AM10" s="972"/>
      <c r="AN10" s="972"/>
      <c r="AO10" s="972"/>
      <c r="AP10" s="972"/>
      <c r="AQ10" s="972"/>
      <c r="AR10" s="972"/>
      <c r="AS10" s="972"/>
      <c r="AT10" s="972"/>
      <c r="AU10" s="972"/>
      <c r="AV10" s="972"/>
      <c r="AW10" s="972"/>
      <c r="AX10" s="972"/>
      <c r="AY10" s="972"/>
      <c r="AZ10" s="972"/>
      <c r="BA10" s="972"/>
      <c r="BB10" s="972"/>
      <c r="BC10" s="972"/>
      <c r="BD10" s="972"/>
      <c r="BE10" s="972"/>
      <c r="BF10" s="972"/>
      <c r="BG10" s="972"/>
      <c r="BH10" s="972"/>
      <c r="BI10" s="972"/>
      <c r="BJ10" s="972"/>
      <c r="BK10" s="972"/>
      <c r="BL10" s="972"/>
      <c r="BM10" s="972"/>
      <c r="BN10" s="972"/>
      <c r="BO10" s="972"/>
      <c r="BP10" s="972"/>
      <c r="BQ10" s="972"/>
      <c r="BR10" s="972"/>
      <c r="BS10" s="972"/>
      <c r="BT10" s="972"/>
      <c r="BU10" s="972"/>
      <c r="BV10" s="972"/>
      <c r="BW10" s="972"/>
      <c r="BX10" s="972"/>
      <c r="BY10" s="972"/>
      <c r="BZ10" s="972"/>
      <c r="CA10" s="972"/>
      <c r="CB10" s="972"/>
      <c r="CC10" s="972"/>
      <c r="CD10" s="972"/>
      <c r="CE10" s="972"/>
      <c r="CF10" s="972"/>
      <c r="CG10" s="972"/>
      <c r="CH10" s="972"/>
      <c r="CI10" s="972"/>
      <c r="CJ10" s="972"/>
      <c r="CK10" s="972"/>
      <c r="CL10" s="972"/>
      <c r="CM10" s="972"/>
      <c r="CN10" s="972"/>
      <c r="CO10" s="972"/>
      <c r="CP10" s="972"/>
      <c r="CQ10" s="972"/>
      <c r="CR10" s="972"/>
      <c r="CS10" s="972"/>
      <c r="CT10" s="972"/>
      <c r="CU10" s="972"/>
      <c r="CV10" s="972"/>
      <c r="CW10" s="972"/>
      <c r="CX10" s="972"/>
      <c r="CY10" s="972"/>
      <c r="CZ10" s="972"/>
      <c r="DA10" s="972"/>
      <c r="DB10" s="972"/>
      <c r="DC10" s="972"/>
      <c r="DD10" s="972"/>
      <c r="DE10" s="972"/>
      <c r="DF10" s="972"/>
      <c r="DG10" s="972"/>
      <c r="DH10" s="972"/>
      <c r="DI10" s="972"/>
      <c r="DJ10" s="972"/>
      <c r="DK10" s="972"/>
      <c r="DL10" s="972"/>
      <c r="DM10" s="972"/>
      <c r="DN10" s="972"/>
      <c r="DO10" s="972"/>
      <c r="DP10" s="972"/>
      <c r="DQ10" s="972"/>
      <c r="DR10" s="972"/>
      <c r="DS10" s="972"/>
      <c r="DT10" s="972"/>
      <c r="DU10" s="972"/>
      <c r="DV10" s="972"/>
      <c r="DW10" s="972"/>
      <c r="DX10" s="485"/>
      <c r="DY10" s="485"/>
    </row>
    <row r="11" spans="1:129">
      <c r="A11" s="997" t="str">
        <f>Flags!A19</f>
        <v>Senior Debt Maturity</v>
      </c>
      <c r="B11" s="927">
        <f>Flags!B19</f>
        <v>14</v>
      </c>
      <c r="C11" s="927"/>
      <c r="D11" s="484"/>
      <c r="E11" s="484"/>
      <c r="F11" s="484"/>
      <c r="G11" s="972" t="b">
        <f>Flags!G19</f>
        <v>0</v>
      </c>
      <c r="H11" s="972" t="b">
        <f>Flags!H19</f>
        <v>1</v>
      </c>
      <c r="I11" s="972" t="b">
        <f>Flags!I19</f>
        <v>1</v>
      </c>
      <c r="J11" s="972" t="b">
        <f>Flags!J19</f>
        <v>1</v>
      </c>
      <c r="K11" s="972" t="b">
        <f>Flags!K19</f>
        <v>1</v>
      </c>
      <c r="L11" s="972" t="b">
        <f>Flags!L19</f>
        <v>1</v>
      </c>
      <c r="M11" s="972" t="b">
        <f>Flags!M19</f>
        <v>1</v>
      </c>
      <c r="N11" s="972" t="b">
        <f>Flags!N19</f>
        <v>1</v>
      </c>
      <c r="O11" s="972" t="b">
        <f>Flags!O19</f>
        <v>1</v>
      </c>
      <c r="P11" s="972" t="b">
        <f>Flags!P19</f>
        <v>1</v>
      </c>
      <c r="Q11" s="972" t="b">
        <f>Flags!Q19</f>
        <v>1</v>
      </c>
      <c r="R11" s="972" t="b">
        <f>Flags!R19</f>
        <v>1</v>
      </c>
      <c r="S11" s="972" t="b">
        <f>Flags!S19</f>
        <v>1</v>
      </c>
      <c r="T11" s="972" t="b">
        <f>Flags!T19</f>
        <v>1</v>
      </c>
      <c r="U11" s="972" t="b">
        <f>Flags!U19</f>
        <v>1</v>
      </c>
      <c r="V11" s="972" t="b">
        <f>Flags!V19</f>
        <v>1</v>
      </c>
      <c r="W11" s="972" t="b">
        <f>Flags!W19</f>
        <v>1</v>
      </c>
      <c r="X11" s="972" t="b">
        <f>Flags!X19</f>
        <v>1</v>
      </c>
      <c r="Y11" s="972" t="b">
        <f>Flags!Y19</f>
        <v>1</v>
      </c>
      <c r="Z11" s="972" t="b">
        <f>Flags!Z19</f>
        <v>1</v>
      </c>
      <c r="AA11" s="972" t="b">
        <f>Flags!AA19</f>
        <v>1</v>
      </c>
      <c r="AB11" s="972" t="b">
        <f>Flags!AB19</f>
        <v>1</v>
      </c>
      <c r="AC11" s="972" t="b">
        <f>Flags!AC19</f>
        <v>1</v>
      </c>
      <c r="AD11" s="972" t="b">
        <f>Flags!AD19</f>
        <v>1</v>
      </c>
      <c r="AE11" s="972" t="b">
        <f>Flags!AE19</f>
        <v>1</v>
      </c>
      <c r="AF11" s="972" t="b">
        <f>Flags!AF19</f>
        <v>1</v>
      </c>
      <c r="AG11" s="972" t="b">
        <f>Flags!AG19</f>
        <v>1</v>
      </c>
      <c r="AH11" s="972" t="b">
        <f>Flags!AH19</f>
        <v>1</v>
      </c>
      <c r="AI11" s="972" t="b">
        <f>Flags!AI19</f>
        <v>1</v>
      </c>
      <c r="AJ11" s="972" t="b">
        <f>Flags!AJ19</f>
        <v>0</v>
      </c>
      <c r="AK11" s="972" t="b">
        <f>Flags!AK19</f>
        <v>0</v>
      </c>
      <c r="AL11" s="972" t="b">
        <f>Flags!AL19</f>
        <v>0</v>
      </c>
      <c r="AM11" s="972" t="b">
        <f>Flags!AM19</f>
        <v>0</v>
      </c>
      <c r="AN11" s="972" t="b">
        <f>Flags!AN19</f>
        <v>0</v>
      </c>
      <c r="AO11" s="972" t="b">
        <f>Flags!AO19</f>
        <v>0</v>
      </c>
      <c r="AP11" s="972" t="b">
        <f>Flags!AP19</f>
        <v>0</v>
      </c>
      <c r="AQ11" s="972" t="b">
        <f>Flags!AQ19</f>
        <v>0</v>
      </c>
      <c r="AR11" s="972" t="b">
        <f>Flags!AR19</f>
        <v>0</v>
      </c>
      <c r="AS11" s="972" t="b">
        <f>Flags!AS19</f>
        <v>0</v>
      </c>
      <c r="AT11" s="972" t="b">
        <f>Flags!AT19</f>
        <v>0</v>
      </c>
      <c r="AU11" s="972" t="b">
        <f>Flags!AU19</f>
        <v>0</v>
      </c>
      <c r="AV11" s="972" t="b">
        <f>Flags!AV19</f>
        <v>0</v>
      </c>
      <c r="AW11" s="972" t="b">
        <f>Flags!AW19</f>
        <v>0</v>
      </c>
      <c r="AX11" s="972" t="b">
        <f>Flags!AX19</f>
        <v>0</v>
      </c>
      <c r="AY11" s="972" t="b">
        <f>Flags!AY19</f>
        <v>0</v>
      </c>
      <c r="AZ11" s="972" t="b">
        <f>Flags!AZ19</f>
        <v>0</v>
      </c>
      <c r="BA11" s="972" t="b">
        <f>Flags!BA19</f>
        <v>0</v>
      </c>
      <c r="BB11" s="972" t="b">
        <f>Flags!BB19</f>
        <v>0</v>
      </c>
      <c r="BC11" s="972" t="b">
        <f>Flags!BC19</f>
        <v>0</v>
      </c>
      <c r="BD11" s="972" t="b">
        <f>Flags!BD19</f>
        <v>0</v>
      </c>
      <c r="BE11" s="972" t="b">
        <f>Flags!BE19</f>
        <v>0</v>
      </c>
      <c r="BF11" s="972" t="b">
        <f>Flags!BF19</f>
        <v>0</v>
      </c>
      <c r="BG11" s="972" t="b">
        <f>Flags!BG19</f>
        <v>0</v>
      </c>
      <c r="BH11" s="972" t="b">
        <f>Flags!BH19</f>
        <v>0</v>
      </c>
      <c r="BI11" s="972" t="b">
        <f>Flags!BI19</f>
        <v>0</v>
      </c>
      <c r="BJ11" s="972" t="b">
        <f>Flags!BJ19</f>
        <v>0</v>
      </c>
      <c r="BK11" s="972" t="b">
        <f>Flags!BK19</f>
        <v>0</v>
      </c>
      <c r="BL11" s="972" t="b">
        <f>Flags!BL19</f>
        <v>0</v>
      </c>
      <c r="BM11" s="972" t="b">
        <f>Flags!BM19</f>
        <v>0</v>
      </c>
      <c r="BN11" s="972" t="b">
        <f>Flags!BN19</f>
        <v>0</v>
      </c>
      <c r="BO11" s="972" t="b">
        <f>Flags!BO19</f>
        <v>0</v>
      </c>
      <c r="BP11" s="972"/>
      <c r="BQ11" s="972"/>
      <c r="BR11" s="972"/>
      <c r="BS11" s="972"/>
      <c r="BT11" s="972"/>
      <c r="BU11" s="972"/>
      <c r="BV11" s="972"/>
      <c r="BW11" s="972"/>
      <c r="BX11" s="972"/>
      <c r="BY11" s="972"/>
      <c r="BZ11" s="972"/>
      <c r="CA11" s="972"/>
      <c r="CB11" s="972"/>
      <c r="CC11" s="972"/>
      <c r="CD11" s="972"/>
      <c r="CE11" s="972"/>
      <c r="CF11" s="972"/>
      <c r="CG11" s="972"/>
      <c r="CH11" s="972"/>
      <c r="CI11" s="972"/>
      <c r="CJ11" s="972"/>
      <c r="CK11" s="972"/>
      <c r="CL11" s="972"/>
      <c r="CM11" s="972"/>
      <c r="CN11" s="972"/>
      <c r="CO11" s="972"/>
      <c r="CP11" s="972"/>
      <c r="CQ11" s="972"/>
      <c r="CR11" s="972"/>
      <c r="CS11" s="972"/>
      <c r="CT11" s="972"/>
      <c r="CU11" s="972"/>
      <c r="CV11" s="972"/>
      <c r="CW11" s="972"/>
      <c r="CX11" s="972"/>
      <c r="CY11" s="972"/>
      <c r="CZ11" s="972"/>
      <c r="DA11" s="972"/>
      <c r="DB11" s="972"/>
      <c r="DC11" s="972"/>
      <c r="DD11" s="972"/>
      <c r="DE11" s="972"/>
      <c r="DF11" s="972"/>
      <c r="DG11" s="972"/>
      <c r="DH11" s="972"/>
      <c r="DI11" s="972"/>
      <c r="DJ11" s="972"/>
      <c r="DK11" s="972"/>
      <c r="DL11" s="972"/>
      <c r="DM11" s="972"/>
      <c r="DN11" s="972"/>
      <c r="DO11" s="972"/>
      <c r="DP11" s="972"/>
      <c r="DQ11" s="972"/>
      <c r="DR11" s="972"/>
      <c r="DS11" s="972"/>
      <c r="DT11" s="972"/>
      <c r="DU11" s="972"/>
      <c r="DV11" s="972"/>
      <c r="DW11" s="972"/>
      <c r="DX11" s="485"/>
      <c r="DY11" s="485"/>
    </row>
    <row r="12" spans="1:129">
      <c r="A12" s="997" t="str">
        <f>Flags!A22</f>
        <v>First Period of Refinancing</v>
      </c>
      <c r="B12" s="927"/>
      <c r="C12" s="927"/>
      <c r="D12" s="484"/>
      <c r="E12" s="484"/>
      <c r="F12" s="484"/>
      <c r="G12" s="972" t="b">
        <f>Flags!G22</f>
        <v>0</v>
      </c>
      <c r="H12" s="972" t="b">
        <f>Flags!H22</f>
        <v>0</v>
      </c>
      <c r="I12" s="972" t="b">
        <f>Flags!I22</f>
        <v>0</v>
      </c>
      <c r="J12" s="972" t="b">
        <f>Flags!J22</f>
        <v>0</v>
      </c>
      <c r="K12" s="972" t="b">
        <f>Flags!K22</f>
        <v>0</v>
      </c>
      <c r="L12" s="972" t="b">
        <f>Flags!L22</f>
        <v>0</v>
      </c>
      <c r="M12" s="972" t="b">
        <f>Flags!M22</f>
        <v>0</v>
      </c>
      <c r="N12" s="972" t="b">
        <f>Flags!N22</f>
        <v>0</v>
      </c>
      <c r="O12" s="972" t="b">
        <f>Flags!O22</f>
        <v>0</v>
      </c>
      <c r="P12" s="972" t="b">
        <f>Flags!P22</f>
        <v>0</v>
      </c>
      <c r="Q12" s="972" t="b">
        <f>Flags!Q22</f>
        <v>0</v>
      </c>
      <c r="R12" s="972" t="b">
        <f>Flags!R22</f>
        <v>0</v>
      </c>
      <c r="S12" s="972" t="b">
        <f>Flags!S22</f>
        <v>0</v>
      </c>
      <c r="T12" s="972" t="b">
        <f>Flags!T22</f>
        <v>0</v>
      </c>
      <c r="U12" s="972" t="b">
        <f>Flags!U22</f>
        <v>0</v>
      </c>
      <c r="V12" s="972" t="b">
        <f>Flags!V22</f>
        <v>0</v>
      </c>
      <c r="W12" s="972" t="b">
        <f>Flags!W22</f>
        <v>0</v>
      </c>
      <c r="X12" s="972" t="b">
        <f>Flags!X22</f>
        <v>0</v>
      </c>
      <c r="Y12" s="972" t="b">
        <f>Flags!Y22</f>
        <v>0</v>
      </c>
      <c r="Z12" s="972" t="b">
        <f>Flags!Z22</f>
        <v>0</v>
      </c>
      <c r="AA12" s="972" t="b">
        <f>Flags!AA22</f>
        <v>0</v>
      </c>
      <c r="AB12" s="972" t="b">
        <f>Flags!AB22</f>
        <v>0</v>
      </c>
      <c r="AC12" s="972" t="b">
        <f>Flags!AC22</f>
        <v>0</v>
      </c>
      <c r="AD12" s="972" t="b">
        <f>Flags!AD22</f>
        <v>0</v>
      </c>
      <c r="AE12" s="972" t="b">
        <f>Flags!AE22</f>
        <v>0</v>
      </c>
      <c r="AF12" s="972" t="b">
        <f>Flags!AF22</f>
        <v>0</v>
      </c>
      <c r="AG12" s="972" t="b">
        <f>Flags!AG22</f>
        <v>0</v>
      </c>
      <c r="AH12" s="972" t="b">
        <f>Flags!AH22</f>
        <v>0</v>
      </c>
      <c r="AI12" s="972" t="b">
        <f>Flags!AI22</f>
        <v>0</v>
      </c>
      <c r="AJ12" s="972" t="b">
        <f>Flags!AJ22</f>
        <v>0</v>
      </c>
      <c r="AK12" s="972" t="b">
        <f>Flags!AK22</f>
        <v>0</v>
      </c>
      <c r="AL12" s="972" t="b">
        <f>Flags!AL22</f>
        <v>0</v>
      </c>
      <c r="AM12" s="972" t="b">
        <f>Flags!AM22</f>
        <v>0</v>
      </c>
      <c r="AN12" s="972" t="b">
        <f>Flags!AN22</f>
        <v>0</v>
      </c>
      <c r="AO12" s="972" t="b">
        <f>Flags!AO22</f>
        <v>0</v>
      </c>
      <c r="AP12" s="972" t="b">
        <f>Flags!AP22</f>
        <v>0</v>
      </c>
      <c r="AQ12" s="972" t="b">
        <f>Flags!AQ22</f>
        <v>0</v>
      </c>
      <c r="AR12" s="972" t="b">
        <f>Flags!AR22</f>
        <v>0</v>
      </c>
      <c r="AS12" s="972" t="b">
        <f>Flags!AS22</f>
        <v>0</v>
      </c>
      <c r="AT12" s="972" t="b">
        <f>Flags!AT22</f>
        <v>0</v>
      </c>
      <c r="AU12" s="972" t="b">
        <f>Flags!AU22</f>
        <v>0</v>
      </c>
      <c r="AV12" s="972" t="b">
        <f>Flags!AV22</f>
        <v>0</v>
      </c>
      <c r="AW12" s="972" t="b">
        <f>Flags!AW22</f>
        <v>0</v>
      </c>
      <c r="AX12" s="972" t="b">
        <f>Flags!AX22</f>
        <v>0</v>
      </c>
      <c r="AY12" s="972" t="b">
        <f>Flags!AY22</f>
        <v>0</v>
      </c>
      <c r="AZ12" s="972" t="b">
        <f>Flags!AZ22</f>
        <v>0</v>
      </c>
      <c r="BA12" s="972" t="b">
        <f>Flags!BA22</f>
        <v>0</v>
      </c>
      <c r="BB12" s="972" t="b">
        <f>Flags!BB22</f>
        <v>0</v>
      </c>
      <c r="BC12" s="972" t="b">
        <f>Flags!BC22</f>
        <v>0</v>
      </c>
      <c r="BD12" s="972" t="b">
        <f>Flags!BD22</f>
        <v>0</v>
      </c>
      <c r="BE12" s="972" t="b">
        <f>Flags!BE22</f>
        <v>0</v>
      </c>
      <c r="BF12" s="972" t="b">
        <f>Flags!BF22</f>
        <v>0</v>
      </c>
      <c r="BG12" s="972" t="b">
        <f>Flags!BG22</f>
        <v>0</v>
      </c>
      <c r="BH12" s="972" t="b">
        <f>Flags!BH22</f>
        <v>0</v>
      </c>
      <c r="BI12" s="972" t="b">
        <f>Flags!BI22</f>
        <v>0</v>
      </c>
      <c r="BJ12" s="972" t="b">
        <f>Flags!BJ22</f>
        <v>0</v>
      </c>
      <c r="BK12" s="972" t="b">
        <f>Flags!BK22</f>
        <v>0</v>
      </c>
      <c r="BL12" s="972" t="b">
        <f>Flags!BL22</f>
        <v>0</v>
      </c>
      <c r="BM12" s="972" t="b">
        <f>Flags!BM22</f>
        <v>0</v>
      </c>
      <c r="BN12" s="972" t="b">
        <f>Flags!BN22</f>
        <v>0</v>
      </c>
      <c r="BO12" s="972" t="b">
        <f>Flags!BO22</f>
        <v>0</v>
      </c>
      <c r="BP12" s="972"/>
      <c r="BQ12" s="972"/>
      <c r="BR12" s="972"/>
      <c r="BS12" s="972"/>
      <c r="BT12" s="972"/>
      <c r="BU12" s="972"/>
      <c r="BV12" s="972"/>
      <c r="BW12" s="972"/>
      <c r="BX12" s="972"/>
      <c r="BY12" s="972"/>
      <c r="BZ12" s="972"/>
      <c r="CA12" s="972"/>
      <c r="CB12" s="972"/>
      <c r="CC12" s="972"/>
      <c r="CD12" s="972"/>
      <c r="CE12" s="972"/>
      <c r="CF12" s="972"/>
      <c r="CG12" s="972"/>
      <c r="CH12" s="972"/>
      <c r="CI12" s="972"/>
      <c r="CJ12" s="972"/>
      <c r="CK12" s="972"/>
      <c r="CL12" s="972"/>
      <c r="CM12" s="972"/>
      <c r="CN12" s="972"/>
      <c r="CO12" s="972"/>
      <c r="CP12" s="972"/>
      <c r="CQ12" s="972"/>
      <c r="CR12" s="972"/>
      <c r="CS12" s="972"/>
      <c r="CT12" s="972"/>
      <c r="CU12" s="972"/>
      <c r="CV12" s="972"/>
      <c r="CW12" s="972"/>
      <c r="CX12" s="972"/>
      <c r="CY12" s="972"/>
      <c r="CZ12" s="972"/>
      <c r="DA12" s="972"/>
      <c r="DB12" s="972"/>
      <c r="DC12" s="972"/>
      <c r="DD12" s="972"/>
      <c r="DE12" s="972"/>
      <c r="DF12" s="972"/>
      <c r="DG12" s="972"/>
      <c r="DH12" s="972"/>
      <c r="DI12" s="972"/>
      <c r="DJ12" s="972"/>
      <c r="DK12" s="972"/>
      <c r="DL12" s="972"/>
      <c r="DM12" s="972"/>
      <c r="DN12" s="972"/>
      <c r="DO12" s="972"/>
      <c r="DP12" s="972"/>
      <c r="DQ12" s="972"/>
      <c r="DR12" s="972"/>
      <c r="DS12" s="972"/>
      <c r="DT12" s="972"/>
      <c r="DU12" s="972"/>
      <c r="DV12" s="972"/>
      <c r="DW12" s="972"/>
      <c r="DX12" s="485"/>
      <c r="DY12" s="485"/>
    </row>
    <row r="13" spans="1:129">
      <c r="A13" s="997" t="str">
        <f>Flags!A24</f>
        <v>Senior Debt Maturity Days (%)</v>
      </c>
      <c r="D13" s="484"/>
      <c r="E13" s="484"/>
      <c r="F13" s="484"/>
      <c r="G13" s="1004">
        <f>Flags!G24</f>
        <v>0</v>
      </c>
      <c r="H13" s="1004">
        <f>Flags!H24</f>
        <v>1</v>
      </c>
      <c r="I13" s="1004">
        <f>Flags!I24</f>
        <v>1</v>
      </c>
      <c r="J13" s="1004">
        <f>Flags!J24</f>
        <v>1</v>
      </c>
      <c r="K13" s="1004">
        <f>Flags!K24</f>
        <v>1</v>
      </c>
      <c r="L13" s="1004">
        <f>Flags!L24</f>
        <v>1</v>
      </c>
      <c r="M13" s="1004">
        <f>Flags!M24</f>
        <v>1</v>
      </c>
      <c r="N13" s="1004">
        <f>Flags!N24</f>
        <v>1</v>
      </c>
      <c r="O13" s="1004">
        <f>Flags!O24</f>
        <v>1</v>
      </c>
      <c r="P13" s="1004">
        <f>Flags!P24</f>
        <v>1</v>
      </c>
      <c r="Q13" s="1004">
        <f>Flags!Q24</f>
        <v>1</v>
      </c>
      <c r="R13" s="1004">
        <f>Flags!R24</f>
        <v>1</v>
      </c>
      <c r="S13" s="1004">
        <f>Flags!S24</f>
        <v>1</v>
      </c>
      <c r="T13" s="1004">
        <f>Flags!T24</f>
        <v>1</v>
      </c>
      <c r="U13" s="1004">
        <f>Flags!U24</f>
        <v>1</v>
      </c>
      <c r="V13" s="1004">
        <f>Flags!V24</f>
        <v>1</v>
      </c>
      <c r="W13" s="1004">
        <f>Flags!W24</f>
        <v>1</v>
      </c>
      <c r="X13" s="1004">
        <f>Flags!X24</f>
        <v>1</v>
      </c>
      <c r="Y13" s="1004">
        <f>Flags!Y24</f>
        <v>1</v>
      </c>
      <c r="Z13" s="1004">
        <f>Flags!Z24</f>
        <v>1</v>
      </c>
      <c r="AA13" s="1004">
        <f>Flags!AA24</f>
        <v>1</v>
      </c>
      <c r="AB13" s="1004">
        <f>Flags!AB24</f>
        <v>1</v>
      </c>
      <c r="AC13" s="1004">
        <f>Flags!AC24</f>
        <v>1</v>
      </c>
      <c r="AD13" s="1004">
        <f>Flags!AD24</f>
        <v>1</v>
      </c>
      <c r="AE13" s="1004">
        <f>Flags!AE24</f>
        <v>1</v>
      </c>
      <c r="AF13" s="1004">
        <f>Flags!AF24</f>
        <v>1</v>
      </c>
      <c r="AG13" s="1004">
        <f>Flags!AG24</f>
        <v>1</v>
      </c>
      <c r="AH13" s="1004">
        <f>Flags!AH24</f>
        <v>1</v>
      </c>
      <c r="AI13" s="1004">
        <f>Flags!AI24</f>
        <v>0.98895027624309395</v>
      </c>
      <c r="AJ13" s="1004">
        <f>Flags!AJ24</f>
        <v>0</v>
      </c>
      <c r="AK13" s="1004">
        <f>Flags!AK24</f>
        <v>0</v>
      </c>
      <c r="AL13" s="1004">
        <f>Flags!AL24</f>
        <v>0</v>
      </c>
      <c r="AM13" s="1004">
        <f>Flags!AM24</f>
        <v>0</v>
      </c>
      <c r="AN13" s="1004">
        <f>Flags!AN24</f>
        <v>0</v>
      </c>
      <c r="AO13" s="1004">
        <f>Flags!AO24</f>
        <v>0</v>
      </c>
      <c r="AP13" s="1004">
        <f>Flags!AP24</f>
        <v>0</v>
      </c>
      <c r="AQ13" s="1004">
        <f>Flags!AQ24</f>
        <v>0</v>
      </c>
      <c r="AR13" s="1004">
        <f>Flags!AR24</f>
        <v>0</v>
      </c>
      <c r="AS13" s="1004">
        <f>Flags!AS24</f>
        <v>0</v>
      </c>
      <c r="AT13" s="1004">
        <f>Flags!AT24</f>
        <v>0</v>
      </c>
      <c r="AU13" s="1004">
        <f>Flags!AU24</f>
        <v>0</v>
      </c>
      <c r="AV13" s="1004">
        <f>Flags!AV24</f>
        <v>0</v>
      </c>
      <c r="AW13" s="1004">
        <f>Flags!AW24</f>
        <v>0</v>
      </c>
      <c r="AX13" s="1004">
        <f>Flags!AX24</f>
        <v>0</v>
      </c>
      <c r="AY13" s="1004">
        <f>Flags!AY24</f>
        <v>0</v>
      </c>
      <c r="AZ13" s="1004">
        <f>Flags!AZ24</f>
        <v>0</v>
      </c>
      <c r="BA13" s="1004">
        <f>Flags!BA24</f>
        <v>0</v>
      </c>
      <c r="BB13" s="1004">
        <f>Flags!BB24</f>
        <v>0</v>
      </c>
      <c r="BC13" s="1004">
        <f>Flags!BC24</f>
        <v>0</v>
      </c>
      <c r="BD13" s="1004">
        <f>Flags!BD24</f>
        <v>0</v>
      </c>
      <c r="BE13" s="1004">
        <f>Flags!BE24</f>
        <v>0</v>
      </c>
      <c r="BF13" s="1004">
        <f>Flags!BF24</f>
        <v>0</v>
      </c>
      <c r="BG13" s="1004">
        <f>Flags!BG24</f>
        <v>0</v>
      </c>
      <c r="BH13" s="1004">
        <f>Flags!BH24</f>
        <v>0</v>
      </c>
      <c r="BI13" s="1004">
        <f>Flags!BI24</f>
        <v>0</v>
      </c>
      <c r="BJ13" s="1004">
        <f>Flags!BJ24</f>
        <v>0</v>
      </c>
      <c r="BK13" s="1004">
        <f>Flags!BK24</f>
        <v>0</v>
      </c>
      <c r="BL13" s="1004">
        <f>Flags!BL24</f>
        <v>0</v>
      </c>
      <c r="BM13" s="1004">
        <f>Flags!BM24</f>
        <v>0</v>
      </c>
      <c r="BN13" s="1004">
        <f>Flags!BN24</f>
        <v>0</v>
      </c>
      <c r="BO13" s="1004">
        <f>Flags!BO24</f>
        <v>0</v>
      </c>
      <c r="BP13" s="1004"/>
      <c r="BQ13" s="1004"/>
      <c r="BR13" s="1004"/>
      <c r="BS13" s="1004"/>
      <c r="BT13" s="1004"/>
      <c r="BU13" s="1004"/>
      <c r="BV13" s="1004"/>
      <c r="BW13" s="1004"/>
      <c r="BX13" s="1004"/>
      <c r="BY13" s="1004"/>
      <c r="BZ13" s="1004"/>
      <c r="CA13" s="1004"/>
      <c r="CB13" s="1004"/>
      <c r="CC13" s="1004"/>
      <c r="CD13" s="1004"/>
      <c r="CE13" s="1004"/>
      <c r="CF13" s="1004"/>
      <c r="CG13" s="1004"/>
      <c r="CH13" s="1004"/>
      <c r="CI13" s="1004"/>
      <c r="CJ13" s="1004"/>
      <c r="CK13" s="1004"/>
      <c r="CL13" s="1004"/>
      <c r="CM13" s="1004"/>
      <c r="CN13" s="1004"/>
      <c r="CO13" s="1004"/>
      <c r="CP13" s="1004"/>
      <c r="CQ13" s="1004"/>
      <c r="CR13" s="1004"/>
      <c r="CS13" s="1004"/>
      <c r="CT13" s="1004"/>
      <c r="CU13" s="1004"/>
      <c r="CV13" s="1004"/>
      <c r="CW13" s="1004"/>
      <c r="CX13" s="1004"/>
      <c r="CY13" s="1004"/>
      <c r="CZ13" s="1004"/>
      <c r="DA13" s="1004"/>
      <c r="DB13" s="1004"/>
      <c r="DC13" s="1004"/>
      <c r="DD13" s="1004"/>
      <c r="DE13" s="1004"/>
      <c r="DF13" s="1004"/>
      <c r="DG13" s="1004"/>
      <c r="DH13" s="1004"/>
      <c r="DI13" s="1004"/>
      <c r="DJ13" s="1004"/>
      <c r="DK13" s="1004"/>
      <c r="DL13" s="1004"/>
      <c r="DM13" s="1004"/>
      <c r="DN13" s="1004"/>
      <c r="DO13" s="1004"/>
      <c r="DP13" s="1004"/>
      <c r="DQ13" s="1004"/>
      <c r="DR13" s="1004"/>
      <c r="DS13" s="1004"/>
      <c r="DT13" s="1004"/>
      <c r="DU13" s="1004"/>
      <c r="DV13" s="1004"/>
      <c r="DW13" s="1004"/>
      <c r="DX13" s="485"/>
      <c r="DY13" s="485"/>
    </row>
    <row r="14" spans="1:129">
      <c r="A14" s="997" t="str">
        <f>Flags!A26</f>
        <v>Junior Debt Maturity</v>
      </c>
      <c r="B14" s="927">
        <f>Flags!$B$26</f>
        <v>7</v>
      </c>
      <c r="C14" s="927"/>
      <c r="D14" s="484"/>
      <c r="E14" s="484"/>
      <c r="F14" s="484"/>
      <c r="G14" s="1004" t="b">
        <f>Flags!G26</f>
        <v>0</v>
      </c>
      <c r="H14" s="1004" t="b">
        <f>Flags!H26</f>
        <v>1</v>
      </c>
      <c r="I14" s="1004" t="b">
        <f>Flags!I26</f>
        <v>1</v>
      </c>
      <c r="J14" s="1004" t="b">
        <f>Flags!J26</f>
        <v>1</v>
      </c>
      <c r="K14" s="1004" t="b">
        <f>Flags!K26</f>
        <v>1</v>
      </c>
      <c r="L14" s="1004" t="b">
        <f>Flags!L26</f>
        <v>1</v>
      </c>
      <c r="M14" s="1004" t="b">
        <f>Flags!M26</f>
        <v>1</v>
      </c>
      <c r="N14" s="1004" t="b">
        <f>Flags!N26</f>
        <v>1</v>
      </c>
      <c r="O14" s="1004" t="b">
        <f>Flags!O26</f>
        <v>1</v>
      </c>
      <c r="P14" s="1004" t="b">
        <f>Flags!P26</f>
        <v>1</v>
      </c>
      <c r="Q14" s="1004" t="b">
        <f>Flags!Q26</f>
        <v>1</v>
      </c>
      <c r="R14" s="1004" t="b">
        <f>Flags!R26</f>
        <v>1</v>
      </c>
      <c r="S14" s="1004" t="b">
        <f>Flags!S26</f>
        <v>1</v>
      </c>
      <c r="T14" s="1004" t="b">
        <f>Flags!T26</f>
        <v>1</v>
      </c>
      <c r="U14" s="1004" t="b">
        <f>Flags!U26</f>
        <v>1</v>
      </c>
      <c r="V14" s="1004" t="b">
        <f>Flags!V26</f>
        <v>0</v>
      </c>
      <c r="W14" s="1004" t="b">
        <f>Flags!W26</f>
        <v>0</v>
      </c>
      <c r="X14" s="1004" t="b">
        <f>Flags!X26</f>
        <v>0</v>
      </c>
      <c r="Y14" s="1004" t="b">
        <f>Flags!Y26</f>
        <v>0</v>
      </c>
      <c r="Z14" s="1004" t="b">
        <f>Flags!Z26</f>
        <v>0</v>
      </c>
      <c r="AA14" s="1004" t="b">
        <f>Flags!AA26</f>
        <v>0</v>
      </c>
      <c r="AB14" s="1004" t="b">
        <f>Flags!AB26</f>
        <v>0</v>
      </c>
      <c r="AC14" s="1004" t="b">
        <f>Flags!AC26</f>
        <v>0</v>
      </c>
      <c r="AD14" s="1004" t="b">
        <f>Flags!AD26</f>
        <v>0</v>
      </c>
      <c r="AE14" s="1004" t="b">
        <f>Flags!AE26</f>
        <v>0</v>
      </c>
      <c r="AF14" s="1004" t="b">
        <f>Flags!AF26</f>
        <v>0</v>
      </c>
      <c r="AG14" s="1004" t="b">
        <f>Flags!AG26</f>
        <v>0</v>
      </c>
      <c r="AH14" s="1004" t="b">
        <f>Flags!AH26</f>
        <v>0</v>
      </c>
      <c r="AI14" s="1004" t="b">
        <f>Flags!AI26</f>
        <v>0</v>
      </c>
      <c r="AJ14" s="1004" t="b">
        <f>Flags!AJ26</f>
        <v>0</v>
      </c>
      <c r="AK14" s="1004" t="b">
        <f>Flags!AK26</f>
        <v>0</v>
      </c>
      <c r="AL14" s="1004" t="b">
        <f>Flags!AL26</f>
        <v>0</v>
      </c>
      <c r="AM14" s="1004" t="b">
        <f>Flags!AM26</f>
        <v>0</v>
      </c>
      <c r="AN14" s="1004" t="b">
        <f>Flags!AN26</f>
        <v>0</v>
      </c>
      <c r="AO14" s="1004" t="b">
        <f>Flags!AO26</f>
        <v>0</v>
      </c>
      <c r="AP14" s="1004" t="b">
        <f>Flags!AP26</f>
        <v>0</v>
      </c>
      <c r="AQ14" s="1004" t="b">
        <f>Flags!AQ26</f>
        <v>0</v>
      </c>
      <c r="AR14" s="1004" t="b">
        <f>Flags!AR26</f>
        <v>0</v>
      </c>
      <c r="AS14" s="1004" t="b">
        <f>Flags!AS26</f>
        <v>0</v>
      </c>
      <c r="AT14" s="1004" t="b">
        <f>Flags!AT26</f>
        <v>0</v>
      </c>
      <c r="AU14" s="1004" t="b">
        <f>Flags!AU26</f>
        <v>0</v>
      </c>
      <c r="AV14" s="1004" t="b">
        <f>Flags!AV26</f>
        <v>0</v>
      </c>
      <c r="AW14" s="1004" t="b">
        <f>Flags!AW26</f>
        <v>0</v>
      </c>
      <c r="AX14" s="1004" t="b">
        <f>Flags!AX26</f>
        <v>0</v>
      </c>
      <c r="AY14" s="1004" t="b">
        <f>Flags!AY26</f>
        <v>0</v>
      </c>
      <c r="AZ14" s="1004" t="b">
        <f>Flags!AZ26</f>
        <v>0</v>
      </c>
      <c r="BA14" s="1004" t="b">
        <f>Flags!BA26</f>
        <v>0</v>
      </c>
      <c r="BB14" s="1004" t="b">
        <f>Flags!BB26</f>
        <v>0</v>
      </c>
      <c r="BC14" s="1004" t="b">
        <f>Flags!BC26</f>
        <v>0</v>
      </c>
      <c r="BD14" s="1004" t="b">
        <f>Flags!BD26</f>
        <v>0</v>
      </c>
      <c r="BE14" s="1004" t="b">
        <f>Flags!BE26</f>
        <v>0</v>
      </c>
      <c r="BF14" s="1004" t="b">
        <f>Flags!BF26</f>
        <v>0</v>
      </c>
      <c r="BG14" s="1004" t="b">
        <f>Flags!BG26</f>
        <v>0</v>
      </c>
      <c r="BH14" s="1004" t="b">
        <f>Flags!BH26</f>
        <v>0</v>
      </c>
      <c r="BI14" s="1004" t="b">
        <f>Flags!BI26</f>
        <v>0</v>
      </c>
      <c r="BJ14" s="1004" t="b">
        <f>Flags!BJ26</f>
        <v>0</v>
      </c>
      <c r="BK14" s="1004" t="b">
        <f>Flags!BK26</f>
        <v>0</v>
      </c>
      <c r="BL14" s="1004" t="b">
        <f>Flags!BL26</f>
        <v>0</v>
      </c>
      <c r="BM14" s="1004" t="b">
        <f>Flags!BM26</f>
        <v>0</v>
      </c>
      <c r="BN14" s="1004" t="b">
        <f>Flags!BN26</f>
        <v>0</v>
      </c>
      <c r="BO14" s="1004" t="b">
        <f>Flags!BO26</f>
        <v>0</v>
      </c>
      <c r="BP14" s="1004"/>
      <c r="BQ14" s="1004"/>
      <c r="BR14" s="1004"/>
      <c r="BS14" s="1004"/>
      <c r="BT14" s="1004"/>
      <c r="BU14" s="1004"/>
      <c r="BV14" s="1004"/>
      <c r="BW14" s="1004"/>
      <c r="BX14" s="1004"/>
      <c r="BY14" s="1004"/>
      <c r="BZ14" s="1004"/>
      <c r="CA14" s="1004"/>
      <c r="CB14" s="1004"/>
      <c r="CC14" s="1004"/>
      <c r="CD14" s="1004"/>
      <c r="CE14" s="1004"/>
      <c r="CF14" s="1004"/>
      <c r="CG14" s="1004"/>
      <c r="CH14" s="1004"/>
      <c r="CI14" s="1004"/>
      <c r="CJ14" s="1004"/>
      <c r="CK14" s="1004"/>
      <c r="CL14" s="1004"/>
      <c r="CM14" s="1004"/>
      <c r="CN14" s="1004"/>
      <c r="CO14" s="1004"/>
      <c r="CP14" s="1004"/>
      <c r="CQ14" s="1004"/>
      <c r="CR14" s="1004"/>
      <c r="CS14" s="1004"/>
      <c r="CT14" s="1004"/>
      <c r="CU14" s="1004"/>
      <c r="CV14" s="1004"/>
      <c r="CW14" s="1004"/>
      <c r="CX14" s="1004"/>
      <c r="CY14" s="1004"/>
      <c r="CZ14" s="1004"/>
      <c r="DA14" s="1004"/>
      <c r="DB14" s="1004"/>
      <c r="DC14" s="1004"/>
      <c r="DD14" s="1004"/>
      <c r="DE14" s="1004"/>
      <c r="DF14" s="1004"/>
      <c r="DG14" s="1004"/>
      <c r="DH14" s="1004"/>
      <c r="DI14" s="1004"/>
      <c r="DJ14" s="1004"/>
      <c r="DK14" s="1004"/>
      <c r="DL14" s="1004"/>
      <c r="DM14" s="1004"/>
      <c r="DN14" s="1004"/>
      <c r="DO14" s="1004"/>
      <c r="DP14" s="1004"/>
      <c r="DQ14" s="1004"/>
      <c r="DR14" s="1004"/>
      <c r="DS14" s="1004"/>
      <c r="DT14" s="1004"/>
      <c r="DU14" s="1004"/>
      <c r="DV14" s="1004"/>
      <c r="DW14" s="1004"/>
      <c r="DX14" s="485"/>
      <c r="DY14" s="485"/>
    </row>
    <row r="15" spans="1:129">
      <c r="A15" s="997" t="str">
        <f>Flags!A28</f>
        <v>Junior Debt Maturity Days (%)</v>
      </c>
      <c r="D15" s="484"/>
      <c r="E15" s="484"/>
      <c r="F15" s="484"/>
      <c r="G15" s="1004">
        <f>Flags!G28</f>
        <v>0</v>
      </c>
      <c r="H15" s="1004">
        <f>Flags!H28</f>
        <v>1</v>
      </c>
      <c r="I15" s="1004">
        <f>Flags!I28</f>
        <v>1</v>
      </c>
      <c r="J15" s="1004">
        <f>Flags!J28</f>
        <v>1</v>
      </c>
      <c r="K15" s="1004">
        <f>Flags!K28</f>
        <v>1</v>
      </c>
      <c r="L15" s="1004">
        <f>Flags!L28</f>
        <v>1</v>
      </c>
      <c r="M15" s="1004">
        <f>Flags!M28</f>
        <v>1</v>
      </c>
      <c r="N15" s="1004">
        <f>Flags!N28</f>
        <v>1</v>
      </c>
      <c r="O15" s="1004">
        <f>Flags!O28</f>
        <v>1</v>
      </c>
      <c r="P15" s="1004">
        <f>Flags!P28</f>
        <v>1</v>
      </c>
      <c r="Q15" s="1004">
        <f>Flags!Q28</f>
        <v>1</v>
      </c>
      <c r="R15" s="1004">
        <f>Flags!R28</f>
        <v>1</v>
      </c>
      <c r="S15" s="1004">
        <f>Flags!S28</f>
        <v>1</v>
      </c>
      <c r="T15" s="1004">
        <f>Flags!T28</f>
        <v>1</v>
      </c>
      <c r="U15" s="1004">
        <f>Flags!U28</f>
        <v>0.98888888888888893</v>
      </c>
      <c r="V15" s="1004">
        <f>Flags!V28</f>
        <v>0</v>
      </c>
      <c r="W15" s="1004">
        <f>Flags!W28</f>
        <v>0</v>
      </c>
      <c r="X15" s="1004">
        <f>Flags!X28</f>
        <v>0</v>
      </c>
      <c r="Y15" s="1004">
        <f>Flags!Y28</f>
        <v>0</v>
      </c>
      <c r="Z15" s="1004">
        <f>Flags!Z28</f>
        <v>0</v>
      </c>
      <c r="AA15" s="1004">
        <f>Flags!AA28</f>
        <v>0</v>
      </c>
      <c r="AB15" s="1004">
        <f>Flags!AB28</f>
        <v>0</v>
      </c>
      <c r="AC15" s="1004">
        <f>Flags!AC28</f>
        <v>0</v>
      </c>
      <c r="AD15" s="1004">
        <f>Flags!AD28</f>
        <v>0</v>
      </c>
      <c r="AE15" s="1004">
        <f>Flags!AE28</f>
        <v>0</v>
      </c>
      <c r="AF15" s="1004">
        <f>Flags!AF28</f>
        <v>0</v>
      </c>
      <c r="AG15" s="1004">
        <f>Flags!AG28</f>
        <v>0</v>
      </c>
      <c r="AH15" s="1004">
        <f>Flags!AH28</f>
        <v>0</v>
      </c>
      <c r="AI15" s="1004">
        <f>Flags!AI28</f>
        <v>0</v>
      </c>
      <c r="AJ15" s="1004">
        <f>Flags!AJ28</f>
        <v>0</v>
      </c>
      <c r="AK15" s="1004">
        <f>Flags!AK28</f>
        <v>0</v>
      </c>
      <c r="AL15" s="1004">
        <f>Flags!AL28</f>
        <v>0</v>
      </c>
      <c r="AM15" s="1004">
        <f>Flags!AM28</f>
        <v>0</v>
      </c>
      <c r="AN15" s="1004">
        <f>Flags!AN28</f>
        <v>0</v>
      </c>
      <c r="AO15" s="1004">
        <f>Flags!AO28</f>
        <v>0</v>
      </c>
      <c r="AP15" s="1004">
        <f>Flags!AP28</f>
        <v>0</v>
      </c>
      <c r="AQ15" s="1004">
        <f>Flags!AQ28</f>
        <v>0</v>
      </c>
      <c r="AR15" s="1004">
        <f>Flags!AR28</f>
        <v>0</v>
      </c>
      <c r="AS15" s="1004">
        <f>Flags!AS28</f>
        <v>0</v>
      </c>
      <c r="AT15" s="1004">
        <f>Flags!AT28</f>
        <v>0</v>
      </c>
      <c r="AU15" s="1004">
        <f>Flags!AU28</f>
        <v>0</v>
      </c>
      <c r="AV15" s="1004">
        <f>Flags!AV28</f>
        <v>0</v>
      </c>
      <c r="AW15" s="1004">
        <f>Flags!AW28</f>
        <v>0</v>
      </c>
      <c r="AX15" s="1004">
        <f>Flags!AX28</f>
        <v>0</v>
      </c>
      <c r="AY15" s="1004">
        <f>Flags!AY28</f>
        <v>0</v>
      </c>
      <c r="AZ15" s="1004">
        <f>Flags!AZ28</f>
        <v>0</v>
      </c>
      <c r="BA15" s="1004">
        <f>Flags!BA28</f>
        <v>0</v>
      </c>
      <c r="BB15" s="1004">
        <f>Flags!BB28</f>
        <v>0</v>
      </c>
      <c r="BC15" s="1004">
        <f>Flags!BC28</f>
        <v>0</v>
      </c>
      <c r="BD15" s="1004">
        <f>Flags!BD28</f>
        <v>0</v>
      </c>
      <c r="BE15" s="1004">
        <f>Flags!BE28</f>
        <v>0</v>
      </c>
      <c r="BF15" s="1004">
        <f>Flags!BF28</f>
        <v>0</v>
      </c>
      <c r="BG15" s="1004">
        <f>Flags!BG28</f>
        <v>0</v>
      </c>
      <c r="BH15" s="1004">
        <f>Flags!BH28</f>
        <v>0</v>
      </c>
      <c r="BI15" s="1004">
        <f>Flags!BI28</f>
        <v>0</v>
      </c>
      <c r="BJ15" s="1004">
        <f>Flags!BJ28</f>
        <v>0</v>
      </c>
      <c r="BK15" s="1004">
        <f>Flags!BK28</f>
        <v>0</v>
      </c>
      <c r="BL15" s="1004">
        <f>Flags!BL28</f>
        <v>0</v>
      </c>
      <c r="BM15" s="1004">
        <f>Flags!BM28</f>
        <v>0</v>
      </c>
      <c r="BN15" s="1004">
        <f>Flags!BN28</f>
        <v>0</v>
      </c>
      <c r="BO15" s="1004">
        <f>Flags!BO28</f>
        <v>0</v>
      </c>
      <c r="BP15" s="1004"/>
      <c r="BQ15" s="1004"/>
      <c r="BR15" s="1004"/>
      <c r="BS15" s="1004"/>
      <c r="BT15" s="1004"/>
      <c r="BU15" s="1004"/>
      <c r="BV15" s="1004"/>
      <c r="BW15" s="1004"/>
      <c r="BX15" s="1004"/>
      <c r="BY15" s="1004"/>
      <c r="BZ15" s="1004"/>
      <c r="CA15" s="1004"/>
      <c r="CB15" s="1004"/>
      <c r="CC15" s="1004"/>
      <c r="CD15" s="1004"/>
      <c r="CE15" s="1004"/>
      <c r="CF15" s="1004"/>
      <c r="CG15" s="1004"/>
      <c r="CH15" s="1004"/>
      <c r="CI15" s="1004"/>
      <c r="CJ15" s="1004"/>
      <c r="CK15" s="1004"/>
      <c r="CL15" s="1004"/>
      <c r="CM15" s="1004"/>
      <c r="CN15" s="1004"/>
      <c r="CO15" s="1004"/>
      <c r="CP15" s="1004"/>
      <c r="CQ15" s="1004"/>
      <c r="CR15" s="1004"/>
      <c r="CS15" s="1004"/>
      <c r="CT15" s="1004"/>
      <c r="CU15" s="1004"/>
      <c r="CV15" s="1004"/>
      <c r="CW15" s="1004"/>
      <c r="CX15" s="1004"/>
      <c r="CY15" s="1004"/>
      <c r="CZ15" s="1004"/>
      <c r="DA15" s="1004"/>
      <c r="DB15" s="1004"/>
      <c r="DC15" s="1004"/>
      <c r="DD15" s="1004"/>
      <c r="DE15" s="1004"/>
      <c r="DF15" s="1004"/>
      <c r="DG15" s="1004"/>
      <c r="DH15" s="1004"/>
      <c r="DI15" s="1004"/>
      <c r="DJ15" s="1004"/>
      <c r="DK15" s="1004"/>
      <c r="DL15" s="1004"/>
      <c r="DM15" s="1004"/>
      <c r="DN15" s="1004"/>
      <c r="DO15" s="1004"/>
      <c r="DP15" s="1004"/>
      <c r="DQ15" s="1004"/>
      <c r="DR15" s="1004"/>
      <c r="DS15" s="1004"/>
      <c r="DT15" s="1004"/>
      <c r="DU15" s="1004"/>
      <c r="DV15" s="1004"/>
      <c r="DW15" s="1004"/>
      <c r="DX15" s="485"/>
      <c r="DY15" s="485"/>
    </row>
    <row r="16" spans="1:129">
      <c r="A16" s="637"/>
      <c r="B16" s="637"/>
      <c r="C16" s="637"/>
      <c r="D16" s="637"/>
      <c r="E16" s="637"/>
      <c r="F16" s="637"/>
      <c r="G16" s="475"/>
      <c r="H16" s="865"/>
      <c r="I16" s="865"/>
      <c r="J16" s="865"/>
      <c r="K16" s="865"/>
      <c r="L16" s="865"/>
      <c r="M16" s="865"/>
      <c r="N16" s="865"/>
      <c r="O16" s="865"/>
      <c r="P16" s="865"/>
      <c r="Q16" s="865"/>
      <c r="R16" s="865"/>
      <c r="S16" s="865"/>
      <c r="T16" s="865"/>
      <c r="U16" s="865"/>
      <c r="V16" s="865"/>
      <c r="W16" s="865"/>
      <c r="X16" s="865"/>
      <c r="Y16" s="865"/>
      <c r="Z16" s="865"/>
      <c r="AA16" s="865"/>
      <c r="AB16" s="865"/>
      <c r="AC16" s="865"/>
      <c r="AD16" s="865"/>
      <c r="AE16" s="865"/>
      <c r="AF16" s="865"/>
      <c r="AG16" s="865"/>
      <c r="AH16" s="865"/>
      <c r="AI16" s="865"/>
      <c r="AJ16" s="865"/>
      <c r="AK16" s="865"/>
      <c r="AL16" s="865"/>
      <c r="AM16" s="865"/>
      <c r="AN16" s="865"/>
      <c r="AO16" s="865"/>
      <c r="AP16" s="865"/>
      <c r="AQ16" s="865"/>
      <c r="AR16" s="865"/>
      <c r="AS16" s="865"/>
      <c r="AT16" s="865"/>
      <c r="AU16" s="865"/>
      <c r="AV16" s="865"/>
      <c r="AW16" s="865"/>
      <c r="AX16" s="865"/>
      <c r="AY16" s="865"/>
      <c r="AZ16" s="865"/>
      <c r="BA16" s="865"/>
      <c r="BB16" s="865"/>
      <c r="BC16" s="865"/>
      <c r="BD16" s="865"/>
      <c r="BE16" s="865"/>
      <c r="BF16" s="865"/>
      <c r="BG16" s="865"/>
      <c r="BH16" s="865"/>
      <c r="BI16" s="865"/>
      <c r="BJ16" s="865"/>
      <c r="BK16" s="865"/>
      <c r="BL16" s="865"/>
      <c r="BM16" s="865"/>
      <c r="BN16" s="865"/>
      <c r="BO16" s="865"/>
      <c r="BP16" s="865"/>
      <c r="BQ16" s="865"/>
      <c r="BR16" s="865"/>
      <c r="BS16" s="865"/>
      <c r="BT16" s="865"/>
      <c r="BU16" s="865"/>
      <c r="BV16" s="865"/>
      <c r="BW16" s="865"/>
      <c r="BX16" s="865"/>
      <c r="BY16" s="865"/>
      <c r="BZ16" s="865"/>
      <c r="CA16" s="865"/>
      <c r="CB16" s="865"/>
      <c r="CC16" s="865"/>
      <c r="CD16" s="865"/>
      <c r="CE16" s="865"/>
      <c r="CF16" s="865"/>
      <c r="CG16" s="865"/>
      <c r="CH16" s="865"/>
      <c r="CI16" s="865"/>
      <c r="CJ16" s="865"/>
      <c r="CK16" s="865"/>
      <c r="CL16" s="865"/>
      <c r="CM16" s="865"/>
      <c r="CN16" s="865"/>
      <c r="CO16" s="865"/>
      <c r="CP16" s="865"/>
      <c r="CQ16" s="865"/>
      <c r="CR16" s="865"/>
      <c r="CS16" s="865"/>
      <c r="CT16" s="865"/>
      <c r="CU16" s="865"/>
      <c r="CV16" s="865"/>
      <c r="CW16" s="865"/>
      <c r="CX16" s="865"/>
      <c r="CY16" s="865"/>
      <c r="CZ16" s="865"/>
      <c r="DA16" s="865"/>
      <c r="DB16" s="865"/>
      <c r="DC16" s="865"/>
      <c r="DD16" s="865"/>
      <c r="DE16" s="865"/>
      <c r="DF16" s="865"/>
      <c r="DG16" s="865"/>
      <c r="DH16" s="865"/>
      <c r="DI16" s="865"/>
      <c r="DJ16" s="865"/>
      <c r="DK16" s="865"/>
      <c r="DL16" s="865"/>
      <c r="DM16" s="865"/>
      <c r="DN16" s="865"/>
      <c r="DO16" s="865"/>
      <c r="DP16" s="865"/>
      <c r="DQ16" s="865"/>
      <c r="DR16" s="865"/>
      <c r="DS16" s="865"/>
      <c r="DT16" s="865"/>
      <c r="DU16" s="865"/>
      <c r="DV16" s="865"/>
      <c r="DW16" s="865"/>
      <c r="DX16" s="487"/>
      <c r="DY16" s="487"/>
    </row>
    <row r="17" spans="1:129" s="310" customFormat="1" ht="11.25" customHeight="1">
      <c r="A17" s="492" t="s">
        <v>1128</v>
      </c>
      <c r="B17" s="670">
        <f>Inputs!D56</f>
        <v>4.0000000000000001E-3</v>
      </c>
      <c r="C17" s="840"/>
      <c r="D17" s="493"/>
      <c r="E17" s="493"/>
      <c r="F17" s="512"/>
      <c r="G17" s="918">
        <f>(1-$B$17)^(G4-1)*G6</f>
        <v>0</v>
      </c>
      <c r="H17" s="918">
        <f t="shared" ref="H17:BO17" si="1">(1-$B$17)^(H4-1)*H6</f>
        <v>1</v>
      </c>
      <c r="I17" s="918">
        <f t="shared" si="1"/>
        <v>1</v>
      </c>
      <c r="J17" s="918">
        <f t="shared" si="1"/>
        <v>0.996</v>
      </c>
      <c r="K17" s="918">
        <f t="shared" si="1"/>
        <v>0.996</v>
      </c>
      <c r="L17" s="918">
        <f t="shared" si="1"/>
        <v>0.99201600000000001</v>
      </c>
      <c r="M17" s="918">
        <f t="shared" si="1"/>
        <v>0.99201600000000001</v>
      </c>
      <c r="N17" s="918">
        <f t="shared" si="1"/>
        <v>0.98804793599999996</v>
      </c>
      <c r="O17" s="918">
        <f t="shared" si="1"/>
        <v>0.98804793599999996</v>
      </c>
      <c r="P17" s="918">
        <f t="shared" si="1"/>
        <v>0.98409574425599999</v>
      </c>
      <c r="Q17" s="918">
        <f t="shared" si="1"/>
        <v>0.98409574425599999</v>
      </c>
      <c r="R17" s="918">
        <f t="shared" si="1"/>
        <v>0.98015936127897596</v>
      </c>
      <c r="S17" s="918">
        <f t="shared" si="1"/>
        <v>0.98015936127897596</v>
      </c>
      <c r="T17" s="918">
        <f t="shared" si="1"/>
        <v>0.97623872383386012</v>
      </c>
      <c r="U17" s="918">
        <f t="shared" si="1"/>
        <v>0.97623872383386012</v>
      </c>
      <c r="V17" s="918">
        <f t="shared" si="1"/>
        <v>0.97233376893852463</v>
      </c>
      <c r="W17" s="918">
        <f t="shared" si="1"/>
        <v>0.97233376893852463</v>
      </c>
      <c r="X17" s="918">
        <f t="shared" si="1"/>
        <v>0.96844443386277057</v>
      </c>
      <c r="Y17" s="918">
        <f t="shared" si="1"/>
        <v>0.96844443386277057</v>
      </c>
      <c r="Z17" s="918">
        <f t="shared" si="1"/>
        <v>0.96457065612731951</v>
      </c>
      <c r="AA17" s="918">
        <f t="shared" si="1"/>
        <v>0.96457065612731951</v>
      </c>
      <c r="AB17" s="918">
        <f t="shared" si="1"/>
        <v>0.96071237350281025</v>
      </c>
      <c r="AC17" s="918">
        <f t="shared" si="1"/>
        <v>0.96071237350281025</v>
      </c>
      <c r="AD17" s="918">
        <f t="shared" si="1"/>
        <v>0.95686952400879888</v>
      </c>
      <c r="AE17" s="918">
        <f t="shared" si="1"/>
        <v>0.95686952400879888</v>
      </c>
      <c r="AF17" s="918">
        <f t="shared" si="1"/>
        <v>0.95304204591276376</v>
      </c>
      <c r="AG17" s="918">
        <f t="shared" si="1"/>
        <v>0.95304204591276376</v>
      </c>
      <c r="AH17" s="918">
        <f t="shared" si="1"/>
        <v>0.94922987772911271</v>
      </c>
      <c r="AI17" s="918">
        <f t="shared" si="1"/>
        <v>0.94922987772911271</v>
      </c>
      <c r="AJ17" s="918">
        <f t="shared" si="1"/>
        <v>0.94543295821819628</v>
      </c>
      <c r="AK17" s="918">
        <f t="shared" si="1"/>
        <v>0.94543295821819628</v>
      </c>
      <c r="AL17" s="918">
        <f t="shared" si="1"/>
        <v>0.9416512263853235</v>
      </c>
      <c r="AM17" s="918">
        <f t="shared" si="1"/>
        <v>0.9416512263853235</v>
      </c>
      <c r="AN17" s="918">
        <f t="shared" si="1"/>
        <v>0.93788462147978224</v>
      </c>
      <c r="AO17" s="918">
        <f t="shared" si="1"/>
        <v>0.93788462147978224</v>
      </c>
      <c r="AP17" s="918">
        <f t="shared" si="1"/>
        <v>0.93413308299386311</v>
      </c>
      <c r="AQ17" s="918">
        <f t="shared" si="1"/>
        <v>0.93413308299386311</v>
      </c>
      <c r="AR17" s="918">
        <f t="shared" si="1"/>
        <v>0.93039655066188764</v>
      </c>
      <c r="AS17" s="918">
        <f t="shared" si="1"/>
        <v>0.93039655066188764</v>
      </c>
      <c r="AT17" s="918">
        <f t="shared" si="1"/>
        <v>0.92667496445924002</v>
      </c>
      <c r="AU17" s="918">
        <f t="shared" si="1"/>
        <v>0.92667496445924002</v>
      </c>
      <c r="AV17" s="918">
        <f t="shared" si="1"/>
        <v>0.92296826460140313</v>
      </c>
      <c r="AW17" s="918">
        <f t="shared" si="1"/>
        <v>0.92296826460140313</v>
      </c>
      <c r="AX17" s="918">
        <f t="shared" si="1"/>
        <v>0.91927639154299745</v>
      </c>
      <c r="AY17" s="918">
        <f t="shared" si="1"/>
        <v>0.91927639154299745</v>
      </c>
      <c r="AZ17" s="918">
        <f t="shared" si="1"/>
        <v>0.91559928597682561</v>
      </c>
      <c r="BA17" s="918">
        <f t="shared" si="1"/>
        <v>0.91559928597682561</v>
      </c>
      <c r="BB17" s="918">
        <f t="shared" si="1"/>
        <v>0.91193688883291824</v>
      </c>
      <c r="BC17" s="918">
        <f t="shared" si="1"/>
        <v>0.91193688883291824</v>
      </c>
      <c r="BD17" s="918">
        <f t="shared" si="1"/>
        <v>0.90828914127758653</v>
      </c>
      <c r="BE17" s="918">
        <f t="shared" si="1"/>
        <v>0.90828914127758653</v>
      </c>
      <c r="BF17" s="918">
        <f t="shared" si="1"/>
        <v>0.90465598471247621</v>
      </c>
      <c r="BG17" s="918">
        <f t="shared" si="1"/>
        <v>0.90465598471247621</v>
      </c>
      <c r="BH17" s="918">
        <f t="shared" si="1"/>
        <v>0.90103736077362639</v>
      </c>
      <c r="BI17" s="918">
        <f t="shared" si="1"/>
        <v>0.90103736077362639</v>
      </c>
      <c r="BJ17" s="918">
        <f t="shared" si="1"/>
        <v>0.89743321133053178</v>
      </c>
      <c r="BK17" s="918">
        <f t="shared" si="1"/>
        <v>0.89743321133053178</v>
      </c>
      <c r="BL17" s="918">
        <f t="shared" si="1"/>
        <v>0.89384347848520973</v>
      </c>
      <c r="BM17" s="918">
        <f t="shared" si="1"/>
        <v>0.89384347848520973</v>
      </c>
      <c r="BN17" s="918">
        <f t="shared" si="1"/>
        <v>0.89026810457126881</v>
      </c>
      <c r="BO17" s="918">
        <f t="shared" si="1"/>
        <v>0.89026810457126881</v>
      </c>
      <c r="BP17" s="918"/>
      <c r="BQ17" s="918"/>
      <c r="BR17" s="918"/>
      <c r="BS17" s="918"/>
      <c r="BT17" s="918"/>
      <c r="BU17" s="918"/>
      <c r="BV17" s="918"/>
      <c r="BW17" s="918"/>
      <c r="BX17" s="918"/>
      <c r="BY17" s="918"/>
      <c r="BZ17" s="918"/>
      <c r="CA17" s="918"/>
      <c r="CB17" s="918"/>
      <c r="CC17" s="918"/>
      <c r="CD17" s="918"/>
      <c r="CE17" s="918"/>
      <c r="CF17" s="918"/>
      <c r="CG17" s="918"/>
      <c r="CH17" s="918"/>
      <c r="CI17" s="918"/>
      <c r="CJ17" s="918"/>
      <c r="CK17" s="918"/>
      <c r="CL17" s="918"/>
      <c r="CM17" s="918"/>
      <c r="CN17" s="918"/>
      <c r="CO17" s="918"/>
      <c r="CP17" s="918"/>
      <c r="CQ17" s="918"/>
      <c r="CR17" s="918"/>
      <c r="CS17" s="918"/>
      <c r="CT17" s="918"/>
      <c r="CU17" s="918"/>
      <c r="CV17" s="918"/>
      <c r="CW17" s="918"/>
      <c r="CX17" s="918"/>
      <c r="CY17" s="918"/>
      <c r="CZ17" s="918"/>
      <c r="DA17" s="918"/>
      <c r="DB17" s="918"/>
      <c r="DC17" s="918"/>
      <c r="DD17" s="918"/>
      <c r="DE17" s="918"/>
      <c r="DF17" s="918"/>
      <c r="DG17" s="918"/>
      <c r="DH17" s="918"/>
      <c r="DI17" s="918"/>
      <c r="DJ17" s="918"/>
      <c r="DK17" s="918"/>
      <c r="DL17" s="918"/>
      <c r="DM17" s="918"/>
      <c r="DN17" s="918"/>
      <c r="DO17" s="918"/>
      <c r="DP17" s="918"/>
      <c r="DQ17" s="918"/>
      <c r="DR17" s="918"/>
      <c r="DS17" s="918"/>
      <c r="DT17" s="918"/>
      <c r="DU17" s="918"/>
      <c r="DV17" s="918"/>
      <c r="DW17" s="918"/>
      <c r="DX17" s="491"/>
      <c r="DY17" s="491"/>
    </row>
    <row r="18" spans="1:129" s="310" customFormat="1" ht="11.25" customHeight="1">
      <c r="A18" s="492" t="s">
        <v>261</v>
      </c>
      <c r="B18" s="670"/>
      <c r="C18" s="840"/>
      <c r="D18" s="493"/>
      <c r="E18" s="493"/>
      <c r="F18" s="512"/>
      <c r="G18" s="918"/>
      <c r="H18" s="918"/>
      <c r="I18" s="918"/>
      <c r="J18" s="918"/>
      <c r="K18" s="918"/>
      <c r="L18" s="918"/>
      <c r="M18" s="918"/>
      <c r="N18" s="918"/>
      <c r="O18" s="918"/>
      <c r="P18" s="918"/>
      <c r="Q18" s="918"/>
      <c r="R18" s="918"/>
      <c r="S18" s="918"/>
      <c r="T18" s="918"/>
      <c r="U18" s="918"/>
      <c r="V18" s="918"/>
      <c r="W18" s="918"/>
      <c r="X18" s="918"/>
      <c r="Y18" s="918"/>
      <c r="Z18" s="918"/>
      <c r="AA18" s="918"/>
      <c r="AB18" s="918"/>
      <c r="AC18" s="918"/>
      <c r="AD18" s="918"/>
      <c r="AE18" s="918"/>
      <c r="AF18" s="918"/>
      <c r="AG18" s="918"/>
      <c r="AH18" s="918"/>
      <c r="AI18" s="918"/>
      <c r="AJ18" s="918"/>
      <c r="AK18" s="918"/>
      <c r="AL18" s="918"/>
      <c r="AM18" s="918"/>
      <c r="AN18" s="918"/>
      <c r="AO18" s="918"/>
      <c r="AP18" s="918"/>
      <c r="AQ18" s="918"/>
      <c r="AR18" s="918"/>
      <c r="AS18" s="918"/>
      <c r="AT18" s="918"/>
      <c r="AU18" s="918"/>
      <c r="AV18" s="918"/>
      <c r="AW18" s="918"/>
      <c r="AX18" s="918"/>
      <c r="AY18" s="918"/>
      <c r="AZ18" s="918"/>
      <c r="BA18" s="918"/>
      <c r="BB18" s="918"/>
      <c r="BC18" s="918"/>
      <c r="BD18" s="918"/>
      <c r="BE18" s="918"/>
      <c r="BF18" s="918"/>
      <c r="BG18" s="918"/>
      <c r="BH18" s="918"/>
      <c r="BI18" s="918"/>
      <c r="BJ18" s="918"/>
      <c r="BK18" s="918"/>
      <c r="BL18" s="918"/>
      <c r="BM18" s="918"/>
      <c r="BN18" s="918"/>
      <c r="BO18" s="918"/>
      <c r="BP18" s="918"/>
      <c r="BQ18" s="918"/>
      <c r="BR18" s="918"/>
      <c r="BS18" s="918"/>
      <c r="BT18" s="918"/>
      <c r="BU18" s="918"/>
      <c r="BV18" s="918"/>
      <c r="BW18" s="918"/>
      <c r="BX18" s="918"/>
      <c r="BY18" s="918"/>
      <c r="BZ18" s="918"/>
      <c r="CA18" s="918"/>
      <c r="CB18" s="918"/>
      <c r="CC18" s="918"/>
      <c r="CD18" s="918"/>
      <c r="CE18" s="918"/>
      <c r="CF18" s="918"/>
      <c r="CG18" s="918"/>
      <c r="CH18" s="918"/>
      <c r="CI18" s="918"/>
      <c r="CJ18" s="918"/>
      <c r="CK18" s="918"/>
      <c r="CL18" s="918"/>
      <c r="CM18" s="918"/>
      <c r="CN18" s="918"/>
      <c r="CO18" s="918"/>
      <c r="CP18" s="918"/>
      <c r="CQ18" s="918"/>
      <c r="CR18" s="918"/>
      <c r="CS18" s="918"/>
      <c r="CT18" s="918"/>
      <c r="CU18" s="918"/>
      <c r="CV18" s="918"/>
      <c r="CW18" s="918"/>
      <c r="CX18" s="918"/>
      <c r="CY18" s="918"/>
      <c r="CZ18" s="918"/>
      <c r="DA18" s="918"/>
      <c r="DB18" s="918"/>
      <c r="DC18" s="918"/>
      <c r="DD18" s="918"/>
      <c r="DE18" s="918"/>
      <c r="DF18" s="918"/>
      <c r="DG18" s="918"/>
      <c r="DH18" s="918"/>
      <c r="DI18" s="918"/>
      <c r="DJ18" s="918"/>
      <c r="DK18" s="918"/>
      <c r="DL18" s="918"/>
      <c r="DM18" s="918"/>
      <c r="DN18" s="918"/>
      <c r="DO18" s="918"/>
      <c r="DP18" s="918"/>
      <c r="DQ18" s="918"/>
      <c r="DR18" s="918"/>
      <c r="DS18" s="918"/>
      <c r="DT18" s="918"/>
      <c r="DU18" s="918"/>
      <c r="DV18" s="918"/>
      <c r="DW18" s="918"/>
      <c r="DX18" s="491"/>
      <c r="DY18" s="491"/>
    </row>
    <row r="19" spans="1:129" s="310" customFormat="1" ht="11.25" customHeight="1">
      <c r="A19" s="492" t="s">
        <v>1129</v>
      </c>
      <c r="B19" s="670">
        <f>Inputs!$D$58*Inputs!$D$59</f>
        <v>0.98009999999999997</v>
      </c>
      <c r="C19" s="840"/>
      <c r="D19" s="493"/>
      <c r="E19" s="493"/>
      <c r="F19" s="512"/>
      <c r="G19" s="918">
        <f>$B$19*G6</f>
        <v>0</v>
      </c>
      <c r="H19" s="918">
        <f t="shared" ref="H19:BO19" si="2">$B$19*H6</f>
        <v>0.98009999999999997</v>
      </c>
      <c r="I19" s="918">
        <f t="shared" si="2"/>
        <v>0.98009999999999997</v>
      </c>
      <c r="J19" s="918">
        <f t="shared" si="2"/>
        <v>0.98009999999999997</v>
      </c>
      <c r="K19" s="918">
        <f t="shared" si="2"/>
        <v>0.98009999999999997</v>
      </c>
      <c r="L19" s="918">
        <f t="shared" si="2"/>
        <v>0.98009999999999997</v>
      </c>
      <c r="M19" s="918">
        <f t="shared" si="2"/>
        <v>0.98009999999999997</v>
      </c>
      <c r="N19" s="918">
        <f t="shared" si="2"/>
        <v>0.98009999999999997</v>
      </c>
      <c r="O19" s="918">
        <f t="shared" si="2"/>
        <v>0.98009999999999997</v>
      </c>
      <c r="P19" s="918">
        <f t="shared" si="2"/>
        <v>0.98009999999999997</v>
      </c>
      <c r="Q19" s="918">
        <f t="shared" si="2"/>
        <v>0.98009999999999997</v>
      </c>
      <c r="R19" s="918">
        <f t="shared" si="2"/>
        <v>0.98009999999999997</v>
      </c>
      <c r="S19" s="918">
        <f t="shared" si="2"/>
        <v>0.98009999999999997</v>
      </c>
      <c r="T19" s="918">
        <f t="shared" si="2"/>
        <v>0.98009999999999997</v>
      </c>
      <c r="U19" s="918">
        <f t="shared" si="2"/>
        <v>0.98009999999999997</v>
      </c>
      <c r="V19" s="918">
        <f t="shared" si="2"/>
        <v>0.98009999999999997</v>
      </c>
      <c r="W19" s="918">
        <f t="shared" si="2"/>
        <v>0.98009999999999997</v>
      </c>
      <c r="X19" s="918">
        <f t="shared" si="2"/>
        <v>0.98009999999999997</v>
      </c>
      <c r="Y19" s="918">
        <f t="shared" si="2"/>
        <v>0.98009999999999997</v>
      </c>
      <c r="Z19" s="918">
        <f t="shared" si="2"/>
        <v>0.98009999999999997</v>
      </c>
      <c r="AA19" s="918">
        <f t="shared" si="2"/>
        <v>0.98009999999999997</v>
      </c>
      <c r="AB19" s="918">
        <f t="shared" si="2"/>
        <v>0.98009999999999997</v>
      </c>
      <c r="AC19" s="918">
        <f t="shared" si="2"/>
        <v>0.98009999999999997</v>
      </c>
      <c r="AD19" s="918">
        <f t="shared" si="2"/>
        <v>0.98009999999999997</v>
      </c>
      <c r="AE19" s="918">
        <f t="shared" si="2"/>
        <v>0.98009999999999997</v>
      </c>
      <c r="AF19" s="918">
        <f t="shared" si="2"/>
        <v>0.98009999999999997</v>
      </c>
      <c r="AG19" s="918">
        <f t="shared" si="2"/>
        <v>0.98009999999999997</v>
      </c>
      <c r="AH19" s="918">
        <f t="shared" si="2"/>
        <v>0.98009999999999997</v>
      </c>
      <c r="AI19" s="918">
        <f t="shared" si="2"/>
        <v>0.98009999999999997</v>
      </c>
      <c r="AJ19" s="918">
        <f t="shared" si="2"/>
        <v>0.98009999999999997</v>
      </c>
      <c r="AK19" s="918">
        <f t="shared" si="2"/>
        <v>0.98009999999999997</v>
      </c>
      <c r="AL19" s="918">
        <f t="shared" si="2"/>
        <v>0.98009999999999997</v>
      </c>
      <c r="AM19" s="918">
        <f t="shared" si="2"/>
        <v>0.98009999999999997</v>
      </c>
      <c r="AN19" s="918">
        <f t="shared" si="2"/>
        <v>0.98009999999999997</v>
      </c>
      <c r="AO19" s="918">
        <f t="shared" si="2"/>
        <v>0.98009999999999997</v>
      </c>
      <c r="AP19" s="918">
        <f t="shared" si="2"/>
        <v>0.98009999999999997</v>
      </c>
      <c r="AQ19" s="918">
        <f t="shared" si="2"/>
        <v>0.98009999999999997</v>
      </c>
      <c r="AR19" s="918">
        <f t="shared" si="2"/>
        <v>0.98009999999999997</v>
      </c>
      <c r="AS19" s="918">
        <f t="shared" si="2"/>
        <v>0.98009999999999997</v>
      </c>
      <c r="AT19" s="918">
        <f t="shared" si="2"/>
        <v>0.98009999999999997</v>
      </c>
      <c r="AU19" s="918">
        <f t="shared" si="2"/>
        <v>0.98009999999999997</v>
      </c>
      <c r="AV19" s="918">
        <f t="shared" si="2"/>
        <v>0.98009999999999997</v>
      </c>
      <c r="AW19" s="918">
        <f t="shared" si="2"/>
        <v>0.98009999999999997</v>
      </c>
      <c r="AX19" s="918">
        <f t="shared" si="2"/>
        <v>0.98009999999999997</v>
      </c>
      <c r="AY19" s="918">
        <f t="shared" si="2"/>
        <v>0.98009999999999997</v>
      </c>
      <c r="AZ19" s="918">
        <f t="shared" si="2"/>
        <v>0.98009999999999997</v>
      </c>
      <c r="BA19" s="918">
        <f t="shared" si="2"/>
        <v>0.98009999999999997</v>
      </c>
      <c r="BB19" s="918">
        <f t="shared" si="2"/>
        <v>0.98009999999999997</v>
      </c>
      <c r="BC19" s="918">
        <f t="shared" si="2"/>
        <v>0.98009999999999997</v>
      </c>
      <c r="BD19" s="918">
        <f t="shared" si="2"/>
        <v>0.98009999999999997</v>
      </c>
      <c r="BE19" s="918">
        <f t="shared" si="2"/>
        <v>0.98009999999999997</v>
      </c>
      <c r="BF19" s="918">
        <f t="shared" si="2"/>
        <v>0.98009999999999997</v>
      </c>
      <c r="BG19" s="918">
        <f t="shared" si="2"/>
        <v>0.98009999999999997</v>
      </c>
      <c r="BH19" s="918">
        <f t="shared" si="2"/>
        <v>0.98009999999999997</v>
      </c>
      <c r="BI19" s="918">
        <f t="shared" si="2"/>
        <v>0.98009999999999997</v>
      </c>
      <c r="BJ19" s="918">
        <f t="shared" si="2"/>
        <v>0.98009999999999997</v>
      </c>
      <c r="BK19" s="918">
        <f t="shared" si="2"/>
        <v>0.98009999999999997</v>
      </c>
      <c r="BL19" s="918">
        <f t="shared" si="2"/>
        <v>0.98009999999999997</v>
      </c>
      <c r="BM19" s="918">
        <f t="shared" si="2"/>
        <v>0.98009999999999997</v>
      </c>
      <c r="BN19" s="918">
        <f t="shared" si="2"/>
        <v>0.98009999999999997</v>
      </c>
      <c r="BO19" s="918">
        <f t="shared" si="2"/>
        <v>0.98009999999999997</v>
      </c>
      <c r="BP19" s="918"/>
      <c r="BQ19" s="918"/>
      <c r="BR19" s="918"/>
      <c r="BS19" s="918"/>
      <c r="BT19" s="918"/>
      <c r="BU19" s="918"/>
      <c r="BV19" s="918"/>
      <c r="BW19" s="918"/>
      <c r="BX19" s="918"/>
      <c r="BY19" s="918"/>
      <c r="BZ19" s="918"/>
      <c r="CA19" s="918"/>
      <c r="CB19" s="918"/>
      <c r="CC19" s="918"/>
      <c r="CD19" s="918"/>
      <c r="CE19" s="918"/>
      <c r="CF19" s="918"/>
      <c r="CG19" s="918"/>
      <c r="CH19" s="918"/>
      <c r="CI19" s="918"/>
      <c r="CJ19" s="918"/>
      <c r="CK19" s="918"/>
      <c r="CL19" s="918"/>
      <c r="CM19" s="918"/>
      <c r="CN19" s="918"/>
      <c r="CO19" s="918"/>
      <c r="CP19" s="918"/>
      <c r="CQ19" s="918"/>
      <c r="CR19" s="918"/>
      <c r="CS19" s="918"/>
      <c r="CT19" s="918"/>
      <c r="CU19" s="918"/>
      <c r="CV19" s="918"/>
      <c r="CW19" s="918"/>
      <c r="CX19" s="918"/>
      <c r="CY19" s="918"/>
      <c r="CZ19" s="918"/>
      <c r="DA19" s="918"/>
      <c r="DB19" s="918"/>
      <c r="DC19" s="918"/>
      <c r="DD19" s="918"/>
      <c r="DE19" s="918"/>
      <c r="DF19" s="918"/>
      <c r="DG19" s="918"/>
      <c r="DH19" s="918"/>
      <c r="DI19" s="918"/>
      <c r="DJ19" s="918"/>
      <c r="DK19" s="918"/>
      <c r="DL19" s="918"/>
      <c r="DM19" s="918"/>
      <c r="DN19" s="918"/>
      <c r="DO19" s="918"/>
      <c r="DP19" s="918"/>
      <c r="DQ19" s="918"/>
      <c r="DR19" s="918"/>
      <c r="DS19" s="918"/>
      <c r="DT19" s="918"/>
      <c r="DU19" s="918"/>
      <c r="DV19" s="918"/>
      <c r="DW19" s="918"/>
      <c r="DX19" s="491"/>
      <c r="DY19" s="491"/>
    </row>
    <row r="20" spans="1:129" s="310" customFormat="1" ht="11.25" customHeight="1">
      <c r="A20" s="492" t="s">
        <v>1130</v>
      </c>
      <c r="B20" s="1231">
        <f>Inputs!D64</f>
        <v>1494</v>
      </c>
      <c r="C20" s="840"/>
      <c r="D20" s="493"/>
      <c r="E20" s="493"/>
      <c r="F20" s="512"/>
      <c r="G20" s="1230">
        <f>$B$20*G19*G17</f>
        <v>0</v>
      </c>
      <c r="H20" s="1230">
        <f t="shared" ref="H20:BO20" si="3">$B$20*H19*H17</f>
        <v>1464.2693999999999</v>
      </c>
      <c r="I20" s="1230">
        <f t="shared" si="3"/>
        <v>1464.2693999999999</v>
      </c>
      <c r="J20" s="1230">
        <f t="shared" si="3"/>
        <v>1458.4123224</v>
      </c>
      <c r="K20" s="1230">
        <f t="shared" si="3"/>
        <v>1458.4123224</v>
      </c>
      <c r="L20" s="1230">
        <f t="shared" si="3"/>
        <v>1452.5786731103999</v>
      </c>
      <c r="M20" s="1230">
        <f t="shared" si="3"/>
        <v>1452.5786731103999</v>
      </c>
      <c r="N20" s="1230">
        <f t="shared" si="3"/>
        <v>1446.7683584179583</v>
      </c>
      <c r="O20" s="1230">
        <f t="shared" si="3"/>
        <v>1446.7683584179583</v>
      </c>
      <c r="P20" s="1230">
        <f t="shared" si="3"/>
        <v>1440.9812849842865</v>
      </c>
      <c r="Q20" s="1230">
        <f t="shared" si="3"/>
        <v>1440.9812849842865</v>
      </c>
      <c r="R20" s="1230">
        <f t="shared" si="3"/>
        <v>1435.2173598443492</v>
      </c>
      <c r="S20" s="1230">
        <f t="shared" si="3"/>
        <v>1435.2173598443492</v>
      </c>
      <c r="T20" s="1230">
        <f t="shared" si="3"/>
        <v>1429.4764904049719</v>
      </c>
      <c r="U20" s="1230">
        <f t="shared" si="3"/>
        <v>1429.4764904049719</v>
      </c>
      <c r="V20" s="1230">
        <f t="shared" si="3"/>
        <v>1423.758584443352</v>
      </c>
      <c r="W20" s="1230">
        <f t="shared" si="3"/>
        <v>1423.758584443352</v>
      </c>
      <c r="X20" s="1230">
        <f t="shared" si="3"/>
        <v>1418.0635501055785</v>
      </c>
      <c r="Y20" s="1230">
        <f t="shared" si="3"/>
        <v>1418.0635501055785</v>
      </c>
      <c r="Z20" s="1230">
        <f t="shared" si="3"/>
        <v>1412.3912959051563</v>
      </c>
      <c r="AA20" s="1230">
        <f t="shared" si="3"/>
        <v>1412.3912959051563</v>
      </c>
      <c r="AB20" s="1230">
        <f t="shared" si="3"/>
        <v>1406.7417307215358</v>
      </c>
      <c r="AC20" s="1230">
        <f t="shared" si="3"/>
        <v>1406.7417307215358</v>
      </c>
      <c r="AD20" s="1230">
        <f t="shared" si="3"/>
        <v>1401.1147637986494</v>
      </c>
      <c r="AE20" s="1230">
        <f t="shared" si="3"/>
        <v>1401.1147637986494</v>
      </c>
      <c r="AF20" s="1230">
        <f t="shared" si="3"/>
        <v>1395.510304743455</v>
      </c>
      <c r="AG20" s="1230">
        <f t="shared" si="3"/>
        <v>1395.510304743455</v>
      </c>
      <c r="AH20" s="1230">
        <f t="shared" si="3"/>
        <v>1389.9282635244811</v>
      </c>
      <c r="AI20" s="1230">
        <f t="shared" si="3"/>
        <v>1389.9282635244811</v>
      </c>
      <c r="AJ20" s="1230">
        <f t="shared" si="3"/>
        <v>1384.3685504703833</v>
      </c>
      <c r="AK20" s="1230">
        <f t="shared" si="3"/>
        <v>1384.3685504703833</v>
      </c>
      <c r="AL20" s="1230">
        <f t="shared" si="3"/>
        <v>1378.8310762685016</v>
      </c>
      <c r="AM20" s="1230">
        <f t="shared" si="3"/>
        <v>1378.8310762685016</v>
      </c>
      <c r="AN20" s="1230">
        <f t="shared" si="3"/>
        <v>1373.3157519634278</v>
      </c>
      <c r="AO20" s="1230">
        <f t="shared" si="3"/>
        <v>1373.3157519634278</v>
      </c>
      <c r="AP20" s="1230">
        <f t="shared" si="3"/>
        <v>1367.822488955574</v>
      </c>
      <c r="AQ20" s="1230">
        <f t="shared" si="3"/>
        <v>1367.822488955574</v>
      </c>
      <c r="AR20" s="1230">
        <f t="shared" si="3"/>
        <v>1362.3511989997517</v>
      </c>
      <c r="AS20" s="1230">
        <f t="shared" si="3"/>
        <v>1362.3511989997517</v>
      </c>
      <c r="AT20" s="1230">
        <f t="shared" si="3"/>
        <v>1356.9017942037526</v>
      </c>
      <c r="AU20" s="1230">
        <f t="shared" si="3"/>
        <v>1356.9017942037526</v>
      </c>
      <c r="AV20" s="1230">
        <f t="shared" si="3"/>
        <v>1351.4741870269377</v>
      </c>
      <c r="AW20" s="1230">
        <f t="shared" si="3"/>
        <v>1351.4741870269377</v>
      </c>
      <c r="AX20" s="1230">
        <f t="shared" si="3"/>
        <v>1346.0682902788299</v>
      </c>
      <c r="AY20" s="1230">
        <f t="shared" si="3"/>
        <v>1346.0682902788299</v>
      </c>
      <c r="AZ20" s="1230">
        <f t="shared" si="3"/>
        <v>1340.6840171177148</v>
      </c>
      <c r="BA20" s="1230">
        <f t="shared" si="3"/>
        <v>1340.6840171177148</v>
      </c>
      <c r="BB20" s="1230">
        <f t="shared" si="3"/>
        <v>1335.3212810492439</v>
      </c>
      <c r="BC20" s="1230">
        <f t="shared" si="3"/>
        <v>1335.3212810492439</v>
      </c>
      <c r="BD20" s="1230">
        <f t="shared" si="3"/>
        <v>1329.9799959250468</v>
      </c>
      <c r="BE20" s="1230">
        <f t="shared" si="3"/>
        <v>1329.9799959250468</v>
      </c>
      <c r="BF20" s="1230">
        <f t="shared" si="3"/>
        <v>1324.6600759413466</v>
      </c>
      <c r="BG20" s="1230">
        <f t="shared" si="3"/>
        <v>1324.6600759413466</v>
      </c>
      <c r="BH20" s="1230">
        <f t="shared" si="3"/>
        <v>1319.3614356375813</v>
      </c>
      <c r="BI20" s="1230">
        <f t="shared" si="3"/>
        <v>1319.3614356375813</v>
      </c>
      <c r="BJ20" s="1230">
        <f t="shared" si="3"/>
        <v>1314.083989895031</v>
      </c>
      <c r="BK20" s="1230">
        <f t="shared" si="3"/>
        <v>1314.083989895031</v>
      </c>
      <c r="BL20" s="1230">
        <f t="shared" si="3"/>
        <v>1308.8276539354508</v>
      </c>
      <c r="BM20" s="1230">
        <f t="shared" si="3"/>
        <v>1308.8276539354508</v>
      </c>
      <c r="BN20" s="1230">
        <f t="shared" si="3"/>
        <v>1303.592343319709</v>
      </c>
      <c r="BO20" s="1230">
        <f t="shared" si="3"/>
        <v>1303.592343319709</v>
      </c>
      <c r="BP20" s="1230"/>
      <c r="BQ20" s="1230"/>
      <c r="BR20" s="1230"/>
      <c r="BS20" s="1230"/>
      <c r="BT20" s="1230"/>
      <c r="BU20" s="1230"/>
      <c r="BV20" s="1230"/>
      <c r="BW20" s="1230"/>
      <c r="BX20" s="1230"/>
      <c r="BY20" s="1230"/>
      <c r="BZ20" s="1230"/>
      <c r="CA20" s="1230"/>
      <c r="CB20" s="1230"/>
      <c r="CC20" s="1230"/>
      <c r="CD20" s="1230"/>
      <c r="CE20" s="1230"/>
      <c r="CF20" s="1230"/>
      <c r="CG20" s="1230"/>
      <c r="CH20" s="1230"/>
      <c r="CI20" s="1230"/>
      <c r="CJ20" s="1230"/>
      <c r="CK20" s="1230"/>
      <c r="CL20" s="1230"/>
      <c r="CM20" s="1230"/>
      <c r="CN20" s="1230"/>
      <c r="CO20" s="1230"/>
      <c r="CP20" s="1230"/>
      <c r="CQ20" s="1230"/>
      <c r="CR20" s="1230"/>
      <c r="CS20" s="1230"/>
      <c r="CT20" s="1230"/>
      <c r="CU20" s="1230"/>
      <c r="CV20" s="1230"/>
      <c r="CW20" s="1230"/>
      <c r="CX20" s="1230"/>
      <c r="CY20" s="1230"/>
      <c r="CZ20" s="1230"/>
      <c r="DA20" s="1230"/>
      <c r="DB20" s="1230"/>
      <c r="DC20" s="1230"/>
      <c r="DD20" s="1230"/>
      <c r="DE20" s="1230"/>
      <c r="DF20" s="1230"/>
      <c r="DG20" s="1230"/>
      <c r="DH20" s="1230"/>
      <c r="DI20" s="1230"/>
      <c r="DJ20" s="1230"/>
      <c r="DK20" s="1230"/>
      <c r="DL20" s="1230"/>
      <c r="DM20" s="1230"/>
      <c r="DN20" s="1230"/>
      <c r="DO20" s="1230"/>
      <c r="DP20" s="1230"/>
      <c r="DQ20" s="1230"/>
      <c r="DR20" s="1230"/>
      <c r="DS20" s="1230"/>
      <c r="DT20" s="1230"/>
      <c r="DU20" s="1230"/>
      <c r="DV20" s="1230"/>
      <c r="DW20" s="1230"/>
      <c r="DX20" s="491"/>
      <c r="DY20" s="491"/>
    </row>
    <row r="21" spans="1:129" ht="11.25" customHeight="1">
      <c r="A21" s="492" t="s">
        <v>1131</v>
      </c>
      <c r="B21" s="991">
        <f>Inputs!D51</f>
        <v>75.260000000000005</v>
      </c>
      <c r="C21" s="1045"/>
      <c r="D21" s="494"/>
      <c r="E21" s="494"/>
      <c r="G21" s="498">
        <f>$B21*G$7*G$6*G$20</f>
        <v>0</v>
      </c>
      <c r="H21" s="498">
        <f>$B21*H$7*H$6*H$20</f>
        <v>55553.337994783564</v>
      </c>
      <c r="I21" s="498">
        <f t="shared" ref="I21:BO21" si="4">$B21*I$7*I$6*I$20</f>
        <v>54647.577049216445</v>
      </c>
      <c r="J21" s="498">
        <f t="shared" si="4"/>
        <v>55179.9467066219</v>
      </c>
      <c r="K21" s="498">
        <f t="shared" si="4"/>
        <v>54580.164677202105</v>
      </c>
      <c r="L21" s="498">
        <f t="shared" si="4"/>
        <v>55109.800144233217</v>
      </c>
      <c r="M21" s="498">
        <f t="shared" si="4"/>
        <v>54211.270794055497</v>
      </c>
      <c r="N21" s="498">
        <f t="shared" si="4"/>
        <v>54889.360943656284</v>
      </c>
      <c r="O21" s="498">
        <f t="shared" si="4"/>
        <v>53994.425710879281</v>
      </c>
      <c r="P21" s="498">
        <f t="shared" si="4"/>
        <v>54669.803499881658</v>
      </c>
      <c r="Q21" s="498">
        <f t="shared" si="4"/>
        <v>53778.448008035761</v>
      </c>
      <c r="R21" s="498">
        <f t="shared" si="4"/>
        <v>54302.350722259485</v>
      </c>
      <c r="S21" s="498">
        <f t="shared" si="4"/>
        <v>53712.10777962624</v>
      </c>
      <c r="T21" s="498">
        <f t="shared" si="4"/>
        <v>54233.319788738598</v>
      </c>
      <c r="U21" s="498">
        <f t="shared" si="4"/>
        <v>53349.080879139598</v>
      </c>
      <c r="V21" s="498">
        <f t="shared" si="4"/>
        <v>54016.386509583645</v>
      </c>
      <c r="W21" s="498">
        <f t="shared" si="4"/>
        <v>53135.68455562304</v>
      </c>
      <c r="X21" s="498">
        <f t="shared" si="4"/>
        <v>53800.320963545309</v>
      </c>
      <c r="Y21" s="498">
        <f t="shared" si="4"/>
        <v>52923.141817400552</v>
      </c>
      <c r="Z21" s="498">
        <f t="shared" si="4"/>
        <v>53438.712248872296</v>
      </c>
      <c r="AA21" s="498">
        <f t="shared" si="4"/>
        <v>52857.856680949779</v>
      </c>
      <c r="AB21" s="498">
        <f t="shared" si="4"/>
        <v>53370.779200972371</v>
      </c>
      <c r="AC21" s="498">
        <f t="shared" si="4"/>
        <v>52500.603453130432</v>
      </c>
      <c r="AD21" s="498">
        <f t="shared" si="4"/>
        <v>53157.296084168469</v>
      </c>
      <c r="AE21" s="498">
        <f t="shared" si="4"/>
        <v>52290.601039317902</v>
      </c>
      <c r="AF21" s="498">
        <f t="shared" si="4"/>
        <v>52944.666899831805</v>
      </c>
      <c r="AG21" s="498">
        <f t="shared" si="4"/>
        <v>52081.438635160637</v>
      </c>
      <c r="AH21" s="498">
        <f t="shared" si="4"/>
        <v>52588.809302636204</v>
      </c>
      <c r="AI21" s="498">
        <f t="shared" si="4"/>
        <v>52017.191810216245</v>
      </c>
      <c r="AJ21" s="498">
        <f t="shared" si="4"/>
        <v>52521.956679303548</v>
      </c>
      <c r="AK21" s="498">
        <f t="shared" si="4"/>
        <v>51665.620429097515</v>
      </c>
      <c r="AL21" s="498">
        <f t="shared" si="4"/>
        <v>52311.868852586333</v>
      </c>
      <c r="AM21" s="498">
        <f t="shared" si="4"/>
        <v>51458.957947381117</v>
      </c>
      <c r="AN21" s="498">
        <f t="shared" si="4"/>
        <v>52102.621377175994</v>
      </c>
      <c r="AO21" s="498">
        <f t="shared" si="4"/>
        <v>51253.122115591599</v>
      </c>
      <c r="AP21" s="498">
        <f t="shared" si="4"/>
        <v>51752.423430214636</v>
      </c>
      <c r="AQ21" s="498">
        <f t="shared" si="4"/>
        <v>51189.897088581871</v>
      </c>
      <c r="AR21" s="498">
        <f t="shared" si="4"/>
        <v>51686.634048100612</v>
      </c>
      <c r="AS21" s="498">
        <f t="shared" si="4"/>
        <v>50843.917188620711</v>
      </c>
      <c r="AT21" s="498">
        <f t="shared" si="4"/>
        <v>51479.887511908208</v>
      </c>
      <c r="AU21" s="498">
        <f t="shared" si="4"/>
        <v>50640.54151986623</v>
      </c>
      <c r="AV21" s="498">
        <f t="shared" si="4"/>
        <v>51273.967961860581</v>
      </c>
      <c r="AW21" s="498">
        <f t="shared" si="4"/>
        <v>50437.979353786766</v>
      </c>
      <c r="AX21" s="498">
        <f t="shared" si="4"/>
        <v>50929.339652608724</v>
      </c>
      <c r="AY21" s="498">
        <f t="shared" si="4"/>
        <v>50375.75987377602</v>
      </c>
      <c r="AZ21" s="498">
        <f t="shared" si="4"/>
        <v>50864.596601653095</v>
      </c>
      <c r="BA21" s="498">
        <f t="shared" si="4"/>
        <v>50035.282526626142</v>
      </c>
      <c r="BB21" s="498">
        <f t="shared" si="4"/>
        <v>50661.138215246479</v>
      </c>
      <c r="BC21" s="498">
        <f t="shared" si="4"/>
        <v>49835.141396519633</v>
      </c>
      <c r="BD21" s="498">
        <f t="shared" si="4"/>
        <v>50458.493662385488</v>
      </c>
      <c r="BE21" s="498">
        <f t="shared" si="4"/>
        <v>49635.800830933549</v>
      </c>
      <c r="BF21" s="498">
        <f t="shared" si="4"/>
        <v>50119.346409900594</v>
      </c>
      <c r="BG21" s="498">
        <f t="shared" si="4"/>
        <v>49574.570905445158</v>
      </c>
      <c r="BH21" s="498">
        <f t="shared" si="4"/>
        <v>50055.633048985001</v>
      </c>
      <c r="BI21" s="498">
        <f t="shared" si="4"/>
        <v>49239.508597099382</v>
      </c>
      <c r="BJ21" s="498">
        <f t="shared" si="4"/>
        <v>49855.410516789067</v>
      </c>
      <c r="BK21" s="498">
        <f t="shared" si="4"/>
        <v>49042.550562710981</v>
      </c>
      <c r="BL21" s="498">
        <f t="shared" si="4"/>
        <v>49655.988874721908</v>
      </c>
      <c r="BM21" s="498">
        <f t="shared" si="4"/>
        <v>48846.380360460134</v>
      </c>
      <c r="BN21" s="498">
        <f t="shared" si="4"/>
        <v>49322.235506875411</v>
      </c>
      <c r="BO21" s="498">
        <f t="shared" si="4"/>
        <v>48786.124251365894</v>
      </c>
      <c r="BP21" s="498"/>
      <c r="BQ21" s="498"/>
      <c r="BR21" s="498"/>
      <c r="BS21" s="498"/>
      <c r="BT21" s="498"/>
      <c r="BU21" s="498"/>
      <c r="BV21" s="498"/>
      <c r="BW21" s="498"/>
      <c r="BX21" s="498"/>
      <c r="BY21" s="498"/>
      <c r="BZ21" s="498"/>
      <c r="CA21" s="498"/>
      <c r="CB21" s="498"/>
      <c r="CC21" s="498"/>
      <c r="CD21" s="498"/>
      <c r="CE21" s="498"/>
      <c r="CF21" s="498"/>
      <c r="CG21" s="498"/>
      <c r="CH21" s="498"/>
      <c r="CI21" s="498"/>
      <c r="CJ21" s="498"/>
      <c r="CK21" s="498"/>
      <c r="CL21" s="498"/>
      <c r="CM21" s="498"/>
      <c r="CN21" s="498"/>
      <c r="CO21" s="498"/>
      <c r="CP21" s="498"/>
      <c r="CQ21" s="498"/>
      <c r="CR21" s="498"/>
      <c r="CS21" s="498"/>
      <c r="CT21" s="498"/>
      <c r="CU21" s="498"/>
      <c r="CV21" s="498"/>
      <c r="CW21" s="498"/>
      <c r="CX21" s="498"/>
      <c r="CY21" s="498"/>
      <c r="CZ21" s="498"/>
      <c r="DA21" s="498"/>
      <c r="DB21" s="498"/>
      <c r="DC21" s="498"/>
      <c r="DD21" s="498"/>
      <c r="DE21" s="498"/>
      <c r="DF21" s="498"/>
      <c r="DG21" s="498"/>
      <c r="DH21" s="498"/>
      <c r="DI21" s="498"/>
      <c r="DJ21" s="498"/>
      <c r="DK21" s="498"/>
      <c r="DL21" s="498"/>
      <c r="DM21" s="498"/>
      <c r="DN21" s="498"/>
      <c r="DO21" s="498"/>
      <c r="DP21" s="498"/>
      <c r="DQ21" s="498"/>
      <c r="DR21" s="498"/>
      <c r="DS21" s="498"/>
      <c r="DT21" s="498"/>
      <c r="DU21" s="498"/>
      <c r="DV21" s="498"/>
      <c r="DW21" s="498"/>
    </row>
    <row r="22" spans="1:129" s="310" customFormat="1">
      <c r="A22" s="488"/>
      <c r="B22" s="672"/>
      <c r="C22" s="672"/>
      <c r="D22" s="315"/>
      <c r="E22" s="315"/>
      <c r="F22" s="938"/>
      <c r="G22" s="489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  <c r="BL22" s="233"/>
      <c r="BM22" s="233"/>
      <c r="BN22" s="233"/>
      <c r="BO22" s="233"/>
      <c r="BP22" s="233"/>
      <c r="BQ22" s="233"/>
      <c r="BR22" s="233"/>
      <c r="BS22" s="233"/>
      <c r="BT22" s="233"/>
      <c r="BU22" s="233"/>
      <c r="BV22" s="233"/>
      <c r="BW22" s="233"/>
      <c r="BX22" s="233"/>
      <c r="BY22" s="233"/>
      <c r="BZ22" s="233"/>
      <c r="CA22" s="233"/>
      <c r="CB22" s="233"/>
      <c r="CC22" s="233"/>
      <c r="CD22" s="233"/>
      <c r="CE22" s="233"/>
      <c r="CF22" s="233"/>
      <c r="CG22" s="233"/>
      <c r="CH22" s="233"/>
      <c r="CI22" s="233"/>
      <c r="CJ22" s="233"/>
      <c r="CK22" s="233"/>
      <c r="CL22" s="233"/>
      <c r="CM22" s="233"/>
      <c r="CN22" s="233"/>
      <c r="CO22" s="233"/>
      <c r="CP22" s="233"/>
      <c r="CQ22" s="233"/>
      <c r="CR22" s="233"/>
      <c r="CS22" s="233"/>
      <c r="CT22" s="233"/>
      <c r="CU22" s="233"/>
      <c r="CV22" s="233"/>
      <c r="CW22" s="233"/>
      <c r="CX22" s="233"/>
      <c r="CY22" s="233"/>
      <c r="CZ22" s="233"/>
      <c r="DA22" s="233"/>
      <c r="DB22" s="233"/>
      <c r="DC22" s="233"/>
      <c r="DD22" s="233"/>
      <c r="DE22" s="233"/>
      <c r="DF22" s="233"/>
      <c r="DG22" s="233"/>
      <c r="DH22" s="233"/>
      <c r="DI22" s="233"/>
      <c r="DJ22" s="233"/>
      <c r="DK22" s="233"/>
      <c r="DL22" s="233"/>
      <c r="DM22" s="233"/>
      <c r="DN22" s="233"/>
      <c r="DO22" s="233"/>
      <c r="DP22" s="233"/>
      <c r="DQ22" s="233"/>
      <c r="DR22" s="233"/>
      <c r="DS22" s="233"/>
      <c r="DT22" s="233"/>
      <c r="DU22" s="233"/>
      <c r="DV22" s="233"/>
      <c r="DW22" s="233"/>
      <c r="DX22" s="491"/>
      <c r="DY22" s="491"/>
    </row>
    <row r="23" spans="1:129">
      <c r="A23" s="496" t="s">
        <v>1107</v>
      </c>
      <c r="B23" s="840"/>
      <c r="C23" s="840"/>
      <c r="F23" s="635"/>
      <c r="G23" s="497">
        <f>G24+G42+G44+G46+G28+G40+G36+G32+G41</f>
        <v>0</v>
      </c>
      <c r="H23" s="497">
        <f>H24+H42+H44+H46+H28+H40+H36+H32+H41</f>
        <v>3249.8702726948381</v>
      </c>
      <c r="I23" s="497">
        <f t="shared" ref="I23:BO23" si="5">I24+I42+I44+I46+I28+I40+I36+I32+I41</f>
        <v>3196.8832573791619</v>
      </c>
      <c r="J23" s="497">
        <f t="shared" si="5"/>
        <v>3228.0268823373808</v>
      </c>
      <c r="K23" s="497">
        <f t="shared" si="5"/>
        <v>3255.1610213483336</v>
      </c>
      <c r="L23" s="497">
        <f t="shared" si="5"/>
        <v>3286.7484806020693</v>
      </c>
      <c r="M23" s="497">
        <f t="shared" si="5"/>
        <v>3296.1970558367971</v>
      </c>
      <c r="N23" s="497">
        <f t="shared" si="5"/>
        <v>3337.4268355849445</v>
      </c>
      <c r="O23" s="497">
        <f t="shared" si="5"/>
        <v>3347.0526801943934</v>
      </c>
      <c r="P23" s="497">
        <f t="shared" si="5"/>
        <v>3388.9185767024601</v>
      </c>
      <c r="Q23" s="497">
        <f t="shared" si="5"/>
        <v>3398.7244054228463</v>
      </c>
      <c r="R23" s="497">
        <f t="shared" si="5"/>
        <v>3431.8343408496439</v>
      </c>
      <c r="S23" s="497">
        <f t="shared" si="5"/>
        <v>3460.8110663064376</v>
      </c>
      <c r="T23" s="497">
        <f t="shared" si="5"/>
        <v>3494.3941142186272</v>
      </c>
      <c r="U23" s="497">
        <f t="shared" si="5"/>
        <v>3504.5682306553808</v>
      </c>
      <c r="V23" s="497">
        <f t="shared" si="5"/>
        <v>3548.4043769217005</v>
      </c>
      <c r="W23" s="497">
        <f t="shared" si="5"/>
        <v>3558.7668863507452</v>
      </c>
      <c r="X23" s="497">
        <f t="shared" si="5"/>
        <v>3603.2809649733867</v>
      </c>
      <c r="Y23" s="497">
        <f t="shared" si="5"/>
        <v>3613.8347609269276</v>
      </c>
      <c r="Z23" s="497">
        <f t="shared" si="5"/>
        <v>3649.0402737324071</v>
      </c>
      <c r="AA23" s="497">
        <f t="shared" si="5"/>
        <v>3679.9785926456811</v>
      </c>
      <c r="AB23" s="497">
        <f t="shared" si="5"/>
        <v>3715.6884002673223</v>
      </c>
      <c r="AC23" s="497">
        <f t="shared" si="5"/>
        <v>3726.6336365559332</v>
      </c>
      <c r="AD23" s="497">
        <f t="shared" si="5"/>
        <v>3773.2474407170521</v>
      </c>
      <c r="AE23" s="497">
        <f t="shared" si="5"/>
        <v>3784.3929260187233</v>
      </c>
      <c r="AF23" s="497">
        <f t="shared" si="5"/>
        <v>3957.23941085652</v>
      </c>
      <c r="AG23" s="497">
        <f t="shared" si="5"/>
        <v>3928.8894985406514</v>
      </c>
      <c r="AH23" s="497">
        <f t="shared" si="5"/>
        <v>3967.1642340232183</v>
      </c>
      <c r="AI23" s="497">
        <f t="shared" si="5"/>
        <v>3934.2835361643188</v>
      </c>
      <c r="AJ23" s="497">
        <f t="shared" si="5"/>
        <v>3972.4610702636178</v>
      </c>
      <c r="AK23" s="497">
        <f t="shared" si="5"/>
        <v>3810.596711020843</v>
      </c>
      <c r="AL23" s="497">
        <f t="shared" si="5"/>
        <v>3858.2607494393574</v>
      </c>
      <c r="AM23" s="497">
        <f t="shared" si="5"/>
        <v>3879.7645614286498</v>
      </c>
      <c r="AN23" s="497">
        <f t="shared" si="5"/>
        <v>3928.2937711914929</v>
      </c>
      <c r="AO23" s="497">
        <f t="shared" si="5"/>
        <v>3948.6759475031022</v>
      </c>
      <c r="AP23" s="497">
        <f t="shared" si="5"/>
        <v>3987.1434400231119</v>
      </c>
      <c r="AQ23" s="497">
        <f t="shared" si="5"/>
        <v>4027.6384287901647</v>
      </c>
      <c r="AR23" s="497">
        <f t="shared" si="5"/>
        <v>4066.7218608919325</v>
      </c>
      <c r="AS23" s="497">
        <f t="shared" si="5"/>
        <v>4084.8668107774711</v>
      </c>
      <c r="AT23" s="497">
        <f t="shared" si="5"/>
        <v>4135.9614983995707</v>
      </c>
      <c r="AU23" s="497">
        <f t="shared" si="5"/>
        <v>4152.9933113562402</v>
      </c>
      <c r="AV23" s="497">
        <f t="shared" si="5"/>
        <v>4204.940144819835</v>
      </c>
      <c r="AW23" s="497">
        <f t="shared" si="5"/>
        <v>4244.9416478069379</v>
      </c>
      <c r="AX23" s="497">
        <f t="shared" si="5"/>
        <v>4286.2953226224536</v>
      </c>
      <c r="AY23" s="497">
        <f t="shared" si="5"/>
        <v>4324.4755585446819</v>
      </c>
      <c r="AZ23" s="497">
        <f t="shared" si="5"/>
        <v>4366.4394413152877</v>
      </c>
      <c r="BA23" s="497">
        <f t="shared" si="5"/>
        <v>4378.87859161705</v>
      </c>
      <c r="BB23" s="497">
        <f t="shared" si="5"/>
        <v>4433.6508630613644</v>
      </c>
      <c r="BC23" s="497">
        <f t="shared" si="5"/>
        <v>4470.7399131205693</v>
      </c>
      <c r="BD23" s="497">
        <f t="shared" si="5"/>
        <v>4526.6612123653467</v>
      </c>
      <c r="BE23" s="497">
        <f t="shared" si="5"/>
        <v>4536.5187031867381</v>
      </c>
      <c r="BF23" s="497">
        <f t="shared" si="5"/>
        <v>4580.7128841227732</v>
      </c>
      <c r="BG23" s="497">
        <f t="shared" si="5"/>
        <v>4600.0433222277707</v>
      </c>
      <c r="BH23" s="497">
        <f t="shared" si="5"/>
        <v>4644.6812618115091</v>
      </c>
      <c r="BI23" s="497">
        <f t="shared" si="5"/>
        <v>4635.3352970059077</v>
      </c>
      <c r="BJ23" s="497">
        <f t="shared" si="5"/>
        <v>4693.3154025993945</v>
      </c>
      <c r="BK23" s="497">
        <f t="shared" si="5"/>
        <v>4658.573635066442</v>
      </c>
      <c r="BL23" s="497">
        <f t="shared" si="5"/>
        <v>4716.8444124685993</v>
      </c>
      <c r="BM23" s="497">
        <f t="shared" si="5"/>
        <v>4703.3322242466802</v>
      </c>
      <c r="BN23" s="497">
        <f t="shared" si="5"/>
        <v>4749.1514810205208</v>
      </c>
      <c r="BO23" s="497">
        <f t="shared" si="5"/>
        <v>4760.5507777083531</v>
      </c>
      <c r="BP23" s="497"/>
      <c r="BQ23" s="497"/>
      <c r="BR23" s="497"/>
      <c r="BS23" s="497"/>
      <c r="BT23" s="497"/>
      <c r="BU23" s="497"/>
      <c r="BV23" s="497"/>
      <c r="BW23" s="497"/>
      <c r="BX23" s="497"/>
      <c r="BY23" s="497"/>
      <c r="BZ23" s="497"/>
      <c r="CA23" s="497"/>
      <c r="CB23" s="497"/>
      <c r="CC23" s="497"/>
      <c r="CD23" s="497"/>
      <c r="CE23" s="497"/>
      <c r="CF23" s="497"/>
      <c r="CG23" s="497"/>
      <c r="CH23" s="497"/>
      <c r="CI23" s="497"/>
      <c r="CJ23" s="497"/>
      <c r="CK23" s="497"/>
      <c r="CL23" s="497"/>
      <c r="CM23" s="497"/>
      <c r="CN23" s="497"/>
      <c r="CO23" s="497"/>
      <c r="CP23" s="497"/>
      <c r="CQ23" s="497"/>
      <c r="CR23" s="497"/>
      <c r="CS23" s="497"/>
      <c r="CT23" s="497"/>
      <c r="CU23" s="497"/>
      <c r="CV23" s="497"/>
      <c r="CW23" s="497"/>
      <c r="CX23" s="497"/>
      <c r="CY23" s="497"/>
      <c r="CZ23" s="497"/>
      <c r="DA23" s="497"/>
      <c r="DB23" s="497"/>
      <c r="DC23" s="497"/>
      <c r="DD23" s="497"/>
      <c r="DE23" s="497"/>
      <c r="DF23" s="497"/>
      <c r="DG23" s="497"/>
      <c r="DH23" s="497"/>
      <c r="DI23" s="497"/>
      <c r="DJ23" s="497"/>
      <c r="DK23" s="497"/>
      <c r="DL23" s="497"/>
      <c r="DM23" s="497"/>
      <c r="DN23" s="497"/>
      <c r="DO23" s="497"/>
      <c r="DP23" s="497"/>
      <c r="DQ23" s="497"/>
      <c r="DR23" s="497"/>
      <c r="DS23" s="497"/>
      <c r="DT23" s="497"/>
      <c r="DU23" s="497"/>
      <c r="DV23" s="497"/>
      <c r="DW23" s="497"/>
    </row>
    <row r="24" spans="1:129" s="482" customFormat="1" ht="11.25" customHeight="1">
      <c r="A24" s="499" t="s">
        <v>1132</v>
      </c>
      <c r="B24" s="1449">
        <f>Scenarios!E323</f>
        <v>1</v>
      </c>
      <c r="C24" s="1450"/>
      <c r="D24" s="1451"/>
      <c r="E24" s="1451"/>
      <c r="F24" s="1452"/>
      <c r="G24" s="497">
        <f t="shared" ref="G24:AL24" si="6">G25*G26/1000</f>
        <v>0</v>
      </c>
      <c r="H24" s="497">
        <f>H25*H26/1000</f>
        <v>3166.540265702663</v>
      </c>
      <c r="I24" s="497">
        <f t="shared" si="6"/>
        <v>3114.9118918053373</v>
      </c>
      <c r="J24" s="497">
        <f t="shared" si="6"/>
        <v>3145.2569622774481</v>
      </c>
      <c r="K24" s="497">
        <f t="shared" si="6"/>
        <v>3173.2907743325304</v>
      </c>
      <c r="L24" s="497">
        <f t="shared" si="6"/>
        <v>3204.0837803857194</v>
      </c>
      <c r="M24" s="497">
        <f t="shared" si="6"/>
        <v>3214.880149645714</v>
      </c>
      <c r="N24" s="497">
        <f t="shared" si="6"/>
        <v>3255.0927941694599</v>
      </c>
      <c r="O24" s="497">
        <f t="shared" si="6"/>
        <v>3266.0610416280742</v>
      </c>
      <c r="P24" s="497">
        <f t="shared" si="6"/>
        <v>3306.9138714526375</v>
      </c>
      <c r="Q24" s="497">
        <f t="shared" si="6"/>
        <v>3318.0567334107927</v>
      </c>
      <c r="R24" s="497">
        <f t="shared" si="6"/>
        <v>3350.3808147662548</v>
      </c>
      <c r="S24" s="497">
        <f t="shared" si="6"/>
        <v>3380.2429046369984</v>
      </c>
      <c r="T24" s="497">
        <f t="shared" si="6"/>
        <v>3413.0441345355193</v>
      </c>
      <c r="U24" s="497">
        <f t="shared" si="6"/>
        <v>3424.5446093366713</v>
      </c>
      <c r="V24" s="497">
        <f t="shared" si="6"/>
        <v>3467.3797971573249</v>
      </c>
      <c r="W24" s="497">
        <f t="shared" si="6"/>
        <v>3479.0633595173108</v>
      </c>
      <c r="X24" s="497">
        <f t="shared" si="6"/>
        <v>3522.5804835280687</v>
      </c>
      <c r="Y24" s="497">
        <f t="shared" si="6"/>
        <v>3534.4500482008266</v>
      </c>
      <c r="Z24" s="497">
        <f t="shared" si="6"/>
        <v>3568.8822053590984</v>
      </c>
      <c r="AA24" s="497">
        <f t="shared" si="6"/>
        <v>3600.6918076242564</v>
      </c>
      <c r="AB24" s="497">
        <f t="shared" si="6"/>
        <v>3635.6322314658637</v>
      </c>
      <c r="AC24" s="497">
        <f t="shared" si="6"/>
        <v>3647.8827313762376</v>
      </c>
      <c r="AD24" s="497">
        <f t="shared" si="6"/>
        <v>3693.5114965907992</v>
      </c>
      <c r="AE24" s="497">
        <f t="shared" si="6"/>
        <v>3705.9570244597467</v>
      </c>
      <c r="AF24" s="497">
        <f t="shared" si="6"/>
        <v>0</v>
      </c>
      <c r="AG24" s="497">
        <f t="shared" si="6"/>
        <v>0</v>
      </c>
      <c r="AH24" s="497">
        <f t="shared" si="6"/>
        <v>0</v>
      </c>
      <c r="AI24" s="497">
        <f t="shared" si="6"/>
        <v>0</v>
      </c>
      <c r="AJ24" s="497">
        <f t="shared" si="6"/>
        <v>0</v>
      </c>
      <c r="AK24" s="497">
        <f t="shared" si="6"/>
        <v>0</v>
      </c>
      <c r="AL24" s="497">
        <f t="shared" si="6"/>
        <v>0</v>
      </c>
      <c r="AM24" s="497">
        <f t="shared" ref="AM24:BO24" si="7">AM25*AM26/1000</f>
        <v>0</v>
      </c>
      <c r="AN24" s="497">
        <f t="shared" si="7"/>
        <v>0</v>
      </c>
      <c r="AO24" s="497">
        <f t="shared" si="7"/>
        <v>0</v>
      </c>
      <c r="AP24" s="497">
        <f t="shared" si="7"/>
        <v>0</v>
      </c>
      <c r="AQ24" s="497">
        <f t="shared" si="7"/>
        <v>0</v>
      </c>
      <c r="AR24" s="497">
        <f t="shared" si="7"/>
        <v>0</v>
      </c>
      <c r="AS24" s="497">
        <f t="shared" si="7"/>
        <v>0</v>
      </c>
      <c r="AT24" s="497">
        <f t="shared" si="7"/>
        <v>0</v>
      </c>
      <c r="AU24" s="497">
        <f t="shared" si="7"/>
        <v>0</v>
      </c>
      <c r="AV24" s="497">
        <f t="shared" si="7"/>
        <v>0</v>
      </c>
      <c r="AW24" s="497">
        <f t="shared" si="7"/>
        <v>0</v>
      </c>
      <c r="AX24" s="497">
        <f t="shared" si="7"/>
        <v>0</v>
      </c>
      <c r="AY24" s="497">
        <f t="shared" si="7"/>
        <v>0</v>
      </c>
      <c r="AZ24" s="497">
        <f t="shared" si="7"/>
        <v>0</v>
      </c>
      <c r="BA24" s="497">
        <f t="shared" si="7"/>
        <v>0</v>
      </c>
      <c r="BB24" s="497">
        <f t="shared" si="7"/>
        <v>0</v>
      </c>
      <c r="BC24" s="497">
        <f t="shared" si="7"/>
        <v>0</v>
      </c>
      <c r="BD24" s="497">
        <f t="shared" si="7"/>
        <v>0</v>
      </c>
      <c r="BE24" s="497">
        <f t="shared" si="7"/>
        <v>0</v>
      </c>
      <c r="BF24" s="497">
        <f t="shared" si="7"/>
        <v>0</v>
      </c>
      <c r="BG24" s="497">
        <f t="shared" si="7"/>
        <v>0</v>
      </c>
      <c r="BH24" s="497">
        <f t="shared" si="7"/>
        <v>0</v>
      </c>
      <c r="BI24" s="497">
        <f t="shared" si="7"/>
        <v>0</v>
      </c>
      <c r="BJ24" s="497">
        <f t="shared" si="7"/>
        <v>0</v>
      </c>
      <c r="BK24" s="497">
        <f t="shared" si="7"/>
        <v>0</v>
      </c>
      <c r="BL24" s="497">
        <f t="shared" si="7"/>
        <v>0</v>
      </c>
      <c r="BM24" s="497">
        <f t="shared" si="7"/>
        <v>0</v>
      </c>
      <c r="BN24" s="497">
        <f t="shared" si="7"/>
        <v>0</v>
      </c>
      <c r="BO24" s="497">
        <f t="shared" si="7"/>
        <v>0</v>
      </c>
      <c r="BP24" s="497"/>
      <c r="BQ24" s="497"/>
      <c r="BR24" s="497"/>
      <c r="BS24" s="497"/>
      <c r="BT24" s="497"/>
      <c r="BU24" s="497"/>
      <c r="BV24" s="497"/>
      <c r="BW24" s="497"/>
      <c r="BX24" s="497"/>
      <c r="BY24" s="497"/>
      <c r="BZ24" s="497"/>
      <c r="CA24" s="497"/>
      <c r="CB24" s="497"/>
      <c r="CC24" s="497"/>
      <c r="CD24" s="497"/>
      <c r="CE24" s="497"/>
      <c r="CF24" s="497"/>
      <c r="CG24" s="497"/>
      <c r="CH24" s="497"/>
      <c r="CI24" s="497"/>
      <c r="CJ24" s="497"/>
      <c r="CK24" s="497"/>
      <c r="CL24" s="497"/>
      <c r="CM24" s="497"/>
      <c r="CN24" s="497"/>
      <c r="CO24" s="497"/>
      <c r="CP24" s="497"/>
      <c r="CQ24" s="497"/>
      <c r="CR24" s="497"/>
      <c r="CS24" s="497"/>
      <c r="CT24" s="497"/>
      <c r="CU24" s="497"/>
      <c r="CV24" s="497"/>
      <c r="CW24" s="497"/>
      <c r="CX24" s="497"/>
      <c r="CY24" s="497"/>
      <c r="CZ24" s="497"/>
      <c r="DA24" s="497"/>
      <c r="DB24" s="497"/>
      <c r="DC24" s="497"/>
      <c r="DD24" s="497"/>
      <c r="DE24" s="497"/>
      <c r="DF24" s="497"/>
      <c r="DG24" s="497"/>
      <c r="DH24" s="497"/>
      <c r="DI24" s="497"/>
      <c r="DJ24" s="497"/>
      <c r="DK24" s="497"/>
      <c r="DL24" s="497"/>
      <c r="DM24" s="497"/>
      <c r="DN24" s="497"/>
      <c r="DO24" s="497"/>
      <c r="DP24" s="497"/>
      <c r="DQ24" s="497"/>
      <c r="DR24" s="497"/>
      <c r="DS24" s="497"/>
      <c r="DT24" s="497"/>
      <c r="DU24" s="497"/>
      <c r="DV24" s="497"/>
      <c r="DW24" s="497"/>
    </row>
    <row r="25" spans="1:129" s="481" customFormat="1" ht="11.25" customHeight="1">
      <c r="A25" s="500" t="s">
        <v>1133</v>
      </c>
      <c r="B25" s="674"/>
      <c r="C25" s="674"/>
      <c r="D25" s="495"/>
      <c r="E25" s="495"/>
      <c r="F25" s="939"/>
      <c r="G25" s="495">
        <f>G21*G9*$B$24</f>
        <v>0</v>
      </c>
      <c r="H25" s="495">
        <f>H21*H9*$B$24</f>
        <v>55553.337994783564</v>
      </c>
      <c r="I25" s="495">
        <f t="shared" ref="I25:BO25" si="8">I21*I9*$B$24</f>
        <v>54647.577049216445</v>
      </c>
      <c r="J25" s="495">
        <f t="shared" si="8"/>
        <v>55179.9467066219</v>
      </c>
      <c r="K25" s="495">
        <f t="shared" si="8"/>
        <v>54580.164677202105</v>
      </c>
      <c r="L25" s="495">
        <f t="shared" si="8"/>
        <v>55109.800144233217</v>
      </c>
      <c r="M25" s="495">
        <f t="shared" si="8"/>
        <v>54211.270794055497</v>
      </c>
      <c r="N25" s="495">
        <f t="shared" si="8"/>
        <v>54889.360943656284</v>
      </c>
      <c r="O25" s="495">
        <f t="shared" si="8"/>
        <v>53994.425710879281</v>
      </c>
      <c r="P25" s="495">
        <f t="shared" si="8"/>
        <v>54669.803499881658</v>
      </c>
      <c r="Q25" s="495">
        <f t="shared" si="8"/>
        <v>53778.448008035761</v>
      </c>
      <c r="R25" s="495">
        <f t="shared" si="8"/>
        <v>54302.350722259485</v>
      </c>
      <c r="S25" s="495">
        <f t="shared" si="8"/>
        <v>53712.10777962624</v>
      </c>
      <c r="T25" s="495">
        <f t="shared" si="8"/>
        <v>54233.319788738598</v>
      </c>
      <c r="U25" s="495">
        <f t="shared" si="8"/>
        <v>53349.080879139598</v>
      </c>
      <c r="V25" s="495">
        <f t="shared" si="8"/>
        <v>54016.386509583645</v>
      </c>
      <c r="W25" s="495">
        <f t="shared" si="8"/>
        <v>53135.68455562304</v>
      </c>
      <c r="X25" s="495">
        <f t="shared" si="8"/>
        <v>53800.320963545309</v>
      </c>
      <c r="Y25" s="495">
        <f t="shared" si="8"/>
        <v>52923.141817400552</v>
      </c>
      <c r="Z25" s="495">
        <f t="shared" si="8"/>
        <v>53438.712248872296</v>
      </c>
      <c r="AA25" s="495">
        <f t="shared" si="8"/>
        <v>52857.856680949779</v>
      </c>
      <c r="AB25" s="495">
        <f t="shared" si="8"/>
        <v>53370.779200972371</v>
      </c>
      <c r="AC25" s="495">
        <f t="shared" si="8"/>
        <v>52500.603453130432</v>
      </c>
      <c r="AD25" s="495">
        <f t="shared" si="8"/>
        <v>53157.296084168469</v>
      </c>
      <c r="AE25" s="495">
        <f t="shared" si="8"/>
        <v>52290.601039317902</v>
      </c>
      <c r="AF25" s="495">
        <f t="shared" si="8"/>
        <v>0</v>
      </c>
      <c r="AG25" s="495">
        <f t="shared" si="8"/>
        <v>0</v>
      </c>
      <c r="AH25" s="495">
        <f t="shared" si="8"/>
        <v>0</v>
      </c>
      <c r="AI25" s="495">
        <f t="shared" si="8"/>
        <v>0</v>
      </c>
      <c r="AJ25" s="495">
        <f t="shared" si="8"/>
        <v>0</v>
      </c>
      <c r="AK25" s="495">
        <f t="shared" si="8"/>
        <v>0</v>
      </c>
      <c r="AL25" s="495">
        <f t="shared" si="8"/>
        <v>0</v>
      </c>
      <c r="AM25" s="495">
        <f t="shared" si="8"/>
        <v>0</v>
      </c>
      <c r="AN25" s="495">
        <f t="shared" si="8"/>
        <v>0</v>
      </c>
      <c r="AO25" s="495">
        <f t="shared" si="8"/>
        <v>0</v>
      </c>
      <c r="AP25" s="495">
        <f t="shared" si="8"/>
        <v>0</v>
      </c>
      <c r="AQ25" s="495">
        <f t="shared" si="8"/>
        <v>0</v>
      </c>
      <c r="AR25" s="495">
        <f t="shared" si="8"/>
        <v>0</v>
      </c>
      <c r="AS25" s="495">
        <f t="shared" si="8"/>
        <v>0</v>
      </c>
      <c r="AT25" s="495">
        <f t="shared" si="8"/>
        <v>0</v>
      </c>
      <c r="AU25" s="495">
        <f t="shared" si="8"/>
        <v>0</v>
      </c>
      <c r="AV25" s="495">
        <f t="shared" si="8"/>
        <v>0</v>
      </c>
      <c r="AW25" s="495">
        <f t="shared" si="8"/>
        <v>0</v>
      </c>
      <c r="AX25" s="495">
        <f t="shared" si="8"/>
        <v>0</v>
      </c>
      <c r="AY25" s="495">
        <f t="shared" si="8"/>
        <v>0</v>
      </c>
      <c r="AZ25" s="495">
        <f t="shared" si="8"/>
        <v>0</v>
      </c>
      <c r="BA25" s="495">
        <f t="shared" si="8"/>
        <v>0</v>
      </c>
      <c r="BB25" s="495">
        <f t="shared" si="8"/>
        <v>0</v>
      </c>
      <c r="BC25" s="495">
        <f t="shared" si="8"/>
        <v>0</v>
      </c>
      <c r="BD25" s="495">
        <f t="shared" si="8"/>
        <v>0</v>
      </c>
      <c r="BE25" s="495">
        <f t="shared" si="8"/>
        <v>0</v>
      </c>
      <c r="BF25" s="495">
        <f t="shared" si="8"/>
        <v>0</v>
      </c>
      <c r="BG25" s="495">
        <f t="shared" si="8"/>
        <v>0</v>
      </c>
      <c r="BH25" s="495">
        <f t="shared" si="8"/>
        <v>0</v>
      </c>
      <c r="BI25" s="495">
        <f t="shared" si="8"/>
        <v>0</v>
      </c>
      <c r="BJ25" s="495">
        <f t="shared" si="8"/>
        <v>0</v>
      </c>
      <c r="BK25" s="495">
        <f t="shared" si="8"/>
        <v>0</v>
      </c>
      <c r="BL25" s="495">
        <f t="shared" si="8"/>
        <v>0</v>
      </c>
      <c r="BM25" s="495">
        <f t="shared" si="8"/>
        <v>0</v>
      </c>
      <c r="BN25" s="495">
        <f t="shared" si="8"/>
        <v>0</v>
      </c>
      <c r="BO25" s="495">
        <f t="shared" si="8"/>
        <v>0</v>
      </c>
      <c r="BP25" s="495"/>
      <c r="BQ25" s="495"/>
      <c r="BR25" s="495"/>
      <c r="BS25" s="495"/>
      <c r="BT25" s="495"/>
      <c r="BU25" s="495"/>
      <c r="BV25" s="495"/>
      <c r="BW25" s="495"/>
      <c r="BX25" s="495"/>
      <c r="BY25" s="495"/>
      <c r="BZ25" s="495"/>
      <c r="CA25" s="495"/>
      <c r="CB25" s="495"/>
      <c r="CC25" s="495"/>
      <c r="CD25" s="495"/>
      <c r="CE25" s="495"/>
      <c r="CF25" s="495"/>
      <c r="CG25" s="495"/>
      <c r="CH25" s="495"/>
      <c r="CI25" s="495"/>
      <c r="CJ25" s="495"/>
      <c r="CK25" s="495"/>
      <c r="CL25" s="495"/>
      <c r="CM25" s="495"/>
      <c r="CN25" s="495"/>
      <c r="CO25" s="495"/>
      <c r="CP25" s="495"/>
      <c r="CQ25" s="495"/>
      <c r="CR25" s="495"/>
      <c r="CS25" s="495"/>
      <c r="CT25" s="495"/>
      <c r="CU25" s="495"/>
      <c r="CV25" s="495"/>
      <c r="CW25" s="495"/>
      <c r="CX25" s="495"/>
      <c r="CY25" s="495"/>
      <c r="CZ25" s="495"/>
      <c r="DA25" s="495"/>
      <c r="DB25" s="495"/>
      <c r="DC25" s="495"/>
      <c r="DD25" s="495"/>
      <c r="DE25" s="495"/>
      <c r="DF25" s="495"/>
      <c r="DG25" s="495"/>
      <c r="DH25" s="495"/>
      <c r="DI25" s="495"/>
      <c r="DJ25" s="495"/>
      <c r="DK25" s="495"/>
      <c r="DL25" s="495"/>
      <c r="DM25" s="495"/>
      <c r="DN25" s="495"/>
      <c r="DO25" s="495"/>
      <c r="DP25" s="495"/>
      <c r="DQ25" s="495"/>
      <c r="DR25" s="495"/>
      <c r="DS25" s="495"/>
      <c r="DT25" s="495"/>
      <c r="DU25" s="495"/>
      <c r="DV25" s="495"/>
      <c r="DW25" s="495"/>
    </row>
    <row r="26" spans="1:129" s="481" customFormat="1" ht="11.25" customHeight="1">
      <c r="A26" s="500" t="s">
        <v>1134</v>
      </c>
      <c r="B26" s="675"/>
      <c r="C26" s="675"/>
      <c r="D26" s="478"/>
      <c r="E26" s="478"/>
      <c r="F26" s="940"/>
      <c r="G26" s="1049">
        <f>IF(AND(G9,G6),HLOOKUP(G3,Inputs!$D$96:$AH$100,3,FALSE),0)</f>
        <v>0</v>
      </c>
      <c r="H26" s="1049">
        <f>IF(AND(H9,H6),HLOOKUP(H3,Inputs!$D$96:$AH$100,3,FALSE),0)</f>
        <v>57</v>
      </c>
      <c r="I26" s="1049">
        <f>IF(AND(I9,I6),HLOOKUP(I3,Inputs!$D$96:$AH$100,3,FALSE),0)</f>
        <v>57</v>
      </c>
      <c r="J26" s="1049">
        <f>IF(AND(J9,J6),HLOOKUP(J3,Inputs!$D$96:$AH$100,3,FALSE),0)</f>
        <v>57</v>
      </c>
      <c r="K26" s="1049">
        <f>IF(AND(K9,K6),HLOOKUP(K3,Inputs!$D$96:$AH$100,3,FALSE),0)</f>
        <v>58.14</v>
      </c>
      <c r="L26" s="1049">
        <f>IF(AND(L9,L6),HLOOKUP(L3,Inputs!$D$96:$AH$100,3,FALSE),0)</f>
        <v>58.14</v>
      </c>
      <c r="M26" s="1049">
        <f>IF(AND(M9,M6),HLOOKUP(M3,Inputs!$D$96:$AH$100,3,FALSE),0)</f>
        <v>59.302799999999998</v>
      </c>
      <c r="N26" s="1049">
        <f>IF(AND(N9,N6),HLOOKUP(N3,Inputs!$D$96:$AH$100,3,FALSE),0)</f>
        <v>59.302799999999998</v>
      </c>
      <c r="O26" s="1049">
        <f>IF(AND(O9,O6),HLOOKUP(O3,Inputs!$D$96:$AH$100,3,FALSE),0)</f>
        <v>60.488855999999998</v>
      </c>
      <c r="P26" s="1049">
        <f>IF(AND(P9,P6),HLOOKUP(P3,Inputs!$D$96:$AH$100,3,FALSE),0)</f>
        <v>60.488855999999998</v>
      </c>
      <c r="Q26" s="1049">
        <f>IF(AND(Q9,Q6),HLOOKUP(Q3,Inputs!$D$96:$AH$100,3,FALSE),0)</f>
        <v>61.698633119999997</v>
      </c>
      <c r="R26" s="1049">
        <f>IF(AND(R9,R6),HLOOKUP(R3,Inputs!$D$96:$AH$100,3,FALSE),0)</f>
        <v>61.698633119999997</v>
      </c>
      <c r="S26" s="1049">
        <f>IF(AND(S9,S6),HLOOKUP(S3,Inputs!$D$96:$AH$100,3,FALSE),0)</f>
        <v>62.932605782400003</v>
      </c>
      <c r="T26" s="1049">
        <f>IF(AND(T9,T6),HLOOKUP(T3,Inputs!$D$96:$AH$100,3,FALSE),0)</f>
        <v>62.932605782400003</v>
      </c>
      <c r="U26" s="1049">
        <f>IF(AND(U9,U6),HLOOKUP(U3,Inputs!$D$96:$AH$100,3,FALSE),0)</f>
        <v>64.191257898048008</v>
      </c>
      <c r="V26" s="1049">
        <f>IF(AND(V9,V6),HLOOKUP(V3,Inputs!$D$96:$AH$100,3,FALSE),0)</f>
        <v>64.191257898048008</v>
      </c>
      <c r="W26" s="1049">
        <f>IF(AND(W9,W6),HLOOKUP(W3,Inputs!$D$96:$AH$100,3,FALSE),0)</f>
        <v>65.475083056008955</v>
      </c>
      <c r="X26" s="1049">
        <f>IF(AND(X9,X6),HLOOKUP(X3,Inputs!$D$96:$AH$100,3,FALSE),0)</f>
        <v>65.475083056008955</v>
      </c>
      <c r="Y26" s="1049">
        <f>IF(AND(Y9,Y6),HLOOKUP(Y3,Inputs!$D$96:$AH$100,3,FALSE),0)</f>
        <v>66.784584717129135</v>
      </c>
      <c r="Z26" s="1049">
        <f>IF(AND(Z9,Z6),HLOOKUP(Z3,Inputs!$D$96:$AH$100,3,FALSE),0)</f>
        <v>66.784584717129135</v>
      </c>
      <c r="AA26" s="1049">
        <f>IF(AND(AA9,AA6),HLOOKUP(AA3,Inputs!$D$96:$AH$100,3,FALSE),0)</f>
        <v>68.120276411471721</v>
      </c>
      <c r="AB26" s="1049">
        <f>IF(AND(AB9,AB6),HLOOKUP(AB3,Inputs!$D$96:$AH$100,3,FALSE),0)</f>
        <v>68.120276411471721</v>
      </c>
      <c r="AC26" s="1049">
        <f>IF(AND(AC9,AC6),HLOOKUP(AC3,Inputs!$D$96:$AH$100,3,FALSE),0)</f>
        <v>69.482681939701152</v>
      </c>
      <c r="AD26" s="1049">
        <f>IF(AND(AD9,AD6),HLOOKUP(AD3,Inputs!$D$96:$AH$100,3,FALSE),0)</f>
        <v>69.482681939701152</v>
      </c>
      <c r="AE26" s="1049">
        <f>IF(AND(AE9,AE6),HLOOKUP(AE3,Inputs!$D$96:$AH$100,3,FALSE),0)</f>
        <v>70.872335578495168</v>
      </c>
      <c r="AF26" s="1049">
        <f>IF(AND(AF9,AF6),HLOOKUP(AF3,Inputs!$D$96:$AH$100,3,FALSE),0)</f>
        <v>0</v>
      </c>
      <c r="AG26" s="1049">
        <f>IF(AND(AG9,AG6),HLOOKUP(AG3,Inputs!$D$96:$AH$100,3,FALSE),0)</f>
        <v>0</v>
      </c>
      <c r="AH26" s="1049">
        <f>IF(AND(AH9,AH6),HLOOKUP(AH3,Inputs!$D$96:$AH$100,3,FALSE),0)</f>
        <v>0</v>
      </c>
      <c r="AI26" s="1049">
        <f>IF(AND(AI9,AI6),HLOOKUP(AI3,Inputs!$D$96:$AH$100,3,FALSE),0)</f>
        <v>0</v>
      </c>
      <c r="AJ26" s="1049">
        <f>IF(AND(AJ9,AJ6),HLOOKUP(AJ3,Inputs!$D$96:$AH$100,3,FALSE),0)</f>
        <v>0</v>
      </c>
      <c r="AK26" s="1049">
        <f>IF(AND(AK9,AK6),HLOOKUP(AK3,Inputs!$D$96:$AH$100,3,FALSE),0)</f>
        <v>0</v>
      </c>
      <c r="AL26" s="1049">
        <f>IF(AND(AL9,AL6),HLOOKUP(AL3,Inputs!$D$96:$AH$100,3,FALSE),0)</f>
        <v>0</v>
      </c>
      <c r="AM26" s="1049">
        <f>IF(AND(AM9,AM6),HLOOKUP(AM3,Inputs!$D$96:$AH$100,3,FALSE),0)</f>
        <v>0</v>
      </c>
      <c r="AN26" s="1049">
        <f>IF(AND(AN9,AN6),HLOOKUP(AN3,Inputs!$D$96:$AH$100,3,FALSE),0)</f>
        <v>0</v>
      </c>
      <c r="AO26" s="1049">
        <f>IF(AND(AO9,AO6),HLOOKUP(AO3,Inputs!$D$96:$AH$100,3,FALSE),0)</f>
        <v>0</v>
      </c>
      <c r="AP26" s="1049">
        <f>IF(AND(AP9,AP6),HLOOKUP(AP3,Inputs!$D$96:$AH$100,3,FALSE),0)</f>
        <v>0</v>
      </c>
      <c r="AQ26" s="1049">
        <f>IF(AND(AQ9,AQ6),HLOOKUP(AQ3,Inputs!$D$96:$AH$100,3,FALSE),0)</f>
        <v>0</v>
      </c>
      <c r="AR26" s="1049">
        <f>IF(AND(AR9,AR6),HLOOKUP(AR3,Inputs!$D$96:$AH$100,3,FALSE),0)</f>
        <v>0</v>
      </c>
      <c r="AS26" s="1049">
        <f>IF(AND(AS9,AS6),HLOOKUP(AS3,Inputs!$D$96:$AH$100,3,FALSE),0)</f>
        <v>0</v>
      </c>
      <c r="AT26" s="1049">
        <f>IF(AND(AT9,AT6),HLOOKUP(AT3,Inputs!$D$96:$AH$100,3,FALSE),0)</f>
        <v>0</v>
      </c>
      <c r="AU26" s="1049">
        <f>IF(AND(AU9,AU6),HLOOKUP(AU3,Inputs!$D$96:$AH$100,3,FALSE),0)</f>
        <v>0</v>
      </c>
      <c r="AV26" s="1049">
        <f>IF(AND(AV9,AV6),HLOOKUP(AV3,Inputs!$D$96:$AH$100,3,FALSE),0)</f>
        <v>0</v>
      </c>
      <c r="AW26" s="1049">
        <f>IF(AND(AW9,AW6),HLOOKUP(AW3,Inputs!$D$96:$AH$100,3,FALSE),0)</f>
        <v>0</v>
      </c>
      <c r="AX26" s="1049">
        <f>IF(AND(AX9,AX6),HLOOKUP(AX3,Inputs!$D$96:$AH$100,3,FALSE),0)</f>
        <v>0</v>
      </c>
      <c r="AY26" s="1049">
        <f>IF(AND(AY9,AY6),HLOOKUP(AY3,Inputs!$D$96:$AH$100,3,FALSE),0)</f>
        <v>0</v>
      </c>
      <c r="AZ26" s="1049">
        <f>IF(AND(AZ9,AZ6),HLOOKUP(AZ3,Inputs!$D$96:$AH$100,3,FALSE),0)</f>
        <v>0</v>
      </c>
      <c r="BA26" s="1049">
        <f>IF(AND(BA9,BA6),HLOOKUP(BA3,Inputs!$D$96:$AH$100,3,FALSE),0)</f>
        <v>0</v>
      </c>
      <c r="BB26" s="1049">
        <f>IF(AND(BB9,BB6),HLOOKUP(BB3,Inputs!$D$96:$AH$100,3,FALSE),0)</f>
        <v>0</v>
      </c>
      <c r="BC26" s="1049">
        <f>IF(AND(BC9,BC6),HLOOKUP(BC3,Inputs!$D$96:$AH$100,3,FALSE),0)</f>
        <v>0</v>
      </c>
      <c r="BD26" s="1049">
        <f>IF(AND(BD9,BD6),HLOOKUP(BD3,Inputs!$D$96:$AH$100,3,FALSE),0)</f>
        <v>0</v>
      </c>
      <c r="BE26" s="1049">
        <f>IF(AND(BE9,BE6),HLOOKUP(BE3,Inputs!$D$96:$AH$100,3,FALSE),0)</f>
        <v>0</v>
      </c>
      <c r="BF26" s="1049">
        <f>IF(AND(BF9,BF6),HLOOKUP(BF3,Inputs!$D$96:$AH$100,3,FALSE),0)</f>
        <v>0</v>
      </c>
      <c r="BG26" s="1049">
        <f>IF(AND(BG9,BG6),HLOOKUP(BG3,Inputs!$D$96:$AH$100,3,FALSE),0)</f>
        <v>0</v>
      </c>
      <c r="BH26" s="1049">
        <f>IF(AND(BH9,BH6),HLOOKUP(BH3,Inputs!$D$96:$AH$100,3,FALSE),0)</f>
        <v>0</v>
      </c>
      <c r="BI26" s="1049">
        <f>IF(AND(BI9,BI6),HLOOKUP(BI3,Inputs!$D$96:$AH$100,3,FALSE),0)</f>
        <v>0</v>
      </c>
      <c r="BJ26" s="1049">
        <f>IF(AND(BJ9,BJ6),HLOOKUP(BJ3,Inputs!$D$96:$AH$100,3,FALSE),0)</f>
        <v>0</v>
      </c>
      <c r="BK26" s="1049">
        <f>IF(AND(BK9,BK6),HLOOKUP(BK3,Inputs!$D$96:$AH$100,3,FALSE),0)</f>
        <v>0</v>
      </c>
      <c r="BL26" s="1049">
        <f>IF(AND(BL9,BL6),HLOOKUP(BL3,Inputs!$D$96:$AH$100,3,FALSE),0)</f>
        <v>0</v>
      </c>
      <c r="BM26" s="1049">
        <f>IF(AND(BM9,BM6),HLOOKUP(BM3,Inputs!$D$96:$AH$100,3,FALSE),0)</f>
        <v>0</v>
      </c>
      <c r="BN26" s="1049">
        <f>IF(AND(BN9,BN6),HLOOKUP(BN3,Inputs!$D$96:$AH$100,3,FALSE),0)</f>
        <v>0</v>
      </c>
      <c r="BO26" s="1049">
        <f>IF(AND(BO9,BO6),HLOOKUP(BO3,Inputs!$D$96:$AH$100,3,FALSE),0)</f>
        <v>0</v>
      </c>
      <c r="BP26" s="1049"/>
      <c r="BQ26" s="1049"/>
      <c r="BR26" s="1049"/>
      <c r="BS26" s="1049"/>
      <c r="BT26" s="1049"/>
      <c r="BU26" s="1049"/>
      <c r="BV26" s="1049"/>
      <c r="BW26" s="1049"/>
      <c r="BX26" s="1049"/>
      <c r="BY26" s="1049"/>
      <c r="BZ26" s="1049"/>
      <c r="CA26" s="1049"/>
      <c r="CB26" s="1049"/>
      <c r="CC26" s="1049"/>
      <c r="CD26" s="1049"/>
      <c r="CE26" s="1049"/>
      <c r="CF26" s="1049"/>
      <c r="CG26" s="1049"/>
      <c r="CH26" s="1049"/>
      <c r="CI26" s="1049"/>
      <c r="CJ26" s="1049"/>
      <c r="CK26" s="1049"/>
      <c r="CL26" s="1049"/>
      <c r="CM26" s="1049"/>
      <c r="CN26" s="1049"/>
      <c r="CO26" s="1049"/>
      <c r="CP26" s="1049"/>
      <c r="CQ26" s="1049"/>
      <c r="CR26" s="1049"/>
      <c r="CS26" s="1049"/>
      <c r="CT26" s="1049"/>
      <c r="CU26" s="1049"/>
      <c r="CV26" s="1049"/>
      <c r="CW26" s="1049"/>
      <c r="CX26" s="1049"/>
      <c r="CY26" s="1049"/>
      <c r="CZ26" s="1049"/>
      <c r="DA26" s="1049"/>
      <c r="DB26" s="1049"/>
      <c r="DC26" s="1049"/>
      <c r="DD26" s="1049"/>
      <c r="DE26" s="1049"/>
      <c r="DF26" s="1049"/>
      <c r="DG26" s="1049"/>
      <c r="DH26" s="1049"/>
      <c r="DI26" s="1049"/>
      <c r="DJ26" s="1049"/>
      <c r="DK26" s="1049"/>
      <c r="DL26" s="1049"/>
      <c r="DM26" s="1049"/>
      <c r="DN26" s="1049"/>
      <c r="DO26" s="1049"/>
      <c r="DP26" s="1049"/>
      <c r="DQ26" s="1049"/>
      <c r="DR26" s="1049"/>
      <c r="DS26" s="1049"/>
      <c r="DT26" s="1049"/>
      <c r="DU26" s="1049"/>
      <c r="DV26" s="1049"/>
      <c r="DW26" s="1049"/>
    </row>
    <row r="27" spans="1:129" s="481" customFormat="1" ht="11.25" customHeight="1">
      <c r="A27" s="500"/>
      <c r="B27" s="675"/>
      <c r="C27" s="675"/>
      <c r="D27" s="501"/>
      <c r="E27" s="501"/>
      <c r="F27" s="940"/>
      <c r="G27" s="498"/>
      <c r="H27" s="498"/>
      <c r="I27" s="498"/>
      <c r="J27" s="498"/>
      <c r="K27" s="498"/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498"/>
      <c r="W27" s="498"/>
      <c r="X27" s="498"/>
      <c r="Y27" s="498"/>
      <c r="Z27" s="498"/>
      <c r="AA27" s="498"/>
      <c r="AB27" s="498"/>
      <c r="AC27" s="498"/>
      <c r="AD27" s="498"/>
      <c r="AE27" s="498"/>
      <c r="AF27" s="498"/>
      <c r="AG27" s="498"/>
      <c r="AH27" s="498"/>
      <c r="AI27" s="498"/>
      <c r="AJ27" s="498"/>
      <c r="AK27" s="498"/>
      <c r="AL27" s="498"/>
      <c r="AM27" s="498"/>
      <c r="AN27" s="498"/>
      <c r="AO27" s="498"/>
      <c r="AP27" s="498"/>
      <c r="AQ27" s="498"/>
      <c r="AR27" s="498"/>
      <c r="AS27" s="498"/>
      <c r="AT27" s="498"/>
      <c r="AU27" s="498"/>
      <c r="AV27" s="498"/>
      <c r="AW27" s="498"/>
      <c r="AX27" s="498"/>
      <c r="AY27" s="498"/>
      <c r="AZ27" s="498"/>
      <c r="BA27" s="498"/>
      <c r="BB27" s="498"/>
      <c r="BC27" s="498"/>
      <c r="BD27" s="498"/>
      <c r="BE27" s="498"/>
      <c r="BF27" s="498"/>
      <c r="BG27" s="498"/>
      <c r="BH27" s="498"/>
      <c r="BI27" s="498"/>
      <c r="BJ27" s="498"/>
      <c r="BK27" s="498"/>
      <c r="BL27" s="498"/>
      <c r="BM27" s="498"/>
      <c r="BN27" s="498"/>
      <c r="BO27" s="498"/>
      <c r="BP27" s="498"/>
      <c r="BQ27" s="498"/>
      <c r="BR27" s="498"/>
      <c r="BS27" s="498"/>
      <c r="BT27" s="498"/>
      <c r="BU27" s="498"/>
      <c r="BV27" s="498"/>
      <c r="BW27" s="498"/>
      <c r="BX27" s="498"/>
      <c r="BY27" s="498"/>
      <c r="BZ27" s="498"/>
      <c r="CA27" s="498"/>
      <c r="CB27" s="498"/>
      <c r="CC27" s="498"/>
      <c r="CD27" s="498"/>
      <c r="CE27" s="498"/>
      <c r="CF27" s="498"/>
      <c r="CG27" s="498"/>
      <c r="CH27" s="498"/>
      <c r="CI27" s="498"/>
      <c r="CJ27" s="498"/>
      <c r="CK27" s="498"/>
      <c r="CL27" s="498"/>
      <c r="CM27" s="498"/>
      <c r="CN27" s="498"/>
      <c r="CO27" s="498"/>
      <c r="CP27" s="498"/>
      <c r="CQ27" s="498"/>
      <c r="CR27" s="498"/>
      <c r="CS27" s="498"/>
      <c r="CT27" s="498"/>
      <c r="CU27" s="498"/>
      <c r="CV27" s="498"/>
      <c r="CW27" s="498"/>
      <c r="CX27" s="498"/>
      <c r="CY27" s="498"/>
      <c r="CZ27" s="498"/>
      <c r="DA27" s="498"/>
      <c r="DB27" s="498"/>
      <c r="DC27" s="498"/>
      <c r="DD27" s="498"/>
      <c r="DE27" s="498"/>
      <c r="DF27" s="498"/>
      <c r="DG27" s="498"/>
      <c r="DH27" s="498"/>
      <c r="DI27" s="498"/>
      <c r="DJ27" s="498"/>
      <c r="DK27" s="498"/>
      <c r="DL27" s="498"/>
      <c r="DM27" s="498"/>
      <c r="DN27" s="498"/>
      <c r="DO27" s="498"/>
      <c r="DP27" s="498"/>
      <c r="DQ27" s="498"/>
      <c r="DR27" s="498"/>
      <c r="DS27" s="498"/>
      <c r="DT27" s="498"/>
      <c r="DU27" s="498"/>
      <c r="DV27" s="498"/>
      <c r="DW27" s="498"/>
    </row>
    <row r="28" spans="1:129" s="481" customFormat="1" ht="11.25" customHeight="1">
      <c r="A28" s="499" t="s">
        <v>1135</v>
      </c>
      <c r="B28" s="675"/>
      <c r="C28" s="675"/>
      <c r="D28" s="501"/>
      <c r="E28" s="501"/>
      <c r="F28" s="940"/>
      <c r="G28" s="497">
        <f t="shared" ref="G28:AL28" si="9">G29*G30/1000</f>
        <v>0</v>
      </c>
      <c r="H28" s="497">
        <f>H29*H30/1000</f>
        <v>0</v>
      </c>
      <c r="I28" s="497">
        <f t="shared" si="9"/>
        <v>0</v>
      </c>
      <c r="J28" s="497">
        <f t="shared" si="9"/>
        <v>0</v>
      </c>
      <c r="K28" s="497">
        <f t="shared" si="9"/>
        <v>0</v>
      </c>
      <c r="L28" s="497">
        <f t="shared" si="9"/>
        <v>0</v>
      </c>
      <c r="M28" s="497">
        <f t="shared" si="9"/>
        <v>0</v>
      </c>
      <c r="N28" s="497">
        <f t="shared" si="9"/>
        <v>0</v>
      </c>
      <c r="O28" s="497">
        <f t="shared" si="9"/>
        <v>0</v>
      </c>
      <c r="P28" s="497">
        <f t="shared" si="9"/>
        <v>0</v>
      </c>
      <c r="Q28" s="497">
        <f t="shared" si="9"/>
        <v>0</v>
      </c>
      <c r="R28" s="497">
        <f t="shared" si="9"/>
        <v>0</v>
      </c>
      <c r="S28" s="497">
        <f t="shared" si="9"/>
        <v>0</v>
      </c>
      <c r="T28" s="497">
        <f t="shared" si="9"/>
        <v>0</v>
      </c>
      <c r="U28" s="497">
        <f t="shared" si="9"/>
        <v>0</v>
      </c>
      <c r="V28" s="497">
        <f t="shared" si="9"/>
        <v>0</v>
      </c>
      <c r="W28" s="497">
        <f t="shared" si="9"/>
        <v>0</v>
      </c>
      <c r="X28" s="497">
        <f t="shared" si="9"/>
        <v>0</v>
      </c>
      <c r="Y28" s="497">
        <f t="shared" si="9"/>
        <v>0</v>
      </c>
      <c r="Z28" s="497">
        <f t="shared" si="9"/>
        <v>0</v>
      </c>
      <c r="AA28" s="497">
        <f t="shared" si="9"/>
        <v>0</v>
      </c>
      <c r="AB28" s="497">
        <f t="shared" si="9"/>
        <v>0</v>
      </c>
      <c r="AC28" s="497">
        <f t="shared" si="9"/>
        <v>0</v>
      </c>
      <c r="AD28" s="497">
        <f t="shared" si="9"/>
        <v>0</v>
      </c>
      <c r="AE28" s="497">
        <f t="shared" si="9"/>
        <v>0</v>
      </c>
      <c r="AF28" s="497">
        <f t="shared" si="9"/>
        <v>3977.25375436592</v>
      </c>
      <c r="AG28" s="497">
        <f t="shared" si="9"/>
        <v>3949.5049647055494</v>
      </c>
      <c r="AH28" s="497">
        <f t="shared" si="9"/>
        <v>3987.9805334043731</v>
      </c>
      <c r="AI28" s="497">
        <f t="shared" si="9"/>
        <v>3955.1361522553789</v>
      </c>
      <c r="AJ28" s="497">
        <f t="shared" si="9"/>
        <v>3993.5160361483718</v>
      </c>
      <c r="AK28" s="497">
        <f t="shared" si="9"/>
        <v>3828.818749104817</v>
      </c>
      <c r="AL28" s="497">
        <f t="shared" si="9"/>
        <v>3876.7107140107469</v>
      </c>
      <c r="AM28" s="497">
        <f t="shared" ref="AM28:BO28" si="10">AM29*AM30/1000</f>
        <v>3900.078076418029</v>
      </c>
      <c r="AN28" s="497">
        <f t="shared" si="10"/>
        <v>3948.8613734622863</v>
      </c>
      <c r="AO28" s="497">
        <f t="shared" si="10"/>
        <v>3971.0730916202201</v>
      </c>
      <c r="AP28" s="497">
        <f t="shared" si="10"/>
        <v>4009.7587742336309</v>
      </c>
      <c r="AQ28" s="497">
        <f t="shared" si="10"/>
        <v>4052.1575211869663</v>
      </c>
      <c r="AR28" s="497">
        <f t="shared" si="10"/>
        <v>4091.4788818664429</v>
      </c>
      <c r="AS28" s="497">
        <f t="shared" si="10"/>
        <v>4111.3855743533741</v>
      </c>
      <c r="AT28" s="497">
        <f t="shared" si="10"/>
        <v>4162.8119662889321</v>
      </c>
      <c r="AU28" s="497">
        <f t="shared" si="10"/>
        <v>4181.5717939245551</v>
      </c>
      <c r="AV28" s="497">
        <f t="shared" si="10"/>
        <v>4233.8760952585062</v>
      </c>
      <c r="AW28" s="497">
        <f t="shared" si="10"/>
        <v>4276.1894141294943</v>
      </c>
      <c r="AX28" s="497">
        <f t="shared" si="10"/>
        <v>4317.8475006600411</v>
      </c>
      <c r="AY28" s="497">
        <f t="shared" si="10"/>
        <v>4357.8583781887355</v>
      </c>
      <c r="AZ28" s="497">
        <f t="shared" si="10"/>
        <v>4400.1462014490335</v>
      </c>
      <c r="BA28" s="497">
        <f t="shared" si="10"/>
        <v>4414.18017213037</v>
      </c>
      <c r="BB28" s="497">
        <f t="shared" si="10"/>
        <v>4469.3940058856351</v>
      </c>
      <c r="BC28" s="497">
        <f t="shared" si="10"/>
        <v>4508.704821564912</v>
      </c>
      <c r="BD28" s="497">
        <f t="shared" si="10"/>
        <v>4565.100996791557</v>
      </c>
      <c r="BE28" s="497">
        <f t="shared" si="10"/>
        <v>4576.4769250670124</v>
      </c>
      <c r="BF28" s="497">
        <f t="shared" si="10"/>
        <v>4621.0603738542786</v>
      </c>
      <c r="BG28" s="497">
        <f t="shared" si="10"/>
        <v>4641.7245803790802</v>
      </c>
      <c r="BH28" s="497">
        <f t="shared" si="10"/>
        <v>4686.7669869108022</v>
      </c>
      <c r="BI28" s="497">
        <f t="shared" si="10"/>
        <v>4678.4369580618031</v>
      </c>
      <c r="BJ28" s="497">
        <f t="shared" si="10"/>
        <v>4736.9561916145758</v>
      </c>
      <c r="BK28" s="497">
        <f t="shared" si="10"/>
        <v>4702.5741633050002</v>
      </c>
      <c r="BL28" s="497">
        <f t="shared" si="10"/>
        <v>4761.3953119554008</v>
      </c>
      <c r="BM28" s="497">
        <f t="shared" si="10"/>
        <v>4748.7822089292204</v>
      </c>
      <c r="BN28" s="497">
        <f t="shared" si="10"/>
        <v>4795.0442336002125</v>
      </c>
      <c r="BO28" s="497">
        <f t="shared" si="10"/>
        <v>4807.5606064936455</v>
      </c>
      <c r="BP28" s="497"/>
      <c r="BQ28" s="497"/>
      <c r="BR28" s="497"/>
      <c r="BS28" s="497"/>
      <c r="BT28" s="497"/>
      <c r="BU28" s="497"/>
      <c r="BV28" s="497"/>
      <c r="BW28" s="497"/>
      <c r="BX28" s="497"/>
      <c r="BY28" s="497"/>
      <c r="BZ28" s="497"/>
      <c r="CA28" s="497"/>
      <c r="CB28" s="497"/>
      <c r="CC28" s="497"/>
      <c r="CD28" s="497"/>
      <c r="CE28" s="497"/>
      <c r="CF28" s="497"/>
      <c r="CG28" s="497"/>
      <c r="CH28" s="497"/>
      <c r="CI28" s="497"/>
      <c r="CJ28" s="497"/>
      <c r="CK28" s="497"/>
      <c r="CL28" s="497"/>
      <c r="CM28" s="497"/>
      <c r="CN28" s="497"/>
      <c r="CO28" s="497"/>
      <c r="CP28" s="497"/>
      <c r="CQ28" s="497"/>
      <c r="CR28" s="497"/>
      <c r="CS28" s="497"/>
      <c r="CT28" s="497"/>
      <c r="CU28" s="497"/>
      <c r="CV28" s="497"/>
      <c r="CW28" s="497"/>
      <c r="CX28" s="497"/>
      <c r="CY28" s="497"/>
      <c r="CZ28" s="497"/>
      <c r="DA28" s="497"/>
      <c r="DB28" s="497"/>
      <c r="DC28" s="497"/>
      <c r="DD28" s="497"/>
      <c r="DE28" s="497"/>
      <c r="DF28" s="497"/>
      <c r="DG28" s="497"/>
      <c r="DH28" s="497"/>
      <c r="DI28" s="497"/>
      <c r="DJ28" s="497"/>
      <c r="DK28" s="497"/>
      <c r="DL28" s="497"/>
      <c r="DM28" s="497"/>
      <c r="DN28" s="497"/>
      <c r="DO28" s="497"/>
      <c r="DP28" s="497"/>
      <c r="DQ28" s="497"/>
      <c r="DR28" s="497"/>
      <c r="DS28" s="497"/>
      <c r="DT28" s="497"/>
      <c r="DU28" s="497"/>
      <c r="DV28" s="497"/>
      <c r="DW28" s="497"/>
    </row>
    <row r="29" spans="1:129" s="481" customFormat="1" ht="11.25" customHeight="1">
      <c r="A29" s="500" t="s">
        <v>1136</v>
      </c>
      <c r="B29" s="675"/>
      <c r="C29" s="675"/>
      <c r="D29" s="501"/>
      <c r="E29" s="501"/>
      <c r="F29" s="940"/>
      <c r="G29" s="495">
        <f t="shared" ref="G29:AL29" si="11">MAX(G21-G25,0)</f>
        <v>0</v>
      </c>
      <c r="H29" s="495">
        <f t="shared" si="11"/>
        <v>0</v>
      </c>
      <c r="I29" s="495">
        <f t="shared" si="11"/>
        <v>0</v>
      </c>
      <c r="J29" s="495">
        <f t="shared" si="11"/>
        <v>0</v>
      </c>
      <c r="K29" s="495">
        <f>MAX(K21-K25,0)</f>
        <v>0</v>
      </c>
      <c r="L29" s="495">
        <f t="shared" si="11"/>
        <v>0</v>
      </c>
      <c r="M29" s="495">
        <f t="shared" si="11"/>
        <v>0</v>
      </c>
      <c r="N29" s="495">
        <f t="shared" si="11"/>
        <v>0</v>
      </c>
      <c r="O29" s="495">
        <f t="shared" si="11"/>
        <v>0</v>
      </c>
      <c r="P29" s="495">
        <f t="shared" si="11"/>
        <v>0</v>
      </c>
      <c r="Q29" s="495">
        <f t="shared" si="11"/>
        <v>0</v>
      </c>
      <c r="R29" s="495">
        <f t="shared" si="11"/>
        <v>0</v>
      </c>
      <c r="S29" s="495">
        <f t="shared" si="11"/>
        <v>0</v>
      </c>
      <c r="T29" s="495">
        <f t="shared" si="11"/>
        <v>0</v>
      </c>
      <c r="U29" s="495">
        <f t="shared" si="11"/>
        <v>0</v>
      </c>
      <c r="V29" s="495">
        <f t="shared" si="11"/>
        <v>0</v>
      </c>
      <c r="W29" s="495">
        <f t="shared" si="11"/>
        <v>0</v>
      </c>
      <c r="X29" s="495">
        <f t="shared" si="11"/>
        <v>0</v>
      </c>
      <c r="Y29" s="495">
        <f t="shared" si="11"/>
        <v>0</v>
      </c>
      <c r="Z29" s="495">
        <f t="shared" si="11"/>
        <v>0</v>
      </c>
      <c r="AA29" s="495">
        <f t="shared" si="11"/>
        <v>0</v>
      </c>
      <c r="AB29" s="495">
        <f t="shared" si="11"/>
        <v>0</v>
      </c>
      <c r="AC29" s="495">
        <f t="shared" si="11"/>
        <v>0</v>
      </c>
      <c r="AD29" s="495">
        <f t="shared" si="11"/>
        <v>0</v>
      </c>
      <c r="AE29" s="495">
        <f t="shared" si="11"/>
        <v>0</v>
      </c>
      <c r="AF29" s="495">
        <f t="shared" si="11"/>
        <v>52944.666899831805</v>
      </c>
      <c r="AG29" s="495">
        <f t="shared" si="11"/>
        <v>52081.438635160637</v>
      </c>
      <c r="AH29" s="495">
        <f t="shared" si="11"/>
        <v>52588.809302636204</v>
      </c>
      <c r="AI29" s="495">
        <f t="shared" si="11"/>
        <v>52017.191810216245</v>
      </c>
      <c r="AJ29" s="495">
        <f t="shared" si="11"/>
        <v>52521.956679303548</v>
      </c>
      <c r="AK29" s="495">
        <f t="shared" si="11"/>
        <v>51665.620429097515</v>
      </c>
      <c r="AL29" s="495">
        <f t="shared" si="11"/>
        <v>52311.868852586333</v>
      </c>
      <c r="AM29" s="495">
        <f t="shared" ref="AM29:BO29" si="12">MAX(AM21-AM25,0)</f>
        <v>51458.957947381117</v>
      </c>
      <c r="AN29" s="495">
        <f t="shared" si="12"/>
        <v>52102.621377175994</v>
      </c>
      <c r="AO29" s="495">
        <f t="shared" si="12"/>
        <v>51253.122115591599</v>
      </c>
      <c r="AP29" s="495">
        <f t="shared" si="12"/>
        <v>51752.423430214636</v>
      </c>
      <c r="AQ29" s="495">
        <f t="shared" si="12"/>
        <v>51189.897088581871</v>
      </c>
      <c r="AR29" s="495">
        <f t="shared" si="12"/>
        <v>51686.634048100612</v>
      </c>
      <c r="AS29" s="495">
        <f t="shared" si="12"/>
        <v>50843.917188620711</v>
      </c>
      <c r="AT29" s="495">
        <f t="shared" si="12"/>
        <v>51479.887511908208</v>
      </c>
      <c r="AU29" s="495">
        <f t="shared" si="12"/>
        <v>50640.54151986623</v>
      </c>
      <c r="AV29" s="495">
        <f t="shared" si="12"/>
        <v>51273.967961860581</v>
      </c>
      <c r="AW29" s="495">
        <f t="shared" si="12"/>
        <v>50437.979353786766</v>
      </c>
      <c r="AX29" s="495">
        <f t="shared" si="12"/>
        <v>50929.339652608724</v>
      </c>
      <c r="AY29" s="495">
        <f t="shared" si="12"/>
        <v>50375.75987377602</v>
      </c>
      <c r="AZ29" s="495">
        <f t="shared" si="12"/>
        <v>50864.596601653095</v>
      </c>
      <c r="BA29" s="495">
        <f t="shared" si="12"/>
        <v>50035.282526626142</v>
      </c>
      <c r="BB29" s="495">
        <f t="shared" si="12"/>
        <v>50661.138215246479</v>
      </c>
      <c r="BC29" s="495">
        <f t="shared" si="12"/>
        <v>49835.141396519633</v>
      </c>
      <c r="BD29" s="495">
        <f t="shared" si="12"/>
        <v>50458.493662385488</v>
      </c>
      <c r="BE29" s="495">
        <f t="shared" si="12"/>
        <v>49635.800830933549</v>
      </c>
      <c r="BF29" s="495">
        <f t="shared" si="12"/>
        <v>50119.346409900594</v>
      </c>
      <c r="BG29" s="495">
        <f t="shared" si="12"/>
        <v>49574.570905445158</v>
      </c>
      <c r="BH29" s="495">
        <f t="shared" si="12"/>
        <v>50055.633048985001</v>
      </c>
      <c r="BI29" s="495">
        <f t="shared" si="12"/>
        <v>49239.508597099382</v>
      </c>
      <c r="BJ29" s="495">
        <f t="shared" si="12"/>
        <v>49855.410516789067</v>
      </c>
      <c r="BK29" s="495">
        <f t="shared" si="12"/>
        <v>49042.550562710981</v>
      </c>
      <c r="BL29" s="495">
        <f t="shared" si="12"/>
        <v>49655.988874721908</v>
      </c>
      <c r="BM29" s="495">
        <f t="shared" si="12"/>
        <v>48846.380360460134</v>
      </c>
      <c r="BN29" s="495">
        <f t="shared" si="12"/>
        <v>49322.235506875411</v>
      </c>
      <c r="BO29" s="495">
        <f t="shared" si="12"/>
        <v>48786.124251365894</v>
      </c>
      <c r="BP29" s="495"/>
      <c r="BQ29" s="495"/>
      <c r="BR29" s="495"/>
      <c r="BS29" s="495"/>
      <c r="BT29" s="495"/>
      <c r="BU29" s="495"/>
      <c r="BV29" s="495"/>
      <c r="BW29" s="495"/>
      <c r="BX29" s="495"/>
      <c r="BY29" s="495"/>
      <c r="BZ29" s="495"/>
      <c r="CA29" s="495"/>
      <c r="CB29" s="495"/>
      <c r="CC29" s="495"/>
      <c r="CD29" s="495"/>
      <c r="CE29" s="495"/>
      <c r="CF29" s="495"/>
      <c r="CG29" s="495"/>
      <c r="CH29" s="495"/>
      <c r="CI29" s="495"/>
      <c r="CJ29" s="495"/>
      <c r="CK29" s="495"/>
      <c r="CL29" s="495"/>
      <c r="CM29" s="495"/>
      <c r="CN29" s="495"/>
      <c r="CO29" s="495"/>
      <c r="CP29" s="495"/>
      <c r="CQ29" s="495"/>
      <c r="CR29" s="495"/>
      <c r="CS29" s="495"/>
      <c r="CT29" s="495"/>
      <c r="CU29" s="495"/>
      <c r="CV29" s="495"/>
      <c r="CW29" s="495"/>
      <c r="CX29" s="495"/>
      <c r="CY29" s="495"/>
      <c r="CZ29" s="495"/>
      <c r="DA29" s="495"/>
      <c r="DB29" s="495"/>
      <c r="DC29" s="495"/>
      <c r="DD29" s="495"/>
      <c r="DE29" s="495"/>
      <c r="DF29" s="495"/>
      <c r="DG29" s="495"/>
      <c r="DH29" s="495"/>
      <c r="DI29" s="495"/>
      <c r="DJ29" s="495"/>
      <c r="DK29" s="495"/>
      <c r="DL29" s="495"/>
      <c r="DM29" s="495"/>
      <c r="DN29" s="495"/>
      <c r="DO29" s="495"/>
      <c r="DP29" s="495"/>
      <c r="DQ29" s="495"/>
      <c r="DR29" s="495"/>
      <c r="DS29" s="495"/>
      <c r="DT29" s="495"/>
      <c r="DU29" s="495"/>
      <c r="DV29" s="495"/>
      <c r="DW29" s="495"/>
    </row>
    <row r="30" spans="1:129" s="481" customFormat="1" ht="11.25" customHeight="1">
      <c r="A30" s="500" t="s">
        <v>1137</v>
      </c>
      <c r="B30" s="675"/>
      <c r="C30" s="675"/>
      <c r="D30" s="501"/>
      <c r="E30" s="501"/>
      <c r="F30" s="940"/>
      <c r="G30" s="1049">
        <f>INDEX(Inputs!$D$106:$AH$106,1,MATCH(G3,Inputs!$D$96:$AH$96))</f>
        <v>59.221470000000004</v>
      </c>
      <c r="H30" s="1049">
        <f>INDEX(Inputs!$D$106:$AH$106,1,MATCH(H3,Inputs!$D$96:$AH$96))</f>
        <v>59.221470000000004</v>
      </c>
      <c r="I30" s="1049">
        <f>INDEX(Inputs!$D$106:$AH$106,1,MATCH(I3,Inputs!$D$96:$AH$96))</f>
        <v>62.825840000000007</v>
      </c>
      <c r="J30" s="1049">
        <f>INDEX(Inputs!$D$106:$AH$106,1,MATCH(J3,Inputs!$D$96:$AH$96))</f>
        <v>62.825840000000007</v>
      </c>
      <c r="K30" s="1049">
        <f>INDEX(Inputs!$D$106:$AH$106,1,MATCH(K3,Inputs!$D$96:$AH$96))</f>
        <v>63.304541999999991</v>
      </c>
      <c r="L30" s="1049">
        <f>INDEX(Inputs!$D$106:$AH$106,1,MATCH(L3,Inputs!$D$96:$AH$96))</f>
        <v>63.304541999999991</v>
      </c>
      <c r="M30" s="1049">
        <f>INDEX(Inputs!$D$106:$AH$106,1,MATCH(M3,Inputs!$D$96:$AH$96))</f>
        <v>62.939330999999996</v>
      </c>
      <c r="N30" s="1049">
        <f>INDEX(Inputs!$D$106:$AH$106,1,MATCH(N3,Inputs!$D$96:$AH$96))</f>
        <v>62.939330999999996</v>
      </c>
      <c r="O30" s="1049">
        <f>INDEX(Inputs!$D$106:$AH$106,1,MATCH(O3,Inputs!$D$96:$AH$96))</f>
        <v>64.376738999999986</v>
      </c>
      <c r="P30" s="1049">
        <f>INDEX(Inputs!$D$106:$AH$106,1,MATCH(P3,Inputs!$D$96:$AH$96))</f>
        <v>64.376738999999986</v>
      </c>
      <c r="Q30" s="1049">
        <f>INDEX(Inputs!$D$106:$AH$106,1,MATCH(Q3,Inputs!$D$96:$AH$96))</f>
        <v>68.819597000000002</v>
      </c>
      <c r="R30" s="1049">
        <f>INDEX(Inputs!$D$106:$AH$106,1,MATCH(R3,Inputs!$D$96:$AH$96))</f>
        <v>68.819597000000002</v>
      </c>
      <c r="S30" s="1049">
        <f>INDEX(Inputs!$D$106:$AH$106,1,MATCH(S3,Inputs!$D$96:$AH$96))</f>
        <v>68.736485999999999</v>
      </c>
      <c r="T30" s="1049">
        <f>INDEX(Inputs!$D$106:$AH$106,1,MATCH(T3,Inputs!$D$96:$AH$96))</f>
        <v>68.736485999999999</v>
      </c>
      <c r="U30" s="1049">
        <f>INDEX(Inputs!$D$106:$AH$106,1,MATCH(U3,Inputs!$D$96:$AH$96))</f>
        <v>68.286645000000007</v>
      </c>
      <c r="V30" s="1049">
        <f>INDEX(Inputs!$D$106:$AH$106,1,MATCH(V3,Inputs!$D$96:$AH$96))</f>
        <v>68.286645000000007</v>
      </c>
      <c r="W30" s="1049">
        <f>INDEX(Inputs!$D$106:$AH$106,1,MATCH(W3,Inputs!$D$96:$AH$96))</f>
        <v>70.766304000000005</v>
      </c>
      <c r="X30" s="1049">
        <f>INDEX(Inputs!$D$106:$AH$106,1,MATCH(X3,Inputs!$D$96:$AH$96))</f>
        <v>70.766304000000005</v>
      </c>
      <c r="Y30" s="1049">
        <f>INDEX(Inputs!$D$106:$AH$106,1,MATCH(Y3,Inputs!$D$96:$AH$96))</f>
        <v>72.517277000000007</v>
      </c>
      <c r="Z30" s="1049">
        <f>INDEX(Inputs!$D$106:$AH$106,1,MATCH(Z3,Inputs!$D$96:$AH$96))</f>
        <v>72.517277000000007</v>
      </c>
      <c r="AA30" s="1049">
        <f>INDEX(Inputs!$D$106:$AH$106,1,MATCH(AA3,Inputs!$D$96:$AH$96))</f>
        <v>72.098901000000012</v>
      </c>
      <c r="AB30" s="1049">
        <f>INDEX(Inputs!$D$106:$AH$106,1,MATCH(AB3,Inputs!$D$96:$AH$96))</f>
        <v>72.098901000000012</v>
      </c>
      <c r="AC30" s="1049">
        <f>INDEX(Inputs!$D$106:$AH$106,1,MATCH(AC3,Inputs!$D$96:$AH$96))</f>
        <v>73.504952500000002</v>
      </c>
      <c r="AD30" s="1049">
        <f>INDEX(Inputs!$D$106:$AH$106,1,MATCH(AD3,Inputs!$D$96:$AH$96))</f>
        <v>73.504952500000002</v>
      </c>
      <c r="AE30" s="1049">
        <f>INDEX(Inputs!$D$106:$AH$106,1,MATCH(AE3,Inputs!$D$96:$AH$96))</f>
        <v>75.12095149999999</v>
      </c>
      <c r="AF30" s="1049">
        <f>INDEX(Inputs!$D$106:$AH$106,1,MATCH(AF3,Inputs!$D$96:$AH$96))</f>
        <v>75.12095149999999</v>
      </c>
      <c r="AG30" s="1049">
        <f>INDEX(Inputs!$D$106:$AH$106,1,MATCH(AG3,Inputs!$D$96:$AH$96))</f>
        <v>75.833253999999982</v>
      </c>
      <c r="AH30" s="1049">
        <f>INDEX(Inputs!$D$106:$AH$106,1,MATCH(AH3,Inputs!$D$96:$AH$96))</f>
        <v>75.833253999999982</v>
      </c>
      <c r="AI30" s="1049">
        <f>INDEX(Inputs!$D$106:$AH$106,1,MATCH(AI3,Inputs!$D$96:$AH$96))</f>
        <v>76.035172499999987</v>
      </c>
      <c r="AJ30" s="1049">
        <f>INDEX(Inputs!$D$106:$AH$106,1,MATCH(AJ3,Inputs!$D$96:$AH$96))</f>
        <v>76.035172499999987</v>
      </c>
      <c r="AK30" s="1049">
        <f>INDEX(Inputs!$D$106:$AH$106,1,MATCH(AK3,Inputs!$D$96:$AH$96))</f>
        <v>74.107669999999999</v>
      </c>
      <c r="AL30" s="1049">
        <f>INDEX(Inputs!$D$106:$AH$106,1,MATCH(AL3,Inputs!$D$96:$AH$96))</f>
        <v>74.107669999999999</v>
      </c>
      <c r="AM30" s="1049">
        <f>INDEX(Inputs!$D$106:$AH$106,1,MATCH(AM3,Inputs!$D$96:$AH$96))</f>
        <v>75.790070999999998</v>
      </c>
      <c r="AN30" s="1049">
        <f>INDEX(Inputs!$D$106:$AH$106,1,MATCH(AN3,Inputs!$D$96:$AH$96))</f>
        <v>75.790070999999998</v>
      </c>
      <c r="AO30" s="1049">
        <f>INDEX(Inputs!$D$106:$AH$106,1,MATCH(AO3,Inputs!$D$96:$AH$96))</f>
        <v>77.479632999999993</v>
      </c>
      <c r="AP30" s="1049">
        <f>INDEX(Inputs!$D$106:$AH$106,1,MATCH(AP3,Inputs!$D$96:$AH$96))</f>
        <v>77.479632999999993</v>
      </c>
      <c r="AQ30" s="1049">
        <f>INDEX(Inputs!$D$106:$AH$106,1,MATCH(AQ3,Inputs!$D$96:$AH$96))</f>
        <v>79.159321500000004</v>
      </c>
      <c r="AR30" s="1049">
        <f>INDEX(Inputs!$D$106:$AH$106,1,MATCH(AR3,Inputs!$D$96:$AH$96))</f>
        <v>79.159321500000004</v>
      </c>
      <c r="AS30" s="1049">
        <f>INDEX(Inputs!$D$106:$AH$106,1,MATCH(AS3,Inputs!$D$96:$AH$96))</f>
        <v>80.862880000000004</v>
      </c>
      <c r="AT30" s="1049">
        <f>INDEX(Inputs!$D$106:$AH$106,1,MATCH(AT3,Inputs!$D$96:$AH$96))</f>
        <v>80.862880000000004</v>
      </c>
      <c r="AU30" s="1049">
        <f>INDEX(Inputs!$D$106:$AH$106,1,MATCH(AU3,Inputs!$D$96:$AH$96))</f>
        <v>82.573599499999986</v>
      </c>
      <c r="AV30" s="1049">
        <f>INDEX(Inputs!$D$106:$AH$106,1,MATCH(AV3,Inputs!$D$96:$AH$96))</f>
        <v>82.573599499999986</v>
      </c>
      <c r="AW30" s="1049">
        <f>INDEX(Inputs!$D$106:$AH$106,1,MATCH(AW3,Inputs!$D$96:$AH$96))</f>
        <v>84.781140499999992</v>
      </c>
      <c r="AX30" s="1049">
        <f>INDEX(Inputs!$D$106:$AH$106,1,MATCH(AX3,Inputs!$D$96:$AH$96))</f>
        <v>84.781140499999992</v>
      </c>
      <c r="AY30" s="1049">
        <f>INDEX(Inputs!$D$106:$AH$106,1,MATCH(AY3,Inputs!$D$96:$AH$96))</f>
        <v>86.507049999999992</v>
      </c>
      <c r="AZ30" s="1049">
        <f>INDEX(Inputs!$D$106:$AH$106,1,MATCH(AZ3,Inputs!$D$96:$AH$96))</f>
        <v>86.507049999999992</v>
      </c>
      <c r="BA30" s="1049">
        <f>INDEX(Inputs!$D$106:$AH$106,1,MATCH(BA3,Inputs!$D$96:$AH$96))</f>
        <v>88.221350000000001</v>
      </c>
      <c r="BB30" s="1049">
        <f>INDEX(Inputs!$D$106:$AH$106,1,MATCH(BB3,Inputs!$D$96:$AH$96))</f>
        <v>88.221350000000001</v>
      </c>
      <c r="BC30" s="1049">
        <f>INDEX(Inputs!$D$106:$AH$106,1,MATCH(BC3,Inputs!$D$96:$AH$96))</f>
        <v>90.472399499999995</v>
      </c>
      <c r="BD30" s="1049">
        <f>INDEX(Inputs!$D$106:$AH$106,1,MATCH(BD3,Inputs!$D$96:$AH$96))</f>
        <v>90.472399499999995</v>
      </c>
      <c r="BE30" s="1049">
        <f>INDEX(Inputs!$D$106:$AH$106,1,MATCH(BE3,Inputs!$D$96:$AH$96))</f>
        <v>92.201130000000006</v>
      </c>
      <c r="BF30" s="1049">
        <f>INDEX(Inputs!$D$106:$AH$106,1,MATCH(BF3,Inputs!$D$96:$AH$96))</f>
        <v>92.201130000000006</v>
      </c>
      <c r="BG30" s="1049">
        <f>INDEX(Inputs!$D$106:$AH$106,1,MATCH(BG3,Inputs!$D$96:$AH$96))</f>
        <v>93.631159999999994</v>
      </c>
      <c r="BH30" s="1049">
        <f>INDEX(Inputs!$D$106:$AH$106,1,MATCH(BH3,Inputs!$D$96:$AH$96))</f>
        <v>93.631159999999994</v>
      </c>
      <c r="BI30" s="1049">
        <f>INDEX(Inputs!$D$106:$AH$106,1,MATCH(BI3,Inputs!$D$96:$AH$96))</f>
        <v>95.01388399999999</v>
      </c>
      <c r="BJ30" s="1049">
        <f>INDEX(Inputs!$D$106:$AH$106,1,MATCH(BJ3,Inputs!$D$96:$AH$96))</f>
        <v>95.01388399999999</v>
      </c>
      <c r="BK30" s="1049">
        <f>INDEX(Inputs!$D$106:$AH$106,1,MATCH(BK3,Inputs!$D$96:$AH$96))</f>
        <v>95.887634500000004</v>
      </c>
      <c r="BL30" s="1049">
        <f>INDEX(Inputs!$D$106:$AH$106,1,MATCH(BL3,Inputs!$D$96:$AH$96))</f>
        <v>95.887634500000004</v>
      </c>
      <c r="BM30" s="1049">
        <f>INDEX(Inputs!$D$106:$AH$106,1,MATCH(BM3,Inputs!$D$96:$AH$96))</f>
        <v>97.218712499999995</v>
      </c>
      <c r="BN30" s="1049">
        <f>INDEX(Inputs!$D$106:$AH$106,1,MATCH(BN3,Inputs!$D$96:$AH$96))</f>
        <v>97.218712499999995</v>
      </c>
      <c r="BO30" s="1049">
        <f>INDEX(Inputs!$D$106:$AH$106,1,MATCH(BO3,Inputs!$D$96:$AH$96))</f>
        <v>98.543605999999997</v>
      </c>
      <c r="BP30" s="1049"/>
      <c r="BQ30" s="1049"/>
      <c r="BR30" s="1049"/>
      <c r="BS30" s="1049"/>
      <c r="BT30" s="1049"/>
      <c r="BU30" s="1049"/>
      <c r="BV30" s="1049"/>
      <c r="BW30" s="1049"/>
      <c r="BX30" s="1049"/>
      <c r="BY30" s="1049"/>
      <c r="BZ30" s="1049"/>
      <c r="CA30" s="1049"/>
      <c r="CB30" s="1049"/>
      <c r="CC30" s="1049"/>
      <c r="CD30" s="1049"/>
      <c r="CE30" s="1049"/>
      <c r="CF30" s="1049"/>
      <c r="CG30" s="1049"/>
      <c r="CH30" s="1049"/>
      <c r="CI30" s="1049"/>
      <c r="CJ30" s="1049"/>
      <c r="CK30" s="1049"/>
      <c r="CL30" s="1049"/>
      <c r="CM30" s="1049"/>
      <c r="CN30" s="1049"/>
      <c r="CO30" s="1049"/>
      <c r="CP30" s="1049"/>
      <c r="CQ30" s="1049"/>
      <c r="CR30" s="1049"/>
      <c r="CS30" s="1049"/>
      <c r="CT30" s="1049"/>
      <c r="CU30" s="1049"/>
      <c r="CV30" s="1049"/>
      <c r="CW30" s="1049"/>
      <c r="CX30" s="1049"/>
      <c r="CY30" s="1049"/>
      <c r="CZ30" s="1049"/>
      <c r="DA30" s="1049"/>
      <c r="DB30" s="1049"/>
      <c r="DC30" s="1049"/>
      <c r="DD30" s="1049"/>
      <c r="DE30" s="1049"/>
      <c r="DF30" s="1049"/>
      <c r="DG30" s="1049"/>
      <c r="DH30" s="1049"/>
      <c r="DI30" s="1049"/>
      <c r="DJ30" s="1049"/>
      <c r="DK30" s="1049"/>
      <c r="DL30" s="1049"/>
      <c r="DM30" s="1049"/>
      <c r="DN30" s="1049"/>
      <c r="DO30" s="1049"/>
      <c r="DP30" s="1049"/>
      <c r="DQ30" s="1049"/>
      <c r="DR30" s="1049"/>
      <c r="DS30" s="1049"/>
      <c r="DT30" s="1049"/>
      <c r="DU30" s="1049"/>
      <c r="DV30" s="1049"/>
      <c r="DW30" s="1049"/>
    </row>
    <row r="31" spans="1:129" s="481" customFormat="1" ht="11.25" customHeight="1">
      <c r="A31" s="500"/>
      <c r="B31" s="675"/>
      <c r="C31" s="675"/>
      <c r="D31" s="501"/>
      <c r="E31" s="501"/>
      <c r="F31" s="940"/>
      <c r="G31" s="498"/>
      <c r="H31" s="498"/>
      <c r="I31" s="498"/>
      <c r="J31" s="498"/>
      <c r="K31" s="498"/>
      <c r="L31" s="498"/>
      <c r="M31" s="498"/>
      <c r="N31" s="498"/>
      <c r="O31" s="498"/>
      <c r="P31" s="498"/>
      <c r="Q31" s="498"/>
      <c r="R31" s="498"/>
      <c r="S31" s="498"/>
      <c r="T31" s="498"/>
      <c r="U31" s="498"/>
      <c r="V31" s="498"/>
      <c r="W31" s="498"/>
      <c r="X31" s="498"/>
      <c r="Y31" s="498"/>
      <c r="Z31" s="498"/>
      <c r="AA31" s="498"/>
      <c r="AB31" s="498"/>
      <c r="AC31" s="498"/>
      <c r="AD31" s="498"/>
      <c r="AE31" s="498"/>
      <c r="AF31" s="498"/>
      <c r="AG31" s="498"/>
      <c r="AH31" s="498"/>
      <c r="AI31" s="498"/>
      <c r="AJ31" s="498"/>
      <c r="AK31" s="498"/>
      <c r="AL31" s="498"/>
      <c r="AM31" s="498"/>
      <c r="AN31" s="498"/>
      <c r="AO31" s="498"/>
      <c r="AP31" s="498"/>
      <c r="AQ31" s="498"/>
      <c r="AR31" s="498"/>
      <c r="AS31" s="498"/>
      <c r="AT31" s="498"/>
      <c r="AU31" s="498"/>
      <c r="AV31" s="498"/>
      <c r="AW31" s="498"/>
      <c r="AX31" s="498"/>
      <c r="AY31" s="498"/>
      <c r="AZ31" s="498"/>
      <c r="BA31" s="498"/>
      <c r="BB31" s="498"/>
      <c r="BC31" s="498"/>
      <c r="BD31" s="498"/>
      <c r="BE31" s="498"/>
      <c r="BF31" s="498"/>
      <c r="BG31" s="498"/>
      <c r="BH31" s="498"/>
      <c r="BI31" s="498"/>
      <c r="BJ31" s="498"/>
      <c r="BK31" s="498"/>
      <c r="BL31" s="498"/>
      <c r="BM31" s="498"/>
      <c r="BN31" s="498"/>
      <c r="BO31" s="498"/>
      <c r="BP31" s="498"/>
      <c r="BQ31" s="498"/>
      <c r="BR31" s="498"/>
      <c r="BS31" s="498"/>
      <c r="BT31" s="498"/>
      <c r="BU31" s="498"/>
      <c r="BV31" s="498"/>
      <c r="BW31" s="498"/>
      <c r="BX31" s="498"/>
      <c r="BY31" s="498"/>
      <c r="BZ31" s="498"/>
      <c r="CA31" s="498"/>
      <c r="CB31" s="498"/>
      <c r="CC31" s="498"/>
      <c r="CD31" s="498"/>
      <c r="CE31" s="498"/>
      <c r="CF31" s="498"/>
      <c r="CG31" s="498"/>
      <c r="CH31" s="498"/>
      <c r="CI31" s="498"/>
      <c r="CJ31" s="498"/>
      <c r="CK31" s="498"/>
      <c r="CL31" s="498"/>
      <c r="CM31" s="498"/>
      <c r="CN31" s="498"/>
      <c r="CO31" s="498"/>
      <c r="CP31" s="498"/>
      <c r="CQ31" s="498"/>
      <c r="CR31" s="498"/>
      <c r="CS31" s="498"/>
      <c r="CT31" s="498"/>
      <c r="CU31" s="498"/>
      <c r="CV31" s="498"/>
      <c r="CW31" s="498"/>
      <c r="CX31" s="498"/>
      <c r="CY31" s="498"/>
      <c r="CZ31" s="498"/>
      <c r="DA31" s="498"/>
      <c r="DB31" s="498"/>
      <c r="DC31" s="498"/>
      <c r="DD31" s="498"/>
      <c r="DE31" s="498"/>
      <c r="DF31" s="498"/>
      <c r="DG31" s="498"/>
      <c r="DH31" s="498"/>
      <c r="DI31" s="498"/>
      <c r="DJ31" s="498"/>
      <c r="DK31" s="498"/>
      <c r="DL31" s="498"/>
      <c r="DM31" s="498"/>
      <c r="DN31" s="498"/>
      <c r="DO31" s="498"/>
      <c r="DP31" s="498"/>
      <c r="DQ31" s="498"/>
      <c r="DR31" s="498"/>
      <c r="DS31" s="498"/>
      <c r="DT31" s="498"/>
      <c r="DU31" s="498"/>
      <c r="DV31" s="498"/>
      <c r="DW31" s="498"/>
    </row>
    <row r="32" spans="1:129" s="482" customFormat="1" ht="11.25" customHeight="1">
      <c r="A32" s="499" t="s">
        <v>1138</v>
      </c>
      <c r="C32" s="1450"/>
      <c r="D32" s="1451"/>
      <c r="E32" s="1451"/>
      <c r="F32" s="1452"/>
      <c r="G32" s="497">
        <f>IF(G4&lt;=Scenarios!$E$328,$B$33*$B$34*G7,0)</f>
        <v>0</v>
      </c>
      <c r="H32" s="497">
        <f>IF(H4&lt;=Scenarios!$E$328,$B$33*$B$34*H7,0)</f>
        <v>0</v>
      </c>
      <c r="I32" s="497">
        <f>IF(I4&lt;=Scenarios!$E$328,$B$33*$B$34*I7,0)</f>
        <v>0</v>
      </c>
      <c r="J32" s="497">
        <f>IF(J4&lt;=Scenarios!$E$328,$B$33*$B$34*J7,0)</f>
        <v>0</v>
      </c>
      <c r="K32" s="497">
        <f>IF(K4&lt;=Scenarios!$E$328,$B$33*$B$34*K7,0)</f>
        <v>0</v>
      </c>
      <c r="L32" s="497">
        <f>IF(L4&lt;=Scenarios!$E$328,$B$33*$B$34*L7,0)</f>
        <v>0</v>
      </c>
      <c r="M32" s="497">
        <f>IF(M4&lt;=Scenarios!$E$328,$B$33*$B$34*M7,0)</f>
        <v>0</v>
      </c>
      <c r="N32" s="497">
        <f>IF(N4&lt;=Scenarios!$E$328,$B$33*$B$34*N7,0)</f>
        <v>0</v>
      </c>
      <c r="O32" s="497">
        <f>IF(O4&lt;=Scenarios!$E$328,$B$33*$B$34*O7,0)</f>
        <v>0</v>
      </c>
      <c r="P32" s="497">
        <f>IF(P4&lt;=Scenarios!$E$328,$B$33*$B$34*P7,0)</f>
        <v>0</v>
      </c>
      <c r="Q32" s="497">
        <f>IF(Q4&lt;=Scenarios!$E$328,$B$33*$B$34*Q7,0)</f>
        <v>0</v>
      </c>
      <c r="R32" s="497">
        <f>IF(R4&lt;=Scenarios!$E$328,$B$33*$B$34*R7,0)</f>
        <v>0</v>
      </c>
      <c r="S32" s="497">
        <f>IF(S4&lt;=Scenarios!$E$328,$B$33*$B$34*S7,0)</f>
        <v>0</v>
      </c>
      <c r="T32" s="497">
        <f>IF(T4&lt;=Scenarios!$E$328,$B$33*$B$34*T7,0)</f>
        <v>0</v>
      </c>
      <c r="U32" s="497">
        <f>IF(U4&lt;=Scenarios!$E$328,$B$33*$B$34*U7,0)</f>
        <v>0</v>
      </c>
      <c r="V32" s="497">
        <f>IF(V4&lt;=Scenarios!$E$328,$B$33*$B$34*V7,0)</f>
        <v>0</v>
      </c>
      <c r="W32" s="497">
        <f>IF(W4&lt;=Scenarios!$E$328,$B$33*$B$34*W7,0)</f>
        <v>0</v>
      </c>
      <c r="X32" s="497">
        <f>IF(X4&lt;=Scenarios!$E$328,$B$33*$B$34*X7,0)</f>
        <v>0</v>
      </c>
      <c r="Y32" s="497">
        <f>IF(Y4&lt;=Scenarios!$E$328,$B$33*$B$34*Y7,0)</f>
        <v>0</v>
      </c>
      <c r="Z32" s="497">
        <f>IF(Z4&lt;=Scenarios!$E$328,$B$33*$B$34*Z7,0)</f>
        <v>0</v>
      </c>
      <c r="AA32" s="497">
        <f>IF(AA4&lt;=Scenarios!$E$328,$B$33*$B$34*AA7,0)</f>
        <v>0</v>
      </c>
      <c r="AB32" s="497">
        <f>IF(AB4&lt;=Scenarios!$E$328,$B$33*$B$34*AB7,0)</f>
        <v>0</v>
      </c>
      <c r="AC32" s="497">
        <f>IF(AC4&lt;=Scenarios!$E$328,$B$33*$B$34*AC7,0)</f>
        <v>0</v>
      </c>
      <c r="AD32" s="497">
        <f>IF(AD4&lt;=Scenarios!$E$328,$B$33*$B$34*AD7,0)</f>
        <v>0</v>
      </c>
      <c r="AE32" s="497">
        <f>IF(AE4&lt;=Scenarios!$E$328,$B$33*$B$34*AE7,0)</f>
        <v>0</v>
      </c>
      <c r="AF32" s="497">
        <f>IF(AF4&lt;=Scenarios!$E$328,$B$33*$B$34*AF7,0)</f>
        <v>0</v>
      </c>
      <c r="AG32" s="497">
        <f>IF(AG4&lt;=Scenarios!$E$328,$B$33*$B$34*AG7,0)</f>
        <v>0</v>
      </c>
      <c r="AH32" s="497">
        <f>IF(AH4&lt;=Scenarios!$E$328,$B$33*$B$34*AH7,0)</f>
        <v>0</v>
      </c>
      <c r="AI32" s="497">
        <f>IF(AI4&lt;=Scenarios!$E$328,$B$33*$B$34*AI7,0)</f>
        <v>0</v>
      </c>
      <c r="AJ32" s="497">
        <f>IF(AJ4&lt;=Scenarios!$E$328,$B$33*$B$34*AJ7,0)</f>
        <v>0</v>
      </c>
      <c r="AK32" s="497">
        <f>IF(AK4&lt;=Scenarios!$E$328,$B$33*$B$34*AK7,0)</f>
        <v>0</v>
      </c>
      <c r="AL32" s="497">
        <f>IF(AL4&lt;=Scenarios!$E$328,$B$33*$B$34*AL7,0)</f>
        <v>0</v>
      </c>
      <c r="AM32" s="497">
        <f>IF(AM4&lt;=Scenarios!$E$328,$B$33*$B$34*AM7,0)</f>
        <v>0</v>
      </c>
      <c r="AN32" s="497">
        <f>IF(AN4&lt;=Scenarios!$E$328,$B$33*$B$34*AN7,0)</f>
        <v>0</v>
      </c>
      <c r="AO32" s="497">
        <f>IF(AO4&lt;=Scenarios!$E$328,$B$33*$B$34*AO7,0)</f>
        <v>0</v>
      </c>
      <c r="AP32" s="497">
        <f>IF(AP4&lt;=Scenarios!$E$328,$B$33*$B$34*AP7,0)</f>
        <v>0</v>
      </c>
      <c r="AQ32" s="497">
        <f>IF(AQ4&lt;=Scenarios!$E$328,$B$33*$B$34*AQ7,0)</f>
        <v>0</v>
      </c>
      <c r="AR32" s="497">
        <f>IF(AR4&lt;=Scenarios!$E$328,$B$33*$B$34*AR7,0)</f>
        <v>0</v>
      </c>
      <c r="AS32" s="497">
        <f>IF(AS4&lt;=Scenarios!$E$328,$B$33*$B$34*AS7,0)</f>
        <v>0</v>
      </c>
      <c r="AT32" s="497">
        <f>IF(AT4&lt;=Scenarios!$E$328,$B$33*$B$34*AT7,0)</f>
        <v>0</v>
      </c>
      <c r="AU32" s="497">
        <f>IF(AU4&lt;=Scenarios!$E$328,$B$33*$B$34*AU7,0)</f>
        <v>0</v>
      </c>
      <c r="AV32" s="497">
        <f>IF(AV4&lt;=Scenarios!$E$328,$B$33*$B$34*AV7,0)</f>
        <v>0</v>
      </c>
      <c r="AW32" s="497">
        <f>IF(AW4&lt;=Scenarios!$E$328,$B$33*$B$34*AW7,0)</f>
        <v>0</v>
      </c>
      <c r="AX32" s="497">
        <f>IF(AX4&lt;=Scenarios!$E$328,$B$33*$B$34*AX7,0)</f>
        <v>0</v>
      </c>
      <c r="AY32" s="497">
        <f>IF(AY4&lt;=Scenarios!$E$328,$B$33*$B$34*AY7,0)</f>
        <v>0</v>
      </c>
      <c r="AZ32" s="497">
        <f>IF(AZ4&lt;=Scenarios!$E$328,$B$33*$B$34*AZ7,0)</f>
        <v>0</v>
      </c>
      <c r="BA32" s="497">
        <f>IF(BA4&lt;=Scenarios!$E$328,$B$33*$B$34*BA7,0)</f>
        <v>0</v>
      </c>
      <c r="BB32" s="497">
        <f>IF(BB4&lt;=Scenarios!$E$328,$B$33*$B$34*BB7,0)</f>
        <v>0</v>
      </c>
      <c r="BC32" s="497">
        <f>IF(BC4&lt;=Scenarios!$E$328,$B$33*$B$34*BC7,0)</f>
        <v>0</v>
      </c>
      <c r="BD32" s="497">
        <f>IF(BD4&lt;=Scenarios!$E$328,$B$33*$B$34*BD7,0)</f>
        <v>0</v>
      </c>
      <c r="BE32" s="497">
        <f>IF(BE4&lt;=Scenarios!$E$328,$B$33*$B$34*BE7,0)</f>
        <v>0</v>
      </c>
      <c r="BF32" s="497">
        <f>IF(BF4&lt;=Scenarios!$E$328,$B$33*$B$34*BF7,0)</f>
        <v>0</v>
      </c>
      <c r="BG32" s="497">
        <f>IF(BG4&lt;=Scenarios!$E$328,$B$33*$B$34*BG7,0)</f>
        <v>0</v>
      </c>
      <c r="BH32" s="497">
        <f>IF(BH4&lt;=Scenarios!$E$328,$B$33*$B$34*BH7,0)</f>
        <v>0</v>
      </c>
      <c r="BI32" s="497">
        <f>IF(BI4&lt;=Scenarios!$E$328,$B$33*$B$34*BI7,0)</f>
        <v>0</v>
      </c>
      <c r="BJ32" s="497">
        <f>IF(BJ4&lt;=Scenarios!$E$328,$B$33*$B$34*BJ7,0)</f>
        <v>0</v>
      </c>
      <c r="BK32" s="497">
        <f>IF(BK4&lt;=Scenarios!$E$328,$B$33*$B$34*BK7,0)</f>
        <v>0</v>
      </c>
      <c r="BL32" s="497">
        <f>IF(BL4&lt;=Scenarios!$E$328,$B$33*$B$34*BL7,0)</f>
        <v>0</v>
      </c>
      <c r="BM32" s="497">
        <f>IF(BM4&lt;=Scenarios!$E$328,$B$33*$B$34*BM7,0)</f>
        <v>0</v>
      </c>
      <c r="BN32" s="497">
        <f>IF(BN4&lt;=Scenarios!$E$328,$B$33*$B$34*BN7,0)</f>
        <v>0</v>
      </c>
      <c r="BO32" s="497">
        <f>IF(BO4&lt;=Scenarios!$E$328,$B$33*$B$34*BO7,0)</f>
        <v>0</v>
      </c>
      <c r="BP32" s="497"/>
      <c r="BQ32" s="497"/>
      <c r="BR32" s="497"/>
      <c r="BS32" s="497"/>
      <c r="BT32" s="497"/>
      <c r="BU32" s="497"/>
      <c r="BV32" s="497"/>
      <c r="BW32" s="497"/>
      <c r="BX32" s="497"/>
      <c r="BY32" s="497"/>
      <c r="BZ32" s="497"/>
      <c r="CA32" s="497"/>
      <c r="CB32" s="497"/>
      <c r="CC32" s="497"/>
      <c r="CD32" s="497"/>
      <c r="CE32" s="497"/>
      <c r="CF32" s="497"/>
      <c r="CG32" s="497"/>
      <c r="CH32" s="497"/>
      <c r="CI32" s="497"/>
      <c r="CJ32" s="497"/>
      <c r="CK32" s="497"/>
      <c r="CL32" s="497"/>
      <c r="CM32" s="497"/>
      <c r="CN32" s="497"/>
      <c r="CO32" s="497"/>
      <c r="CP32" s="497"/>
      <c r="CQ32" s="497"/>
      <c r="CR32" s="497"/>
      <c r="CS32" s="497"/>
      <c r="CT32" s="497"/>
      <c r="CU32" s="497"/>
      <c r="CV32" s="497"/>
      <c r="CW32" s="497"/>
      <c r="CX32" s="497"/>
      <c r="CY32" s="497"/>
      <c r="CZ32" s="497"/>
      <c r="DA32" s="497"/>
      <c r="DB32" s="497"/>
      <c r="DC32" s="497"/>
      <c r="DD32" s="497"/>
      <c r="DE32" s="497"/>
      <c r="DF32" s="497"/>
      <c r="DG32" s="497"/>
      <c r="DH32" s="497"/>
      <c r="DI32" s="497"/>
      <c r="DJ32" s="497"/>
      <c r="DK32" s="497"/>
      <c r="DL32" s="497"/>
      <c r="DM32" s="497"/>
      <c r="DN32" s="497"/>
      <c r="DO32" s="497"/>
      <c r="DP32" s="497"/>
      <c r="DQ32" s="497"/>
      <c r="DR32" s="497"/>
      <c r="DS32" s="497"/>
      <c r="DT32" s="497"/>
      <c r="DU32" s="497"/>
      <c r="DV32" s="497"/>
      <c r="DW32" s="497"/>
    </row>
    <row r="33" spans="1:127" s="481" customFormat="1" ht="11.25" customHeight="1">
      <c r="A33" s="500" t="s">
        <v>1133</v>
      </c>
      <c r="B33" s="1717">
        <f>Scenarios!E23*Scenarios!E332</f>
        <v>0</v>
      </c>
      <c r="C33" s="674"/>
      <c r="D33" s="495"/>
      <c r="E33" s="495"/>
      <c r="F33" s="939"/>
      <c r="G33" s="495"/>
      <c r="H33" s="495"/>
      <c r="I33" s="495"/>
      <c r="J33" s="495"/>
      <c r="K33" s="495"/>
      <c r="L33" s="495"/>
      <c r="M33" s="495"/>
      <c r="N33" s="495"/>
      <c r="O33" s="495"/>
      <c r="P33" s="495"/>
      <c r="Q33" s="495"/>
      <c r="R33" s="495"/>
      <c r="S33" s="495"/>
      <c r="T33" s="495"/>
      <c r="U33" s="495"/>
      <c r="V33" s="495"/>
      <c r="W33" s="495"/>
      <c r="X33" s="495"/>
      <c r="Y33" s="495"/>
      <c r="Z33" s="495"/>
      <c r="AA33" s="495"/>
      <c r="AB33" s="495"/>
      <c r="AC33" s="495"/>
      <c r="AD33" s="495"/>
      <c r="AE33" s="495"/>
      <c r="AF33" s="495"/>
      <c r="AG33" s="495"/>
      <c r="AH33" s="495"/>
      <c r="AI33" s="495"/>
      <c r="AJ33" s="495"/>
      <c r="AK33" s="495"/>
      <c r="AL33" s="495"/>
      <c r="AM33" s="495"/>
      <c r="AN33" s="495"/>
      <c r="AO33" s="495"/>
      <c r="AP33" s="495"/>
      <c r="AQ33" s="495"/>
      <c r="AR33" s="495"/>
      <c r="AS33" s="495"/>
      <c r="AT33" s="495"/>
      <c r="AU33" s="495"/>
      <c r="AV33" s="495"/>
      <c r="AW33" s="495"/>
      <c r="AX33" s="495"/>
      <c r="AY33" s="495"/>
      <c r="AZ33" s="495"/>
      <c r="BA33" s="495"/>
      <c r="BB33" s="495"/>
      <c r="BC33" s="495"/>
      <c r="BD33" s="495"/>
      <c r="BE33" s="495"/>
      <c r="BF33" s="495"/>
      <c r="BG33" s="495"/>
      <c r="BH33" s="495"/>
      <c r="BI33" s="495"/>
      <c r="BJ33" s="495"/>
      <c r="BK33" s="495"/>
      <c r="BL33" s="495"/>
      <c r="BM33" s="495"/>
      <c r="BN33" s="495"/>
      <c r="BO33" s="495"/>
      <c r="BP33" s="495"/>
      <c r="BQ33" s="495"/>
      <c r="BR33" s="495"/>
      <c r="BS33" s="495"/>
      <c r="BT33" s="495"/>
      <c r="BU33" s="495"/>
      <c r="BV33" s="495"/>
      <c r="BW33" s="495"/>
      <c r="BX33" s="495"/>
      <c r="BY33" s="495"/>
      <c r="BZ33" s="495"/>
      <c r="CA33" s="495"/>
      <c r="CB33" s="495"/>
      <c r="CC33" s="495"/>
      <c r="CD33" s="495"/>
      <c r="CE33" s="495"/>
      <c r="CF33" s="495"/>
      <c r="CG33" s="495"/>
      <c r="CH33" s="495"/>
      <c r="CI33" s="495"/>
      <c r="CJ33" s="495"/>
      <c r="CK33" s="495"/>
      <c r="CL33" s="495"/>
      <c r="CM33" s="495"/>
      <c r="CN33" s="495"/>
      <c r="CO33" s="495"/>
      <c r="CP33" s="495"/>
      <c r="CQ33" s="495"/>
      <c r="CR33" s="495"/>
      <c r="CS33" s="495"/>
      <c r="CT33" s="495"/>
      <c r="CU33" s="495"/>
      <c r="CV33" s="495"/>
      <c r="CW33" s="495"/>
      <c r="CX33" s="495"/>
      <c r="CY33" s="495"/>
      <c r="CZ33" s="495"/>
      <c r="DA33" s="495"/>
      <c r="DB33" s="495"/>
      <c r="DC33" s="495"/>
      <c r="DD33" s="495"/>
      <c r="DE33" s="495"/>
      <c r="DF33" s="495"/>
      <c r="DG33" s="495"/>
      <c r="DH33" s="495"/>
      <c r="DI33" s="495"/>
      <c r="DJ33" s="495"/>
      <c r="DK33" s="495"/>
      <c r="DL33" s="495"/>
      <c r="DM33" s="495"/>
      <c r="DN33" s="495"/>
      <c r="DO33" s="495"/>
      <c r="DP33" s="495"/>
      <c r="DQ33" s="495"/>
      <c r="DR33" s="495"/>
      <c r="DS33" s="495"/>
      <c r="DT33" s="495"/>
      <c r="DU33" s="495"/>
      <c r="DV33" s="495"/>
      <c r="DW33" s="495"/>
    </row>
    <row r="34" spans="1:127" s="481" customFormat="1" ht="11.25" customHeight="1">
      <c r="A34" s="500" t="s">
        <v>1134</v>
      </c>
      <c r="B34" s="1718">
        <f>Scenarios!E331</f>
        <v>150</v>
      </c>
      <c r="C34" s="675"/>
      <c r="D34" s="478"/>
      <c r="E34" s="478"/>
      <c r="F34" s="940"/>
      <c r="G34" s="1049"/>
      <c r="H34" s="1049"/>
      <c r="I34" s="1049"/>
      <c r="J34" s="1049"/>
      <c r="K34" s="1049"/>
      <c r="L34" s="1049"/>
      <c r="M34" s="1049"/>
      <c r="N34" s="1049"/>
      <c r="O34" s="1049"/>
      <c r="P34" s="1049"/>
      <c r="Q34" s="1049"/>
      <c r="R34" s="1049"/>
      <c r="S34" s="1049"/>
      <c r="T34" s="1049"/>
      <c r="U34" s="1049"/>
      <c r="V34" s="1049"/>
      <c r="W34" s="1049"/>
      <c r="X34" s="1049"/>
      <c r="Y34" s="1049"/>
      <c r="Z34" s="1049"/>
      <c r="AA34" s="1049"/>
      <c r="AB34" s="1049"/>
      <c r="AC34" s="1049"/>
      <c r="AD34" s="1049"/>
      <c r="AE34" s="1049"/>
      <c r="AF34" s="1049"/>
      <c r="AG34" s="1049"/>
      <c r="AH34" s="1049"/>
      <c r="AI34" s="1049"/>
      <c r="AJ34" s="1049"/>
      <c r="AK34" s="1049"/>
      <c r="AL34" s="1049"/>
      <c r="AM34" s="1049"/>
      <c r="AN34" s="1049"/>
      <c r="AO34" s="1049"/>
      <c r="AP34" s="1049"/>
      <c r="AQ34" s="1049"/>
      <c r="AR34" s="1049"/>
      <c r="AS34" s="1049"/>
      <c r="AT34" s="1049"/>
      <c r="AU34" s="1049"/>
      <c r="AV34" s="1049"/>
      <c r="AW34" s="1049"/>
      <c r="AX34" s="1049"/>
      <c r="AY34" s="1049"/>
      <c r="AZ34" s="1049"/>
      <c r="BA34" s="1049"/>
      <c r="BB34" s="1049"/>
      <c r="BC34" s="1049"/>
      <c r="BD34" s="1049"/>
      <c r="BE34" s="1049"/>
      <c r="BF34" s="1049"/>
      <c r="BG34" s="1049"/>
      <c r="BH34" s="1049"/>
      <c r="BI34" s="1049"/>
      <c r="BJ34" s="1049"/>
      <c r="BK34" s="1049"/>
      <c r="BL34" s="1049"/>
      <c r="BM34" s="1049"/>
      <c r="BN34" s="1049"/>
      <c r="BO34" s="1049"/>
      <c r="BP34" s="1049"/>
      <c r="BQ34" s="1049"/>
      <c r="BR34" s="1049"/>
      <c r="BS34" s="1049"/>
      <c r="BT34" s="1049"/>
      <c r="BU34" s="1049"/>
      <c r="BV34" s="1049"/>
      <c r="BW34" s="1049"/>
      <c r="BX34" s="1049"/>
      <c r="BY34" s="1049"/>
      <c r="BZ34" s="1049"/>
      <c r="CA34" s="1049"/>
      <c r="CB34" s="1049"/>
      <c r="CC34" s="1049"/>
      <c r="CD34" s="1049"/>
      <c r="CE34" s="1049"/>
      <c r="CF34" s="1049"/>
      <c r="CG34" s="1049"/>
      <c r="CH34" s="1049"/>
      <c r="CI34" s="1049"/>
      <c r="CJ34" s="1049"/>
      <c r="CK34" s="1049"/>
      <c r="CL34" s="1049"/>
      <c r="CM34" s="1049"/>
      <c r="CN34" s="1049"/>
      <c r="CO34" s="1049"/>
      <c r="CP34" s="1049"/>
      <c r="CQ34" s="1049"/>
      <c r="CR34" s="1049"/>
      <c r="CS34" s="1049"/>
      <c r="CT34" s="1049"/>
      <c r="CU34" s="1049"/>
      <c r="CV34" s="1049"/>
      <c r="CW34" s="1049"/>
      <c r="CX34" s="1049"/>
      <c r="CY34" s="1049"/>
      <c r="CZ34" s="1049"/>
      <c r="DA34" s="1049"/>
      <c r="DB34" s="1049"/>
      <c r="DC34" s="1049"/>
      <c r="DD34" s="1049"/>
      <c r="DE34" s="1049"/>
      <c r="DF34" s="1049"/>
      <c r="DG34" s="1049"/>
      <c r="DH34" s="1049"/>
      <c r="DI34" s="1049"/>
      <c r="DJ34" s="1049"/>
      <c r="DK34" s="1049"/>
      <c r="DL34" s="1049"/>
      <c r="DM34" s="1049"/>
      <c r="DN34" s="1049"/>
      <c r="DO34" s="1049"/>
      <c r="DP34" s="1049"/>
      <c r="DQ34" s="1049"/>
      <c r="DR34" s="1049"/>
      <c r="DS34" s="1049"/>
      <c r="DT34" s="1049"/>
      <c r="DU34" s="1049"/>
      <c r="DV34" s="1049"/>
      <c r="DW34" s="1049"/>
    </row>
    <row r="35" spans="1:127" s="481" customFormat="1" ht="11.25" customHeight="1">
      <c r="A35" s="500"/>
      <c r="B35" s="675"/>
      <c r="C35" s="675"/>
      <c r="D35" s="501"/>
      <c r="E35" s="501"/>
      <c r="F35" s="940"/>
      <c r="G35" s="498"/>
      <c r="H35" s="498"/>
      <c r="I35" s="498"/>
      <c r="J35" s="49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  <c r="W35" s="498"/>
      <c r="X35" s="498"/>
      <c r="Y35" s="498"/>
      <c r="Z35" s="498"/>
      <c r="AA35" s="498"/>
      <c r="AB35" s="498"/>
      <c r="AC35" s="498"/>
      <c r="AD35" s="498"/>
      <c r="AE35" s="498"/>
      <c r="AF35" s="498"/>
      <c r="AG35" s="498"/>
      <c r="AH35" s="498"/>
      <c r="AI35" s="498"/>
      <c r="AJ35" s="498"/>
      <c r="AK35" s="498"/>
      <c r="AL35" s="498"/>
      <c r="AM35" s="498"/>
      <c r="AN35" s="498"/>
      <c r="AO35" s="498"/>
      <c r="AP35" s="498"/>
      <c r="AQ35" s="498"/>
      <c r="AR35" s="498"/>
      <c r="AS35" s="498"/>
      <c r="AT35" s="498"/>
      <c r="AU35" s="498"/>
      <c r="AV35" s="498"/>
      <c r="AW35" s="498"/>
      <c r="AX35" s="498"/>
      <c r="AY35" s="498"/>
      <c r="AZ35" s="498"/>
      <c r="BA35" s="498"/>
      <c r="BB35" s="498"/>
      <c r="BC35" s="498"/>
      <c r="BD35" s="498"/>
      <c r="BE35" s="498"/>
      <c r="BF35" s="498"/>
      <c r="BG35" s="498"/>
      <c r="BH35" s="498"/>
      <c r="BI35" s="498"/>
      <c r="BJ35" s="498"/>
      <c r="BK35" s="498"/>
      <c r="BL35" s="498"/>
      <c r="BM35" s="498"/>
      <c r="BN35" s="498"/>
      <c r="BO35" s="498"/>
      <c r="BP35" s="498"/>
      <c r="BQ35" s="498"/>
      <c r="BR35" s="498"/>
      <c r="BS35" s="498"/>
      <c r="BT35" s="498"/>
      <c r="BU35" s="498"/>
      <c r="BV35" s="498"/>
      <c r="BW35" s="498"/>
      <c r="BX35" s="498"/>
      <c r="BY35" s="498"/>
      <c r="BZ35" s="498"/>
      <c r="CA35" s="498"/>
      <c r="CB35" s="498"/>
      <c r="CC35" s="498"/>
      <c r="CD35" s="498"/>
      <c r="CE35" s="498"/>
      <c r="CF35" s="498"/>
      <c r="CG35" s="498"/>
      <c r="CH35" s="498"/>
      <c r="CI35" s="498"/>
      <c r="CJ35" s="498"/>
      <c r="CK35" s="498"/>
      <c r="CL35" s="498"/>
      <c r="CM35" s="498"/>
      <c r="CN35" s="498"/>
      <c r="CO35" s="498"/>
      <c r="CP35" s="498"/>
      <c r="CQ35" s="498"/>
      <c r="CR35" s="498"/>
      <c r="CS35" s="498"/>
      <c r="CT35" s="498"/>
      <c r="CU35" s="498"/>
      <c r="CV35" s="498"/>
      <c r="CW35" s="498"/>
      <c r="CX35" s="498"/>
      <c r="CY35" s="498"/>
      <c r="CZ35" s="498"/>
      <c r="DA35" s="498"/>
      <c r="DB35" s="498"/>
      <c r="DC35" s="498"/>
      <c r="DD35" s="498"/>
      <c r="DE35" s="498"/>
      <c r="DF35" s="498"/>
      <c r="DG35" s="498"/>
      <c r="DH35" s="498"/>
      <c r="DI35" s="498"/>
      <c r="DJ35" s="498"/>
      <c r="DK35" s="498"/>
      <c r="DL35" s="498"/>
      <c r="DM35" s="498"/>
      <c r="DN35" s="498"/>
      <c r="DO35" s="498"/>
      <c r="DP35" s="498"/>
      <c r="DQ35" s="498"/>
      <c r="DR35" s="498"/>
      <c r="DS35" s="498"/>
      <c r="DT35" s="498"/>
      <c r="DU35" s="498"/>
      <c r="DV35" s="498"/>
      <c r="DW35" s="498"/>
    </row>
    <row r="36" spans="1:127" s="481" customFormat="1" ht="11.25" customHeight="1">
      <c r="A36" s="499" t="s">
        <v>1139</v>
      </c>
      <c r="B36" s="675"/>
      <c r="C36" s="675"/>
      <c r="D36" s="501"/>
      <c r="E36" s="501"/>
      <c r="F36" s="940"/>
      <c r="G36" s="497">
        <f>G37*G38*G7</f>
        <v>0</v>
      </c>
      <c r="H36" s="497">
        <f t="shared" ref="H36:BO36" si="13">H37*H38*H7</f>
        <v>0</v>
      </c>
      <c r="I36" s="497">
        <f t="shared" si="13"/>
        <v>0</v>
      </c>
      <c r="J36" s="497">
        <f t="shared" si="13"/>
        <v>0</v>
      </c>
      <c r="K36" s="497">
        <f t="shared" si="13"/>
        <v>0</v>
      </c>
      <c r="L36" s="497">
        <f t="shared" si="13"/>
        <v>0</v>
      </c>
      <c r="M36" s="497">
        <f t="shared" si="13"/>
        <v>0</v>
      </c>
      <c r="N36" s="497">
        <f t="shared" si="13"/>
        <v>0</v>
      </c>
      <c r="O36" s="497">
        <f t="shared" si="13"/>
        <v>0</v>
      </c>
      <c r="P36" s="497">
        <f t="shared" si="13"/>
        <v>0</v>
      </c>
      <c r="Q36" s="497">
        <f t="shared" si="13"/>
        <v>0</v>
      </c>
      <c r="R36" s="497">
        <f t="shared" si="13"/>
        <v>0</v>
      </c>
      <c r="S36" s="497">
        <f t="shared" si="13"/>
        <v>0</v>
      </c>
      <c r="T36" s="497">
        <f t="shared" si="13"/>
        <v>0</v>
      </c>
      <c r="U36" s="497">
        <f t="shared" si="13"/>
        <v>0</v>
      </c>
      <c r="V36" s="497">
        <f t="shared" si="13"/>
        <v>0</v>
      </c>
      <c r="W36" s="497">
        <f t="shared" si="13"/>
        <v>0</v>
      </c>
      <c r="X36" s="497">
        <f t="shared" si="13"/>
        <v>0</v>
      </c>
      <c r="Y36" s="497">
        <f t="shared" si="13"/>
        <v>0</v>
      </c>
      <c r="Z36" s="497">
        <f t="shared" si="13"/>
        <v>0</v>
      </c>
      <c r="AA36" s="497">
        <f t="shared" si="13"/>
        <v>0</v>
      </c>
      <c r="AB36" s="497">
        <f t="shared" si="13"/>
        <v>0</v>
      </c>
      <c r="AC36" s="497">
        <f t="shared" si="13"/>
        <v>0</v>
      </c>
      <c r="AD36" s="497">
        <f t="shared" si="13"/>
        <v>0</v>
      </c>
      <c r="AE36" s="497">
        <f t="shared" si="13"/>
        <v>0</v>
      </c>
      <c r="AF36" s="497">
        <f t="shared" si="13"/>
        <v>0</v>
      </c>
      <c r="AG36" s="497">
        <f t="shared" si="13"/>
        <v>0</v>
      </c>
      <c r="AH36" s="497">
        <f t="shared" si="13"/>
        <v>0</v>
      </c>
      <c r="AI36" s="497">
        <f t="shared" si="13"/>
        <v>0</v>
      </c>
      <c r="AJ36" s="497">
        <f t="shared" si="13"/>
        <v>0</v>
      </c>
      <c r="AK36" s="497">
        <f t="shared" si="13"/>
        <v>0</v>
      </c>
      <c r="AL36" s="497">
        <f t="shared" si="13"/>
        <v>0</v>
      </c>
      <c r="AM36" s="497">
        <f t="shared" si="13"/>
        <v>0</v>
      </c>
      <c r="AN36" s="497">
        <f t="shared" si="13"/>
        <v>0</v>
      </c>
      <c r="AO36" s="497">
        <f t="shared" si="13"/>
        <v>0</v>
      </c>
      <c r="AP36" s="497">
        <f t="shared" si="13"/>
        <v>0</v>
      </c>
      <c r="AQ36" s="497">
        <f t="shared" si="13"/>
        <v>0</v>
      </c>
      <c r="AR36" s="497">
        <f t="shared" si="13"/>
        <v>0</v>
      </c>
      <c r="AS36" s="497">
        <f t="shared" si="13"/>
        <v>0</v>
      </c>
      <c r="AT36" s="497">
        <f t="shared" si="13"/>
        <v>0</v>
      </c>
      <c r="AU36" s="497">
        <f t="shared" si="13"/>
        <v>0</v>
      </c>
      <c r="AV36" s="497">
        <f t="shared" si="13"/>
        <v>0</v>
      </c>
      <c r="AW36" s="497">
        <f t="shared" si="13"/>
        <v>0</v>
      </c>
      <c r="AX36" s="497">
        <f t="shared" si="13"/>
        <v>0</v>
      </c>
      <c r="AY36" s="497">
        <f t="shared" si="13"/>
        <v>0</v>
      </c>
      <c r="AZ36" s="497">
        <f t="shared" si="13"/>
        <v>0</v>
      </c>
      <c r="BA36" s="497">
        <f t="shared" si="13"/>
        <v>0</v>
      </c>
      <c r="BB36" s="497">
        <f t="shared" si="13"/>
        <v>0</v>
      </c>
      <c r="BC36" s="497">
        <f t="shared" si="13"/>
        <v>0</v>
      </c>
      <c r="BD36" s="497">
        <f t="shared" si="13"/>
        <v>0</v>
      </c>
      <c r="BE36" s="497">
        <f t="shared" si="13"/>
        <v>0</v>
      </c>
      <c r="BF36" s="497">
        <f t="shared" si="13"/>
        <v>0</v>
      </c>
      <c r="BG36" s="497">
        <f t="shared" si="13"/>
        <v>0</v>
      </c>
      <c r="BH36" s="497">
        <f t="shared" si="13"/>
        <v>0</v>
      </c>
      <c r="BI36" s="497">
        <f t="shared" si="13"/>
        <v>0</v>
      </c>
      <c r="BJ36" s="497">
        <f t="shared" si="13"/>
        <v>0</v>
      </c>
      <c r="BK36" s="497">
        <f t="shared" si="13"/>
        <v>0</v>
      </c>
      <c r="BL36" s="497">
        <f t="shared" si="13"/>
        <v>0</v>
      </c>
      <c r="BM36" s="497">
        <f t="shared" si="13"/>
        <v>0</v>
      </c>
      <c r="BN36" s="497">
        <f t="shared" si="13"/>
        <v>0</v>
      </c>
      <c r="BO36" s="497">
        <f t="shared" si="13"/>
        <v>0</v>
      </c>
      <c r="BP36" s="497"/>
      <c r="BQ36" s="497"/>
      <c r="BR36" s="497"/>
      <c r="BS36" s="497"/>
      <c r="BT36" s="497"/>
      <c r="BU36" s="497"/>
      <c r="BV36" s="497"/>
      <c r="BW36" s="497"/>
      <c r="BX36" s="497"/>
      <c r="BY36" s="497"/>
      <c r="BZ36" s="497"/>
      <c r="CA36" s="497"/>
      <c r="CB36" s="497"/>
      <c r="CC36" s="497"/>
      <c r="CD36" s="497"/>
      <c r="CE36" s="497"/>
      <c r="CF36" s="497"/>
      <c r="CG36" s="497"/>
      <c r="CH36" s="497"/>
      <c r="CI36" s="497"/>
      <c r="CJ36" s="497"/>
      <c r="CK36" s="497"/>
      <c r="CL36" s="497"/>
      <c r="CM36" s="497"/>
      <c r="CN36" s="497"/>
      <c r="CO36" s="497"/>
      <c r="CP36" s="497"/>
      <c r="CQ36" s="497"/>
      <c r="CR36" s="497"/>
      <c r="CS36" s="497"/>
      <c r="CT36" s="497"/>
      <c r="CU36" s="497"/>
      <c r="CV36" s="497"/>
      <c r="CW36" s="497"/>
      <c r="CX36" s="497"/>
      <c r="CY36" s="497"/>
      <c r="CZ36" s="497"/>
      <c r="DA36" s="497"/>
      <c r="DB36" s="497"/>
      <c r="DC36" s="497"/>
      <c r="DD36" s="497"/>
      <c r="DE36" s="497"/>
      <c r="DF36" s="497"/>
      <c r="DG36" s="497"/>
      <c r="DH36" s="497"/>
      <c r="DI36" s="497"/>
      <c r="DJ36" s="497"/>
      <c r="DK36" s="497"/>
      <c r="DL36" s="497"/>
      <c r="DM36" s="497"/>
      <c r="DN36" s="497"/>
      <c r="DO36" s="497"/>
      <c r="DP36" s="497"/>
      <c r="DQ36" s="497"/>
      <c r="DR36" s="497"/>
      <c r="DS36" s="497"/>
      <c r="DT36" s="497"/>
      <c r="DU36" s="497"/>
      <c r="DV36" s="497"/>
      <c r="DW36" s="497"/>
    </row>
    <row r="37" spans="1:127" s="481" customFormat="1" ht="11.25" customHeight="1">
      <c r="A37" s="500" t="s">
        <v>1136</v>
      </c>
      <c r="B37" s="1717">
        <f>Scenarios!E23*(1-Scenarios!E332)</f>
        <v>0</v>
      </c>
      <c r="C37" s="675"/>
      <c r="D37" s="501"/>
      <c r="E37" s="501"/>
      <c r="F37" s="940"/>
      <c r="G37" s="495">
        <f>IF(G4&lt;=Scenarios!$E$329,CF!$B$37,Scenarios!$E$23)</f>
        <v>0</v>
      </c>
      <c r="H37" s="495">
        <f>IF(H4&lt;=Scenarios!$E$329,CF!$B$37,Scenarios!$E$23)</f>
        <v>0</v>
      </c>
      <c r="I37" s="495">
        <f>IF(I4&lt;=Scenarios!$E$329,CF!$B$37,Scenarios!$E$23)</f>
        <v>0</v>
      </c>
      <c r="J37" s="495">
        <f>IF(J4&lt;=Scenarios!$E$329,CF!$B$37,Scenarios!$E$23)</f>
        <v>0</v>
      </c>
      <c r="K37" s="495">
        <f>IF(K4&lt;=Scenarios!$E$329,CF!$B$37,Scenarios!$E$23)</f>
        <v>0</v>
      </c>
      <c r="L37" s="495">
        <f>IF(L4&lt;=Scenarios!$E$329,CF!$B$37,Scenarios!$E$23)</f>
        <v>0</v>
      </c>
      <c r="M37" s="495">
        <f>IF(M4&lt;=Scenarios!$E$329,CF!$B$37,Scenarios!$E$23)</f>
        <v>0</v>
      </c>
      <c r="N37" s="495">
        <f>IF(N4&lt;=Scenarios!$E$329,CF!$B$37,Scenarios!$E$23)</f>
        <v>0</v>
      </c>
      <c r="O37" s="495">
        <f>IF(O4&lt;=Scenarios!$E$329,CF!$B$37,Scenarios!$E$23)</f>
        <v>0</v>
      </c>
      <c r="P37" s="495">
        <f>IF(P4&lt;=Scenarios!$E$329,CF!$B$37,Scenarios!$E$23)</f>
        <v>0</v>
      </c>
      <c r="Q37" s="495">
        <f>IF(Q4&lt;=Scenarios!$E$329,CF!$B$37,Scenarios!$E$23)</f>
        <v>0</v>
      </c>
      <c r="R37" s="495">
        <f>IF(R4&lt;=Scenarios!$E$329,CF!$B$37,Scenarios!$E$23)</f>
        <v>0</v>
      </c>
      <c r="S37" s="495">
        <f>IF(S4&lt;=Scenarios!$E$329,CF!$B$37,Scenarios!$E$23)</f>
        <v>0</v>
      </c>
      <c r="T37" s="495">
        <f>IF(T4&lt;=Scenarios!$E$329,CF!$B$37,Scenarios!$E$23)</f>
        <v>0</v>
      </c>
      <c r="U37" s="495">
        <f>IF(U4&lt;=Scenarios!$E$329,CF!$B$37,Scenarios!$E$23)</f>
        <v>0</v>
      </c>
      <c r="V37" s="495">
        <f>IF(V4&lt;=Scenarios!$E$329,CF!$B$37,Scenarios!$E$23)</f>
        <v>0</v>
      </c>
      <c r="W37" s="495">
        <f>IF(W4&lt;=Scenarios!$E$329,CF!$B$37,Scenarios!$E$23)</f>
        <v>0</v>
      </c>
      <c r="X37" s="495">
        <f>IF(X4&lt;=Scenarios!$E$329,CF!$B$37,Scenarios!$E$23)</f>
        <v>0</v>
      </c>
      <c r="Y37" s="495">
        <f>IF(Y4&lt;=Scenarios!$E$329,CF!$B$37,Scenarios!$E$23)</f>
        <v>0</v>
      </c>
      <c r="Z37" s="495">
        <f>IF(Z4&lt;=Scenarios!$E$329,CF!$B$37,Scenarios!$E$23)</f>
        <v>0</v>
      </c>
      <c r="AA37" s="495">
        <f>IF(AA4&lt;=Scenarios!$E$329,CF!$B$37,Scenarios!$E$23)</f>
        <v>0</v>
      </c>
      <c r="AB37" s="495">
        <f>IF(AB4&lt;=Scenarios!$E$329,CF!$B$37,Scenarios!$E$23)</f>
        <v>0</v>
      </c>
      <c r="AC37" s="495">
        <f>IF(AC4&lt;=Scenarios!$E$329,CF!$B$37,Scenarios!$E$23)</f>
        <v>0</v>
      </c>
      <c r="AD37" s="495">
        <f>IF(AD4&lt;=Scenarios!$E$329,CF!$B$37,Scenarios!$E$23)</f>
        <v>0</v>
      </c>
      <c r="AE37" s="495">
        <f>IF(AE4&lt;=Scenarios!$E$329,CF!$B$37,Scenarios!$E$23)</f>
        <v>0</v>
      </c>
      <c r="AF37" s="495">
        <f>IF(AF4&lt;=Scenarios!$E$329,CF!$B$37,Scenarios!$E$23)</f>
        <v>0</v>
      </c>
      <c r="AG37" s="495">
        <f>IF(AG4&lt;=Scenarios!$E$329,CF!$B$37,Scenarios!$E$23)</f>
        <v>0</v>
      </c>
      <c r="AH37" s="495">
        <f>IF(AH4&lt;=Scenarios!$E$329,CF!$B$37,Scenarios!$E$23)</f>
        <v>0</v>
      </c>
      <c r="AI37" s="495">
        <f>IF(AI4&lt;=Scenarios!$E$329,CF!$B$37,Scenarios!$E$23)</f>
        <v>0</v>
      </c>
      <c r="AJ37" s="495">
        <f>IF(AJ4&lt;=Scenarios!$E$329,CF!$B$37,Scenarios!$E$23)</f>
        <v>0</v>
      </c>
      <c r="AK37" s="495">
        <f>IF(AK4&lt;=Scenarios!$E$329,CF!$B$37,Scenarios!$E$23)</f>
        <v>0</v>
      </c>
      <c r="AL37" s="495">
        <f>IF(AL4&lt;=Scenarios!$E$329,CF!$B$37,Scenarios!$E$23)</f>
        <v>0</v>
      </c>
      <c r="AM37" s="495">
        <f>IF(AM4&lt;=Scenarios!$E$329,CF!$B$37,Scenarios!$E$23)</f>
        <v>0</v>
      </c>
      <c r="AN37" s="495">
        <f>IF(AN4&lt;=Scenarios!$E$329,CF!$B$37,Scenarios!$E$23)</f>
        <v>0</v>
      </c>
      <c r="AO37" s="495">
        <f>IF(AO4&lt;=Scenarios!$E$329,CF!$B$37,Scenarios!$E$23)</f>
        <v>0</v>
      </c>
      <c r="AP37" s="495">
        <f>IF(AP4&lt;=Scenarios!$E$329,CF!$B$37,Scenarios!$E$23)</f>
        <v>0</v>
      </c>
      <c r="AQ37" s="495">
        <f>IF(AQ4&lt;=Scenarios!$E$329,CF!$B$37,Scenarios!$E$23)</f>
        <v>0</v>
      </c>
      <c r="AR37" s="495">
        <f>IF(AR4&lt;=Scenarios!$E$329,CF!$B$37,Scenarios!$E$23)</f>
        <v>0</v>
      </c>
      <c r="AS37" s="495">
        <f>IF(AS4&lt;=Scenarios!$E$329,CF!$B$37,Scenarios!$E$23)</f>
        <v>0</v>
      </c>
      <c r="AT37" s="495">
        <f>IF(AT4&lt;=Scenarios!$E$329,CF!$B$37,Scenarios!$E$23)</f>
        <v>0</v>
      </c>
      <c r="AU37" s="495">
        <f>IF(AU4&lt;=Scenarios!$E$329,CF!$B$37,Scenarios!$E$23)</f>
        <v>0</v>
      </c>
      <c r="AV37" s="495">
        <f>IF(AV4&lt;=Scenarios!$E$329,CF!$B$37,Scenarios!$E$23)</f>
        <v>0</v>
      </c>
      <c r="AW37" s="495">
        <f>IF(AW4&lt;=Scenarios!$E$329,CF!$B$37,Scenarios!$E$23)</f>
        <v>0</v>
      </c>
      <c r="AX37" s="495">
        <f>IF(AX4&lt;=Scenarios!$E$329,CF!$B$37,Scenarios!$E$23)</f>
        <v>0</v>
      </c>
      <c r="AY37" s="495">
        <f>IF(AY4&lt;=Scenarios!$E$329,CF!$B$37,Scenarios!$E$23)</f>
        <v>0</v>
      </c>
      <c r="AZ37" s="495">
        <f>IF(AZ4&lt;=Scenarios!$E$329,CF!$B$37,Scenarios!$E$23)</f>
        <v>0</v>
      </c>
      <c r="BA37" s="495">
        <f>IF(BA4&lt;=Scenarios!$E$329,CF!$B$37,Scenarios!$E$23)</f>
        <v>0</v>
      </c>
      <c r="BB37" s="495">
        <f>IF(BB4&lt;=Scenarios!$E$329,CF!$B$37,Scenarios!$E$23)</f>
        <v>0</v>
      </c>
      <c r="BC37" s="495">
        <f>IF(BC4&lt;=Scenarios!$E$329,CF!$B$37,Scenarios!$E$23)</f>
        <v>0</v>
      </c>
      <c r="BD37" s="495">
        <f>IF(BD4&lt;=Scenarios!$E$329,CF!$B$37,Scenarios!$E$23)</f>
        <v>0</v>
      </c>
      <c r="BE37" s="495">
        <f>IF(BE4&lt;=Scenarios!$E$329,CF!$B$37,Scenarios!$E$23)</f>
        <v>0</v>
      </c>
      <c r="BF37" s="495">
        <f>IF(BF4&lt;=Scenarios!$E$329,CF!$B$37,Scenarios!$E$23)</f>
        <v>0</v>
      </c>
      <c r="BG37" s="495">
        <f>IF(BG4&lt;=Scenarios!$E$329,CF!$B$37,Scenarios!$E$23)</f>
        <v>0</v>
      </c>
      <c r="BH37" s="495">
        <f>IF(BH4&lt;=Scenarios!$E$329,CF!$B$37,Scenarios!$E$23)</f>
        <v>0</v>
      </c>
      <c r="BI37" s="495">
        <f>IF(BI4&lt;=Scenarios!$E$329,CF!$B$37,Scenarios!$E$23)</f>
        <v>0</v>
      </c>
      <c r="BJ37" s="495">
        <f>IF(BJ4&lt;=Scenarios!$E$329,CF!$B$37,Scenarios!$E$23)</f>
        <v>0</v>
      </c>
      <c r="BK37" s="495">
        <f>IF(BK4&lt;=Scenarios!$E$329,CF!$B$37,Scenarios!$E$23)</f>
        <v>0</v>
      </c>
      <c r="BL37" s="495">
        <f>IF(BL4&lt;=Scenarios!$E$329,CF!$B$37,Scenarios!$E$23)</f>
        <v>0</v>
      </c>
      <c r="BM37" s="495">
        <f>IF(BM4&lt;=Scenarios!$E$329,CF!$B$37,Scenarios!$E$23)</f>
        <v>0</v>
      </c>
      <c r="BN37" s="495">
        <f>IF(BN4&lt;=Scenarios!$E$329,CF!$B$37,Scenarios!$E$23)</f>
        <v>0</v>
      </c>
      <c r="BO37" s="495">
        <f>IF(BO4&lt;=Scenarios!$E$329,CF!$B$37,Scenarios!$E$23)</f>
        <v>0</v>
      </c>
      <c r="BP37" s="495"/>
      <c r="BQ37" s="495"/>
      <c r="BR37" s="495"/>
      <c r="BS37" s="495"/>
      <c r="BT37" s="495"/>
      <c r="BU37" s="495"/>
      <c r="BV37" s="495"/>
      <c r="BW37" s="495"/>
      <c r="BX37" s="495"/>
      <c r="BY37" s="495"/>
      <c r="BZ37" s="495"/>
      <c r="CA37" s="495"/>
      <c r="CB37" s="495"/>
      <c r="CC37" s="495"/>
      <c r="CD37" s="495"/>
      <c r="CE37" s="495"/>
      <c r="CF37" s="495"/>
      <c r="CG37" s="495"/>
      <c r="CH37" s="495"/>
      <c r="CI37" s="495"/>
      <c r="CJ37" s="495"/>
      <c r="CK37" s="495"/>
      <c r="CL37" s="495"/>
      <c r="CM37" s="495"/>
      <c r="CN37" s="495"/>
      <c r="CO37" s="495"/>
      <c r="CP37" s="495"/>
      <c r="CQ37" s="495"/>
      <c r="CR37" s="495"/>
      <c r="CS37" s="495"/>
      <c r="CT37" s="495"/>
      <c r="CU37" s="495"/>
      <c r="CV37" s="495"/>
      <c r="CW37" s="495"/>
      <c r="CX37" s="495"/>
      <c r="CY37" s="495"/>
      <c r="CZ37" s="495"/>
      <c r="DA37" s="495"/>
      <c r="DB37" s="495"/>
      <c r="DC37" s="495"/>
      <c r="DD37" s="495"/>
      <c r="DE37" s="495"/>
      <c r="DF37" s="495"/>
      <c r="DG37" s="495"/>
      <c r="DH37" s="495"/>
      <c r="DI37" s="495"/>
      <c r="DJ37" s="495"/>
      <c r="DK37" s="495"/>
      <c r="DL37" s="495"/>
      <c r="DM37" s="495"/>
      <c r="DN37" s="495"/>
      <c r="DO37" s="495"/>
      <c r="DP37" s="495"/>
      <c r="DQ37" s="495"/>
      <c r="DR37" s="495"/>
      <c r="DS37" s="495"/>
      <c r="DT37" s="495"/>
      <c r="DU37" s="495"/>
      <c r="DV37" s="495"/>
      <c r="DW37" s="495"/>
    </row>
    <row r="38" spans="1:127" s="481" customFormat="1" ht="11.25" customHeight="1">
      <c r="A38" s="500" t="s">
        <v>1137</v>
      </c>
      <c r="B38" s="675"/>
      <c r="C38" s="675"/>
      <c r="D38" s="501"/>
      <c r="E38" s="501"/>
      <c r="F38" s="940"/>
      <c r="G38" s="1049">
        <f>INDEX(Inputs!$D$122:$AH$122,1,MATCH(G3,Inputs!$D$96:$AH$96))</f>
        <v>313.93874325895109</v>
      </c>
      <c r="H38" s="1049">
        <f>INDEX(Inputs!$D$122:$AH$122,1,MATCH(H3,Inputs!$D$96:$AH$96))</f>
        <v>313.93874325895109</v>
      </c>
      <c r="I38" s="1049">
        <f>INDEX(Inputs!$D$122:$AH$122,1,MATCH(I3,Inputs!$D$96:$AH$96))</f>
        <v>292.06218307740647</v>
      </c>
      <c r="J38" s="1049">
        <f>INDEX(Inputs!$D$122:$AH$122,1,MATCH(J3,Inputs!$D$96:$AH$96))</f>
        <v>292.06218307740647</v>
      </c>
      <c r="K38" s="1049">
        <f>INDEX(Inputs!$D$122:$AH$122,1,MATCH(K3,Inputs!$D$96:$AH$96))</f>
        <v>269.18492189698554</v>
      </c>
      <c r="L38" s="1049">
        <f>INDEX(Inputs!$D$122:$AH$122,1,MATCH(L3,Inputs!$D$96:$AH$96))</f>
        <v>269.18492189698554</v>
      </c>
      <c r="M38" s="1049">
        <f>INDEX(Inputs!$D$122:$AH$122,1,MATCH(M3,Inputs!$D$96:$AH$96))</f>
        <v>245.27569252839868</v>
      </c>
      <c r="N38" s="1049">
        <f>INDEX(Inputs!$D$122:$AH$122,1,MATCH(N3,Inputs!$D$96:$AH$96))</f>
        <v>245.27569252839868</v>
      </c>
      <c r="O38" s="1049">
        <f>INDEX(Inputs!$D$122:$AH$122,1,MATCH(O3,Inputs!$D$96:$AH$96))</f>
        <v>246.53664091762957</v>
      </c>
      <c r="P38" s="1049">
        <f>INDEX(Inputs!$D$122:$AH$122,1,MATCH(P3,Inputs!$D$96:$AH$96))</f>
        <v>246.53664091762957</v>
      </c>
      <c r="Q38" s="1049">
        <f>INDEX(Inputs!$D$122:$AH$122,1,MATCH(Q3,Inputs!$D$96:$AH$96))</f>
        <v>247.74996455906233</v>
      </c>
      <c r="R38" s="1049">
        <f>INDEX(Inputs!$D$122:$AH$122,1,MATCH(R3,Inputs!$D$96:$AH$96))</f>
        <v>247.74996455906233</v>
      </c>
      <c r="S38" s="1049">
        <f>INDEX(Inputs!$D$122:$AH$122,1,MATCH(S3,Inputs!$D$96:$AH$96))</f>
        <v>248.91333350480988</v>
      </c>
      <c r="T38" s="1049">
        <f>INDEX(Inputs!$D$122:$AH$122,1,MATCH(T3,Inputs!$D$96:$AH$96))</f>
        <v>248.91333350480988</v>
      </c>
      <c r="U38" s="1049">
        <f>INDEX(Inputs!$D$122:$AH$122,1,MATCH(U3,Inputs!$D$96:$AH$96))</f>
        <v>250.02410543071881</v>
      </c>
      <c r="V38" s="1049">
        <f>INDEX(Inputs!$D$122:$AH$122,1,MATCH(V3,Inputs!$D$96:$AH$96))</f>
        <v>250.02410543071881</v>
      </c>
      <c r="W38" s="1049">
        <f>INDEX(Inputs!$D$122:$AH$122,1,MATCH(W3,Inputs!$D$96:$AH$96))</f>
        <v>251.07972053903194</v>
      </c>
      <c r="X38" s="1049">
        <f>INDEX(Inputs!$D$122:$AH$122,1,MATCH(X3,Inputs!$D$96:$AH$96))</f>
        <v>251.07972053903194</v>
      </c>
      <c r="Y38" s="1049">
        <f>INDEX(Inputs!$D$122:$AH$122,1,MATCH(Y3,Inputs!$D$96:$AH$96))</f>
        <v>247.4686679742029</v>
      </c>
      <c r="Z38" s="1049">
        <f>INDEX(Inputs!$D$122:$AH$122,1,MATCH(Z3,Inputs!$D$96:$AH$96))</f>
        <v>247.4686679742029</v>
      </c>
      <c r="AA38" s="1049">
        <f>INDEX(Inputs!$D$122:$AH$122,1,MATCH(AA3,Inputs!$D$96:$AH$96))</f>
        <v>243.61280907928719</v>
      </c>
      <c r="AB38" s="1049">
        <f>INDEX(Inputs!$D$122:$AH$122,1,MATCH(AB3,Inputs!$D$96:$AH$96))</f>
        <v>243.61280907928719</v>
      </c>
      <c r="AC38" s="1049">
        <f>INDEX(Inputs!$D$122:$AH$122,1,MATCH(AC3,Inputs!$D$96:$AH$96))</f>
        <v>239.50368827334705</v>
      </c>
      <c r="AD38" s="1049">
        <f>INDEX(Inputs!$D$122:$AH$122,1,MATCH(AD3,Inputs!$D$96:$AH$96))</f>
        <v>239.50368827334705</v>
      </c>
      <c r="AE38" s="1049">
        <f>INDEX(Inputs!$D$122:$AH$122,1,MATCH(AE3,Inputs!$D$96:$AH$96))</f>
        <v>235.13275818268431</v>
      </c>
      <c r="AF38" s="1049">
        <f>INDEX(Inputs!$D$122:$AH$122,1,MATCH(AF3,Inputs!$D$96:$AH$96))</f>
        <v>235.13275818268431</v>
      </c>
      <c r="AG38" s="1049">
        <f>INDEX(Inputs!$D$122:$AH$122,1,MATCH(AG3,Inputs!$D$96:$AH$96))</f>
        <v>230.49118965216772</v>
      </c>
      <c r="AH38" s="1049">
        <f>INDEX(Inputs!$D$122:$AH$122,1,MATCH(AH3,Inputs!$D$96:$AH$96))</f>
        <v>230.49118965216772</v>
      </c>
      <c r="AI38" s="1049">
        <f>INDEX(Inputs!$D$122:$AH$122,1,MATCH(AI3,Inputs!$D$96:$AH$96))</f>
        <v>234.30970364642917</v>
      </c>
      <c r="AJ38" s="1049">
        <f>INDEX(Inputs!$D$122:$AH$122,1,MATCH(AJ3,Inputs!$D$96:$AH$96))</f>
        <v>234.30970364642917</v>
      </c>
      <c r="AK38" s="1049">
        <f>INDEX(Inputs!$D$122:$AH$122,1,MATCH(AK3,Inputs!$D$96:$AH$96))</f>
        <v>238.18881821028094</v>
      </c>
      <c r="AL38" s="1049">
        <f>INDEX(Inputs!$D$122:$AH$122,1,MATCH(AL3,Inputs!$D$96:$AH$96))</f>
        <v>238.18881821028094</v>
      </c>
      <c r="AM38" s="1049">
        <f>INDEX(Inputs!$D$122:$AH$122,1,MATCH(AM3,Inputs!$D$96:$AH$96))</f>
        <v>242.12932191951498</v>
      </c>
      <c r="AN38" s="1049">
        <f>INDEX(Inputs!$D$122:$AH$122,1,MATCH(AN3,Inputs!$D$96:$AH$96))</f>
        <v>242.12932191951498</v>
      </c>
      <c r="AO38" s="1049">
        <f>INDEX(Inputs!$D$122:$AH$122,1,MATCH(AO3,Inputs!$D$96:$AH$96))</f>
        <v>246.13213579669323</v>
      </c>
      <c r="AP38" s="1049">
        <f>INDEX(Inputs!$D$122:$AH$122,1,MATCH(AP3,Inputs!$D$96:$AH$96))</f>
        <v>246.13213579669323</v>
      </c>
      <c r="AQ38" s="1049">
        <f>INDEX(Inputs!$D$122:$AH$122,1,MATCH(AQ3,Inputs!$D$96:$AH$96))</f>
        <v>250.19831065267954</v>
      </c>
      <c r="AR38" s="1049">
        <f>INDEX(Inputs!$D$122:$AH$122,1,MATCH(AR3,Inputs!$D$96:$AH$96))</f>
        <v>250.19831065267954</v>
      </c>
      <c r="AS38" s="1049">
        <f>INDEX(Inputs!$D$122:$AH$122,1,MATCH(AS3,Inputs!$D$96:$AH$96))</f>
        <v>252.31421751774667</v>
      </c>
      <c r="AT38" s="1049">
        <f>INDEX(Inputs!$D$122:$AH$122,1,MATCH(AT3,Inputs!$D$96:$AH$96))</f>
        <v>252.31421751774667</v>
      </c>
      <c r="AU38" s="1049">
        <f>INDEX(Inputs!$D$122:$AH$122,1,MATCH(AU3,Inputs!$D$96:$AH$96))</f>
        <v>254.4147774321122</v>
      </c>
      <c r="AV38" s="1049">
        <f>INDEX(Inputs!$D$122:$AH$122,1,MATCH(AV3,Inputs!$D$96:$AH$96))</f>
        <v>254.4147774321122</v>
      </c>
      <c r="AW38" s="1049">
        <f>INDEX(Inputs!$D$122:$AH$122,1,MATCH(AW3,Inputs!$D$96:$AH$96))</f>
        <v>256.49838993814177</v>
      </c>
      <c r="AX38" s="1049">
        <f>INDEX(Inputs!$D$122:$AH$122,1,MATCH(AX3,Inputs!$D$96:$AH$96))</f>
        <v>256.49838993814177</v>
      </c>
      <c r="AY38" s="1049">
        <f>INDEX(Inputs!$D$122:$AH$122,1,MATCH(AY3,Inputs!$D$96:$AH$96))</f>
        <v>258.56351849409106</v>
      </c>
      <c r="AZ38" s="1049">
        <f>INDEX(Inputs!$D$122:$AH$122,1,MATCH(AZ3,Inputs!$D$96:$AH$96))</f>
        <v>258.56351849409106</v>
      </c>
      <c r="BA38" s="1049">
        <f>INDEX(Inputs!$D$122:$AH$122,1,MATCH(BA3,Inputs!$D$96:$AH$96))</f>
        <v>260.6086816862491</v>
      </c>
      <c r="BB38" s="1049">
        <f>INDEX(Inputs!$D$122:$AH$122,1,MATCH(BB3,Inputs!$D$96:$AH$96))</f>
        <v>260.6086816862491</v>
      </c>
      <c r="BC38" s="1049">
        <f>INDEX(Inputs!$D$122:$AH$122,1,MATCH(BC3,Inputs!$D$96:$AH$96))</f>
        <v>262.63229967692229</v>
      </c>
      <c r="BD38" s="1049">
        <f>INDEX(Inputs!$D$122:$AH$122,1,MATCH(BD3,Inputs!$D$96:$AH$96))</f>
        <v>262.63229967692229</v>
      </c>
      <c r="BE38" s="1049">
        <f>INDEX(Inputs!$D$122:$AH$122,1,MATCH(BE3,Inputs!$D$96:$AH$96))</f>
        <v>264.63255119784321</v>
      </c>
      <c r="BF38" s="1049">
        <f>INDEX(Inputs!$D$122:$AH$122,1,MATCH(BF3,Inputs!$D$96:$AH$96))</f>
        <v>264.63255119784321</v>
      </c>
      <c r="BG38" s="1049">
        <f>INDEX(Inputs!$D$122:$AH$122,1,MATCH(BG3,Inputs!$D$96:$AH$96))</f>
        <v>0</v>
      </c>
      <c r="BH38" s="1049">
        <f>INDEX(Inputs!$D$122:$AH$122,1,MATCH(BH3,Inputs!$D$96:$AH$96))</f>
        <v>0</v>
      </c>
      <c r="BI38" s="1049">
        <f>INDEX(Inputs!$D$122:$AH$122,1,MATCH(BI3,Inputs!$D$96:$AH$96))</f>
        <v>0</v>
      </c>
      <c r="BJ38" s="1049">
        <f>INDEX(Inputs!$D$122:$AH$122,1,MATCH(BJ3,Inputs!$D$96:$AH$96))</f>
        <v>0</v>
      </c>
      <c r="BK38" s="1049">
        <f>INDEX(Inputs!$D$122:$AH$122,1,MATCH(BK3,Inputs!$D$96:$AH$96))</f>
        <v>0</v>
      </c>
      <c r="BL38" s="1049">
        <f>INDEX(Inputs!$D$122:$AH$122,1,MATCH(BL3,Inputs!$D$96:$AH$96))</f>
        <v>0</v>
      </c>
      <c r="BM38" s="1049">
        <f>INDEX(Inputs!$D$122:$AH$122,1,MATCH(BM3,Inputs!$D$96:$AH$96))</f>
        <v>0</v>
      </c>
      <c r="BN38" s="1049">
        <f>INDEX(Inputs!$D$122:$AH$122,1,MATCH(BN3,Inputs!$D$96:$AH$96))</f>
        <v>0</v>
      </c>
      <c r="BO38" s="1049">
        <f>INDEX(Inputs!$D$122:$AH$122,1,MATCH(BO3,Inputs!$D$96:$AH$96))</f>
        <v>0</v>
      </c>
      <c r="BP38" s="1049"/>
      <c r="BQ38" s="1049"/>
      <c r="BR38" s="1049"/>
      <c r="BS38" s="1049"/>
      <c r="BT38" s="1049"/>
      <c r="BU38" s="1049"/>
      <c r="BV38" s="1049"/>
      <c r="BW38" s="1049"/>
      <c r="BX38" s="1049"/>
      <c r="BY38" s="1049"/>
      <c r="BZ38" s="1049"/>
      <c r="CA38" s="1049"/>
      <c r="CB38" s="1049"/>
      <c r="CC38" s="1049"/>
      <c r="CD38" s="1049"/>
      <c r="CE38" s="1049"/>
      <c r="CF38" s="1049"/>
      <c r="CG38" s="1049"/>
      <c r="CH38" s="1049"/>
      <c r="CI38" s="1049"/>
      <c r="CJ38" s="1049"/>
      <c r="CK38" s="1049"/>
      <c r="CL38" s="1049"/>
      <c r="CM38" s="1049"/>
      <c r="CN38" s="1049"/>
      <c r="CO38" s="1049"/>
      <c r="CP38" s="1049"/>
      <c r="CQ38" s="1049"/>
      <c r="CR38" s="1049"/>
      <c r="CS38" s="1049"/>
      <c r="CT38" s="1049"/>
      <c r="CU38" s="1049"/>
      <c r="CV38" s="1049"/>
      <c r="CW38" s="1049"/>
      <c r="CX38" s="1049"/>
      <c r="CY38" s="1049"/>
      <c r="CZ38" s="1049"/>
      <c r="DA38" s="1049"/>
      <c r="DB38" s="1049"/>
      <c r="DC38" s="1049"/>
      <c r="DD38" s="1049"/>
      <c r="DE38" s="1049"/>
      <c r="DF38" s="1049"/>
      <c r="DG38" s="1049"/>
      <c r="DH38" s="1049"/>
      <c r="DI38" s="1049"/>
      <c r="DJ38" s="1049"/>
      <c r="DK38" s="1049"/>
      <c r="DL38" s="1049"/>
      <c r="DM38" s="1049"/>
      <c r="DN38" s="1049"/>
      <c r="DO38" s="1049"/>
      <c r="DP38" s="1049"/>
      <c r="DQ38" s="1049"/>
      <c r="DR38" s="1049"/>
      <c r="DS38" s="1049"/>
      <c r="DT38" s="1049"/>
      <c r="DU38" s="1049"/>
      <c r="DV38" s="1049"/>
      <c r="DW38" s="1049"/>
    </row>
    <row r="39" spans="1:127" s="481" customFormat="1" ht="11.25" customHeight="1">
      <c r="A39" s="500"/>
      <c r="B39" s="675"/>
      <c r="C39" s="675"/>
      <c r="D39" s="501"/>
      <c r="E39" s="501"/>
      <c r="F39" s="940"/>
      <c r="G39" s="1049"/>
      <c r="H39" s="1049"/>
      <c r="I39" s="1049"/>
      <c r="J39" s="1049"/>
      <c r="K39" s="1049"/>
      <c r="L39" s="1049"/>
      <c r="M39" s="1049"/>
      <c r="N39" s="1049"/>
      <c r="O39" s="1049"/>
      <c r="P39" s="1049"/>
      <c r="Q39" s="1049"/>
      <c r="R39" s="1049"/>
      <c r="S39" s="1049"/>
      <c r="T39" s="1049"/>
      <c r="U39" s="1049"/>
      <c r="V39" s="1049"/>
      <c r="W39" s="1049"/>
      <c r="X39" s="1049"/>
      <c r="Y39" s="1049"/>
      <c r="Z39" s="1049"/>
      <c r="AA39" s="1049"/>
      <c r="AB39" s="1049"/>
      <c r="AC39" s="1049"/>
      <c r="AD39" s="1049"/>
      <c r="AE39" s="1049"/>
      <c r="AF39" s="1049"/>
      <c r="AG39" s="1049"/>
      <c r="AH39" s="1049"/>
      <c r="AI39" s="1049"/>
      <c r="AJ39" s="1049"/>
      <c r="AK39" s="1049"/>
      <c r="AL39" s="1049"/>
      <c r="AM39" s="1049"/>
      <c r="AN39" s="1049"/>
      <c r="AO39" s="1049"/>
      <c r="AP39" s="1049"/>
      <c r="AQ39" s="1049"/>
      <c r="AR39" s="1049"/>
      <c r="AS39" s="1049"/>
      <c r="AT39" s="1049"/>
      <c r="AU39" s="1049"/>
      <c r="AV39" s="1049"/>
      <c r="AW39" s="1049"/>
      <c r="AX39" s="1049"/>
      <c r="AY39" s="1049"/>
      <c r="AZ39" s="1049"/>
      <c r="BA39" s="1049"/>
      <c r="BB39" s="1049"/>
      <c r="BC39" s="1049"/>
      <c r="BD39" s="1049"/>
      <c r="BE39" s="1049"/>
      <c r="BF39" s="1049"/>
      <c r="BG39" s="1049"/>
      <c r="BH39" s="1049"/>
      <c r="BI39" s="1049"/>
      <c r="BJ39" s="1049"/>
      <c r="BK39" s="1049"/>
      <c r="BL39" s="1049"/>
      <c r="BM39" s="1049"/>
      <c r="BN39" s="1049"/>
      <c r="BO39" s="1049"/>
      <c r="BP39" s="1049"/>
      <c r="BQ39" s="1049"/>
      <c r="BR39" s="1049"/>
      <c r="BS39" s="1049"/>
      <c r="BT39" s="1049"/>
      <c r="BU39" s="1049"/>
      <c r="BV39" s="1049"/>
      <c r="BW39" s="1049"/>
      <c r="BX39" s="1049"/>
      <c r="BY39" s="1049"/>
      <c r="BZ39" s="1049"/>
      <c r="CA39" s="1049"/>
      <c r="CB39" s="1049"/>
      <c r="CC39" s="1049"/>
      <c r="CD39" s="1049"/>
      <c r="CE39" s="1049"/>
      <c r="CF39" s="1049"/>
      <c r="CG39" s="1049"/>
      <c r="CH39" s="1049"/>
      <c r="CI39" s="1049"/>
      <c r="CJ39" s="1049"/>
      <c r="CK39" s="1049"/>
      <c r="CL39" s="1049"/>
      <c r="CM39" s="1049"/>
      <c r="CN39" s="1049"/>
      <c r="CO39" s="1049"/>
      <c r="CP39" s="1049"/>
      <c r="CQ39" s="1049"/>
      <c r="CR39" s="1049"/>
      <c r="CS39" s="1049"/>
      <c r="CT39" s="1049"/>
      <c r="CU39" s="1049"/>
      <c r="CV39" s="1049"/>
      <c r="CW39" s="1049"/>
      <c r="CX39" s="1049"/>
      <c r="CY39" s="1049"/>
      <c r="CZ39" s="1049"/>
      <c r="DA39" s="1049"/>
      <c r="DB39" s="1049"/>
      <c r="DC39" s="1049"/>
      <c r="DD39" s="1049"/>
      <c r="DE39" s="1049"/>
      <c r="DF39" s="1049"/>
      <c r="DG39" s="1049"/>
      <c r="DH39" s="1049"/>
      <c r="DI39" s="1049"/>
      <c r="DJ39" s="1049"/>
      <c r="DK39" s="1049"/>
      <c r="DL39" s="1049"/>
      <c r="DM39" s="1049"/>
      <c r="DN39" s="1049"/>
      <c r="DO39" s="1049"/>
      <c r="DP39" s="1049"/>
      <c r="DQ39" s="1049"/>
      <c r="DR39" s="1049"/>
      <c r="DS39" s="1049"/>
      <c r="DT39" s="1049"/>
      <c r="DU39" s="1049"/>
      <c r="DV39" s="1049"/>
      <c r="DW39" s="1049"/>
    </row>
    <row r="40" spans="1:127" s="481" customFormat="1" ht="11.25" customHeight="1">
      <c r="A40" s="499" t="s">
        <v>309</v>
      </c>
      <c r="B40" s="675"/>
      <c r="C40" s="675"/>
      <c r="D40" s="501"/>
      <c r="E40" s="501"/>
      <c r="F40" s="940"/>
      <c r="G40" s="498"/>
      <c r="H40" s="497">
        <f>-Inputs!$D$114*CF!H28</f>
        <v>0</v>
      </c>
      <c r="I40" s="497">
        <f>-Inputs!$D$114*CF!I28</f>
        <v>0</v>
      </c>
      <c r="J40" s="497">
        <f>-Inputs!$D$114*CF!J28</f>
        <v>0</v>
      </c>
      <c r="K40" s="497">
        <f>-Inputs!$D$114*CF!K28</f>
        <v>0</v>
      </c>
      <c r="L40" s="497">
        <f>-Inputs!$D$114*CF!L28</f>
        <v>0</v>
      </c>
      <c r="M40" s="497">
        <f>-Inputs!$D$114*CF!M28</f>
        <v>0</v>
      </c>
      <c r="N40" s="497">
        <f>-Inputs!$D$114*CF!N28</f>
        <v>0</v>
      </c>
      <c r="O40" s="497">
        <f>-Inputs!$D$114*CF!O28</f>
        <v>0</v>
      </c>
      <c r="P40" s="497">
        <f>-Inputs!$D$114*CF!P28</f>
        <v>0</v>
      </c>
      <c r="Q40" s="497">
        <f>-Inputs!$D$114*CF!Q28</f>
        <v>0</v>
      </c>
      <c r="R40" s="497">
        <f>-Inputs!$D$114*CF!R28</f>
        <v>0</v>
      </c>
      <c r="S40" s="497">
        <f>-Inputs!$D$114*CF!S28</f>
        <v>0</v>
      </c>
      <c r="T40" s="497">
        <f>-Inputs!$D$114*CF!T28</f>
        <v>0</v>
      </c>
      <c r="U40" s="497">
        <f>-Inputs!$D$114*CF!U28</f>
        <v>0</v>
      </c>
      <c r="V40" s="497">
        <f>-Inputs!$D$114*CF!V28</f>
        <v>0</v>
      </c>
      <c r="W40" s="497">
        <f>-Inputs!$D$114*CF!W28</f>
        <v>0</v>
      </c>
      <c r="X40" s="497">
        <f>-Inputs!$D$114*CF!X28</f>
        <v>0</v>
      </c>
      <c r="Y40" s="497">
        <f>-Inputs!$D$114*CF!Y28</f>
        <v>0</v>
      </c>
      <c r="Z40" s="497">
        <f>-Inputs!$D$114*CF!Z28</f>
        <v>0</v>
      </c>
      <c r="AA40" s="497">
        <f>-Inputs!$D$114*CF!AA28</f>
        <v>0</v>
      </c>
      <c r="AB40" s="497">
        <f>-Inputs!$D$114*CF!AB28</f>
        <v>0</v>
      </c>
      <c r="AC40" s="497">
        <f>-Inputs!$D$114*CF!AC28</f>
        <v>0</v>
      </c>
      <c r="AD40" s="497">
        <f>-Inputs!$D$114*CF!AD28</f>
        <v>0</v>
      </c>
      <c r="AE40" s="497">
        <f>-Inputs!$D$114*CF!AE28</f>
        <v>0</v>
      </c>
      <c r="AF40" s="497">
        <f>-Inputs!$D$114*CF!AF28</f>
        <v>-99.431343859148001</v>
      </c>
      <c r="AG40" s="497">
        <f>-Inputs!$D$114*CF!AG28</f>
        <v>-98.737624117638745</v>
      </c>
      <c r="AH40" s="497">
        <f>-Inputs!$D$114*CF!AH28</f>
        <v>-99.69951333510933</v>
      </c>
      <c r="AI40" s="497">
        <f>-Inputs!$D$114*CF!AI28</f>
        <v>-98.878403806384483</v>
      </c>
      <c r="AJ40" s="497">
        <f>-Inputs!$D$114*CF!AJ28</f>
        <v>-99.837900903709297</v>
      </c>
      <c r="AK40" s="497">
        <f>-Inputs!$D$114*CF!AK28</f>
        <v>-95.720468727620428</v>
      </c>
      <c r="AL40" s="497">
        <f>-Inputs!$D$114*CF!AL28</f>
        <v>-96.917767850268675</v>
      </c>
      <c r="AM40" s="497">
        <f>-Inputs!$D$114*CF!AM28</f>
        <v>-97.501951910450728</v>
      </c>
      <c r="AN40" s="497">
        <f>-Inputs!$D$114*CF!AN28</f>
        <v>-98.72153433655717</v>
      </c>
      <c r="AO40" s="497">
        <f>-Inputs!$D$114*CF!AO28</f>
        <v>-99.276827290505508</v>
      </c>
      <c r="AP40" s="497">
        <f>-Inputs!$D$114*CF!AP28</f>
        <v>-100.24396935584078</v>
      </c>
      <c r="AQ40" s="497">
        <f>-Inputs!$D$114*CF!AQ28</f>
        <v>-101.30393802967416</v>
      </c>
      <c r="AR40" s="497">
        <f>-Inputs!$D$114*CF!AR28</f>
        <v>-102.28697204666108</v>
      </c>
      <c r="AS40" s="497">
        <f>-Inputs!$D$114*CF!AS28</f>
        <v>-102.78463935883435</v>
      </c>
      <c r="AT40" s="497">
        <f>-Inputs!$D$114*CF!AT28</f>
        <v>-104.0702991572233</v>
      </c>
      <c r="AU40" s="497">
        <f>-Inputs!$D$114*CF!AU28</f>
        <v>-104.53929484811388</v>
      </c>
      <c r="AV40" s="497">
        <f>-Inputs!$D$114*CF!AV28</f>
        <v>-105.84690238146266</v>
      </c>
      <c r="AW40" s="497">
        <f>-Inputs!$D$114*CF!AW28</f>
        <v>-106.90473535323736</v>
      </c>
      <c r="AX40" s="497">
        <f>-Inputs!$D$114*CF!AX28</f>
        <v>-107.94618751650103</v>
      </c>
      <c r="AY40" s="497">
        <f>-Inputs!$D$114*CF!AY28</f>
        <v>-108.94645945471839</v>
      </c>
      <c r="AZ40" s="497">
        <f>-Inputs!$D$114*CF!AZ28</f>
        <v>-110.00365503622584</v>
      </c>
      <c r="BA40" s="497">
        <f>-Inputs!$D$114*CF!BA28</f>
        <v>-110.35450430325926</v>
      </c>
      <c r="BB40" s="497">
        <f>-Inputs!$D$114*CF!BB28</f>
        <v>-111.73485014714089</v>
      </c>
      <c r="BC40" s="497">
        <f>-Inputs!$D$114*CF!BC28</f>
        <v>-112.71762053912281</v>
      </c>
      <c r="BD40" s="497">
        <f>-Inputs!$D$114*CF!BD28</f>
        <v>-114.12752491978893</v>
      </c>
      <c r="BE40" s="497">
        <f>-Inputs!$D$114*CF!BE28</f>
        <v>-114.41192312667532</v>
      </c>
      <c r="BF40" s="497">
        <f>-Inputs!$D$114*CF!BF28</f>
        <v>-115.52650934635697</v>
      </c>
      <c r="BG40" s="497">
        <f>-Inputs!$D$114*CF!BG28</f>
        <v>-116.04311450947701</v>
      </c>
      <c r="BH40" s="497">
        <f>-Inputs!$D$114*CF!BH28</f>
        <v>-117.16917467277005</v>
      </c>
      <c r="BI40" s="497">
        <f>-Inputs!$D$114*CF!BI28</f>
        <v>-116.96092395154508</v>
      </c>
      <c r="BJ40" s="497">
        <f>-Inputs!$D$114*CF!BJ28</f>
        <v>-118.4239047903644</v>
      </c>
      <c r="BK40" s="497">
        <f>-Inputs!$D$114*CF!BK28</f>
        <v>-117.56435408262502</v>
      </c>
      <c r="BL40" s="497">
        <f>-Inputs!$D$114*CF!BL28</f>
        <v>-119.03488279888502</v>
      </c>
      <c r="BM40" s="497">
        <f>-Inputs!$D$114*CF!BM28</f>
        <v>-118.71955522323051</v>
      </c>
      <c r="BN40" s="497">
        <f>-Inputs!$D$114*CF!BN28</f>
        <v>-119.87610584000532</v>
      </c>
      <c r="BO40" s="497">
        <f>-Inputs!$D$114*CF!BO28</f>
        <v>-120.18901516234115</v>
      </c>
      <c r="BP40" s="498"/>
      <c r="BQ40" s="498"/>
      <c r="BR40" s="498"/>
      <c r="BS40" s="498"/>
      <c r="BT40" s="498"/>
      <c r="BU40" s="498"/>
      <c r="BV40" s="498"/>
      <c r="BW40" s="498"/>
      <c r="BX40" s="498"/>
      <c r="BY40" s="498"/>
      <c r="BZ40" s="498"/>
      <c r="CA40" s="498"/>
      <c r="CB40" s="498"/>
      <c r="CC40" s="498"/>
      <c r="CD40" s="498"/>
      <c r="CE40" s="498"/>
      <c r="CF40" s="498"/>
      <c r="CG40" s="498"/>
      <c r="CH40" s="498"/>
      <c r="CI40" s="498"/>
      <c r="CJ40" s="498"/>
      <c r="CK40" s="498"/>
      <c r="CL40" s="498"/>
      <c r="CM40" s="498"/>
      <c r="CN40" s="498"/>
      <c r="CO40" s="498"/>
      <c r="CP40" s="498"/>
      <c r="CQ40" s="498"/>
      <c r="CR40" s="498"/>
      <c r="CS40" s="498"/>
      <c r="CT40" s="498"/>
      <c r="CU40" s="498"/>
      <c r="CV40" s="498"/>
      <c r="CW40" s="498"/>
      <c r="CX40" s="498"/>
      <c r="CY40" s="498"/>
      <c r="CZ40" s="498"/>
      <c r="DA40" s="498"/>
      <c r="DB40" s="498"/>
      <c r="DC40" s="498"/>
      <c r="DD40" s="498"/>
      <c r="DE40" s="498"/>
      <c r="DF40" s="498"/>
      <c r="DG40" s="498"/>
      <c r="DH40" s="498"/>
      <c r="DI40" s="498"/>
      <c r="DJ40" s="498"/>
      <c r="DK40" s="498"/>
      <c r="DL40" s="498"/>
      <c r="DM40" s="498"/>
      <c r="DN40" s="498"/>
      <c r="DO40" s="498"/>
      <c r="DP40" s="498"/>
      <c r="DQ40" s="498"/>
      <c r="DR40" s="498"/>
      <c r="DS40" s="498"/>
      <c r="DT40" s="498"/>
      <c r="DU40" s="498"/>
      <c r="DV40" s="498"/>
      <c r="DW40" s="498"/>
    </row>
    <row r="41" spans="1:127" s="481" customFormat="1" ht="11.25" customHeight="1">
      <c r="A41" s="499" t="s">
        <v>312</v>
      </c>
      <c r="B41" s="1716"/>
      <c r="C41" s="1716"/>
      <c r="D41" s="868"/>
      <c r="E41" s="868"/>
      <c r="F41" s="941"/>
      <c r="G41" s="497"/>
      <c r="H41" s="497">
        <f>-Inputs!$D$115*H36</f>
        <v>0</v>
      </c>
      <c r="I41" s="497">
        <f>-Inputs!$D$115*I36</f>
        <v>0</v>
      </c>
      <c r="J41" s="497">
        <f>-Inputs!$D$115*J36</f>
        <v>0</v>
      </c>
      <c r="K41" s="497">
        <f>-Inputs!$D$115*K36</f>
        <v>0</v>
      </c>
      <c r="L41" s="497">
        <f>-Inputs!$D$115*L36</f>
        <v>0</v>
      </c>
      <c r="M41" s="497">
        <f>-Inputs!$D$115*M36</f>
        <v>0</v>
      </c>
      <c r="N41" s="497">
        <f>-Inputs!$D$115*N36</f>
        <v>0</v>
      </c>
      <c r="O41" s="497">
        <f>-Inputs!$D$115*O36</f>
        <v>0</v>
      </c>
      <c r="P41" s="497">
        <f>-Inputs!$D$115*P36</f>
        <v>0</v>
      </c>
      <c r="Q41" s="497">
        <f>-Inputs!$D$115*Q36</f>
        <v>0</v>
      </c>
      <c r="R41" s="497">
        <f>-Inputs!$D$115*R36</f>
        <v>0</v>
      </c>
      <c r="S41" s="497">
        <f>-Inputs!$D$115*S36</f>
        <v>0</v>
      </c>
      <c r="T41" s="497">
        <f>-Inputs!$D$115*T36</f>
        <v>0</v>
      </c>
      <c r="U41" s="497">
        <f>-Inputs!$D$115*U36</f>
        <v>0</v>
      </c>
      <c r="V41" s="497">
        <f>-Inputs!$D$115*V36</f>
        <v>0</v>
      </c>
      <c r="W41" s="497">
        <f>-Inputs!$D$115*W36</f>
        <v>0</v>
      </c>
      <c r="X41" s="497">
        <f>-Inputs!$D$115*X36</f>
        <v>0</v>
      </c>
      <c r="Y41" s="497">
        <f>-Inputs!$D$115*Y36</f>
        <v>0</v>
      </c>
      <c r="Z41" s="497">
        <f>-Inputs!$D$115*Z36</f>
        <v>0</v>
      </c>
      <c r="AA41" s="497">
        <f>-Inputs!$D$115*AA36</f>
        <v>0</v>
      </c>
      <c r="AB41" s="497">
        <f>-Inputs!$D$115*AB36</f>
        <v>0</v>
      </c>
      <c r="AC41" s="497">
        <f>-Inputs!$D$115*AC36</f>
        <v>0</v>
      </c>
      <c r="AD41" s="497">
        <f>-Inputs!$D$115*AD36</f>
        <v>0</v>
      </c>
      <c r="AE41" s="497">
        <f>-Inputs!$D$115*AE36</f>
        <v>0</v>
      </c>
      <c r="AF41" s="497">
        <f>-Inputs!$D$115*AF36</f>
        <v>0</v>
      </c>
      <c r="AG41" s="497">
        <f>-Inputs!$D$115*AG36</f>
        <v>0</v>
      </c>
      <c r="AH41" s="497">
        <f>-Inputs!$D$115*AH36</f>
        <v>0</v>
      </c>
      <c r="AI41" s="497">
        <f>-Inputs!$D$115*AI36</f>
        <v>0</v>
      </c>
      <c r="AJ41" s="497">
        <f>-Inputs!$D$115*AJ36</f>
        <v>0</v>
      </c>
      <c r="AK41" s="497">
        <f>-Inputs!$D$115*AK36</f>
        <v>0</v>
      </c>
      <c r="AL41" s="497">
        <f>-Inputs!$D$115*AL36</f>
        <v>0</v>
      </c>
      <c r="AM41" s="497">
        <f>-Inputs!$D$115*AM36</f>
        <v>0</v>
      </c>
      <c r="AN41" s="497">
        <f>-Inputs!$D$115*AN36</f>
        <v>0</v>
      </c>
      <c r="AO41" s="497">
        <f>-Inputs!$D$115*AO36</f>
        <v>0</v>
      </c>
      <c r="AP41" s="497">
        <f>-Inputs!$D$115*AP36</f>
        <v>0</v>
      </c>
      <c r="AQ41" s="497">
        <f>-Inputs!$D$115*AQ36</f>
        <v>0</v>
      </c>
      <c r="AR41" s="497">
        <f>-Inputs!$D$115*AR36</f>
        <v>0</v>
      </c>
      <c r="AS41" s="497">
        <f>-Inputs!$D$115*AS36</f>
        <v>0</v>
      </c>
      <c r="AT41" s="497">
        <f>-Inputs!$D$115*AT36</f>
        <v>0</v>
      </c>
      <c r="AU41" s="497">
        <f>-Inputs!$D$115*AU36</f>
        <v>0</v>
      </c>
      <c r="AV41" s="497">
        <f>-Inputs!$D$115*AV36</f>
        <v>0</v>
      </c>
      <c r="AW41" s="497">
        <f>-Inputs!$D$115*AW36</f>
        <v>0</v>
      </c>
      <c r="AX41" s="497">
        <f>-Inputs!$D$115*AX36</f>
        <v>0</v>
      </c>
      <c r="AY41" s="497">
        <f>-Inputs!$D$115*AY36</f>
        <v>0</v>
      </c>
      <c r="AZ41" s="497">
        <f>-Inputs!$D$115*AZ36</f>
        <v>0</v>
      </c>
      <c r="BA41" s="497">
        <f>-Inputs!$D$115*BA36</f>
        <v>0</v>
      </c>
      <c r="BB41" s="497">
        <f>-Inputs!$D$115*BB36</f>
        <v>0</v>
      </c>
      <c r="BC41" s="497">
        <f>-Inputs!$D$115*BC36</f>
        <v>0</v>
      </c>
      <c r="BD41" s="497">
        <f>-Inputs!$D$115*BD36</f>
        <v>0</v>
      </c>
      <c r="BE41" s="497">
        <f>-Inputs!$D$115*BE36</f>
        <v>0</v>
      </c>
      <c r="BF41" s="497">
        <f>-Inputs!$D$115*BF36</f>
        <v>0</v>
      </c>
      <c r="BG41" s="497">
        <f>-Inputs!$D$115*BG36</f>
        <v>0</v>
      </c>
      <c r="BH41" s="497">
        <f>-Inputs!$D$115*BH36</f>
        <v>0</v>
      </c>
      <c r="BI41" s="497">
        <f>-Inputs!$D$115*BI36</f>
        <v>0</v>
      </c>
      <c r="BJ41" s="497">
        <f>-Inputs!$D$115*BJ36</f>
        <v>0</v>
      </c>
      <c r="BK41" s="497">
        <f>-Inputs!$D$115*BK36</f>
        <v>0</v>
      </c>
      <c r="BL41" s="497">
        <f>-Inputs!$D$115*BL36</f>
        <v>0</v>
      </c>
      <c r="BM41" s="497">
        <f>-Inputs!$D$115*BM36</f>
        <v>0</v>
      </c>
      <c r="BN41" s="497">
        <f>-Inputs!$D$115*BN36</f>
        <v>0</v>
      </c>
      <c r="BO41" s="497">
        <f>-Inputs!$D$115*BO36</f>
        <v>0</v>
      </c>
      <c r="BP41" s="498"/>
      <c r="BQ41" s="498"/>
      <c r="BR41" s="498"/>
      <c r="BS41" s="498"/>
      <c r="BT41" s="498"/>
      <c r="BU41" s="498"/>
      <c r="BV41" s="498"/>
      <c r="BW41" s="498"/>
      <c r="BX41" s="498"/>
      <c r="BY41" s="498"/>
      <c r="BZ41" s="498"/>
      <c r="CA41" s="498"/>
      <c r="CB41" s="498"/>
      <c r="CC41" s="498"/>
      <c r="CD41" s="498"/>
      <c r="CE41" s="498"/>
      <c r="CF41" s="498"/>
      <c r="CG41" s="498"/>
      <c r="CH41" s="498"/>
      <c r="CI41" s="498"/>
      <c r="CJ41" s="498"/>
      <c r="CK41" s="498"/>
      <c r="CL41" s="498"/>
      <c r="CM41" s="498"/>
      <c r="CN41" s="498"/>
      <c r="CO41" s="498"/>
      <c r="CP41" s="498"/>
      <c r="CQ41" s="498"/>
      <c r="CR41" s="498"/>
      <c r="CS41" s="498"/>
      <c r="CT41" s="498"/>
      <c r="CU41" s="498"/>
      <c r="CV41" s="498"/>
      <c r="CW41" s="498"/>
      <c r="CX41" s="498"/>
      <c r="CY41" s="498"/>
      <c r="CZ41" s="498"/>
      <c r="DA41" s="498"/>
      <c r="DB41" s="498"/>
      <c r="DC41" s="498"/>
      <c r="DD41" s="498"/>
      <c r="DE41" s="498"/>
      <c r="DF41" s="498"/>
      <c r="DG41" s="498"/>
      <c r="DH41" s="498"/>
      <c r="DI41" s="498"/>
      <c r="DJ41" s="498"/>
      <c r="DK41" s="498"/>
      <c r="DL41" s="498"/>
      <c r="DM41" s="498"/>
      <c r="DN41" s="498"/>
      <c r="DO41" s="498"/>
      <c r="DP41" s="498"/>
      <c r="DQ41" s="498"/>
      <c r="DR41" s="498"/>
      <c r="DS41" s="498"/>
      <c r="DT41" s="498"/>
      <c r="DU41" s="498"/>
      <c r="DV41" s="498"/>
      <c r="DW41" s="498"/>
    </row>
    <row r="42" spans="1:127" s="482" customFormat="1" ht="11.25" customHeight="1">
      <c r="A42" s="499" t="str">
        <f>Inputs!A132</f>
        <v>Non Recurring Item</v>
      </c>
      <c r="B42" s="842">
        <f>Inputs!$D$134</f>
        <v>0</v>
      </c>
      <c r="C42" s="842">
        <f>Inputs!$D$135</f>
        <v>1</v>
      </c>
      <c r="D42" s="1034"/>
      <c r="E42" s="868"/>
      <c r="F42" s="941"/>
      <c r="G42" s="498">
        <f t="shared" ref="G42:AL42" si="14">(G$4=$C$42)*$B42*G7</f>
        <v>0</v>
      </c>
      <c r="H42" s="498">
        <f t="shared" si="14"/>
        <v>0</v>
      </c>
      <c r="I42" s="498">
        <f t="shared" si="14"/>
        <v>0</v>
      </c>
      <c r="J42" s="498">
        <f t="shared" si="14"/>
        <v>0</v>
      </c>
      <c r="K42" s="498">
        <f t="shared" si="14"/>
        <v>0</v>
      </c>
      <c r="L42" s="498">
        <f t="shared" si="14"/>
        <v>0</v>
      </c>
      <c r="M42" s="498">
        <f t="shared" si="14"/>
        <v>0</v>
      </c>
      <c r="N42" s="498">
        <f t="shared" si="14"/>
        <v>0</v>
      </c>
      <c r="O42" s="498">
        <f t="shared" si="14"/>
        <v>0</v>
      </c>
      <c r="P42" s="498">
        <f t="shared" si="14"/>
        <v>0</v>
      </c>
      <c r="Q42" s="498">
        <f t="shared" si="14"/>
        <v>0</v>
      </c>
      <c r="R42" s="498">
        <f t="shared" si="14"/>
        <v>0</v>
      </c>
      <c r="S42" s="498">
        <f t="shared" si="14"/>
        <v>0</v>
      </c>
      <c r="T42" s="498">
        <f t="shared" si="14"/>
        <v>0</v>
      </c>
      <c r="U42" s="498">
        <f t="shared" si="14"/>
        <v>0</v>
      </c>
      <c r="V42" s="498">
        <f t="shared" si="14"/>
        <v>0</v>
      </c>
      <c r="W42" s="498">
        <f t="shared" si="14"/>
        <v>0</v>
      </c>
      <c r="X42" s="498">
        <f t="shared" si="14"/>
        <v>0</v>
      </c>
      <c r="Y42" s="498">
        <f t="shared" si="14"/>
        <v>0</v>
      </c>
      <c r="Z42" s="498">
        <f t="shared" si="14"/>
        <v>0</v>
      </c>
      <c r="AA42" s="498">
        <f t="shared" si="14"/>
        <v>0</v>
      </c>
      <c r="AB42" s="498">
        <f t="shared" si="14"/>
        <v>0</v>
      </c>
      <c r="AC42" s="498">
        <f t="shared" si="14"/>
        <v>0</v>
      </c>
      <c r="AD42" s="498">
        <f t="shared" si="14"/>
        <v>0</v>
      </c>
      <c r="AE42" s="498">
        <f t="shared" si="14"/>
        <v>0</v>
      </c>
      <c r="AF42" s="498">
        <f t="shared" si="14"/>
        <v>0</v>
      </c>
      <c r="AG42" s="498">
        <f t="shared" si="14"/>
        <v>0</v>
      </c>
      <c r="AH42" s="498">
        <f t="shared" si="14"/>
        <v>0</v>
      </c>
      <c r="AI42" s="498">
        <f t="shared" si="14"/>
        <v>0</v>
      </c>
      <c r="AJ42" s="498">
        <f t="shared" si="14"/>
        <v>0</v>
      </c>
      <c r="AK42" s="498">
        <f t="shared" si="14"/>
        <v>0</v>
      </c>
      <c r="AL42" s="498">
        <f t="shared" si="14"/>
        <v>0</v>
      </c>
      <c r="AM42" s="498">
        <f t="shared" ref="AM42:BO42" si="15">(AM$4=$C$42)*$B42*AM7</f>
        <v>0</v>
      </c>
      <c r="AN42" s="498">
        <f t="shared" si="15"/>
        <v>0</v>
      </c>
      <c r="AO42" s="498">
        <f t="shared" si="15"/>
        <v>0</v>
      </c>
      <c r="AP42" s="498">
        <f t="shared" si="15"/>
        <v>0</v>
      </c>
      <c r="AQ42" s="498">
        <f t="shared" si="15"/>
        <v>0</v>
      </c>
      <c r="AR42" s="498">
        <f t="shared" si="15"/>
        <v>0</v>
      </c>
      <c r="AS42" s="498">
        <f t="shared" si="15"/>
        <v>0</v>
      </c>
      <c r="AT42" s="498">
        <f t="shared" si="15"/>
        <v>0</v>
      </c>
      <c r="AU42" s="498">
        <f t="shared" si="15"/>
        <v>0</v>
      </c>
      <c r="AV42" s="498">
        <f t="shared" si="15"/>
        <v>0</v>
      </c>
      <c r="AW42" s="498">
        <f t="shared" si="15"/>
        <v>0</v>
      </c>
      <c r="AX42" s="498">
        <f t="shared" si="15"/>
        <v>0</v>
      </c>
      <c r="AY42" s="498">
        <f t="shared" si="15"/>
        <v>0</v>
      </c>
      <c r="AZ42" s="498">
        <f t="shared" si="15"/>
        <v>0</v>
      </c>
      <c r="BA42" s="498">
        <f t="shared" si="15"/>
        <v>0</v>
      </c>
      <c r="BB42" s="498">
        <f t="shared" si="15"/>
        <v>0</v>
      </c>
      <c r="BC42" s="498">
        <f t="shared" si="15"/>
        <v>0</v>
      </c>
      <c r="BD42" s="498">
        <f t="shared" si="15"/>
        <v>0</v>
      </c>
      <c r="BE42" s="498">
        <f t="shared" si="15"/>
        <v>0</v>
      </c>
      <c r="BF42" s="498">
        <f t="shared" si="15"/>
        <v>0</v>
      </c>
      <c r="BG42" s="498">
        <f t="shared" si="15"/>
        <v>0</v>
      </c>
      <c r="BH42" s="498">
        <f t="shared" si="15"/>
        <v>0</v>
      </c>
      <c r="BI42" s="498">
        <f t="shared" si="15"/>
        <v>0</v>
      </c>
      <c r="BJ42" s="498">
        <f t="shared" si="15"/>
        <v>0</v>
      </c>
      <c r="BK42" s="498">
        <f t="shared" si="15"/>
        <v>0</v>
      </c>
      <c r="BL42" s="498">
        <f t="shared" si="15"/>
        <v>0</v>
      </c>
      <c r="BM42" s="498">
        <f t="shared" si="15"/>
        <v>0</v>
      </c>
      <c r="BN42" s="498">
        <f t="shared" si="15"/>
        <v>0</v>
      </c>
      <c r="BO42" s="498">
        <f t="shared" si="15"/>
        <v>0</v>
      </c>
      <c r="BP42" s="498"/>
      <c r="BQ42" s="498"/>
      <c r="BR42" s="498"/>
      <c r="BS42" s="498"/>
      <c r="BT42" s="498"/>
      <c r="BU42" s="498"/>
      <c r="BV42" s="498"/>
      <c r="BW42" s="498"/>
      <c r="BX42" s="498"/>
      <c r="BY42" s="498"/>
      <c r="BZ42" s="498"/>
      <c r="CA42" s="498"/>
      <c r="CB42" s="498"/>
      <c r="CC42" s="498"/>
      <c r="CD42" s="498"/>
      <c r="CE42" s="498"/>
      <c r="CF42" s="498"/>
      <c r="CG42" s="498"/>
      <c r="CH42" s="498"/>
      <c r="CI42" s="498"/>
      <c r="CJ42" s="498"/>
      <c r="CK42" s="498"/>
      <c r="CL42" s="498"/>
      <c r="CM42" s="498"/>
      <c r="CN42" s="498"/>
      <c r="CO42" s="498"/>
      <c r="CP42" s="498"/>
      <c r="CQ42" s="498"/>
      <c r="CR42" s="498"/>
      <c r="CS42" s="498"/>
      <c r="CT42" s="498"/>
      <c r="CU42" s="498"/>
      <c r="CV42" s="498"/>
      <c r="CW42" s="498"/>
      <c r="CX42" s="498"/>
      <c r="CY42" s="498"/>
      <c r="CZ42" s="498"/>
      <c r="DA42" s="498"/>
      <c r="DB42" s="498"/>
      <c r="DC42" s="498"/>
      <c r="DD42" s="498"/>
      <c r="DE42" s="498"/>
      <c r="DF42" s="498"/>
      <c r="DG42" s="498"/>
      <c r="DH42" s="498"/>
      <c r="DI42" s="498"/>
      <c r="DJ42" s="498"/>
      <c r="DK42" s="498"/>
      <c r="DL42" s="498"/>
      <c r="DM42" s="498"/>
      <c r="DN42" s="498"/>
      <c r="DO42" s="498"/>
      <c r="DP42" s="498"/>
      <c r="DQ42" s="498"/>
      <c r="DR42" s="498"/>
      <c r="DS42" s="498"/>
      <c r="DT42" s="498"/>
      <c r="DU42" s="498"/>
      <c r="DV42" s="498"/>
      <c r="DW42" s="498"/>
    </row>
    <row r="43" spans="1:127" s="482" customFormat="1" ht="11.25" customHeight="1">
      <c r="A43" s="499"/>
      <c r="B43" s="867"/>
      <c r="C43" s="842"/>
      <c r="D43" s="1034"/>
      <c r="E43" s="868"/>
      <c r="F43" s="941"/>
      <c r="G43" s="1050"/>
      <c r="H43" s="1050"/>
      <c r="I43" s="1050"/>
      <c r="J43" s="1050"/>
      <c r="K43" s="1050"/>
      <c r="L43" s="1050"/>
      <c r="M43" s="1050"/>
      <c r="N43" s="1050"/>
      <c r="O43" s="1050"/>
      <c r="P43" s="1050"/>
      <c r="Q43" s="1050"/>
      <c r="R43" s="1050"/>
      <c r="S43" s="1050"/>
      <c r="T43" s="1050"/>
      <c r="U43" s="1050"/>
      <c r="V43" s="1050"/>
      <c r="W43" s="1050"/>
      <c r="X43" s="1050"/>
      <c r="Y43" s="1050"/>
      <c r="Z43" s="1050"/>
      <c r="AA43" s="1050"/>
      <c r="AB43" s="1050"/>
      <c r="AC43" s="1050"/>
      <c r="AD43" s="1050"/>
      <c r="AE43" s="1050"/>
      <c r="AF43" s="1050"/>
      <c r="AG43" s="1050"/>
      <c r="AH43" s="1050"/>
      <c r="AI43" s="1050"/>
      <c r="AJ43" s="1050"/>
      <c r="AK43" s="1050"/>
      <c r="AL43" s="1050"/>
      <c r="AM43" s="1050"/>
      <c r="AN43" s="1050"/>
      <c r="AO43" s="1050"/>
      <c r="AP43" s="1050"/>
      <c r="AQ43" s="1050"/>
      <c r="AR43" s="1050"/>
      <c r="AS43" s="1050"/>
      <c r="AT43" s="1050"/>
      <c r="AU43" s="1050"/>
      <c r="AV43" s="1050"/>
      <c r="AW43" s="1050"/>
      <c r="AX43" s="1050"/>
      <c r="AY43" s="1050"/>
      <c r="AZ43" s="1050"/>
      <c r="BA43" s="1050"/>
      <c r="BB43" s="1050"/>
      <c r="BC43" s="1050"/>
      <c r="BD43" s="1050"/>
      <c r="BE43" s="1050"/>
      <c r="BF43" s="1050"/>
      <c r="BG43" s="1050"/>
      <c r="BH43" s="1050"/>
      <c r="BI43" s="1050"/>
      <c r="BJ43" s="1050"/>
      <c r="BK43" s="1050"/>
      <c r="BL43" s="1050"/>
      <c r="BM43" s="1050"/>
      <c r="BN43" s="1050"/>
      <c r="BO43" s="1050"/>
      <c r="BP43" s="1050"/>
      <c r="BQ43" s="1050"/>
      <c r="BR43" s="1050"/>
      <c r="BS43" s="1050"/>
      <c r="BT43" s="1050"/>
      <c r="BU43" s="1050"/>
      <c r="BV43" s="1050"/>
      <c r="BW43" s="1050"/>
      <c r="BX43" s="1050"/>
      <c r="BY43" s="1050"/>
      <c r="BZ43" s="1050"/>
      <c r="CA43" s="1050"/>
      <c r="CB43" s="1050"/>
      <c r="CC43" s="1050"/>
      <c r="CD43" s="1050"/>
      <c r="CE43" s="1050"/>
      <c r="CF43" s="1050"/>
      <c r="CG43" s="1050"/>
      <c r="CH43" s="1050"/>
      <c r="CI43" s="1050"/>
      <c r="CJ43" s="1050"/>
      <c r="CK43" s="1050"/>
      <c r="CL43" s="1050"/>
      <c r="CM43" s="1050"/>
      <c r="CN43" s="1050"/>
      <c r="CO43" s="1050"/>
      <c r="CP43" s="1050"/>
      <c r="CQ43" s="1050"/>
      <c r="CR43" s="1050"/>
      <c r="CS43" s="1050"/>
      <c r="CT43" s="1050"/>
      <c r="CU43" s="1050"/>
      <c r="CV43" s="1050"/>
      <c r="CW43" s="1050"/>
      <c r="CX43" s="1050"/>
      <c r="CY43" s="1050"/>
      <c r="CZ43" s="1050"/>
      <c r="DA43" s="1050"/>
      <c r="DB43" s="1050"/>
      <c r="DC43" s="1050"/>
      <c r="DD43" s="1050"/>
      <c r="DE43" s="1050"/>
      <c r="DF43" s="1050"/>
      <c r="DG43" s="1050"/>
      <c r="DH43" s="1050"/>
      <c r="DI43" s="1050"/>
      <c r="DJ43" s="1050"/>
      <c r="DK43" s="1050"/>
      <c r="DL43" s="1050"/>
      <c r="DM43" s="1050"/>
      <c r="DN43" s="1050"/>
      <c r="DO43" s="1050"/>
      <c r="DP43" s="1050"/>
      <c r="DQ43" s="1050"/>
      <c r="DR43" s="1050"/>
      <c r="DS43" s="1050"/>
      <c r="DT43" s="1050"/>
      <c r="DU43" s="1050"/>
      <c r="DV43" s="1050"/>
      <c r="DW43" s="1050"/>
    </row>
    <row r="44" spans="1:127" s="482" customFormat="1" ht="11.25" customHeight="1">
      <c r="A44" s="499" t="s">
        <v>1140</v>
      </c>
      <c r="B44" s="842">
        <f>Inputs!$D$251</f>
        <v>0</v>
      </c>
      <c r="C44" s="842"/>
      <c r="D44" s="1034"/>
      <c r="E44" s="868"/>
      <c r="F44" s="941"/>
      <c r="G44" s="498">
        <f t="shared" ref="G44:AL44" si="16">-$B$44*G12</f>
        <v>0</v>
      </c>
      <c r="H44" s="498">
        <f t="shared" si="16"/>
        <v>0</v>
      </c>
      <c r="I44" s="498">
        <f t="shared" si="16"/>
        <v>0</v>
      </c>
      <c r="J44" s="498">
        <f t="shared" si="16"/>
        <v>0</v>
      </c>
      <c r="K44" s="498">
        <f t="shared" si="16"/>
        <v>0</v>
      </c>
      <c r="L44" s="498">
        <f t="shared" si="16"/>
        <v>0</v>
      </c>
      <c r="M44" s="498">
        <f t="shared" si="16"/>
        <v>0</v>
      </c>
      <c r="N44" s="498">
        <f t="shared" si="16"/>
        <v>0</v>
      </c>
      <c r="O44" s="498">
        <f t="shared" si="16"/>
        <v>0</v>
      </c>
      <c r="P44" s="498">
        <f t="shared" si="16"/>
        <v>0</v>
      </c>
      <c r="Q44" s="498">
        <f t="shared" si="16"/>
        <v>0</v>
      </c>
      <c r="R44" s="498">
        <f t="shared" si="16"/>
        <v>0</v>
      </c>
      <c r="S44" s="498">
        <f t="shared" si="16"/>
        <v>0</v>
      </c>
      <c r="T44" s="498">
        <f t="shared" si="16"/>
        <v>0</v>
      </c>
      <c r="U44" s="498">
        <f t="shared" si="16"/>
        <v>0</v>
      </c>
      <c r="V44" s="498">
        <f t="shared" si="16"/>
        <v>0</v>
      </c>
      <c r="W44" s="498">
        <f t="shared" si="16"/>
        <v>0</v>
      </c>
      <c r="X44" s="498">
        <f t="shared" si="16"/>
        <v>0</v>
      </c>
      <c r="Y44" s="498">
        <f t="shared" si="16"/>
        <v>0</v>
      </c>
      <c r="Z44" s="498">
        <f t="shared" si="16"/>
        <v>0</v>
      </c>
      <c r="AA44" s="498">
        <f t="shared" si="16"/>
        <v>0</v>
      </c>
      <c r="AB44" s="498">
        <f t="shared" si="16"/>
        <v>0</v>
      </c>
      <c r="AC44" s="498">
        <f t="shared" si="16"/>
        <v>0</v>
      </c>
      <c r="AD44" s="498">
        <f t="shared" si="16"/>
        <v>0</v>
      </c>
      <c r="AE44" s="498">
        <f t="shared" si="16"/>
        <v>0</v>
      </c>
      <c r="AF44" s="498">
        <f t="shared" si="16"/>
        <v>0</v>
      </c>
      <c r="AG44" s="498">
        <f t="shared" si="16"/>
        <v>0</v>
      </c>
      <c r="AH44" s="498">
        <f t="shared" si="16"/>
        <v>0</v>
      </c>
      <c r="AI44" s="498">
        <f t="shared" si="16"/>
        <v>0</v>
      </c>
      <c r="AJ44" s="498">
        <f t="shared" si="16"/>
        <v>0</v>
      </c>
      <c r="AK44" s="498">
        <f t="shared" si="16"/>
        <v>0</v>
      </c>
      <c r="AL44" s="498">
        <f t="shared" si="16"/>
        <v>0</v>
      </c>
      <c r="AM44" s="498">
        <f t="shared" ref="AM44:BO44" si="17">-$B$44*AM12</f>
        <v>0</v>
      </c>
      <c r="AN44" s="498">
        <f t="shared" si="17"/>
        <v>0</v>
      </c>
      <c r="AO44" s="498">
        <f t="shared" si="17"/>
        <v>0</v>
      </c>
      <c r="AP44" s="498">
        <f t="shared" si="17"/>
        <v>0</v>
      </c>
      <c r="AQ44" s="498">
        <f t="shared" si="17"/>
        <v>0</v>
      </c>
      <c r="AR44" s="498">
        <f t="shared" si="17"/>
        <v>0</v>
      </c>
      <c r="AS44" s="498">
        <f t="shared" si="17"/>
        <v>0</v>
      </c>
      <c r="AT44" s="498">
        <f t="shared" si="17"/>
        <v>0</v>
      </c>
      <c r="AU44" s="498">
        <f t="shared" si="17"/>
        <v>0</v>
      </c>
      <c r="AV44" s="498">
        <f t="shared" si="17"/>
        <v>0</v>
      </c>
      <c r="AW44" s="498">
        <f t="shared" si="17"/>
        <v>0</v>
      </c>
      <c r="AX44" s="498">
        <f t="shared" si="17"/>
        <v>0</v>
      </c>
      <c r="AY44" s="498">
        <f t="shared" si="17"/>
        <v>0</v>
      </c>
      <c r="AZ44" s="498">
        <f t="shared" si="17"/>
        <v>0</v>
      </c>
      <c r="BA44" s="498">
        <f t="shared" si="17"/>
        <v>0</v>
      </c>
      <c r="BB44" s="498">
        <f t="shared" si="17"/>
        <v>0</v>
      </c>
      <c r="BC44" s="498">
        <f t="shared" si="17"/>
        <v>0</v>
      </c>
      <c r="BD44" s="498">
        <f t="shared" si="17"/>
        <v>0</v>
      </c>
      <c r="BE44" s="498">
        <f t="shared" si="17"/>
        <v>0</v>
      </c>
      <c r="BF44" s="498">
        <f t="shared" si="17"/>
        <v>0</v>
      </c>
      <c r="BG44" s="498">
        <f t="shared" si="17"/>
        <v>0</v>
      </c>
      <c r="BH44" s="498">
        <f t="shared" si="17"/>
        <v>0</v>
      </c>
      <c r="BI44" s="498">
        <f t="shared" si="17"/>
        <v>0</v>
      </c>
      <c r="BJ44" s="498">
        <f t="shared" si="17"/>
        <v>0</v>
      </c>
      <c r="BK44" s="498">
        <f t="shared" si="17"/>
        <v>0</v>
      </c>
      <c r="BL44" s="498">
        <f t="shared" si="17"/>
        <v>0</v>
      </c>
      <c r="BM44" s="498">
        <f t="shared" si="17"/>
        <v>0</v>
      </c>
      <c r="BN44" s="498">
        <f t="shared" si="17"/>
        <v>0</v>
      </c>
      <c r="BO44" s="498">
        <f t="shared" si="17"/>
        <v>0</v>
      </c>
      <c r="BP44" s="498"/>
      <c r="BQ44" s="498"/>
      <c r="BR44" s="498"/>
      <c r="BS44" s="498"/>
      <c r="BT44" s="498"/>
      <c r="BU44" s="498"/>
      <c r="BV44" s="498"/>
      <c r="BW44" s="498"/>
      <c r="BX44" s="498"/>
      <c r="BY44" s="498"/>
      <c r="BZ44" s="498"/>
      <c r="CA44" s="498"/>
      <c r="CB44" s="498"/>
      <c r="CC44" s="498"/>
      <c r="CD44" s="498"/>
      <c r="CE44" s="498"/>
      <c r="CF44" s="498"/>
      <c r="CG44" s="498"/>
      <c r="CH44" s="498"/>
      <c r="CI44" s="498"/>
      <c r="CJ44" s="498"/>
      <c r="CK44" s="498"/>
      <c r="CL44" s="498"/>
      <c r="CM44" s="498"/>
      <c r="CN44" s="498"/>
      <c r="CO44" s="498"/>
      <c r="CP44" s="498"/>
      <c r="CQ44" s="498"/>
      <c r="CR44" s="498"/>
      <c r="CS44" s="498"/>
      <c r="CT44" s="498"/>
      <c r="CU44" s="498"/>
      <c r="CV44" s="498"/>
      <c r="CW44" s="498"/>
      <c r="CX44" s="498"/>
      <c r="CY44" s="498"/>
      <c r="CZ44" s="498"/>
      <c r="DA44" s="498"/>
      <c r="DB44" s="498"/>
      <c r="DC44" s="498"/>
      <c r="DD44" s="498"/>
      <c r="DE44" s="498"/>
      <c r="DF44" s="498"/>
      <c r="DG44" s="498"/>
      <c r="DH44" s="498"/>
      <c r="DI44" s="498"/>
      <c r="DJ44" s="498"/>
      <c r="DK44" s="498"/>
      <c r="DL44" s="498"/>
      <c r="DM44" s="498"/>
      <c r="DN44" s="498"/>
      <c r="DO44" s="498"/>
      <c r="DP44" s="498"/>
      <c r="DQ44" s="498"/>
      <c r="DR44" s="498"/>
      <c r="DS44" s="498"/>
      <c r="DT44" s="498"/>
      <c r="DU44" s="498"/>
      <c r="DV44" s="498"/>
      <c r="DW44" s="498"/>
    </row>
    <row r="45" spans="1:127" s="482" customFormat="1" ht="11.25" customHeight="1">
      <c r="A45" s="499"/>
      <c r="B45" s="867"/>
      <c r="C45" s="842"/>
      <c r="D45" s="1034"/>
      <c r="E45" s="868"/>
      <c r="F45" s="941"/>
      <c r="G45" s="1050"/>
      <c r="H45" s="1050"/>
      <c r="I45" s="1050"/>
      <c r="J45" s="1050"/>
      <c r="K45" s="1050"/>
      <c r="L45" s="1050"/>
      <c r="M45" s="1050"/>
      <c r="N45" s="1050"/>
      <c r="O45" s="1050"/>
      <c r="P45" s="1050"/>
      <c r="Q45" s="1050"/>
      <c r="R45" s="1050"/>
      <c r="S45" s="1050"/>
      <c r="T45" s="1050"/>
      <c r="U45" s="1050"/>
      <c r="V45" s="1050"/>
      <c r="W45" s="1050"/>
      <c r="X45" s="1050"/>
      <c r="Y45" s="1050"/>
      <c r="Z45" s="1050"/>
      <c r="AA45" s="1050"/>
      <c r="AB45" s="1050"/>
      <c r="AC45" s="1050"/>
      <c r="AD45" s="1050"/>
      <c r="AE45" s="1050"/>
      <c r="AF45" s="1050"/>
      <c r="AG45" s="1050"/>
      <c r="AH45" s="1050"/>
      <c r="AI45" s="1050"/>
      <c r="AJ45" s="1050"/>
      <c r="AK45" s="1050"/>
      <c r="AL45" s="1050"/>
      <c r="AM45" s="1050"/>
      <c r="AN45" s="1050"/>
      <c r="AO45" s="1050"/>
      <c r="AP45" s="1050"/>
      <c r="AQ45" s="1050"/>
      <c r="AR45" s="1050"/>
      <c r="AS45" s="1050"/>
      <c r="AT45" s="1050"/>
      <c r="AU45" s="1050"/>
      <c r="AV45" s="1050"/>
      <c r="AW45" s="1050"/>
      <c r="AX45" s="1050"/>
      <c r="AY45" s="1050"/>
      <c r="AZ45" s="1050"/>
      <c r="BA45" s="1050"/>
      <c r="BB45" s="1050"/>
      <c r="BC45" s="1050"/>
      <c r="BD45" s="1050"/>
      <c r="BE45" s="1050"/>
      <c r="BF45" s="1050"/>
      <c r="BG45" s="1050"/>
      <c r="BH45" s="1050"/>
      <c r="BI45" s="1050"/>
      <c r="BJ45" s="1050"/>
      <c r="BK45" s="1050"/>
      <c r="BL45" s="1050"/>
      <c r="BM45" s="1050"/>
      <c r="BN45" s="1050"/>
      <c r="BO45" s="1050"/>
      <c r="BP45" s="1050"/>
      <c r="BQ45" s="1050"/>
      <c r="BR45" s="1050"/>
      <c r="BS45" s="1050"/>
      <c r="BT45" s="1050"/>
      <c r="BU45" s="1050"/>
      <c r="BV45" s="1050"/>
      <c r="BW45" s="1050"/>
      <c r="BX45" s="1050"/>
      <c r="BY45" s="1050"/>
      <c r="BZ45" s="1050"/>
      <c r="CA45" s="1050"/>
      <c r="CB45" s="1050"/>
      <c r="CC45" s="1050"/>
      <c r="CD45" s="1050"/>
      <c r="CE45" s="1050"/>
      <c r="CF45" s="1050"/>
      <c r="CG45" s="1050"/>
      <c r="CH45" s="1050"/>
      <c r="CI45" s="1050"/>
      <c r="CJ45" s="1050"/>
      <c r="CK45" s="1050"/>
      <c r="CL45" s="1050"/>
      <c r="CM45" s="1050"/>
      <c r="CN45" s="1050"/>
      <c r="CO45" s="1050"/>
      <c r="CP45" s="1050"/>
      <c r="CQ45" s="1050"/>
      <c r="CR45" s="1050"/>
      <c r="CS45" s="1050"/>
      <c r="CT45" s="1050"/>
      <c r="CU45" s="1050"/>
      <c r="CV45" s="1050"/>
      <c r="CW45" s="1050"/>
      <c r="CX45" s="1050"/>
      <c r="CY45" s="1050"/>
      <c r="CZ45" s="1050"/>
      <c r="DA45" s="1050"/>
      <c r="DB45" s="1050"/>
      <c r="DC45" s="1050"/>
      <c r="DD45" s="1050"/>
      <c r="DE45" s="1050"/>
      <c r="DF45" s="1050"/>
      <c r="DG45" s="1050"/>
      <c r="DH45" s="1050"/>
      <c r="DI45" s="1050"/>
      <c r="DJ45" s="1050"/>
      <c r="DK45" s="1050"/>
      <c r="DL45" s="1050"/>
      <c r="DM45" s="1050"/>
      <c r="DN45" s="1050"/>
      <c r="DO45" s="1050"/>
      <c r="DP45" s="1050"/>
      <c r="DQ45" s="1050"/>
      <c r="DR45" s="1050"/>
      <c r="DS45" s="1050"/>
      <c r="DT45" s="1050"/>
      <c r="DU45" s="1050"/>
      <c r="DV45" s="1050"/>
      <c r="DW45" s="1050"/>
    </row>
    <row r="46" spans="1:127" ht="11.25" customHeight="1">
      <c r="A46" s="496" t="s">
        <v>327</v>
      </c>
      <c r="B46" s="842"/>
      <c r="C46" s="842"/>
      <c r="D46" s="311"/>
      <c r="E46" s="311"/>
      <c r="F46" s="635"/>
      <c r="G46" s="497">
        <f>G47*G21/1000</f>
        <v>0</v>
      </c>
      <c r="H46" s="497">
        <f>H47*H21/1000</f>
        <v>83.330006992175342</v>
      </c>
      <c r="I46" s="497">
        <f t="shared" ref="I46:BO46" si="18">I47*I21/1000</f>
        <v>81.97136557382467</v>
      </c>
      <c r="J46" s="497">
        <f t="shared" si="18"/>
        <v>82.769920059932844</v>
      </c>
      <c r="K46" s="497">
        <f t="shared" si="18"/>
        <v>81.870247015803145</v>
      </c>
      <c r="L46" s="497">
        <f t="shared" si="18"/>
        <v>82.664700216349829</v>
      </c>
      <c r="M46" s="497">
        <f t="shared" si="18"/>
        <v>81.316906191083248</v>
      </c>
      <c r="N46" s="497">
        <f t="shared" si="18"/>
        <v>82.334041415484421</v>
      </c>
      <c r="O46" s="497">
        <f t="shared" si="18"/>
        <v>80.991638566318926</v>
      </c>
      <c r="P46" s="497">
        <f t="shared" si="18"/>
        <v>82.004705249822493</v>
      </c>
      <c r="Q46" s="497">
        <f t="shared" si="18"/>
        <v>80.667672012053629</v>
      </c>
      <c r="R46" s="497">
        <f t="shared" si="18"/>
        <v>81.453526083389221</v>
      </c>
      <c r="S46" s="497">
        <f t="shared" si="18"/>
        <v>80.568161669439363</v>
      </c>
      <c r="T46" s="497">
        <f t="shared" si="18"/>
        <v>81.349979683107904</v>
      </c>
      <c r="U46" s="497">
        <f t="shared" si="18"/>
        <v>80.023621318709402</v>
      </c>
      <c r="V46" s="497">
        <f t="shared" si="18"/>
        <v>81.02457976437546</v>
      </c>
      <c r="W46" s="497">
        <f t="shared" si="18"/>
        <v>79.703526833434566</v>
      </c>
      <c r="X46" s="497">
        <f t="shared" si="18"/>
        <v>80.700481445317976</v>
      </c>
      <c r="Y46" s="497">
        <f t="shared" si="18"/>
        <v>79.38471272610083</v>
      </c>
      <c r="Z46" s="497">
        <f t="shared" si="18"/>
        <v>80.158068373308438</v>
      </c>
      <c r="AA46" s="497">
        <f t="shared" si="18"/>
        <v>79.286785021424677</v>
      </c>
      <c r="AB46" s="497">
        <f t="shared" si="18"/>
        <v>80.056168801458554</v>
      </c>
      <c r="AC46" s="497">
        <f t="shared" si="18"/>
        <v>78.75090517969565</v>
      </c>
      <c r="AD46" s="497">
        <f t="shared" si="18"/>
        <v>79.73594412625269</v>
      </c>
      <c r="AE46" s="497">
        <f t="shared" si="18"/>
        <v>78.435901558976852</v>
      </c>
      <c r="AF46" s="497">
        <f t="shared" si="18"/>
        <v>79.41700034974771</v>
      </c>
      <c r="AG46" s="497">
        <f t="shared" si="18"/>
        <v>78.122157952740963</v>
      </c>
      <c r="AH46" s="497">
        <f t="shared" si="18"/>
        <v>78.883213953954311</v>
      </c>
      <c r="AI46" s="497">
        <f t="shared" si="18"/>
        <v>78.02578771532437</v>
      </c>
      <c r="AJ46" s="497">
        <f t="shared" si="18"/>
        <v>78.782935018955328</v>
      </c>
      <c r="AK46" s="497">
        <f t="shared" si="18"/>
        <v>77.498430643646273</v>
      </c>
      <c r="AL46" s="497">
        <f t="shared" si="18"/>
        <v>78.467803278879501</v>
      </c>
      <c r="AM46" s="497">
        <f t="shared" si="18"/>
        <v>77.18843692107167</v>
      </c>
      <c r="AN46" s="497">
        <f t="shared" si="18"/>
        <v>78.153932065763996</v>
      </c>
      <c r="AO46" s="497">
        <f t="shared" si="18"/>
        <v>76.879683173387406</v>
      </c>
      <c r="AP46" s="497">
        <f t="shared" si="18"/>
        <v>77.628635145321951</v>
      </c>
      <c r="AQ46" s="497">
        <f t="shared" si="18"/>
        <v>76.784845632872802</v>
      </c>
      <c r="AR46" s="497">
        <f t="shared" si="18"/>
        <v>77.529951072150908</v>
      </c>
      <c r="AS46" s="497">
        <f t="shared" si="18"/>
        <v>76.265875782931062</v>
      </c>
      <c r="AT46" s="497">
        <f t="shared" si="18"/>
        <v>77.219831267862318</v>
      </c>
      <c r="AU46" s="497">
        <f t="shared" si="18"/>
        <v>75.960812279799342</v>
      </c>
      <c r="AV46" s="497">
        <f t="shared" si="18"/>
        <v>76.910951942790874</v>
      </c>
      <c r="AW46" s="497">
        <f t="shared" si="18"/>
        <v>75.656969030680145</v>
      </c>
      <c r="AX46" s="497">
        <f t="shared" si="18"/>
        <v>76.394009478913077</v>
      </c>
      <c r="AY46" s="497">
        <f t="shared" si="18"/>
        <v>75.563639810664029</v>
      </c>
      <c r="AZ46" s="497">
        <f t="shared" si="18"/>
        <v>76.29689490247965</v>
      </c>
      <c r="BA46" s="497">
        <f t="shared" si="18"/>
        <v>75.052923789939214</v>
      </c>
      <c r="BB46" s="497">
        <f t="shared" si="18"/>
        <v>75.991707322869715</v>
      </c>
      <c r="BC46" s="497">
        <f t="shared" si="18"/>
        <v>74.75271209477944</v>
      </c>
      <c r="BD46" s="497">
        <f t="shared" si="18"/>
        <v>75.687740493578218</v>
      </c>
      <c r="BE46" s="497">
        <f t="shared" si="18"/>
        <v>74.453701246400314</v>
      </c>
      <c r="BF46" s="497">
        <f t="shared" si="18"/>
        <v>75.179019614850901</v>
      </c>
      <c r="BG46" s="497">
        <f t="shared" si="18"/>
        <v>74.361856358167742</v>
      </c>
      <c r="BH46" s="497">
        <f t="shared" si="18"/>
        <v>75.083449573477495</v>
      </c>
      <c r="BI46" s="497">
        <f t="shared" si="18"/>
        <v>73.859262895649067</v>
      </c>
      <c r="BJ46" s="497">
        <f t="shared" si="18"/>
        <v>74.783115775183603</v>
      </c>
      <c r="BK46" s="497">
        <f t="shared" si="18"/>
        <v>73.563825844066486</v>
      </c>
      <c r="BL46" s="497">
        <f t="shared" si="18"/>
        <v>74.483983312082856</v>
      </c>
      <c r="BM46" s="497">
        <f t="shared" si="18"/>
        <v>73.269570540690196</v>
      </c>
      <c r="BN46" s="497">
        <f t="shared" si="18"/>
        <v>73.983353260313123</v>
      </c>
      <c r="BO46" s="497">
        <f t="shared" si="18"/>
        <v>73.179186377048836</v>
      </c>
      <c r="BP46" s="497"/>
      <c r="BQ46" s="497"/>
      <c r="BR46" s="497"/>
      <c r="BS46" s="497"/>
      <c r="BT46" s="497"/>
      <c r="BU46" s="497"/>
      <c r="BV46" s="497"/>
      <c r="BW46" s="497"/>
      <c r="BX46" s="497"/>
      <c r="BY46" s="497"/>
      <c r="BZ46" s="497"/>
      <c r="CA46" s="497"/>
      <c r="CB46" s="497"/>
      <c r="CC46" s="497"/>
      <c r="CD46" s="497"/>
      <c r="CE46" s="497"/>
      <c r="CF46" s="497"/>
      <c r="CG46" s="497"/>
      <c r="CH46" s="497"/>
      <c r="CI46" s="497"/>
      <c r="CJ46" s="497"/>
      <c r="CK46" s="497"/>
      <c r="CL46" s="497"/>
      <c r="CM46" s="497"/>
      <c r="CN46" s="497"/>
      <c r="CO46" s="497"/>
      <c r="CP46" s="497"/>
      <c r="CQ46" s="497"/>
      <c r="CR46" s="497"/>
      <c r="CS46" s="497"/>
      <c r="CT46" s="497"/>
      <c r="CU46" s="497"/>
      <c r="CV46" s="497"/>
      <c r="CW46" s="497"/>
      <c r="CX46" s="497"/>
      <c r="CY46" s="497"/>
      <c r="CZ46" s="497"/>
      <c r="DA46" s="497"/>
      <c r="DB46" s="497"/>
      <c r="DC46" s="497"/>
      <c r="DD46" s="497"/>
      <c r="DE46" s="497"/>
      <c r="DF46" s="497"/>
      <c r="DG46" s="497"/>
      <c r="DH46" s="497"/>
      <c r="DI46" s="497"/>
      <c r="DJ46" s="497"/>
      <c r="DK46" s="497"/>
      <c r="DL46" s="497"/>
      <c r="DM46" s="497"/>
      <c r="DN46" s="497"/>
      <c r="DO46" s="497"/>
      <c r="DP46" s="497"/>
      <c r="DQ46" s="497"/>
      <c r="DR46" s="497"/>
      <c r="DS46" s="497"/>
      <c r="DT46" s="497"/>
      <c r="DU46" s="497"/>
      <c r="DV46" s="497"/>
      <c r="DW46" s="497"/>
    </row>
    <row r="47" spans="1:127" ht="11.25" customHeight="1">
      <c r="A47" s="492" t="s">
        <v>329</v>
      </c>
      <c r="B47" s="842"/>
      <c r="C47" s="842"/>
      <c r="D47" s="311"/>
      <c r="E47" s="311"/>
      <c r="F47" s="635"/>
      <c r="G47" s="1458">
        <f>IF(G6,HLOOKUP(G4,Inputs!$E$140:$AH$141,2,FALSE),0)</f>
        <v>0</v>
      </c>
      <c r="H47" s="1458">
        <f>IF(H6,HLOOKUP(H4,Inputs!$E$140:$AH$141,2,FALSE),0)</f>
        <v>1.5</v>
      </c>
      <c r="I47" s="1458">
        <f>IF(I6,HLOOKUP(I4,Inputs!$E$140:$AH$141,2,FALSE),0)</f>
        <v>1.5</v>
      </c>
      <c r="J47" s="1458">
        <f>IF(J6,HLOOKUP(J4,Inputs!$E$140:$AH$141,2,FALSE),0)</f>
        <v>1.5</v>
      </c>
      <c r="K47" s="1458">
        <f>IF(K6,HLOOKUP(K4,Inputs!$E$140:$AH$141,2,FALSE),0)</f>
        <v>1.5</v>
      </c>
      <c r="L47" s="1458">
        <f>IF(L6,HLOOKUP(L4,Inputs!$E$140:$AH$141,2,FALSE),0)</f>
        <v>1.5</v>
      </c>
      <c r="M47" s="1458">
        <f>IF(M6,HLOOKUP(M4,Inputs!$E$140:$AH$141,2,FALSE),0)</f>
        <v>1.5</v>
      </c>
      <c r="N47" s="1458">
        <f>IF(N6,HLOOKUP(N4,Inputs!$E$140:$AH$141,2,FALSE),0)</f>
        <v>1.5</v>
      </c>
      <c r="O47" s="1458">
        <f>IF(O6,HLOOKUP(O4,Inputs!$E$140:$AH$141,2,FALSE),0)</f>
        <v>1.5</v>
      </c>
      <c r="P47" s="1458">
        <f>IF(P6,HLOOKUP(P4,Inputs!$E$140:$AH$141,2,FALSE),0)</f>
        <v>1.5</v>
      </c>
      <c r="Q47" s="1458">
        <f>IF(Q6,HLOOKUP(Q4,Inputs!$E$140:$AH$141,2,FALSE),0)</f>
        <v>1.5</v>
      </c>
      <c r="R47" s="1458">
        <f>IF(R6,HLOOKUP(R4,Inputs!$E$140:$AH$141,2,FALSE),0)</f>
        <v>1.5</v>
      </c>
      <c r="S47" s="1458">
        <f>IF(S6,HLOOKUP(S4,Inputs!$E$140:$AH$141,2,FALSE),0)</f>
        <v>1.5</v>
      </c>
      <c r="T47" s="1458">
        <f>IF(T6,HLOOKUP(T4,Inputs!$E$140:$AH$141,2,FALSE),0)</f>
        <v>1.5</v>
      </c>
      <c r="U47" s="1458">
        <f>IF(U6,HLOOKUP(U4,Inputs!$E$140:$AH$141,2,FALSE),0)</f>
        <v>1.5</v>
      </c>
      <c r="V47" s="1458">
        <f>IF(V6,HLOOKUP(V4,Inputs!$E$140:$AH$141,2,FALSE),0)</f>
        <v>1.5</v>
      </c>
      <c r="W47" s="1458">
        <f>IF(W6,HLOOKUP(W4,Inputs!$E$140:$AH$141,2,FALSE),0)</f>
        <v>1.5</v>
      </c>
      <c r="X47" s="1458">
        <f>IF(X6,HLOOKUP(X4,Inputs!$E$140:$AH$141,2,FALSE),0)</f>
        <v>1.5</v>
      </c>
      <c r="Y47" s="1458">
        <f>IF(Y6,HLOOKUP(Y4,Inputs!$E$140:$AH$141,2,FALSE),0)</f>
        <v>1.5</v>
      </c>
      <c r="Z47" s="1458">
        <f>IF(Z6,HLOOKUP(Z4,Inputs!$E$140:$AH$141,2,FALSE),0)</f>
        <v>1.5</v>
      </c>
      <c r="AA47" s="1458">
        <f>IF(AA6,HLOOKUP(AA4,Inputs!$E$140:$AH$141,2,FALSE),0)</f>
        <v>1.5</v>
      </c>
      <c r="AB47" s="1458">
        <f>IF(AB6,HLOOKUP(AB4,Inputs!$E$140:$AH$141,2,FALSE),0)</f>
        <v>1.5</v>
      </c>
      <c r="AC47" s="1458">
        <f>IF(AC6,HLOOKUP(AC4,Inputs!$E$140:$AH$141,2,FALSE),0)</f>
        <v>1.5</v>
      </c>
      <c r="AD47" s="1458">
        <f>IF(AD6,HLOOKUP(AD4,Inputs!$E$140:$AH$141,2,FALSE),0)</f>
        <v>1.5</v>
      </c>
      <c r="AE47" s="1458">
        <f>IF(AE6,HLOOKUP(AE4,Inputs!$E$140:$AH$141,2,FALSE),0)</f>
        <v>1.5</v>
      </c>
      <c r="AF47" s="1458">
        <f>IF(AF6,HLOOKUP(AF4,Inputs!$E$140:$AH$141,2,FALSE),0)</f>
        <v>1.5</v>
      </c>
      <c r="AG47" s="1458">
        <f>IF(AG6,HLOOKUP(AG4,Inputs!$E$140:$AH$141,2,FALSE),0)</f>
        <v>1.5</v>
      </c>
      <c r="AH47" s="1458">
        <f>IF(AH6,HLOOKUP(AH4,Inputs!$E$140:$AH$141,2,FALSE),0)</f>
        <v>1.5</v>
      </c>
      <c r="AI47" s="1458">
        <f>IF(AI6,HLOOKUP(AI4,Inputs!$E$140:$AH$141,2,FALSE),0)</f>
        <v>1.5</v>
      </c>
      <c r="AJ47" s="1458">
        <f>IF(AJ6,HLOOKUP(AJ4,Inputs!$E$140:$AH$141,2,FALSE),0)</f>
        <v>1.5</v>
      </c>
      <c r="AK47" s="1458">
        <f>IF(AK6,HLOOKUP(AK4,Inputs!$E$140:$AH$141,2,FALSE),0)</f>
        <v>1.5</v>
      </c>
      <c r="AL47" s="1458">
        <f>IF(AL6,HLOOKUP(AL4,Inputs!$E$140:$AH$141,2,FALSE),0)</f>
        <v>1.5</v>
      </c>
      <c r="AM47" s="1458">
        <f>IF(AM6,HLOOKUP(AM4,Inputs!$E$140:$AH$141,2,FALSE),0)</f>
        <v>1.5</v>
      </c>
      <c r="AN47" s="1458">
        <f>IF(AN6,HLOOKUP(AN4,Inputs!$E$140:$AH$141,2,FALSE),0)</f>
        <v>1.5</v>
      </c>
      <c r="AO47" s="1458">
        <f>IF(AO6,HLOOKUP(AO4,Inputs!$E$140:$AH$141,2,FALSE),0)</f>
        <v>1.5</v>
      </c>
      <c r="AP47" s="1458">
        <f>IF(AP6,HLOOKUP(AP4,Inputs!$E$140:$AH$141,2,FALSE),0)</f>
        <v>1.5</v>
      </c>
      <c r="AQ47" s="1458">
        <f>IF(AQ6,HLOOKUP(AQ4,Inputs!$E$140:$AH$141,2,FALSE),0)</f>
        <v>1.5</v>
      </c>
      <c r="AR47" s="1458">
        <f>IF(AR6,HLOOKUP(AR4,Inputs!$E$140:$AH$141,2,FALSE),0)</f>
        <v>1.5</v>
      </c>
      <c r="AS47" s="1458">
        <f>IF(AS6,HLOOKUP(AS4,Inputs!$E$140:$AH$141,2,FALSE),0)</f>
        <v>1.5</v>
      </c>
      <c r="AT47" s="1458">
        <f>IF(AT6,HLOOKUP(AT4,Inputs!$E$140:$AH$141,2,FALSE),0)</f>
        <v>1.5</v>
      </c>
      <c r="AU47" s="1458">
        <f>IF(AU6,HLOOKUP(AU4,Inputs!$E$140:$AH$141,2,FALSE),0)</f>
        <v>1.5</v>
      </c>
      <c r="AV47" s="1458">
        <f>IF(AV6,HLOOKUP(AV4,Inputs!$E$140:$AH$141,2,FALSE),0)</f>
        <v>1.5</v>
      </c>
      <c r="AW47" s="1458">
        <f>IF(AW6,HLOOKUP(AW4,Inputs!$E$140:$AH$141,2,FALSE),0)</f>
        <v>1.5</v>
      </c>
      <c r="AX47" s="1458">
        <f>IF(AX6,HLOOKUP(AX4,Inputs!$E$140:$AH$141,2,FALSE),0)</f>
        <v>1.5</v>
      </c>
      <c r="AY47" s="1458">
        <f>IF(AY6,HLOOKUP(AY4,Inputs!$E$140:$AH$141,2,FALSE),0)</f>
        <v>1.5</v>
      </c>
      <c r="AZ47" s="1458">
        <f>IF(AZ6,HLOOKUP(AZ4,Inputs!$E$140:$AH$141,2,FALSE),0)</f>
        <v>1.5</v>
      </c>
      <c r="BA47" s="1458">
        <f>IF(BA6,HLOOKUP(BA4,Inputs!$E$140:$AH$141,2,FALSE),0)</f>
        <v>1.5</v>
      </c>
      <c r="BB47" s="1458">
        <f>IF(BB6,HLOOKUP(BB4,Inputs!$E$140:$AH$141,2,FALSE),0)</f>
        <v>1.5</v>
      </c>
      <c r="BC47" s="1458">
        <f>IF(BC6,HLOOKUP(BC4,Inputs!$E$140:$AH$141,2,FALSE),0)</f>
        <v>1.5</v>
      </c>
      <c r="BD47" s="1458">
        <f>IF(BD6,HLOOKUP(BD4,Inputs!$E$140:$AH$141,2,FALSE),0)</f>
        <v>1.5</v>
      </c>
      <c r="BE47" s="1458">
        <f>IF(BE6,HLOOKUP(BE4,Inputs!$E$140:$AH$141,2,FALSE),0)</f>
        <v>1.5</v>
      </c>
      <c r="BF47" s="1458">
        <f>IF(BF6,HLOOKUP(BF4,Inputs!$E$140:$AH$141,2,FALSE),0)</f>
        <v>1.5</v>
      </c>
      <c r="BG47" s="1458">
        <f>IF(BG6,HLOOKUP(BG4,Inputs!$E$140:$AH$141,2,FALSE),0)</f>
        <v>1.5</v>
      </c>
      <c r="BH47" s="1458">
        <f>IF(BH6,HLOOKUP(BH4,Inputs!$E$140:$AH$141,2,FALSE),0)</f>
        <v>1.5</v>
      </c>
      <c r="BI47" s="1458">
        <f>IF(BI6,HLOOKUP(BI4,Inputs!$E$140:$AH$141,2,FALSE),0)</f>
        <v>1.5</v>
      </c>
      <c r="BJ47" s="1458">
        <f>IF(BJ6,HLOOKUP(BJ4,Inputs!$E$140:$AH$141,2,FALSE),0)</f>
        <v>1.5</v>
      </c>
      <c r="BK47" s="1458">
        <f>IF(BK6,HLOOKUP(BK4,Inputs!$E$140:$AH$141,2,FALSE),0)</f>
        <v>1.5</v>
      </c>
      <c r="BL47" s="1458">
        <f>IF(BL6,HLOOKUP(BL4,Inputs!$E$140:$AH$141,2,FALSE),0)</f>
        <v>1.5</v>
      </c>
      <c r="BM47" s="1458">
        <f>IF(BM6,HLOOKUP(BM4,Inputs!$E$140:$AH$141,2,FALSE),0)</f>
        <v>1.5</v>
      </c>
      <c r="BN47" s="1458">
        <f>IF(BN6,HLOOKUP(BN4,Inputs!$E$140:$AH$141,2,FALSE),0)</f>
        <v>1.5</v>
      </c>
      <c r="BO47" s="1458">
        <f>IF(BO6,HLOOKUP(BO4,Inputs!$E$140:$AH$141,2,FALSE),0)</f>
        <v>1.5</v>
      </c>
      <c r="BP47" s="497"/>
      <c r="BQ47" s="497"/>
      <c r="BR47" s="497"/>
      <c r="BS47" s="497"/>
      <c r="BT47" s="497"/>
      <c r="BU47" s="497"/>
      <c r="BV47" s="497"/>
      <c r="BW47" s="497"/>
      <c r="BX47" s="497"/>
      <c r="BY47" s="497"/>
      <c r="BZ47" s="497"/>
      <c r="CA47" s="497"/>
      <c r="CB47" s="497"/>
      <c r="CC47" s="497"/>
      <c r="CD47" s="497"/>
      <c r="CE47" s="497"/>
      <c r="CF47" s="497"/>
      <c r="CG47" s="497"/>
      <c r="CH47" s="497"/>
      <c r="CI47" s="497"/>
      <c r="CJ47" s="497"/>
      <c r="CK47" s="497"/>
      <c r="CL47" s="497"/>
      <c r="CM47" s="497"/>
      <c r="CN47" s="497"/>
      <c r="CO47" s="497"/>
      <c r="CP47" s="497"/>
      <c r="CQ47" s="497"/>
      <c r="CR47" s="497"/>
      <c r="CS47" s="497"/>
      <c r="CT47" s="497"/>
      <c r="CU47" s="497"/>
      <c r="CV47" s="497"/>
      <c r="CW47" s="497"/>
      <c r="CX47" s="497"/>
      <c r="CY47" s="497"/>
      <c r="CZ47" s="497"/>
      <c r="DA47" s="497"/>
      <c r="DB47" s="497"/>
      <c r="DC47" s="497"/>
      <c r="DD47" s="497"/>
      <c r="DE47" s="497"/>
      <c r="DF47" s="497"/>
      <c r="DG47" s="497"/>
      <c r="DH47" s="497"/>
      <c r="DI47" s="497"/>
      <c r="DJ47" s="497"/>
      <c r="DK47" s="497"/>
      <c r="DL47" s="497"/>
      <c r="DM47" s="497"/>
      <c r="DN47" s="497"/>
      <c r="DO47" s="497"/>
      <c r="DP47" s="497"/>
      <c r="DQ47" s="497"/>
      <c r="DR47" s="497"/>
      <c r="DS47" s="497"/>
      <c r="DT47" s="497"/>
      <c r="DU47" s="497"/>
      <c r="DV47" s="497"/>
      <c r="DW47" s="497"/>
    </row>
    <row r="48" spans="1:127">
      <c r="A48" s="496"/>
      <c r="B48" s="842"/>
      <c r="C48" s="842"/>
      <c r="D48" s="311"/>
      <c r="E48" s="311"/>
      <c r="F48" s="635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498"/>
      <c r="V48" s="498"/>
      <c r="W48" s="498"/>
      <c r="X48" s="498"/>
      <c r="Y48" s="498"/>
      <c r="Z48" s="498"/>
      <c r="AA48" s="498"/>
      <c r="AB48" s="498"/>
      <c r="AC48" s="498"/>
      <c r="AD48" s="498"/>
      <c r="AE48" s="498"/>
      <c r="AF48" s="498"/>
      <c r="AG48" s="498"/>
      <c r="AH48" s="498"/>
      <c r="AI48" s="498"/>
      <c r="AJ48" s="498"/>
      <c r="AK48" s="498"/>
      <c r="AL48" s="498"/>
      <c r="AM48" s="498"/>
      <c r="AN48" s="498"/>
      <c r="AO48" s="498"/>
      <c r="AP48" s="498"/>
      <c r="AQ48" s="498"/>
      <c r="AR48" s="498"/>
      <c r="AS48" s="498"/>
      <c r="AT48" s="498"/>
      <c r="AU48" s="498"/>
      <c r="AV48" s="498"/>
      <c r="AW48" s="498"/>
      <c r="AX48" s="498"/>
      <c r="AY48" s="498"/>
      <c r="AZ48" s="498"/>
      <c r="BA48" s="498"/>
      <c r="BB48" s="498"/>
      <c r="BC48" s="498"/>
      <c r="BD48" s="498"/>
      <c r="BE48" s="498"/>
      <c r="BF48" s="498"/>
      <c r="BG48" s="498"/>
      <c r="BH48" s="498"/>
      <c r="BI48" s="498"/>
      <c r="BJ48" s="498"/>
      <c r="BK48" s="498"/>
      <c r="BL48" s="498"/>
      <c r="BM48" s="498"/>
      <c r="BN48" s="498"/>
      <c r="BO48" s="498"/>
      <c r="BP48" s="498"/>
      <c r="BQ48" s="498"/>
      <c r="BR48" s="498"/>
      <c r="BS48" s="498"/>
      <c r="BT48" s="498"/>
      <c r="BU48" s="498"/>
      <c r="BV48" s="498"/>
      <c r="BW48" s="498"/>
      <c r="BX48" s="498"/>
      <c r="BY48" s="498"/>
      <c r="BZ48" s="498"/>
      <c r="CA48" s="498"/>
      <c r="CB48" s="498"/>
      <c r="CC48" s="498"/>
      <c r="CD48" s="498"/>
      <c r="CE48" s="498"/>
      <c r="CF48" s="498"/>
      <c r="CG48" s="498"/>
      <c r="CH48" s="498"/>
      <c r="CI48" s="498"/>
      <c r="CJ48" s="498"/>
      <c r="CK48" s="498"/>
      <c r="CL48" s="498"/>
      <c r="CM48" s="498"/>
      <c r="CN48" s="498"/>
      <c r="CO48" s="498"/>
      <c r="CP48" s="498"/>
      <c r="CQ48" s="498"/>
      <c r="CR48" s="498"/>
      <c r="CS48" s="498"/>
      <c r="CT48" s="498"/>
      <c r="CU48" s="498"/>
      <c r="CV48" s="498"/>
      <c r="CW48" s="498"/>
      <c r="CX48" s="498"/>
      <c r="CY48" s="498"/>
      <c r="CZ48" s="498"/>
      <c r="DA48" s="498"/>
      <c r="DB48" s="498"/>
      <c r="DC48" s="498"/>
      <c r="DD48" s="498"/>
      <c r="DE48" s="498"/>
      <c r="DF48" s="498"/>
      <c r="DG48" s="498"/>
      <c r="DH48" s="498"/>
      <c r="DI48" s="498"/>
      <c r="DJ48" s="498"/>
      <c r="DK48" s="498"/>
      <c r="DL48" s="498"/>
      <c r="DM48" s="498"/>
      <c r="DN48" s="498"/>
      <c r="DO48" s="498"/>
      <c r="DP48" s="498"/>
      <c r="DQ48" s="498"/>
      <c r="DR48" s="498"/>
      <c r="DS48" s="498"/>
      <c r="DT48" s="498"/>
      <c r="DU48" s="498"/>
      <c r="DV48" s="498"/>
      <c r="DW48" s="498"/>
    </row>
    <row r="49" spans="1:129">
      <c r="A49" s="496" t="s">
        <v>1141</v>
      </c>
      <c r="B49" s="670">
        <f>(V49/H49)^(1/(V$4-H$4))-1</f>
        <v>6.4904210072240787E-3</v>
      </c>
      <c r="C49" s="840"/>
      <c r="F49" s="635"/>
      <c r="G49" s="326">
        <f t="shared" ref="G49" si="19">SUM(G56:G71)</f>
        <v>0</v>
      </c>
      <c r="H49" s="326">
        <f>SUM(H56:H71)</f>
        <v>-674.86684791232892</v>
      </c>
      <c r="I49" s="326">
        <f t="shared" ref="I49:BO49" si="20">SUM(I56:I71)</f>
        <v>-663.86358408767126</v>
      </c>
      <c r="J49" s="326">
        <f t="shared" si="20"/>
        <v>-651.42311099453548</v>
      </c>
      <c r="K49" s="326">
        <f t="shared" si="20"/>
        <v>-644.34242500546441</v>
      </c>
      <c r="L49" s="326">
        <f t="shared" si="20"/>
        <v>-648.99799153621916</v>
      </c>
      <c r="M49" s="326">
        <f t="shared" si="20"/>
        <v>-638.41650254378089</v>
      </c>
      <c r="N49" s="326">
        <f t="shared" si="20"/>
        <v>-659.97668437034076</v>
      </c>
      <c r="O49" s="326">
        <f t="shared" si="20"/>
        <v>-649.21619495125924</v>
      </c>
      <c r="P49" s="326">
        <f t="shared" si="20"/>
        <v>-671.17495106114484</v>
      </c>
      <c r="Q49" s="326">
        <f t="shared" si="20"/>
        <v>-660.23188120688724</v>
      </c>
      <c r="R49" s="326">
        <f t="shared" si="20"/>
        <v>-680.73216345984758</v>
      </c>
      <c r="S49" s="326">
        <f t="shared" si="20"/>
        <v>-673.33290081354505</v>
      </c>
      <c r="T49" s="326">
        <f t="shared" si="20"/>
        <v>-694.24785975087764</v>
      </c>
      <c r="U49" s="326">
        <f t="shared" si="20"/>
        <v>-682.92860116798306</v>
      </c>
      <c r="V49" s="326">
        <f t="shared" si="20"/>
        <v>-706.13154994929232</v>
      </c>
      <c r="W49" s="326">
        <f t="shared" si="20"/>
        <v>-694.61853554794527</v>
      </c>
      <c r="X49" s="326">
        <f t="shared" si="20"/>
        <v>-718.2529139516754</v>
      </c>
      <c r="Y49" s="326">
        <f t="shared" si="20"/>
        <v>-706.54226861550706</v>
      </c>
      <c r="Z49" s="326">
        <f t="shared" si="20"/>
        <v>-728.62048472800211</v>
      </c>
      <c r="AA49" s="326">
        <f t="shared" si="20"/>
        <v>-720.70069685052385</v>
      </c>
      <c r="AB49" s="326">
        <f t="shared" si="20"/>
        <v>-938.73079498328138</v>
      </c>
      <c r="AC49" s="326">
        <f t="shared" si="20"/>
        <v>-923.42540158681504</v>
      </c>
      <c r="AD49" s="326">
        <f t="shared" si="20"/>
        <v>-951.59408343352231</v>
      </c>
      <c r="AE49" s="326">
        <f t="shared" si="20"/>
        <v>-936.0789625079758</v>
      </c>
      <c r="AF49" s="326">
        <f t="shared" si="20"/>
        <v>-964.71463765276826</v>
      </c>
      <c r="AG49" s="326">
        <f t="shared" si="20"/>
        <v>-948.98559464756022</v>
      </c>
      <c r="AH49" s="326">
        <f t="shared" si="20"/>
        <v>-975.42520513411375</v>
      </c>
      <c r="AI49" s="326">
        <f t="shared" si="20"/>
        <v>-964.82275725222121</v>
      </c>
      <c r="AJ49" s="326">
        <f t="shared" si="20"/>
        <v>-977.91286010858391</v>
      </c>
      <c r="AK49" s="326">
        <f t="shared" si="20"/>
        <v>-961.96862869377014</v>
      </c>
      <c r="AL49" s="326">
        <f t="shared" si="20"/>
        <v>-991.55978986133061</v>
      </c>
      <c r="AM49" s="326">
        <f t="shared" si="20"/>
        <v>-975.39305415707008</v>
      </c>
      <c r="AN49" s="326">
        <f t="shared" si="20"/>
        <v>-1005.4796582091328</v>
      </c>
      <c r="AO49" s="326">
        <f t="shared" si="20"/>
        <v>-989.08596812963606</v>
      </c>
      <c r="AP49" s="326">
        <f t="shared" si="20"/>
        <v>-1016.8919186672683</v>
      </c>
      <c r="AQ49" s="326">
        <f t="shared" si="20"/>
        <v>-1005.8387456382764</v>
      </c>
      <c r="AR49" s="326">
        <f t="shared" si="20"/>
        <v>-1034.1601549529439</v>
      </c>
      <c r="AS49" s="326">
        <f t="shared" si="20"/>
        <v>-1017.2988480787113</v>
      </c>
      <c r="AT49" s="326">
        <f t="shared" si="20"/>
        <v>-1048.9320306025784</v>
      </c>
      <c r="AU49" s="326">
        <f t="shared" si="20"/>
        <v>-1031.8298779297104</v>
      </c>
      <c r="AV49" s="326">
        <f t="shared" si="20"/>
        <v>-1063.9993437652054</v>
      </c>
      <c r="AW49" s="326">
        <f t="shared" si="20"/>
        <v>-1046.6515283777289</v>
      </c>
      <c r="AX49" s="326">
        <f t="shared" si="20"/>
        <v>-1076.418910286191</v>
      </c>
      <c r="AY49" s="326">
        <f t="shared" si="20"/>
        <v>-1064.7187047396019</v>
      </c>
      <c r="AZ49" s="326">
        <f t="shared" si="20"/>
        <v>-1095.0440358054816</v>
      </c>
      <c r="BA49" s="326">
        <f t="shared" si="20"/>
        <v>-1077.1900569608274</v>
      </c>
      <c r="BB49" s="326">
        <f t="shared" si="20"/>
        <v>-1111.0335890721667</v>
      </c>
      <c r="BC49" s="326">
        <f t="shared" si="20"/>
        <v>-1092.9189109894678</v>
      </c>
      <c r="BD49" s="326">
        <f t="shared" si="20"/>
        <v>-1127.3429334041853</v>
      </c>
      <c r="BE49" s="326">
        <f t="shared" si="20"/>
        <v>-1108.9623420986823</v>
      </c>
      <c r="BF49" s="326">
        <f t="shared" si="20"/>
        <v>-1140.8528404025633</v>
      </c>
      <c r="BG49" s="326">
        <f t="shared" si="20"/>
        <v>-1128.4522660503617</v>
      </c>
      <c r="BH49" s="326">
        <f t="shared" si="20"/>
        <v>-1160.9467064658768</v>
      </c>
      <c r="BI49" s="326">
        <f t="shared" si="20"/>
        <v>-1142.0182275561065</v>
      </c>
      <c r="BJ49" s="326">
        <f t="shared" si="20"/>
        <v>-1178.2543131457694</v>
      </c>
      <c r="BK49" s="326">
        <f t="shared" si="20"/>
        <v>-1159.0436449966533</v>
      </c>
      <c r="BL49" s="326">
        <f t="shared" si="20"/>
        <v>-1195.9080719592603</v>
      </c>
      <c r="BM49" s="326">
        <f t="shared" si="20"/>
        <v>-1176.4095707860115</v>
      </c>
      <c r="BN49" s="326">
        <f t="shared" si="20"/>
        <v>-1210.5981985557173</v>
      </c>
      <c r="BO49" s="326">
        <f t="shared" si="20"/>
        <v>-1197.4395224844595</v>
      </c>
      <c r="BP49" s="326"/>
      <c r="BQ49" s="326"/>
      <c r="BR49" s="326"/>
      <c r="BS49" s="326"/>
      <c r="BT49" s="326"/>
      <c r="BU49" s="326"/>
      <c r="BV49" s="326"/>
      <c r="BW49" s="326"/>
      <c r="BX49" s="326"/>
      <c r="BY49" s="326"/>
      <c r="BZ49" s="326"/>
      <c r="CA49" s="326"/>
      <c r="CB49" s="326"/>
      <c r="CC49" s="326"/>
      <c r="CD49" s="326"/>
      <c r="CE49" s="326"/>
      <c r="CF49" s="326"/>
      <c r="CG49" s="326"/>
      <c r="CH49" s="326"/>
      <c r="CI49" s="326"/>
      <c r="CJ49" s="326"/>
      <c r="CK49" s="326"/>
      <c r="CL49" s="326"/>
      <c r="CM49" s="326"/>
      <c r="CN49" s="326"/>
      <c r="CO49" s="326"/>
      <c r="CP49" s="326"/>
      <c r="CQ49" s="326"/>
      <c r="CR49" s="326"/>
      <c r="CS49" s="326"/>
      <c r="CT49" s="326"/>
      <c r="CU49" s="326"/>
      <c r="CV49" s="326"/>
      <c r="CW49" s="326"/>
      <c r="CX49" s="326"/>
      <c r="CY49" s="326"/>
      <c r="CZ49" s="326"/>
      <c r="DA49" s="326"/>
      <c r="DB49" s="326"/>
      <c r="DC49" s="326"/>
      <c r="DD49" s="326"/>
      <c r="DE49" s="326"/>
      <c r="DF49" s="326"/>
      <c r="DG49" s="326"/>
      <c r="DH49" s="326"/>
      <c r="DI49" s="326"/>
      <c r="DJ49" s="326"/>
      <c r="DK49" s="326"/>
      <c r="DL49" s="326"/>
      <c r="DM49" s="326"/>
      <c r="DN49" s="326"/>
      <c r="DO49" s="326"/>
      <c r="DP49" s="326"/>
      <c r="DQ49" s="326"/>
      <c r="DR49" s="326"/>
      <c r="DS49" s="326"/>
      <c r="DT49" s="326"/>
      <c r="DU49" s="326"/>
      <c r="DV49" s="326"/>
      <c r="DW49" s="326"/>
    </row>
    <row r="50" spans="1:129">
      <c r="B50" s="670"/>
      <c r="C50" s="840"/>
      <c r="F50" s="635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  <c r="AO50" s="326"/>
      <c r="AP50" s="326"/>
      <c r="AQ50" s="326"/>
      <c r="AR50" s="326"/>
      <c r="AS50" s="326"/>
      <c r="AT50" s="326"/>
      <c r="AU50" s="326"/>
      <c r="AV50" s="326"/>
      <c r="AW50" s="326"/>
      <c r="AX50" s="326"/>
      <c r="AY50" s="326"/>
      <c r="AZ50" s="326"/>
      <c r="BA50" s="326"/>
      <c r="BB50" s="326"/>
      <c r="BC50" s="326"/>
      <c r="BD50" s="326"/>
      <c r="BE50" s="326"/>
      <c r="BF50" s="326"/>
      <c r="BG50" s="326"/>
      <c r="BH50" s="326"/>
      <c r="BI50" s="326"/>
      <c r="BJ50" s="326"/>
      <c r="BK50" s="326"/>
      <c r="BL50" s="326"/>
      <c r="BM50" s="326"/>
      <c r="BN50" s="326"/>
      <c r="BO50" s="326"/>
      <c r="BP50" s="326"/>
      <c r="BQ50" s="326"/>
      <c r="BR50" s="326"/>
      <c r="BS50" s="326"/>
      <c r="BT50" s="326"/>
      <c r="BU50" s="326"/>
      <c r="BV50" s="326"/>
      <c r="BW50" s="326"/>
      <c r="BX50" s="326"/>
      <c r="BY50" s="326"/>
      <c r="BZ50" s="326"/>
      <c r="CA50" s="326"/>
      <c r="CB50" s="326"/>
      <c r="CC50" s="326"/>
      <c r="CD50" s="326"/>
      <c r="CE50" s="326"/>
      <c r="CF50" s="326"/>
      <c r="CG50" s="326"/>
      <c r="CH50" s="326"/>
      <c r="CI50" s="326"/>
      <c r="CJ50" s="326"/>
      <c r="CK50" s="326"/>
      <c r="CL50" s="326"/>
      <c r="CM50" s="326"/>
      <c r="CN50" s="326"/>
      <c r="CO50" s="326"/>
      <c r="CP50" s="326"/>
      <c r="CQ50" s="326"/>
      <c r="CR50" s="326"/>
      <c r="CS50" s="326"/>
      <c r="CT50" s="326"/>
      <c r="CU50" s="326"/>
      <c r="CV50" s="326"/>
      <c r="CW50" s="326"/>
      <c r="CX50" s="326"/>
      <c r="CY50" s="326"/>
      <c r="CZ50" s="326"/>
      <c r="DA50" s="326"/>
      <c r="DB50" s="326"/>
      <c r="DC50" s="326"/>
      <c r="DD50" s="326"/>
      <c r="DE50" s="326"/>
      <c r="DF50" s="326"/>
      <c r="DG50" s="326"/>
      <c r="DH50" s="326"/>
      <c r="DI50" s="326"/>
      <c r="DJ50" s="326"/>
      <c r="DK50" s="326"/>
      <c r="DL50" s="326"/>
      <c r="DM50" s="326"/>
      <c r="DN50" s="326"/>
      <c r="DO50" s="326"/>
      <c r="DP50" s="326"/>
      <c r="DQ50" s="326"/>
      <c r="DR50" s="326"/>
      <c r="DS50" s="326"/>
      <c r="DT50" s="326"/>
      <c r="DU50" s="326"/>
      <c r="DV50" s="326"/>
      <c r="DW50" s="326"/>
    </row>
    <row r="51" spans="1:129">
      <c r="A51" s="496" t="s">
        <v>5</v>
      </c>
      <c r="B51" s="677"/>
      <c r="C51" s="677"/>
      <c r="D51" s="478"/>
      <c r="E51" s="478"/>
      <c r="F51" s="635"/>
      <c r="G51" s="326">
        <f>G23+G49+G73</f>
        <v>0</v>
      </c>
      <c r="H51" s="326">
        <f>H23+H49+H73</f>
        <v>2575.0034247825092</v>
      </c>
      <c r="I51" s="326">
        <f t="shared" ref="I51:AA51" si="21">I23+I49+I73</f>
        <v>2533.0196732914906</v>
      </c>
      <c r="J51" s="326">
        <f t="shared" si="21"/>
        <v>2576.6037713428454</v>
      </c>
      <c r="K51" s="326">
        <f t="shared" si="21"/>
        <v>2610.8185963428691</v>
      </c>
      <c r="L51" s="326">
        <f t="shared" si="21"/>
        <v>2637.7504890658502</v>
      </c>
      <c r="M51" s="326">
        <f t="shared" si="21"/>
        <v>2657.7805532930161</v>
      </c>
      <c r="N51" s="326">
        <f t="shared" si="21"/>
        <v>2677.4501512146035</v>
      </c>
      <c r="O51" s="326">
        <f t="shared" si="21"/>
        <v>2697.8364852431341</v>
      </c>
      <c r="P51" s="326">
        <f t="shared" si="21"/>
        <v>2717.7436256413152</v>
      </c>
      <c r="Q51" s="326">
        <f t="shared" si="21"/>
        <v>2738.4925242159588</v>
      </c>
      <c r="R51" s="326">
        <f t="shared" si="21"/>
        <v>2751.1021773897965</v>
      </c>
      <c r="S51" s="326">
        <f t="shared" si="21"/>
        <v>2787.4781654928925</v>
      </c>
      <c r="T51" s="326">
        <f t="shared" si="21"/>
        <v>2800.1462544677497</v>
      </c>
      <c r="U51" s="326">
        <f t="shared" si="21"/>
        <v>2821.6396294873975</v>
      </c>
      <c r="V51" s="326">
        <f t="shared" si="21"/>
        <v>2842.2728269724084</v>
      </c>
      <c r="W51" s="326">
        <f t="shared" si="21"/>
        <v>2864.1483508028</v>
      </c>
      <c r="X51" s="326">
        <f t="shared" si="21"/>
        <v>2885.0280510217112</v>
      </c>
      <c r="Y51" s="326">
        <f t="shared" si="21"/>
        <v>2907.2924923114206</v>
      </c>
      <c r="Z51" s="326">
        <f t="shared" si="21"/>
        <v>2920.4197890044052</v>
      </c>
      <c r="AA51" s="326">
        <f t="shared" si="21"/>
        <v>2959.2778957951573</v>
      </c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  <c r="AO51" s="326"/>
      <c r="AP51" s="326"/>
      <c r="AQ51" s="326"/>
      <c r="AR51" s="326"/>
      <c r="AS51" s="326"/>
      <c r="AT51" s="326"/>
      <c r="AU51" s="326"/>
      <c r="AV51" s="326"/>
      <c r="AW51" s="326"/>
      <c r="AX51" s="326"/>
      <c r="AY51" s="326"/>
      <c r="AZ51" s="326"/>
      <c r="BA51" s="326"/>
      <c r="BB51" s="326"/>
      <c r="BC51" s="326"/>
      <c r="BD51" s="326"/>
      <c r="BE51" s="326"/>
      <c r="BF51" s="326"/>
      <c r="BG51" s="326"/>
      <c r="BH51" s="326"/>
      <c r="BI51" s="326"/>
      <c r="BJ51" s="326"/>
      <c r="BK51" s="326"/>
      <c r="BL51" s="326"/>
      <c r="BM51" s="326"/>
      <c r="BN51" s="326"/>
      <c r="BO51" s="326"/>
      <c r="BP51" s="326"/>
      <c r="BQ51" s="326"/>
      <c r="BR51" s="326"/>
      <c r="BS51" s="326"/>
      <c r="BT51" s="326"/>
      <c r="BU51" s="326"/>
      <c r="BV51" s="326"/>
      <c r="BW51" s="326"/>
      <c r="BX51" s="326"/>
      <c r="BY51" s="326"/>
      <c r="BZ51" s="326"/>
      <c r="CA51" s="326"/>
      <c r="CB51" s="326"/>
      <c r="CC51" s="326"/>
      <c r="CD51" s="326"/>
      <c r="CE51" s="326"/>
      <c r="CF51" s="326"/>
      <c r="CG51" s="326"/>
      <c r="CH51" s="326"/>
      <c r="CI51" s="326"/>
      <c r="CJ51" s="326"/>
      <c r="CK51" s="326"/>
      <c r="CL51" s="326"/>
      <c r="CM51" s="326"/>
      <c r="CN51" s="326"/>
      <c r="CO51" s="326"/>
      <c r="CP51" s="326"/>
      <c r="CQ51" s="326"/>
      <c r="CR51" s="326"/>
      <c r="CS51" s="326"/>
      <c r="CT51" s="326"/>
      <c r="CU51" s="326"/>
      <c r="CV51" s="326"/>
      <c r="CW51" s="326"/>
      <c r="CX51" s="326"/>
      <c r="CY51" s="326"/>
      <c r="CZ51" s="326"/>
      <c r="DA51" s="326"/>
      <c r="DB51" s="326"/>
      <c r="DC51" s="326"/>
      <c r="DD51" s="326"/>
      <c r="DE51" s="326"/>
      <c r="DF51" s="326"/>
      <c r="DG51" s="326"/>
      <c r="DH51" s="326"/>
      <c r="DI51" s="326"/>
      <c r="DJ51" s="326"/>
      <c r="DK51" s="326"/>
      <c r="DL51" s="326"/>
      <c r="DM51" s="326"/>
      <c r="DN51" s="326"/>
      <c r="DO51" s="326"/>
      <c r="DP51" s="326"/>
      <c r="DQ51" s="326"/>
      <c r="DR51" s="326"/>
      <c r="DS51" s="326"/>
      <c r="DT51" s="326"/>
      <c r="DU51" s="326"/>
      <c r="DV51" s="326"/>
      <c r="DW51" s="326"/>
    </row>
    <row r="52" spans="1:129">
      <c r="A52" s="506" t="s">
        <v>1142</v>
      </c>
      <c r="D52" s="310"/>
      <c r="E52" s="396">
        <f>SUMIF(G6:DW6,,G56:DW71)+SUMIF(Inputs!E145:AH145,"&lt;=Inputs!D15",Inputs!E146:AH161)</f>
        <v>0</v>
      </c>
      <c r="F52" s="635"/>
      <c r="G52" s="507">
        <f t="shared" ref="G52:AL52" si="22">IFERROR((G23+G49)/G23,0)</f>
        <v>0</v>
      </c>
      <c r="H52" s="507">
        <f>IFERROR((H23+H49)/H23,0)</f>
        <v>0.79234037321966089</v>
      </c>
      <c r="I52" s="507">
        <f t="shared" si="22"/>
        <v>0.792340373219661</v>
      </c>
      <c r="J52" s="507">
        <f t="shared" si="22"/>
        <v>0.7981977428506275</v>
      </c>
      <c r="K52" s="507">
        <f t="shared" si="22"/>
        <v>0.80205513005972007</v>
      </c>
      <c r="L52" s="507">
        <f t="shared" si="22"/>
        <v>0.8025410233346072</v>
      </c>
      <c r="M52" s="507">
        <f t="shared" si="22"/>
        <v>0.80631725235804874</v>
      </c>
      <c r="N52" s="507">
        <f t="shared" si="22"/>
        <v>0.80224984190412429</v>
      </c>
      <c r="O52" s="507">
        <f t="shared" si="22"/>
        <v>0.80603346974701529</v>
      </c>
      <c r="P52" s="507">
        <f t="shared" si="22"/>
        <v>0.80195011008077322</v>
      </c>
      <c r="Q52" s="507">
        <f t="shared" si="22"/>
        <v>0.80574127159193831</v>
      </c>
      <c r="R52" s="507">
        <f t="shared" si="22"/>
        <v>0.80164189297921828</v>
      </c>
      <c r="S52" s="507">
        <f t="shared" si="22"/>
        <v>0.8054407224454001</v>
      </c>
      <c r="T52" s="507">
        <f t="shared" si="22"/>
        <v>0.80132525494877771</v>
      </c>
      <c r="U52" s="507">
        <f t="shared" si="22"/>
        <v>0.80513188609249298</v>
      </c>
      <c r="V52" s="507">
        <f t="shared" si="22"/>
        <v>0.80100025956966248</v>
      </c>
      <c r="W52" s="507">
        <f t="shared" si="22"/>
        <v>0.80481482554755768</v>
      </c>
      <c r="X52" s="507">
        <f t="shared" si="22"/>
        <v>0.80066696964970629</v>
      </c>
      <c r="Y52" s="507">
        <f t="shared" si="22"/>
        <v>0.8044896030513905</v>
      </c>
      <c r="Z52" s="507">
        <f t="shared" si="22"/>
        <v>0.80032544722156895</v>
      </c>
      <c r="AA52" s="507">
        <f t="shared" si="22"/>
        <v>0.8041562800689056</v>
      </c>
      <c r="AB52" s="507">
        <f t="shared" si="22"/>
        <v>0.7473601944351026</v>
      </c>
      <c r="AC52" s="507">
        <f t="shared" si="22"/>
        <v>0.7522092344875031</v>
      </c>
      <c r="AD52" s="507">
        <f t="shared" si="22"/>
        <v>0.74780501454400095</v>
      </c>
      <c r="AE52" s="507">
        <f t="shared" si="22"/>
        <v>0.75264752344499419</v>
      </c>
      <c r="AF52" s="507">
        <f t="shared" si="22"/>
        <v>0.75621524565682974</v>
      </c>
      <c r="AG52" s="507">
        <f t="shared" si="22"/>
        <v>0.75845958635384081</v>
      </c>
      <c r="AH52" s="507">
        <f t="shared" si="22"/>
        <v>0.75412532791844966</v>
      </c>
      <c r="AI52" s="507">
        <f t="shared" si="22"/>
        <v>0.75476532172033961</v>
      </c>
      <c r="AJ52" s="507">
        <f t="shared" si="22"/>
        <v>0.75382694938689776</v>
      </c>
      <c r="AK52" s="507">
        <f t="shared" si="22"/>
        <v>0.74755433291809492</v>
      </c>
      <c r="AL52" s="507">
        <f t="shared" si="22"/>
        <v>0.74300342712570333</v>
      </c>
      <c r="AM52" s="507">
        <f t="shared" ref="AM52:BO52" si="23">IFERROR((AM23+AM49)/AM23,0)</f>
        <v>0.74859478230867171</v>
      </c>
      <c r="AN52" s="507">
        <f t="shared" si="23"/>
        <v>0.74404163314288985</v>
      </c>
      <c r="AO52" s="507">
        <f t="shared" si="23"/>
        <v>0.7495145255575929</v>
      </c>
      <c r="AP52" s="507">
        <f t="shared" si="23"/>
        <v>0.74495727731797534</v>
      </c>
      <c r="AQ52" s="507">
        <f t="shared" si="23"/>
        <v>0.75026587827537106</v>
      </c>
      <c r="AR52" s="507">
        <f t="shared" si="23"/>
        <v>0.74570177397720361</v>
      </c>
      <c r="AS52" s="507">
        <f t="shared" si="23"/>
        <v>0.75095911440865581</v>
      </c>
      <c r="AT52" s="507">
        <f t="shared" si="23"/>
        <v>0.74638738029634288</v>
      </c>
      <c r="AU52" s="507">
        <f t="shared" si="23"/>
        <v>0.75154549969820539</v>
      </c>
      <c r="AV52" s="507">
        <f t="shared" si="23"/>
        <v>0.74696444964241138</v>
      </c>
      <c r="AW52" s="507">
        <f t="shared" si="23"/>
        <v>0.75343559105966507</v>
      </c>
      <c r="AX52" s="507">
        <f t="shared" si="23"/>
        <v>0.74886963466912648</v>
      </c>
      <c r="AY52" s="507">
        <f t="shared" si="23"/>
        <v>0.75379241012570042</v>
      </c>
      <c r="AZ52" s="507">
        <f t="shared" si="23"/>
        <v>0.7492135066745309</v>
      </c>
      <c r="BA52" s="507">
        <f t="shared" si="23"/>
        <v>0.75400321465340325</v>
      </c>
      <c r="BB52" s="507">
        <f t="shared" si="23"/>
        <v>0.74940886790868866</v>
      </c>
      <c r="BC52" s="507">
        <f t="shared" si="23"/>
        <v>0.75553959026289852</v>
      </c>
      <c r="BD52" s="507">
        <f t="shared" si="23"/>
        <v>0.75095486926994759</v>
      </c>
      <c r="BE52" s="507">
        <f t="shared" si="23"/>
        <v>0.75554771959395273</v>
      </c>
      <c r="BF52" s="507">
        <f t="shared" si="23"/>
        <v>0.75094425927525876</v>
      </c>
      <c r="BG52" s="507">
        <f t="shared" si="23"/>
        <v>0.75468660032013357</v>
      </c>
      <c r="BH52" s="507">
        <f t="shared" si="23"/>
        <v>0.75004814302088696</v>
      </c>
      <c r="BI52" s="507">
        <f t="shared" si="23"/>
        <v>0.75362769802353502</v>
      </c>
      <c r="BJ52" s="507">
        <f t="shared" si="23"/>
        <v>0.74895053665193845</v>
      </c>
      <c r="BK52" s="507">
        <f t="shared" si="23"/>
        <v>0.75120203397190211</v>
      </c>
      <c r="BL52" s="507">
        <f t="shared" si="23"/>
        <v>0.74646014000420002</v>
      </c>
      <c r="BM52" s="507">
        <f t="shared" si="23"/>
        <v>0.74987742419696202</v>
      </c>
      <c r="BN52" s="507">
        <f t="shared" si="23"/>
        <v>0.74509168566348238</v>
      </c>
      <c r="BO52" s="507">
        <f t="shared" si="23"/>
        <v>0.74846617998665987</v>
      </c>
      <c r="BP52" s="507"/>
      <c r="BQ52" s="507"/>
      <c r="BR52" s="507"/>
      <c r="BS52" s="507"/>
      <c r="BT52" s="507"/>
      <c r="BU52" s="507"/>
      <c r="BV52" s="507"/>
      <c r="BW52" s="507"/>
      <c r="BX52" s="507"/>
      <c r="BY52" s="507"/>
      <c r="BZ52" s="507"/>
      <c r="CA52" s="507"/>
      <c r="CB52" s="507"/>
      <c r="CC52" s="507"/>
      <c r="CD52" s="507"/>
      <c r="CE52" s="507"/>
      <c r="CF52" s="507"/>
      <c r="CG52" s="507"/>
      <c r="CH52" s="507"/>
      <c r="CI52" s="507"/>
      <c r="CJ52" s="507"/>
      <c r="CK52" s="507"/>
      <c r="CL52" s="507"/>
      <c r="CM52" s="507"/>
      <c r="CN52" s="507"/>
      <c r="CO52" s="507"/>
      <c r="CP52" s="507"/>
      <c r="CQ52" s="507"/>
      <c r="CR52" s="507"/>
      <c r="CS52" s="507"/>
      <c r="CT52" s="507"/>
      <c r="CU52" s="507"/>
      <c r="CV52" s="507"/>
      <c r="CW52" s="507"/>
      <c r="CX52" s="507"/>
      <c r="CY52" s="507"/>
      <c r="CZ52" s="507"/>
      <c r="DA52" s="507"/>
      <c r="DB52" s="507"/>
      <c r="DC52" s="507"/>
      <c r="DD52" s="507"/>
      <c r="DE52" s="507"/>
      <c r="DF52" s="507"/>
      <c r="DG52" s="507"/>
      <c r="DH52" s="507"/>
      <c r="DI52" s="507"/>
      <c r="DJ52" s="507"/>
      <c r="DK52" s="507"/>
      <c r="DL52" s="507"/>
      <c r="DM52" s="507"/>
      <c r="DN52" s="507"/>
      <c r="DO52" s="507"/>
      <c r="DP52" s="507"/>
      <c r="DQ52" s="507"/>
      <c r="DR52" s="507"/>
      <c r="DS52" s="507"/>
      <c r="DT52" s="507"/>
      <c r="DU52" s="507"/>
      <c r="DV52" s="507"/>
      <c r="DW52" s="507"/>
    </row>
    <row r="53" spans="1:129">
      <c r="A53" s="506" t="s">
        <v>1143</v>
      </c>
      <c r="D53" s="495">
        <f>AVERAGEIF(G53:AK53,"&gt;0")</f>
        <v>20.47327227788594</v>
      </c>
      <c r="F53" s="635"/>
      <c r="G53" s="503">
        <f t="shared" ref="G53:AL53" si="24">-1*IFERROR(G49/($B21*G7),0)</f>
        <v>0</v>
      </c>
      <c r="H53" s="503">
        <f t="shared" si="24"/>
        <v>17.788073770927454</v>
      </c>
      <c r="I53" s="503">
        <f t="shared" si="24"/>
        <v>17.788073770927451</v>
      </c>
      <c r="J53" s="503">
        <f t="shared" si="24"/>
        <v>17.217187563114535</v>
      </c>
      <c r="K53" s="503">
        <f t="shared" si="24"/>
        <v>17.217187563114532</v>
      </c>
      <c r="L53" s="503">
        <f t="shared" si="24"/>
        <v>17.106225007706612</v>
      </c>
      <c r="M53" s="503">
        <f t="shared" si="24"/>
        <v>17.106225007706616</v>
      </c>
      <c r="N53" s="503">
        <f t="shared" si="24"/>
        <v>17.395600309880411</v>
      </c>
      <c r="O53" s="503">
        <f t="shared" si="24"/>
        <v>17.395600309880415</v>
      </c>
      <c r="P53" s="503">
        <f t="shared" si="24"/>
        <v>17.690763118097685</v>
      </c>
      <c r="Q53" s="503">
        <f t="shared" si="24"/>
        <v>17.690763118097689</v>
      </c>
      <c r="R53" s="503">
        <f t="shared" si="24"/>
        <v>17.991829182479304</v>
      </c>
      <c r="S53" s="503">
        <f t="shared" si="24"/>
        <v>17.991829182479307</v>
      </c>
      <c r="T53" s="503">
        <f t="shared" si="24"/>
        <v>18.298916568148556</v>
      </c>
      <c r="U53" s="503">
        <f t="shared" si="24"/>
        <v>18.298916568148559</v>
      </c>
      <c r="V53" s="503">
        <f t="shared" si="24"/>
        <v>18.61214570153119</v>
      </c>
      <c r="W53" s="503">
        <f t="shared" si="24"/>
        <v>18.61214570153119</v>
      </c>
      <c r="X53" s="503">
        <f t="shared" si="24"/>
        <v>18.931639417581476</v>
      </c>
      <c r="Y53" s="503">
        <f t="shared" si="24"/>
        <v>18.931639417581483</v>
      </c>
      <c r="Z53" s="503">
        <f t="shared" si="24"/>
        <v>19.257523007952777</v>
      </c>
      <c r="AA53" s="503">
        <f t="shared" si="24"/>
        <v>19.257523007952773</v>
      </c>
      <c r="AB53" s="503">
        <f t="shared" si="24"/>
        <v>24.742973645629764</v>
      </c>
      <c r="AC53" s="503">
        <f t="shared" si="24"/>
        <v>24.742973645629768</v>
      </c>
      <c r="AD53" s="503">
        <f t="shared" si="24"/>
        <v>25.082022933052055</v>
      </c>
      <c r="AE53" s="503">
        <f t="shared" si="24"/>
        <v>25.082022933052059</v>
      </c>
      <c r="AF53" s="503">
        <f t="shared" si="24"/>
        <v>25.427853206222803</v>
      </c>
      <c r="AG53" s="503">
        <f t="shared" si="24"/>
        <v>25.427853206222807</v>
      </c>
      <c r="AH53" s="503">
        <f t="shared" si="24"/>
        <v>25.78060008485696</v>
      </c>
      <c r="AI53" s="503">
        <f t="shared" si="24"/>
        <v>25.78060008485696</v>
      </c>
      <c r="AJ53" s="503">
        <f t="shared" si="24"/>
        <v>25.775730651107544</v>
      </c>
      <c r="AK53" s="503">
        <f t="shared" si="24"/>
        <v>25.775730651107544</v>
      </c>
      <c r="AL53" s="503">
        <f t="shared" si="24"/>
        <v>26.135435078639386</v>
      </c>
      <c r="AM53" s="503">
        <f t="shared" ref="AM53:BO53" si="25">-1*IFERROR(AM49/($B21*AM7),0)</f>
        <v>26.135435078639393</v>
      </c>
      <c r="AN53" s="503">
        <f t="shared" si="25"/>
        <v>26.502333594721879</v>
      </c>
      <c r="AO53" s="503">
        <f t="shared" si="25"/>
        <v>26.502333594721879</v>
      </c>
      <c r="AP53" s="503">
        <f t="shared" si="25"/>
        <v>26.876570081126022</v>
      </c>
      <c r="AQ53" s="503">
        <f t="shared" si="25"/>
        <v>26.876570081126022</v>
      </c>
      <c r="AR53" s="503">
        <f t="shared" si="25"/>
        <v>27.258291297258236</v>
      </c>
      <c r="AS53" s="503">
        <f t="shared" si="25"/>
        <v>27.258291297258239</v>
      </c>
      <c r="AT53" s="503">
        <f t="shared" si="25"/>
        <v>27.647646937713105</v>
      </c>
      <c r="AU53" s="503">
        <f t="shared" si="25"/>
        <v>27.647646937713109</v>
      </c>
      <c r="AV53" s="503">
        <f t="shared" si="25"/>
        <v>28.044789690977069</v>
      </c>
      <c r="AW53" s="503">
        <f t="shared" si="25"/>
        <v>28.044789690977062</v>
      </c>
      <c r="AX53" s="503">
        <f t="shared" si="25"/>
        <v>28.44987529930631</v>
      </c>
      <c r="AY53" s="503">
        <f t="shared" si="25"/>
        <v>28.449875299306306</v>
      </c>
      <c r="AZ53" s="503">
        <f t="shared" si="25"/>
        <v>28.863062619802129</v>
      </c>
      <c r="BA53" s="503">
        <f t="shared" si="25"/>
        <v>28.86306261980214</v>
      </c>
      <c r="BB53" s="503">
        <f t="shared" si="25"/>
        <v>29.284513686707875</v>
      </c>
      <c r="BC53" s="503">
        <f t="shared" si="25"/>
        <v>29.284513686707861</v>
      </c>
      <c r="BD53" s="503">
        <f t="shared" si="25"/>
        <v>29.714393774951731</v>
      </c>
      <c r="BE53" s="503">
        <f t="shared" si="25"/>
        <v>29.714393774951731</v>
      </c>
      <c r="BF53" s="503">
        <f t="shared" si="25"/>
        <v>30.152871464960466</v>
      </c>
      <c r="BG53" s="503">
        <f t="shared" si="25"/>
        <v>30.152871464960469</v>
      </c>
      <c r="BH53" s="503">
        <f t="shared" si="25"/>
        <v>30.600118708769379</v>
      </c>
      <c r="BI53" s="503">
        <f t="shared" si="25"/>
        <v>30.600118708769362</v>
      </c>
      <c r="BJ53" s="503">
        <f t="shared" si="25"/>
        <v>31.056310897454459</v>
      </c>
      <c r="BK53" s="503">
        <f t="shared" si="25"/>
        <v>31.056310897454452</v>
      </c>
      <c r="BL53" s="503">
        <f t="shared" si="25"/>
        <v>31.521626929913253</v>
      </c>
      <c r="BM53" s="503">
        <f t="shared" si="25"/>
        <v>31.521626929913253</v>
      </c>
      <c r="BN53" s="503">
        <f t="shared" si="25"/>
        <v>31.996249283021218</v>
      </c>
      <c r="BO53" s="503">
        <f t="shared" si="25"/>
        <v>31.996249283021214</v>
      </c>
      <c r="BP53" s="503"/>
      <c r="BQ53" s="503"/>
      <c r="BR53" s="503"/>
      <c r="BS53" s="503"/>
      <c r="BT53" s="503"/>
      <c r="BU53" s="503"/>
      <c r="BV53" s="503"/>
      <c r="BW53" s="503"/>
      <c r="BX53" s="503"/>
      <c r="BY53" s="503"/>
      <c r="BZ53" s="503"/>
      <c r="CA53" s="503"/>
      <c r="CB53" s="503"/>
      <c r="CC53" s="503"/>
      <c r="CD53" s="503"/>
      <c r="CE53" s="503"/>
      <c r="CF53" s="503"/>
      <c r="CG53" s="503"/>
      <c r="CH53" s="503"/>
      <c r="CI53" s="503"/>
      <c r="CJ53" s="503"/>
      <c r="CK53" s="503"/>
      <c r="CL53" s="503"/>
      <c r="CM53" s="503"/>
      <c r="CN53" s="503"/>
      <c r="CO53" s="503"/>
      <c r="CP53" s="503"/>
      <c r="CQ53" s="503"/>
      <c r="CR53" s="503"/>
      <c r="CS53" s="503"/>
      <c r="CT53" s="503"/>
      <c r="CU53" s="503"/>
      <c r="CV53" s="503"/>
      <c r="CW53" s="503"/>
      <c r="CX53" s="503"/>
      <c r="CY53" s="503"/>
      <c r="CZ53" s="503"/>
      <c r="DA53" s="503"/>
      <c r="DB53" s="503"/>
      <c r="DC53" s="503"/>
      <c r="DD53" s="503"/>
      <c r="DE53" s="503"/>
      <c r="DF53" s="503"/>
      <c r="DG53" s="503"/>
      <c r="DH53" s="503"/>
      <c r="DI53" s="503"/>
      <c r="DJ53" s="503"/>
      <c r="DK53" s="503"/>
      <c r="DL53" s="503"/>
      <c r="DM53" s="503"/>
      <c r="DN53" s="503"/>
      <c r="DO53" s="503"/>
      <c r="DP53" s="503"/>
      <c r="DQ53" s="503"/>
      <c r="DR53" s="503"/>
      <c r="DS53" s="503"/>
      <c r="DT53" s="503"/>
      <c r="DU53" s="503"/>
      <c r="DV53" s="503"/>
      <c r="DW53" s="503"/>
    </row>
    <row r="54" spans="1:129">
      <c r="A54" s="506" t="s">
        <v>1144</v>
      </c>
      <c r="D54" s="495">
        <f>AVERAGEIF(G54:DW54,"&gt;0")</f>
        <v>18.01652772820351</v>
      </c>
      <c r="F54" s="635"/>
      <c r="G54" s="503">
        <f t="shared" ref="G54:AL54" si="26">IFERROR(-1*G49/G21*1000,0)</f>
        <v>0</v>
      </c>
      <c r="H54" s="503">
        <f t="shared" si="26"/>
        <v>12.148088166649837</v>
      </c>
      <c r="I54" s="503">
        <f t="shared" si="26"/>
        <v>12.148088166649833</v>
      </c>
      <c r="J54" s="503">
        <f t="shared" si="26"/>
        <v>11.805432043238293</v>
      </c>
      <c r="K54" s="503">
        <f t="shared" si="26"/>
        <v>11.805432043238291</v>
      </c>
      <c r="L54" s="503">
        <f t="shared" si="26"/>
        <v>11.776453368324027</v>
      </c>
      <c r="M54" s="503">
        <f t="shared" si="26"/>
        <v>11.776453368324029</v>
      </c>
      <c r="N54" s="503">
        <f t="shared" si="26"/>
        <v>12.023763312671909</v>
      </c>
      <c r="O54" s="503">
        <f t="shared" si="26"/>
        <v>12.02376331267191</v>
      </c>
      <c r="P54" s="503">
        <f t="shared" si="26"/>
        <v>12.276886107018798</v>
      </c>
      <c r="Q54" s="503">
        <f t="shared" si="26"/>
        <v>12.276886107018802</v>
      </c>
      <c r="R54" s="503">
        <f t="shared" si="26"/>
        <v>12.53596123198408</v>
      </c>
      <c r="S54" s="503">
        <f t="shared" si="26"/>
        <v>12.53596123198408</v>
      </c>
      <c r="T54" s="503">
        <f t="shared" si="26"/>
        <v>12.801131526804234</v>
      </c>
      <c r="U54" s="503">
        <f t="shared" si="26"/>
        <v>12.801131526804237</v>
      </c>
      <c r="V54" s="503">
        <f t="shared" si="26"/>
        <v>13.07254327025392</v>
      </c>
      <c r="W54" s="503">
        <f t="shared" si="26"/>
        <v>13.072543270253922</v>
      </c>
      <c r="X54" s="503">
        <f t="shared" si="26"/>
        <v>13.350346263516869</v>
      </c>
      <c r="Y54" s="503">
        <f t="shared" si="26"/>
        <v>13.350346263516874</v>
      </c>
      <c r="Z54" s="503">
        <f t="shared" si="26"/>
        <v>13.634693915053651</v>
      </c>
      <c r="AA54" s="503">
        <f t="shared" si="26"/>
        <v>13.634693915053649</v>
      </c>
      <c r="AB54" s="503">
        <f t="shared" si="26"/>
        <v>17.588853095968638</v>
      </c>
      <c r="AC54" s="503">
        <f t="shared" si="26"/>
        <v>17.588853095968641</v>
      </c>
      <c r="AD54" s="503">
        <f t="shared" si="26"/>
        <v>17.901476439410732</v>
      </c>
      <c r="AE54" s="503">
        <f t="shared" si="26"/>
        <v>17.901476439410732</v>
      </c>
      <c r="AF54" s="503">
        <f t="shared" si="26"/>
        <v>18.221186271281141</v>
      </c>
      <c r="AG54" s="503">
        <f t="shared" si="26"/>
        <v>18.221186271281141</v>
      </c>
      <c r="AH54" s="503">
        <f t="shared" si="26"/>
        <v>18.548151556746067</v>
      </c>
      <c r="AI54" s="503">
        <f t="shared" si="26"/>
        <v>18.548151556746067</v>
      </c>
      <c r="AJ54" s="503">
        <f t="shared" si="26"/>
        <v>18.61912468493265</v>
      </c>
      <c r="AK54" s="503">
        <f t="shared" si="26"/>
        <v>18.61912468493265</v>
      </c>
      <c r="AL54" s="503">
        <f t="shared" si="26"/>
        <v>18.954776642668296</v>
      </c>
      <c r="AM54" s="503">
        <f t="shared" ref="AM54:BO54" si="27">IFERROR(-1*AM49/AM21*1000,0)</f>
        <v>18.954776642668303</v>
      </c>
      <c r="AN54" s="503">
        <f t="shared" si="27"/>
        <v>19.298062777501478</v>
      </c>
      <c r="AO54" s="503">
        <f t="shared" si="27"/>
        <v>19.298062777501478</v>
      </c>
      <c r="AP54" s="503">
        <f t="shared" si="27"/>
        <v>19.649165222928982</v>
      </c>
      <c r="AQ54" s="503">
        <f t="shared" si="27"/>
        <v>19.649165222928982</v>
      </c>
      <c r="AR54" s="503">
        <f t="shared" si="27"/>
        <v>20.008270493886947</v>
      </c>
      <c r="AS54" s="503">
        <f t="shared" si="27"/>
        <v>20.00827049388695</v>
      </c>
      <c r="AT54" s="503">
        <f t="shared" si="27"/>
        <v>20.375569592298387</v>
      </c>
      <c r="AU54" s="503">
        <f t="shared" si="27"/>
        <v>20.375569592298387</v>
      </c>
      <c r="AV54" s="503">
        <f t="shared" si="27"/>
        <v>20.751258115163747</v>
      </c>
      <c r="AW54" s="503">
        <f t="shared" si="27"/>
        <v>20.75125811516374</v>
      </c>
      <c r="AX54" s="503">
        <f t="shared" si="27"/>
        <v>21.135536365256097</v>
      </c>
      <c r="AY54" s="503">
        <f t="shared" si="27"/>
        <v>21.135536365256097</v>
      </c>
      <c r="AZ54" s="503">
        <f t="shared" si="27"/>
        <v>21.528609464483452</v>
      </c>
      <c r="BA54" s="503">
        <f t="shared" si="27"/>
        <v>21.528609464483459</v>
      </c>
      <c r="BB54" s="503">
        <f t="shared" si="27"/>
        <v>21.930687469982683</v>
      </c>
      <c r="BC54" s="503">
        <f t="shared" si="27"/>
        <v>21.930687469982672</v>
      </c>
      <c r="BD54" s="503">
        <f t="shared" si="27"/>
        <v>22.341985493010625</v>
      </c>
      <c r="BE54" s="503">
        <f t="shared" si="27"/>
        <v>22.341985493010625</v>
      </c>
      <c r="BF54" s="503">
        <f t="shared" si="27"/>
        <v>22.762723820700078</v>
      </c>
      <c r="BG54" s="503">
        <f t="shared" si="27"/>
        <v>22.762723820700078</v>
      </c>
      <c r="BH54" s="503">
        <f t="shared" si="27"/>
        <v>23.193128040749407</v>
      </c>
      <c r="BI54" s="503">
        <f t="shared" si="27"/>
        <v>23.193128040749393</v>
      </c>
      <c r="BJ54" s="503">
        <f t="shared" si="27"/>
        <v>23.633429169116685</v>
      </c>
      <c r="BK54" s="503">
        <f t="shared" si="27"/>
        <v>23.633429169116678</v>
      </c>
      <c r="BL54" s="503">
        <f t="shared" si="27"/>
        <v>24.083863780790686</v>
      </c>
      <c r="BM54" s="503">
        <f t="shared" si="27"/>
        <v>24.08386378079069</v>
      </c>
      <c r="BN54" s="503">
        <f t="shared" si="27"/>
        <v>24.544674143712779</v>
      </c>
      <c r="BO54" s="503">
        <f t="shared" si="27"/>
        <v>24.544674143712779</v>
      </c>
      <c r="BP54" s="503"/>
      <c r="BQ54" s="503"/>
      <c r="BR54" s="503"/>
      <c r="BS54" s="503"/>
      <c r="BT54" s="503"/>
      <c r="BU54" s="503"/>
      <c r="BV54" s="503"/>
      <c r="BW54" s="503"/>
      <c r="BX54" s="503"/>
      <c r="BY54" s="503"/>
      <c r="BZ54" s="503"/>
      <c r="CA54" s="503"/>
      <c r="CB54" s="503"/>
      <c r="CC54" s="503"/>
      <c r="CD54" s="503"/>
      <c r="CE54" s="503"/>
      <c r="CF54" s="503"/>
      <c r="CG54" s="503"/>
      <c r="CH54" s="503"/>
      <c r="CI54" s="503"/>
      <c r="CJ54" s="503"/>
      <c r="CK54" s="503"/>
      <c r="CL54" s="503"/>
      <c r="CM54" s="503"/>
      <c r="CN54" s="503"/>
      <c r="CO54" s="503"/>
      <c r="CP54" s="503"/>
      <c r="CQ54" s="503"/>
      <c r="CR54" s="503"/>
      <c r="CS54" s="503"/>
      <c r="CT54" s="503"/>
      <c r="CU54" s="503"/>
      <c r="CV54" s="503"/>
      <c r="CW54" s="503"/>
      <c r="CX54" s="503"/>
      <c r="CY54" s="503"/>
      <c r="CZ54" s="503"/>
      <c r="DA54" s="503"/>
      <c r="DB54" s="503"/>
      <c r="DC54" s="503"/>
      <c r="DD54" s="503"/>
      <c r="DE54" s="503"/>
      <c r="DF54" s="503"/>
      <c r="DG54" s="503"/>
      <c r="DH54" s="503"/>
      <c r="DI54" s="503"/>
      <c r="DJ54" s="503"/>
      <c r="DK54" s="503"/>
      <c r="DL54" s="503"/>
      <c r="DM54" s="503"/>
      <c r="DN54" s="503"/>
      <c r="DO54" s="503"/>
      <c r="DP54" s="503"/>
      <c r="DQ54" s="503"/>
      <c r="DR54" s="503"/>
      <c r="DS54" s="503"/>
      <c r="DT54" s="503"/>
      <c r="DU54" s="503"/>
      <c r="DV54" s="503"/>
      <c r="DW54" s="503"/>
    </row>
    <row r="55" spans="1:129">
      <c r="A55" s="496"/>
      <c r="B55" s="672"/>
      <c r="C55" s="672"/>
      <c r="F55" s="512"/>
      <c r="G55" s="508"/>
      <c r="H55" s="509"/>
      <c r="I55" s="509"/>
      <c r="J55" s="509"/>
      <c r="K55" s="509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09"/>
      <c r="AK55" s="509"/>
      <c r="AL55" s="509"/>
      <c r="AM55" s="509"/>
      <c r="AN55" s="509"/>
      <c r="AO55" s="509"/>
      <c r="AP55" s="509"/>
      <c r="AQ55" s="509"/>
      <c r="AR55" s="509"/>
      <c r="AS55" s="509"/>
      <c r="AT55" s="509"/>
      <c r="AU55" s="509"/>
      <c r="AV55" s="509"/>
      <c r="AW55" s="509"/>
      <c r="AX55" s="509"/>
      <c r="AY55" s="509"/>
      <c r="AZ55" s="509"/>
      <c r="BA55" s="509"/>
      <c r="BB55" s="509"/>
      <c r="BC55" s="509"/>
      <c r="BD55" s="509"/>
      <c r="BE55" s="509"/>
      <c r="BF55" s="509"/>
      <c r="BG55" s="509"/>
      <c r="BH55" s="509"/>
      <c r="BI55" s="509"/>
      <c r="BJ55" s="509"/>
      <c r="BK55" s="509"/>
      <c r="BL55" s="509"/>
      <c r="BM55" s="509"/>
      <c r="BN55" s="509"/>
      <c r="BO55" s="509"/>
      <c r="BP55" s="509"/>
      <c r="BQ55" s="509"/>
      <c r="BR55" s="509"/>
      <c r="BS55" s="509"/>
      <c r="BT55" s="509"/>
      <c r="BU55" s="509"/>
      <c r="BV55" s="509"/>
      <c r="BW55" s="509"/>
      <c r="BX55" s="509"/>
      <c r="BY55" s="509"/>
      <c r="BZ55" s="509"/>
      <c r="CA55" s="509"/>
      <c r="CB55" s="509"/>
      <c r="CC55" s="509"/>
      <c r="CD55" s="509"/>
      <c r="CE55" s="509"/>
      <c r="CF55" s="509"/>
      <c r="CG55" s="509"/>
      <c r="CH55" s="509"/>
      <c r="CI55" s="509"/>
      <c r="CJ55" s="509"/>
      <c r="CK55" s="509"/>
      <c r="CL55" s="509"/>
      <c r="CM55" s="509"/>
      <c r="CN55" s="509"/>
      <c r="CO55" s="509"/>
      <c r="CP55" s="509"/>
      <c r="CQ55" s="509"/>
      <c r="CR55" s="509"/>
      <c r="CS55" s="509"/>
      <c r="CT55" s="509"/>
      <c r="CU55" s="509"/>
      <c r="CV55" s="509"/>
      <c r="CW55" s="509"/>
      <c r="CX55" s="509"/>
      <c r="CY55" s="509"/>
      <c r="CZ55" s="509"/>
      <c r="DA55" s="509"/>
      <c r="DB55" s="509"/>
      <c r="DC55" s="509"/>
      <c r="DD55" s="509"/>
      <c r="DE55" s="509"/>
      <c r="DF55" s="509"/>
      <c r="DG55" s="509"/>
      <c r="DH55" s="509"/>
      <c r="DI55" s="509"/>
      <c r="DJ55" s="509"/>
      <c r="DK55" s="509"/>
      <c r="DL55" s="509"/>
      <c r="DM55" s="509"/>
      <c r="DN55" s="509"/>
      <c r="DO55" s="509"/>
      <c r="DP55" s="509"/>
      <c r="DQ55" s="509"/>
      <c r="DR55" s="509"/>
      <c r="DS55" s="509"/>
      <c r="DT55" s="509"/>
      <c r="DU55" s="509"/>
      <c r="DV55" s="509"/>
      <c r="DW55" s="509"/>
      <c r="DX55" s="304"/>
      <c r="DY55" s="304"/>
    </row>
    <row r="56" spans="1:129">
      <c r="A56" s="492" t="str">
        <f>Inputs!A146</f>
        <v>Technical Management</v>
      </c>
      <c r="B56" s="672"/>
      <c r="C56" s="672"/>
      <c r="D56" s="493"/>
      <c r="E56" s="493"/>
      <c r="F56" s="512"/>
      <c r="G56" s="727">
        <f>IF(G$6,-SUMIF(Inputs!$E$145:$AH$145,CF!G$4,Inputs!$E146:$AH146)*G$7,0)</f>
        <v>0</v>
      </c>
      <c r="H56" s="727">
        <f>IF(H$6,-SUMIF(Inputs!$E$145:$AH$145,CF!H$4,Inputs!$E146:$AH146)*H$7,0)</f>
        <v>-99.813698630136997</v>
      </c>
      <c r="I56" s="727">
        <f>IF(I$6,-SUMIF(Inputs!$E$145:$AH$145,CF!I$4,Inputs!$E146:$AH146)*I$7,0)</f>
        <v>-98.186301369863017</v>
      </c>
      <c r="J56" s="727">
        <f>IF(J$6,-SUMIF(Inputs!$E$145:$AH$145,CF!J$4,Inputs!$E146:$AH146)*J$7,0)</f>
        <v>-101.53180327868853</v>
      </c>
      <c r="K56" s="727">
        <f>IF(K$6,-SUMIF(Inputs!$E$145:$AH$145,CF!K$4,Inputs!$E146:$AH146)*K$7,0)</f>
        <v>-100.42819672131148</v>
      </c>
      <c r="L56" s="727">
        <f>IF(L$6,-SUMIF(Inputs!$E$145:$AH$145,CF!L$4,Inputs!$E146:$AH146)*L$7,0)</f>
        <v>-103.84617205479454</v>
      </c>
      <c r="M56" s="727">
        <f>IF(M$6,-SUMIF(Inputs!$E$145:$AH$145,CF!M$4,Inputs!$E146:$AH146)*M$7,0)</f>
        <v>-102.15302794520548</v>
      </c>
      <c r="N56" s="727">
        <f>IF(N$6,-SUMIF(Inputs!$E$145:$AH$145,CF!N$4,Inputs!$E146:$AH146)*N$7,0)</f>
        <v>-105.92309549589041</v>
      </c>
      <c r="O56" s="727">
        <f>IF(O$6,-SUMIF(Inputs!$E$145:$AH$145,CF!O$4,Inputs!$E146:$AH146)*O$7,0)</f>
        <v>-104.19608850410958</v>
      </c>
      <c r="P56" s="727">
        <f>IF(P$6,-SUMIF(Inputs!$E$145:$AH$145,CF!P$4,Inputs!$E146:$AH146)*P$7,0)</f>
        <v>-108.04155740580822</v>
      </c>
      <c r="Q56" s="727">
        <f>IF(Q$6,-SUMIF(Inputs!$E$145:$AH$145,CF!Q$4,Inputs!$E146:$AH146)*Q$7,0)</f>
        <v>-106.28001027419178</v>
      </c>
      <c r="R56" s="727">
        <f>IF(R$6,-SUMIF(Inputs!$E$145:$AH$145,CF!R$4,Inputs!$E146:$AH146)*R$7,0)</f>
        <v>-109.90128913164591</v>
      </c>
      <c r="S56" s="727">
        <f>IF(S$6,-SUMIF(Inputs!$E$145:$AH$145,CF!S$4,Inputs!$E146:$AH146)*S$7,0)</f>
        <v>-108.7067099019541</v>
      </c>
      <c r="T56" s="727">
        <f>IF(T$6,-SUMIF(Inputs!$E$145:$AH$145,CF!T$4,Inputs!$E146:$AH146)*T$7,0)</f>
        <v>-112.40643632500289</v>
      </c>
      <c r="U56" s="727">
        <f>IF(U$6,-SUMIF(Inputs!$E$145:$AH$145,CF!U$4,Inputs!$E146:$AH146)*U$7,0)</f>
        <v>-110.57372268926913</v>
      </c>
      <c r="V56" s="727">
        <f>IF(V$6,-SUMIF(Inputs!$E$145:$AH$145,CF!V$4,Inputs!$E146:$AH146)*V$7,0)</f>
        <v>-114.65456505150291</v>
      </c>
      <c r="W56" s="727">
        <f>IF(W$6,-SUMIF(Inputs!$E$145:$AH$145,CF!W$4,Inputs!$E146:$AH146)*W$7,0)</f>
        <v>-112.7851971430545</v>
      </c>
      <c r="X56" s="727">
        <f>IF(X$6,-SUMIF(Inputs!$E$145:$AH$145,CF!X$4,Inputs!$E146:$AH146)*X$7,0)</f>
        <v>-116.94765635253299</v>
      </c>
      <c r="Y56" s="727">
        <f>IF(Y$6,-SUMIF(Inputs!$E$145:$AH$145,CF!Y$4,Inputs!$E146:$AH146)*Y$7,0)</f>
        <v>-115.04090108591559</v>
      </c>
      <c r="Z56" s="727">
        <f>IF(Z$6,-SUMIF(Inputs!$E$145:$AH$145,CF!Z$4,Inputs!$E146:$AH146)*Z$7,0)</f>
        <v>-118.96068978155199</v>
      </c>
      <c r="AA56" s="727">
        <f>IF(AA$6,-SUMIF(Inputs!$E$145:$AH$145,CF!AA$4,Inputs!$E146:$AH146)*AA$7,0)</f>
        <v>-117.66763880566555</v>
      </c>
      <c r="AB56" s="727">
        <f>IF(AB$6,-SUMIF(Inputs!$E$145:$AH$145,CF!AB$4,Inputs!$E146:$AH146)*AB$7,0)</f>
        <v>-121.67234166917532</v>
      </c>
      <c r="AC56" s="727">
        <f>IF(AC$6,-SUMIF(Inputs!$E$145:$AH$145,CF!AC$4,Inputs!$E146:$AH146)*AC$7,0)</f>
        <v>-119.6885534897866</v>
      </c>
      <c r="AD56" s="727">
        <f>IF(AD$6,-SUMIF(Inputs!$E$145:$AH$145,CF!AD$4,Inputs!$E146:$AH146)*AD$7,0)</f>
        <v>-124.10578850255881</v>
      </c>
      <c r="AE56" s="727">
        <f>IF(AE$6,-SUMIF(Inputs!$E$145:$AH$145,CF!AE$4,Inputs!$E146:$AH146)*AE$7,0)</f>
        <v>-122.0823245595823</v>
      </c>
      <c r="AF56" s="727">
        <f>IF(AF$6,-SUMIF(Inputs!$E$145:$AH$145,CF!AF$4,Inputs!$E146:$AH146)*AF$7,0)</f>
        <v>-126.58790427261</v>
      </c>
      <c r="AG56" s="727">
        <f>IF(AG$6,-SUMIF(Inputs!$E$145:$AH$145,CF!AG$4,Inputs!$E146:$AH146)*AG$7,0)</f>
        <v>-124.52397105077397</v>
      </c>
      <c r="AH56" s="727">
        <f>IF(AH$6,-SUMIF(Inputs!$E$145:$AH$145,CF!AH$4,Inputs!$E146:$AH146)*AH$7,0)</f>
        <v>-128.76687639533526</v>
      </c>
      <c r="AI56" s="727">
        <f>IF(AI$6,-SUMIF(Inputs!$E$145:$AH$145,CF!AI$4,Inputs!$E146:$AH146)*AI$7,0)</f>
        <v>-127.36723643451639</v>
      </c>
      <c r="AJ56" s="727">
        <f>IF(AJ$6,-SUMIF(Inputs!$E$145:$AH$145,CF!AJ$4,Inputs!$E146:$AH146)*AJ$7,0)</f>
        <v>-131.70205560522345</v>
      </c>
      <c r="AK56" s="727">
        <f>IF(AK$6,-SUMIF(Inputs!$E$145:$AH$145,CF!AK$4,Inputs!$E146:$AH146)*AK$7,0)</f>
        <v>-129.55473948122523</v>
      </c>
      <c r="AL56" s="727">
        <f>IF(AL$6,-SUMIF(Inputs!$E$145:$AH$145,CF!AL$4,Inputs!$E146:$AH146)*AL$7,0)</f>
        <v>-134.33609671732788</v>
      </c>
      <c r="AM56" s="727">
        <f>IF(AM$6,-SUMIF(Inputs!$E$145:$AH$145,CF!AM$4,Inputs!$E146:$AH146)*AM$7,0)</f>
        <v>-132.14583427084969</v>
      </c>
      <c r="AN56" s="727">
        <f>IF(AN$6,-SUMIF(Inputs!$E$145:$AH$145,CF!AN$4,Inputs!$E146:$AH146)*AN$7,0)</f>
        <v>-137.02281865167447</v>
      </c>
      <c r="AO56" s="727">
        <f>IF(AO$6,-SUMIF(Inputs!$E$145:$AH$145,CF!AO$4,Inputs!$E146:$AH146)*AO$7,0)</f>
        <v>-134.78875095626674</v>
      </c>
      <c r="AP56" s="727">
        <f>IF(AP$6,-SUMIF(Inputs!$E$145:$AH$145,CF!AP$4,Inputs!$E146:$AH146)*AP$7,0)</f>
        <v>-139.38140815305576</v>
      </c>
      <c r="AQ56" s="727">
        <f>IF(AQ$6,-SUMIF(Inputs!$E$145:$AH$145,CF!AQ$4,Inputs!$E146:$AH146)*AQ$7,0)</f>
        <v>-137.86639284704427</v>
      </c>
      <c r="AR56" s="727">
        <f>IF(AR$6,-SUMIF(Inputs!$E$145:$AH$145,CF!AR$4,Inputs!$E146:$AH146)*AR$7,0)</f>
        <v>-142.55854052520212</v>
      </c>
      <c r="AS56" s="727">
        <f>IF(AS$6,-SUMIF(Inputs!$E$145:$AH$145,CF!AS$4,Inputs!$E146:$AH146)*AS$7,0)</f>
        <v>-140.2342164948999</v>
      </c>
      <c r="AT56" s="727">
        <f>IF(AT$6,-SUMIF(Inputs!$E$145:$AH$145,CF!AT$4,Inputs!$E146:$AH146)*AT$7,0)</f>
        <v>-145.40971133570613</v>
      </c>
      <c r="AU56" s="727">
        <f>IF(AU$6,-SUMIF(Inputs!$E$145:$AH$145,CF!AU$4,Inputs!$E146:$AH146)*AU$7,0)</f>
        <v>-143.03890082479788</v>
      </c>
      <c r="AV56" s="727">
        <f>IF(AV$6,-SUMIF(Inputs!$E$145:$AH$145,CF!AV$4,Inputs!$E146:$AH146)*AV$7,0)</f>
        <v>-148.31790556242026</v>
      </c>
      <c r="AW56" s="727">
        <f>IF(AW$6,-SUMIF(Inputs!$E$145:$AH$145,CF!AW$4,Inputs!$E146:$AH146)*AW$7,0)</f>
        <v>-145.89967884129385</v>
      </c>
      <c r="AX56" s="727">
        <f>IF(AX$6,-SUMIF(Inputs!$E$145:$AH$145,CF!AX$4,Inputs!$E146:$AH146)*AX$7,0)</f>
        <v>-150.87091869095372</v>
      </c>
      <c r="AY56" s="727">
        <f>IF(AY$6,-SUMIF(Inputs!$E$145:$AH$145,CF!AY$4,Inputs!$E146:$AH146)*AY$7,0)</f>
        <v>-149.23101740083467</v>
      </c>
      <c r="AZ56" s="727">
        <f>IF(AZ$6,-SUMIF(Inputs!$E$145:$AH$145,CF!AZ$4,Inputs!$E146:$AH146)*AZ$7,0)</f>
        <v>-154.30994894714206</v>
      </c>
      <c r="BA56" s="727">
        <f>IF(BA$6,-SUMIF(Inputs!$E$145:$AH$145,CF!BA$4,Inputs!$E146:$AH146)*BA$7,0)</f>
        <v>-151.79402586648214</v>
      </c>
      <c r="BB56" s="727">
        <f>IF(BB$6,-SUMIF(Inputs!$E$145:$AH$145,CF!BB$4,Inputs!$E146:$AH146)*BB$7,0)</f>
        <v>-157.39614792608486</v>
      </c>
      <c r="BC56" s="727">
        <f>IF(BC$6,-SUMIF(Inputs!$E$145:$AH$145,CF!BC$4,Inputs!$E146:$AH146)*BC$7,0)</f>
        <v>-154.82990638381173</v>
      </c>
      <c r="BD56" s="727">
        <f>IF(BD$6,-SUMIF(Inputs!$E$145:$AH$145,CF!BD$4,Inputs!$E146:$AH146)*BD$7,0)</f>
        <v>-160.54407088460658</v>
      </c>
      <c r="BE56" s="727">
        <f>IF(BE$6,-SUMIF(Inputs!$E$145:$AH$145,CF!BE$4,Inputs!$E146:$AH146)*BE$7,0)</f>
        <v>-157.92650451148799</v>
      </c>
      <c r="BF56" s="727">
        <f>IF(BF$6,-SUMIF(Inputs!$E$145:$AH$145,CF!BF$4,Inputs!$E146:$AH146)*BF$7,0)</f>
        <v>-163.3075343998334</v>
      </c>
      <c r="BG56" s="727">
        <f>IF(BG$6,-SUMIF(Inputs!$E$145:$AH$145,CF!BG$4,Inputs!$E146:$AH146)*BG$7,0)</f>
        <v>-161.53245250418303</v>
      </c>
      <c r="BH56" s="727">
        <f>IF(BH$6,-SUMIF(Inputs!$E$145:$AH$145,CF!BH$4,Inputs!$E146:$AH146)*BH$7,0)</f>
        <v>-167.0300513483447</v>
      </c>
      <c r="BI56" s="727">
        <f>IF(BI$6,-SUMIF(Inputs!$E$145:$AH$145,CF!BI$4,Inputs!$E146:$AH146)*BI$7,0)</f>
        <v>-164.30673529375213</v>
      </c>
      <c r="BJ56" s="727">
        <f>IF(BJ$6,-SUMIF(Inputs!$E$145:$AH$145,CF!BJ$4,Inputs!$E146:$AH146)*BJ$7,0)</f>
        <v>-170.37065237531158</v>
      </c>
      <c r="BK56" s="727">
        <f>IF(BK$6,-SUMIF(Inputs!$E$145:$AH$145,CF!BK$4,Inputs!$E146:$AH146)*BK$7,0)</f>
        <v>-167.59286999962714</v>
      </c>
      <c r="BL56" s="727">
        <f>IF(BL$6,-SUMIF(Inputs!$E$145:$AH$145,CF!BL$4,Inputs!$E146:$AH146)*BL$7,0)</f>
        <v>-173.77806542281786</v>
      </c>
      <c r="BM56" s="727">
        <f>IF(BM$6,-SUMIF(Inputs!$E$145:$AH$145,CF!BM$4,Inputs!$E146:$AH146)*BM$7,0)</f>
        <v>-170.94472739961972</v>
      </c>
      <c r="BN56" s="727">
        <f>IF(BN$6,-SUMIF(Inputs!$E$145:$AH$145,CF!BN$4,Inputs!$E146:$AH146)*BN$7,0)</f>
        <v>-176.76932720468599</v>
      </c>
      <c r="BO56" s="727">
        <f>IF(BO$6,-SUMIF(Inputs!$E$145:$AH$145,CF!BO$4,Inputs!$E146:$AH146)*BO$7,0)</f>
        <v>-174.84792147420026</v>
      </c>
      <c r="BP56" s="727"/>
      <c r="BQ56" s="727"/>
      <c r="BR56" s="727"/>
      <c r="BS56" s="727"/>
      <c r="BT56" s="727"/>
      <c r="BU56" s="727"/>
      <c r="BV56" s="727"/>
      <c r="BW56" s="727"/>
      <c r="BX56" s="727"/>
      <c r="BY56" s="727"/>
      <c r="BZ56" s="727"/>
      <c r="CA56" s="727"/>
      <c r="CB56" s="727"/>
      <c r="CC56" s="727"/>
      <c r="CD56" s="727"/>
      <c r="CE56" s="727"/>
      <c r="CF56" s="727"/>
      <c r="CG56" s="727"/>
      <c r="CH56" s="727"/>
      <c r="CI56" s="727"/>
      <c r="CJ56" s="727"/>
      <c r="CK56" s="727"/>
      <c r="CL56" s="727"/>
      <c r="CM56" s="727"/>
      <c r="CN56" s="727"/>
      <c r="CO56" s="727"/>
      <c r="CP56" s="727"/>
      <c r="CQ56" s="727"/>
      <c r="CR56" s="727"/>
      <c r="CS56" s="727"/>
      <c r="CT56" s="727"/>
      <c r="CU56" s="727"/>
      <c r="CV56" s="727"/>
      <c r="CW56" s="727"/>
      <c r="CX56" s="727"/>
      <c r="CY56" s="727"/>
      <c r="CZ56" s="727"/>
      <c r="DA56" s="727"/>
      <c r="DB56" s="727"/>
      <c r="DC56" s="727"/>
      <c r="DD56" s="727"/>
      <c r="DE56" s="727"/>
      <c r="DF56" s="727"/>
      <c r="DG56" s="727"/>
      <c r="DH56" s="727"/>
      <c r="DI56" s="727"/>
      <c r="DJ56" s="727"/>
      <c r="DK56" s="727"/>
      <c r="DL56" s="727"/>
      <c r="DM56" s="727"/>
      <c r="DN56" s="727"/>
      <c r="DO56" s="727"/>
      <c r="DP56" s="727"/>
      <c r="DQ56" s="727"/>
      <c r="DR56" s="727"/>
      <c r="DS56" s="727"/>
      <c r="DT56" s="727"/>
      <c r="DU56" s="727"/>
      <c r="DV56" s="727"/>
      <c r="DW56" s="727"/>
      <c r="DX56" s="304"/>
      <c r="DY56" s="304"/>
    </row>
    <row r="57" spans="1:129" ht="11.25" customHeight="1">
      <c r="A57" s="492" t="str">
        <f>Inputs!A147</f>
        <v>Infrastructure Maintenance</v>
      </c>
      <c r="B57" s="672"/>
      <c r="C57" s="672"/>
      <c r="D57" s="493"/>
      <c r="E57" s="493"/>
      <c r="F57" s="512"/>
      <c r="G57" s="842">
        <f>IF(G$6,-SUMIF(Inputs!$E$145:$AH$145,CF!G$4,Inputs!$E147:$AH147)*G$7,0)</f>
        <v>0</v>
      </c>
      <c r="H57" s="842">
        <f>IF(H$6,-SUMIF(Inputs!$E$145:$AH$145,CF!H$4,Inputs!$E147:$AH147)*H$7,0)</f>
        <v>-123.0027397260274</v>
      </c>
      <c r="I57" s="842">
        <f>IF(I$6,-SUMIF(Inputs!$E$145:$AH$145,CF!I$4,Inputs!$E147:$AH147)*I$7,0)</f>
        <v>-120.9972602739726</v>
      </c>
      <c r="J57" s="842">
        <f>IF(J$6,-SUMIF(Inputs!$E$145:$AH$145,CF!J$4,Inputs!$E147:$AH147)*J$7,0)</f>
        <v>-93.327213114754102</v>
      </c>
      <c r="K57" s="842">
        <f>IF(K$6,-SUMIF(Inputs!$E$145:$AH$145,CF!K$4,Inputs!$E147:$AH147)*K$7,0)</f>
        <v>-92.312786885245913</v>
      </c>
      <c r="L57" s="842">
        <f>IF(L$6,-SUMIF(Inputs!$E$145:$AH$145,CF!L$4,Inputs!$E147:$AH147)*L$7,0)</f>
        <v>-95.454562191780823</v>
      </c>
      <c r="M57" s="842">
        <f>IF(M$6,-SUMIF(Inputs!$E$145:$AH$145,CF!M$4,Inputs!$E147:$AH147)*M$7,0)</f>
        <v>-93.898237808219179</v>
      </c>
      <c r="N57" s="842">
        <f>IF(N$6,-SUMIF(Inputs!$E$145:$AH$145,CF!N$4,Inputs!$E147:$AH147)*N$7,0)</f>
        <v>-97.363653435616442</v>
      </c>
      <c r="O57" s="842">
        <f>IF(O$6,-SUMIF(Inputs!$E$145:$AH$145,CF!O$4,Inputs!$E147:$AH147)*O$7,0)</f>
        <v>-95.776202564383553</v>
      </c>
      <c r="P57" s="842">
        <f>IF(P$6,-SUMIF(Inputs!$E$145:$AH$145,CF!P$4,Inputs!$E147:$AH147)*P$7,0)</f>
        <v>-99.310926504328776</v>
      </c>
      <c r="Q57" s="842">
        <f>IF(Q$6,-SUMIF(Inputs!$E$145:$AH$145,CF!Q$4,Inputs!$E147:$AH147)*Q$7,0)</f>
        <v>-97.691726615671229</v>
      </c>
      <c r="R57" s="842">
        <f>IF(R$6,-SUMIF(Inputs!$E$145:$AH$145,CF!R$4,Inputs!$E147:$AH147)*R$7,0)</f>
        <v>-101.0203768785836</v>
      </c>
      <c r="S57" s="842">
        <f>IF(S$6,-SUMIF(Inputs!$E$145:$AH$145,CF!S$4,Inputs!$E147:$AH147)*S$7,0)</f>
        <v>-99.922329303816397</v>
      </c>
      <c r="T57" s="842">
        <f>IF(T$6,-SUMIF(Inputs!$E$145:$AH$145,CF!T$4,Inputs!$E147:$AH147)*T$7,0)</f>
        <v>-103.32308793510366</v>
      </c>
      <c r="U57" s="842">
        <f>IF(U$6,-SUMIF(Inputs!$E$145:$AH$145,CF!U$4,Inputs!$E147:$AH147)*U$7,0)</f>
        <v>-101.63847237094436</v>
      </c>
      <c r="V57" s="842">
        <f>IF(V$6,-SUMIF(Inputs!$E$145:$AH$145,CF!V$4,Inputs!$E147:$AH147)*V$7,0)</f>
        <v>-105.38954969380571</v>
      </c>
      <c r="W57" s="842">
        <f>IF(W$6,-SUMIF(Inputs!$E$145:$AH$145,CF!W$4,Inputs!$E147:$AH147)*W$7,0)</f>
        <v>-103.67124181836321</v>
      </c>
      <c r="X57" s="842">
        <f>IF(X$6,-SUMIF(Inputs!$E$145:$AH$145,CF!X$4,Inputs!$E147:$AH147)*X$7,0)</f>
        <v>-107.49734068768184</v>
      </c>
      <c r="Y57" s="842">
        <f>IF(Y$6,-SUMIF(Inputs!$E$145:$AH$145,CF!Y$4,Inputs!$E147:$AH147)*Y$7,0)</f>
        <v>-105.74466665473051</v>
      </c>
      <c r="Z57" s="842">
        <f>IF(Z$6,-SUMIF(Inputs!$E$145:$AH$145,CF!Z$4,Inputs!$E147:$AH147)*Z$7,0)</f>
        <v>-109.3477047486993</v>
      </c>
      <c r="AA57" s="842">
        <f>IF(AA$6,-SUMIF(Inputs!$E$145:$AH$145,CF!AA$4,Inputs!$E147:$AH147)*AA$7,0)</f>
        <v>-108.15914274056126</v>
      </c>
      <c r="AB57" s="842">
        <f>IF(AB$6,-SUMIF(Inputs!$E$145:$AH$145,CF!AB$4,Inputs!$E147:$AH147)*AB$7,0)</f>
        <v>-111.84023325146418</v>
      </c>
      <c r="AC57" s="842">
        <f>IF(AC$6,-SUMIF(Inputs!$E$145:$AH$145,CF!AC$4,Inputs!$E147:$AH147)*AC$7,0)</f>
        <v>-110.01675118758162</v>
      </c>
      <c r="AD57" s="842">
        <f>IF(AD$6,-SUMIF(Inputs!$E$145:$AH$145,CF!AD$4,Inputs!$E147:$AH147)*AD$7,0)</f>
        <v>-114.07703791649345</v>
      </c>
      <c r="AE57" s="842">
        <f>IF(AE$6,-SUMIF(Inputs!$E$145:$AH$145,CF!AE$4,Inputs!$E147:$AH147)*AE$7,0)</f>
        <v>-112.21708621133324</v>
      </c>
      <c r="AF57" s="842">
        <f>IF(AF$6,-SUMIF(Inputs!$E$145:$AH$145,CF!AF$4,Inputs!$E147:$AH147)*AF$7,0)</f>
        <v>-116.35857867482335</v>
      </c>
      <c r="AG57" s="842">
        <f>IF(AG$6,-SUMIF(Inputs!$E$145:$AH$145,CF!AG$4,Inputs!$E147:$AH147)*AG$7,0)</f>
        <v>-114.46142793555991</v>
      </c>
      <c r="AH57" s="842">
        <f>IF(AH$6,-SUMIF(Inputs!$E$145:$AH$145,CF!AH$4,Inputs!$E147:$AH147)*AH$7,0)</f>
        <v>-118.36147224217684</v>
      </c>
      <c r="AI57" s="842">
        <f>IF(AI$6,-SUMIF(Inputs!$E$145:$AH$145,CF!AI$4,Inputs!$E147:$AH147)*AI$7,0)</f>
        <v>-117.07493450041405</v>
      </c>
      <c r="AJ57" s="842">
        <f>IF(AJ$6,-SUMIF(Inputs!$E$145:$AH$145,CF!AJ$4,Inputs!$E147:$AH147)*AJ$7,0)</f>
        <v>-121.05946525328621</v>
      </c>
      <c r="AK57" s="842">
        <f>IF(AK$6,-SUMIF(Inputs!$E$145:$AH$145,CF!AK$4,Inputs!$E147:$AH147)*AK$7,0)</f>
        <v>-119.08566962415654</v>
      </c>
      <c r="AL57" s="842">
        <f>IF(AL$6,-SUMIF(Inputs!$E$145:$AH$145,CF!AL$4,Inputs!$E147:$AH147)*AL$7,0)</f>
        <v>-123.4806545583519</v>
      </c>
      <c r="AM57" s="842">
        <f>IF(AM$6,-SUMIF(Inputs!$E$145:$AH$145,CF!AM$4,Inputs!$E147:$AH147)*AM$7,0)</f>
        <v>-121.46738301663964</v>
      </c>
      <c r="AN57" s="842">
        <f>IF(AN$6,-SUMIF(Inputs!$E$145:$AH$145,CF!AN$4,Inputs!$E147:$AH147)*AN$7,0)</f>
        <v>-125.95026764951895</v>
      </c>
      <c r="AO57" s="842">
        <f>IF(AO$6,-SUMIF(Inputs!$E$145:$AH$145,CF!AO$4,Inputs!$E147:$AH147)*AO$7,0)</f>
        <v>-123.89673067697244</v>
      </c>
      <c r="AP57" s="842">
        <f>IF(AP$6,-SUMIF(Inputs!$E$145:$AH$145,CF!AP$4,Inputs!$E147:$AH147)*AP$7,0)</f>
        <v>-128.11826405987952</v>
      </c>
      <c r="AQ57" s="842">
        <f>IF(AQ$6,-SUMIF(Inputs!$E$145:$AH$145,CF!AQ$4,Inputs!$E147:$AH147)*AQ$7,0)</f>
        <v>-126.7256742331417</v>
      </c>
      <c r="AR57" s="842">
        <f>IF(AR$6,-SUMIF(Inputs!$E$145:$AH$145,CF!AR$4,Inputs!$E147:$AH147)*AR$7,0)</f>
        <v>-131.03865846255951</v>
      </c>
      <c r="AS57" s="842">
        <f>IF(AS$6,-SUMIF(Inputs!$E$145:$AH$145,CF!AS$4,Inputs!$E147:$AH147)*AS$7,0)</f>
        <v>-128.90215859632212</v>
      </c>
      <c r="AT57" s="842">
        <f>IF(AT$6,-SUMIF(Inputs!$E$145:$AH$145,CF!AT$4,Inputs!$E147:$AH147)*AT$7,0)</f>
        <v>-133.65943163181072</v>
      </c>
      <c r="AU57" s="842">
        <f>IF(AU$6,-SUMIF(Inputs!$E$145:$AH$145,CF!AU$4,Inputs!$E147:$AH147)*AU$7,0)</f>
        <v>-131.48020176824858</v>
      </c>
      <c r="AV57" s="842">
        <f>IF(AV$6,-SUMIF(Inputs!$E$145:$AH$145,CF!AV$4,Inputs!$E147:$AH147)*AV$7,0)</f>
        <v>-136.33262026444692</v>
      </c>
      <c r="AW57" s="842">
        <f>IF(AW$6,-SUMIF(Inputs!$E$145:$AH$145,CF!AW$4,Inputs!$E147:$AH147)*AW$7,0)</f>
        <v>-134.10980580361354</v>
      </c>
      <c r="AX57" s="842">
        <f>IF(AX$6,-SUMIF(Inputs!$E$145:$AH$145,CF!AX$4,Inputs!$E147:$AH147)*AX$7,0)</f>
        <v>-138.67932930178577</v>
      </c>
      <c r="AY57" s="842">
        <f>IF(AY$6,-SUMIF(Inputs!$E$145:$AH$145,CF!AY$4,Inputs!$E147:$AH147)*AY$7,0)</f>
        <v>-137.17194528763591</v>
      </c>
      <c r="AZ57" s="842">
        <f>IF(AZ$6,-SUMIF(Inputs!$E$145:$AH$145,CF!AZ$4,Inputs!$E147:$AH147)*AZ$7,0)</f>
        <v>-141.84045812313059</v>
      </c>
      <c r="BA57" s="842">
        <f>IF(BA$6,-SUMIF(Inputs!$E$145:$AH$145,CF!BA$4,Inputs!$E147:$AH147)*BA$7,0)</f>
        <v>-139.52784195807953</v>
      </c>
      <c r="BB57" s="842">
        <f>IF(BB$6,-SUMIF(Inputs!$E$145:$AH$145,CF!BB$4,Inputs!$E147:$AH147)*BB$7,0)</f>
        <v>-144.67726728559316</v>
      </c>
      <c r="BC57" s="842">
        <f>IF(BC$6,-SUMIF(Inputs!$E$145:$AH$145,CF!BC$4,Inputs!$E147:$AH147)*BC$7,0)</f>
        <v>-142.31839879724109</v>
      </c>
      <c r="BD57" s="842">
        <f>IF(BD$6,-SUMIF(Inputs!$E$145:$AH$145,CF!BD$4,Inputs!$E147:$AH147)*BD$7,0)</f>
        <v>-147.57081263130505</v>
      </c>
      <c r="BE57" s="842">
        <f>IF(BE$6,-SUMIF(Inputs!$E$145:$AH$145,CF!BE$4,Inputs!$E147:$AH147)*BE$7,0)</f>
        <v>-145.16476677318593</v>
      </c>
      <c r="BF57" s="842">
        <f>IF(BF$6,-SUMIF(Inputs!$E$145:$AH$145,CF!BF$4,Inputs!$E147:$AH147)*BF$7,0)</f>
        <v>-150.11096596348324</v>
      </c>
      <c r="BG57" s="842">
        <f>IF(BG$6,-SUMIF(Inputs!$E$145:$AH$145,CF!BG$4,Inputs!$E147:$AH147)*BG$7,0)</f>
        <v>-148.47932502909754</v>
      </c>
      <c r="BH57" s="842">
        <f>IF(BH$6,-SUMIF(Inputs!$E$145:$AH$145,CF!BH$4,Inputs!$E147:$AH147)*BH$7,0)</f>
        <v>-153.53267346160976</v>
      </c>
      <c r="BI57" s="842">
        <f>IF(BI$6,-SUMIF(Inputs!$E$145:$AH$145,CF!BI$4,Inputs!$E147:$AH147)*BI$7,0)</f>
        <v>-151.02942335082264</v>
      </c>
      <c r="BJ57" s="842">
        <f>IF(BJ$6,-SUMIF(Inputs!$E$145:$AH$145,CF!BJ$4,Inputs!$E147:$AH147)*BJ$7,0)</f>
        <v>-156.60332693084194</v>
      </c>
      <c r="BK57" s="842">
        <f>IF(BK$6,-SUMIF(Inputs!$E$145:$AH$145,CF!BK$4,Inputs!$E147:$AH147)*BK$7,0)</f>
        <v>-154.05001181783908</v>
      </c>
      <c r="BL57" s="842">
        <f>IF(BL$6,-SUMIF(Inputs!$E$145:$AH$145,CF!BL$4,Inputs!$E147:$AH147)*BL$7,0)</f>
        <v>-159.73539346945881</v>
      </c>
      <c r="BM57" s="842">
        <f>IF(BM$6,-SUMIF(Inputs!$E$145:$AH$145,CF!BM$4,Inputs!$E147:$AH147)*BM$7,0)</f>
        <v>-157.13101205419591</v>
      </c>
      <c r="BN57" s="842">
        <f>IF(BN$6,-SUMIF(Inputs!$E$145:$AH$145,CF!BN$4,Inputs!$E147:$AH147)*BN$7,0)</f>
        <v>-162.48493712753964</v>
      </c>
      <c r="BO57" s="842">
        <f>IF(BO$6,-SUMIF(Inputs!$E$145:$AH$145,CF!BO$4,Inputs!$E147:$AH147)*BO$7,0)</f>
        <v>-160.71879650658809</v>
      </c>
      <c r="BP57" s="842"/>
      <c r="BQ57" s="842"/>
      <c r="BR57" s="842"/>
      <c r="BS57" s="842"/>
      <c r="BT57" s="842"/>
      <c r="BU57" s="842"/>
      <c r="BV57" s="842"/>
      <c r="BW57" s="842"/>
      <c r="BX57" s="842"/>
      <c r="BY57" s="842"/>
      <c r="BZ57" s="842"/>
      <c r="CA57" s="842"/>
      <c r="CB57" s="842"/>
      <c r="CC57" s="842"/>
      <c r="CD57" s="842"/>
      <c r="CE57" s="842"/>
      <c r="CF57" s="842"/>
      <c r="CG57" s="842"/>
      <c r="CH57" s="842"/>
      <c r="CI57" s="842"/>
      <c r="CJ57" s="842"/>
      <c r="CK57" s="842"/>
      <c r="CL57" s="842"/>
      <c r="CM57" s="842"/>
      <c r="CN57" s="842"/>
      <c r="CO57" s="842"/>
      <c r="CP57" s="842"/>
      <c r="CQ57" s="842"/>
      <c r="CR57" s="842"/>
      <c r="CS57" s="842"/>
      <c r="CT57" s="842"/>
      <c r="CU57" s="842"/>
      <c r="CV57" s="842"/>
      <c r="CW57" s="842"/>
      <c r="CX57" s="842"/>
      <c r="CY57" s="842"/>
      <c r="CZ57" s="842"/>
      <c r="DA57" s="842"/>
      <c r="DB57" s="842"/>
      <c r="DC57" s="842"/>
      <c r="DD57" s="842"/>
      <c r="DE57" s="842"/>
      <c r="DF57" s="842"/>
      <c r="DG57" s="842"/>
      <c r="DH57" s="842"/>
      <c r="DI57" s="842"/>
      <c r="DJ57" s="842"/>
      <c r="DK57" s="842"/>
      <c r="DL57" s="842"/>
      <c r="DM57" s="842"/>
      <c r="DN57" s="842"/>
      <c r="DO57" s="842"/>
      <c r="DP57" s="842"/>
      <c r="DQ57" s="842"/>
      <c r="DR57" s="842"/>
      <c r="DS57" s="842"/>
      <c r="DT57" s="842"/>
      <c r="DU57" s="842"/>
      <c r="DV57" s="842"/>
      <c r="DW57" s="842"/>
      <c r="DX57" s="304"/>
      <c r="DY57" s="304"/>
    </row>
    <row r="58" spans="1:129" ht="11.25" customHeight="1">
      <c r="A58" s="492" t="str">
        <f>Inputs!A148</f>
        <v>Maintain Site</v>
      </c>
      <c r="B58" s="672"/>
      <c r="C58" s="672"/>
      <c r="D58" s="493"/>
      <c r="E58" s="493"/>
      <c r="F58" s="512"/>
      <c r="G58" s="842">
        <f>IF(G$6,-SUMIF(Inputs!$E$145:$AH$145,CF!G$4,Inputs!$E148:$AH148)*G$7,0)</f>
        <v>0</v>
      </c>
      <c r="H58" s="842">
        <f>IF(H$6,-SUMIF(Inputs!$E$145:$AH$145,CF!H$4,Inputs!$E148:$AH148)*H$7,0)</f>
        <v>-22.785753424657536</v>
      </c>
      <c r="I58" s="842">
        <f>IF(I$6,-SUMIF(Inputs!$E$145:$AH$145,CF!I$4,Inputs!$E148:$AH148)*I$7,0)</f>
        <v>-22.414246575342464</v>
      </c>
      <c r="J58" s="842">
        <f>IF(J$6,-SUMIF(Inputs!$E$145:$AH$145,CF!J$4,Inputs!$E148:$AH148)*J$7,0)</f>
        <v>-23.177967213114755</v>
      </c>
      <c r="K58" s="842">
        <f>IF(K$6,-SUMIF(Inputs!$E$145:$AH$145,CF!K$4,Inputs!$E148:$AH148)*K$7,0)</f>
        <v>-22.926032786885244</v>
      </c>
      <c r="L58" s="842">
        <f>IF(L$6,-SUMIF(Inputs!$E$145:$AH$145,CF!L$4,Inputs!$E148:$AH148)*L$7,0)</f>
        <v>-23.706297863013695</v>
      </c>
      <c r="M58" s="842">
        <f>IF(M$6,-SUMIF(Inputs!$E$145:$AH$145,CF!M$4,Inputs!$E148:$AH148)*M$7,0)</f>
        <v>-23.319782136986298</v>
      </c>
      <c r="N58" s="842">
        <f>IF(N$6,-SUMIF(Inputs!$E$145:$AH$145,CF!N$4,Inputs!$E148:$AH148)*N$7,0)</f>
        <v>-24.180423820273969</v>
      </c>
      <c r="O58" s="842">
        <f>IF(O$6,-SUMIF(Inputs!$E$145:$AH$145,CF!O$4,Inputs!$E148:$AH148)*O$7,0)</f>
        <v>-23.786177779726025</v>
      </c>
      <c r="P58" s="842">
        <f>IF(P$6,-SUMIF(Inputs!$E$145:$AH$145,CF!P$4,Inputs!$E148:$AH148)*P$7,0)</f>
        <v>-24.664032296679451</v>
      </c>
      <c r="Q58" s="842">
        <f>IF(Q$6,-SUMIF(Inputs!$E$145:$AH$145,CF!Q$4,Inputs!$E148:$AH148)*Q$7,0)</f>
        <v>-24.261901335320548</v>
      </c>
      <c r="R58" s="842">
        <f>IF(R$6,-SUMIF(Inputs!$E$145:$AH$145,CF!R$4,Inputs!$E148:$AH148)*R$7,0)</f>
        <v>-25.088577114900982</v>
      </c>
      <c r="S58" s="842">
        <f>IF(S$6,-SUMIF(Inputs!$E$145:$AH$145,CF!S$4,Inputs!$E148:$AH148)*S$7,0)</f>
        <v>-24.815875189739014</v>
      </c>
      <c r="T58" s="842">
        <f>IF(T$6,-SUMIF(Inputs!$E$145:$AH$145,CF!T$4,Inputs!$E148:$AH148)*T$7,0)</f>
        <v>-25.660459201465301</v>
      </c>
      <c r="U58" s="842">
        <f>IF(U$6,-SUMIF(Inputs!$E$145:$AH$145,CF!U$4,Inputs!$E148:$AH148)*U$7,0)</f>
        <v>-25.242082149267496</v>
      </c>
      <c r="V58" s="842">
        <f>IF(V$6,-SUMIF(Inputs!$E$145:$AH$145,CF!V$4,Inputs!$E148:$AH148)*V$7,0)</f>
        <v>-26.173668385494604</v>
      </c>
      <c r="W58" s="842">
        <f>IF(W$6,-SUMIF(Inputs!$E$145:$AH$145,CF!W$4,Inputs!$E148:$AH148)*W$7,0)</f>
        <v>-25.746923792252844</v>
      </c>
      <c r="X58" s="842">
        <f>IF(X$6,-SUMIF(Inputs!$E$145:$AH$145,CF!X$4,Inputs!$E148:$AH148)*X$7,0)</f>
        <v>-26.697141753204498</v>
      </c>
      <c r="Y58" s="842">
        <f>IF(Y$6,-SUMIF(Inputs!$E$145:$AH$145,CF!Y$4,Inputs!$E148:$AH148)*Y$7,0)</f>
        <v>-26.261862268097904</v>
      </c>
      <c r="Z58" s="842">
        <f>IF(Z$6,-SUMIF(Inputs!$E$145:$AH$145,CF!Z$4,Inputs!$E148:$AH148)*Z$7,0)</f>
        <v>-27.156682717808835</v>
      </c>
      <c r="AA58" s="842">
        <f>IF(AA$6,-SUMIF(Inputs!$E$145:$AH$145,CF!AA$4,Inputs!$E148:$AH148)*AA$7,0)</f>
        <v>-26.86150138391961</v>
      </c>
      <c r="AB58" s="842">
        <f>IF(AB$6,-SUMIF(Inputs!$E$145:$AH$145,CF!AB$4,Inputs!$E148:$AH148)*AB$7,0)</f>
        <v>-27.775706280033962</v>
      </c>
      <c r="AC58" s="842">
        <f>IF(AC$6,-SUMIF(Inputs!$E$145:$AH$145,CF!AC$4,Inputs!$E148:$AH148)*AC$7,0)</f>
        <v>-27.322841503729059</v>
      </c>
      <c r="AD58" s="842">
        <f>IF(AD$6,-SUMIF(Inputs!$E$145:$AH$145,CF!AD$4,Inputs!$E148:$AH148)*AD$7,0)</f>
        <v>-28.331220405634635</v>
      </c>
      <c r="AE58" s="842">
        <f>IF(AE$6,-SUMIF(Inputs!$E$145:$AH$145,CF!AE$4,Inputs!$E148:$AH148)*AE$7,0)</f>
        <v>-27.869298333803634</v>
      </c>
      <c r="AF58" s="842">
        <f>IF(AF$6,-SUMIF(Inputs!$E$145:$AH$145,CF!AF$4,Inputs!$E148:$AH148)*AF$7,0)</f>
        <v>-28.897844813747334</v>
      </c>
      <c r="AG58" s="842">
        <f>IF(AG$6,-SUMIF(Inputs!$E$145:$AH$145,CF!AG$4,Inputs!$E148:$AH148)*AG$7,0)</f>
        <v>-28.42668430047971</v>
      </c>
      <c r="AH58" s="842">
        <f>IF(AH$6,-SUMIF(Inputs!$E$145:$AH$145,CF!AH$4,Inputs!$E148:$AH148)*AH$7,0)</f>
        <v>-29.395266732672486</v>
      </c>
      <c r="AI58" s="842">
        <f>IF(AI$6,-SUMIF(Inputs!$E$145:$AH$145,CF!AI$4,Inputs!$E148:$AH148)*AI$7,0)</f>
        <v>-29.07575296383909</v>
      </c>
      <c r="AJ58" s="842">
        <f>IF(AJ$6,-SUMIF(Inputs!$E$145:$AH$145,CF!AJ$4,Inputs!$E148:$AH148)*AJ$7,0)</f>
        <v>-30.065317744222725</v>
      </c>
      <c r="AK58" s="842">
        <f>IF(AK$6,-SUMIF(Inputs!$E$145:$AH$145,CF!AK$4,Inputs!$E148:$AH148)*AK$7,0)</f>
        <v>-29.575122346219093</v>
      </c>
      <c r="AL58" s="842">
        <f>IF(AL$6,-SUMIF(Inputs!$E$145:$AH$145,CF!AL$4,Inputs!$E148:$AH148)*AL$7,0)</f>
        <v>-30.666624099107175</v>
      </c>
      <c r="AM58" s="842">
        <f>IF(AM$6,-SUMIF(Inputs!$E$145:$AH$145,CF!AM$4,Inputs!$E148:$AH148)*AM$7,0)</f>
        <v>-30.166624793143466</v>
      </c>
      <c r="AN58" s="842">
        <f>IF(AN$6,-SUMIF(Inputs!$E$145:$AH$145,CF!AN$4,Inputs!$E148:$AH148)*AN$7,0)</f>
        <v>-31.279956581089319</v>
      </c>
      <c r="AO58" s="842">
        <f>IF(AO$6,-SUMIF(Inputs!$E$145:$AH$145,CF!AO$4,Inputs!$E148:$AH148)*AO$7,0)</f>
        <v>-30.769957289006342</v>
      </c>
      <c r="AP58" s="842">
        <f>IF(AP$6,-SUMIF(Inputs!$E$145:$AH$145,CF!AP$4,Inputs!$E148:$AH148)*AP$7,0)</f>
        <v>-31.818382063222828</v>
      </c>
      <c r="AQ58" s="842">
        <f>IF(AQ$6,-SUMIF(Inputs!$E$145:$AH$145,CF!AQ$4,Inputs!$E148:$AH148)*AQ$7,0)</f>
        <v>-31.472530084274752</v>
      </c>
      <c r="AR58" s="842">
        <f>IF(AR$6,-SUMIF(Inputs!$E$145:$AH$145,CF!AR$4,Inputs!$E148:$AH148)*AR$7,0)</f>
        <v>-32.543666826965328</v>
      </c>
      <c r="AS58" s="842">
        <f>IF(AS$6,-SUMIF(Inputs!$E$145:$AH$145,CF!AS$4,Inputs!$E148:$AH148)*AS$7,0)</f>
        <v>-32.013063563482199</v>
      </c>
      <c r="AT58" s="842">
        <f>IF(AT$6,-SUMIF(Inputs!$E$145:$AH$145,CF!AT$4,Inputs!$E148:$AH148)*AT$7,0)</f>
        <v>-33.194540163504634</v>
      </c>
      <c r="AU58" s="842">
        <f>IF(AU$6,-SUMIF(Inputs!$E$145:$AH$145,CF!AU$4,Inputs!$E148:$AH148)*AU$7,0)</f>
        <v>-32.653324834751842</v>
      </c>
      <c r="AV58" s="842">
        <f>IF(AV$6,-SUMIF(Inputs!$E$145:$AH$145,CF!AV$4,Inputs!$E148:$AH148)*AV$7,0)</f>
        <v>-33.858430966774733</v>
      </c>
      <c r="AW58" s="842">
        <f>IF(AW$6,-SUMIF(Inputs!$E$145:$AH$145,CF!AW$4,Inputs!$E148:$AH148)*AW$7,0)</f>
        <v>-33.306391331446882</v>
      </c>
      <c r="AX58" s="842">
        <f>IF(AX$6,-SUMIF(Inputs!$E$145:$AH$145,CF!AX$4,Inputs!$E148:$AH148)*AX$7,0)</f>
        <v>-34.441240024399534</v>
      </c>
      <c r="AY58" s="842">
        <f>IF(AY$6,-SUMIF(Inputs!$E$145:$AH$145,CF!AY$4,Inputs!$E148:$AH148)*AY$7,0)</f>
        <v>-34.066878719786502</v>
      </c>
      <c r="AZ58" s="842">
        <f>IF(AZ$6,-SUMIF(Inputs!$E$145:$AH$145,CF!AZ$4,Inputs!$E148:$AH148)*AZ$7,0)</f>
        <v>-35.226311577832426</v>
      </c>
      <c r="BA58" s="842">
        <f>IF(BA$6,-SUMIF(Inputs!$E$145:$AH$145,CF!BA$4,Inputs!$E148:$AH148)*BA$7,0)</f>
        <v>-34.651969541237328</v>
      </c>
      <c r="BB58" s="842">
        <f>IF(BB$6,-SUMIF(Inputs!$E$145:$AH$145,CF!BB$4,Inputs!$E148:$AH148)*BB$7,0)</f>
        <v>-35.930837809389068</v>
      </c>
      <c r="BC58" s="842">
        <f>IF(BC$6,-SUMIF(Inputs!$E$145:$AH$145,CF!BC$4,Inputs!$E148:$AH148)*BC$7,0)</f>
        <v>-35.345008932062072</v>
      </c>
      <c r="BD58" s="842">
        <f>IF(BD$6,-SUMIF(Inputs!$E$145:$AH$145,CF!BD$4,Inputs!$E148:$AH148)*BD$7,0)</f>
        <v>-36.649454565576853</v>
      </c>
      <c r="BE58" s="842">
        <f>IF(BE$6,-SUMIF(Inputs!$E$145:$AH$145,CF!BE$4,Inputs!$E148:$AH148)*BE$7,0)</f>
        <v>-36.051909110703313</v>
      </c>
      <c r="BF58" s="842">
        <f>IF(BF$6,-SUMIF(Inputs!$E$145:$AH$145,CF!BF$4,Inputs!$E148:$AH148)*BF$7,0)</f>
        <v>-37.280305832689237</v>
      </c>
      <c r="BG58" s="842">
        <f>IF(BG$6,-SUMIF(Inputs!$E$145:$AH$145,CF!BG$4,Inputs!$E148:$AH148)*BG$7,0)</f>
        <v>-36.875085117116527</v>
      </c>
      <c r="BH58" s="842">
        <f>IF(BH$6,-SUMIF(Inputs!$E$145:$AH$145,CF!BH$4,Inputs!$E148:$AH148)*BH$7,0)</f>
        <v>-38.130092530026161</v>
      </c>
      <c r="BI58" s="842">
        <f>IF(BI$6,-SUMIF(Inputs!$E$145:$AH$145,CF!BI$4,Inputs!$E148:$AH148)*BI$7,0)</f>
        <v>-37.508406238775734</v>
      </c>
      <c r="BJ58" s="842">
        <f>IF(BJ$6,-SUMIF(Inputs!$E$145:$AH$145,CF!BJ$4,Inputs!$E148:$AH148)*BJ$7,0)</f>
        <v>-38.892694380626679</v>
      </c>
      <c r="BK58" s="842">
        <f>IF(BK$6,-SUMIF(Inputs!$E$145:$AH$145,CF!BK$4,Inputs!$E148:$AH148)*BK$7,0)</f>
        <v>-38.25857436355124</v>
      </c>
      <c r="BL58" s="842">
        <f>IF(BL$6,-SUMIF(Inputs!$E$145:$AH$145,CF!BL$4,Inputs!$E148:$AH148)*BL$7,0)</f>
        <v>-39.670548268239223</v>
      </c>
      <c r="BM58" s="842">
        <f>IF(BM$6,-SUMIF(Inputs!$E$145:$AH$145,CF!BM$4,Inputs!$E148:$AH148)*BM$7,0)</f>
        <v>-39.02374585082228</v>
      </c>
      <c r="BN58" s="842">
        <f>IF(BN$6,-SUMIF(Inputs!$E$145:$AH$145,CF!BN$4,Inputs!$E148:$AH148)*BN$7,0)</f>
        <v>-40.35340196793841</v>
      </c>
      <c r="BO58" s="842">
        <f>IF(BO$6,-SUMIF(Inputs!$E$145:$AH$145,CF!BO$4,Inputs!$E148:$AH148)*BO$7,0)</f>
        <v>-39.914778033504291</v>
      </c>
      <c r="BP58" s="842"/>
      <c r="BQ58" s="842"/>
      <c r="BR58" s="842"/>
      <c r="BS58" s="842"/>
      <c r="BT58" s="842"/>
      <c r="BU58" s="842"/>
      <c r="BV58" s="842"/>
      <c r="BW58" s="842"/>
      <c r="BX58" s="842"/>
      <c r="BY58" s="842"/>
      <c r="BZ58" s="842"/>
      <c r="CA58" s="842"/>
      <c r="CB58" s="842"/>
      <c r="CC58" s="842"/>
      <c r="CD58" s="842"/>
      <c r="CE58" s="842"/>
      <c r="CF58" s="842"/>
      <c r="CG58" s="842"/>
      <c r="CH58" s="842"/>
      <c r="CI58" s="842"/>
      <c r="CJ58" s="842"/>
      <c r="CK58" s="842"/>
      <c r="CL58" s="842"/>
      <c r="CM58" s="842"/>
      <c r="CN58" s="842"/>
      <c r="CO58" s="842"/>
      <c r="CP58" s="842"/>
      <c r="CQ58" s="842"/>
      <c r="CR58" s="842"/>
      <c r="CS58" s="842"/>
      <c r="CT58" s="842"/>
      <c r="CU58" s="842"/>
      <c r="CV58" s="842"/>
      <c r="CW58" s="842"/>
      <c r="CX58" s="842"/>
      <c r="CY58" s="842"/>
      <c r="CZ58" s="842"/>
      <c r="DA58" s="842"/>
      <c r="DB58" s="842"/>
      <c r="DC58" s="842"/>
      <c r="DD58" s="842"/>
      <c r="DE58" s="842"/>
      <c r="DF58" s="842"/>
      <c r="DG58" s="842"/>
      <c r="DH58" s="842"/>
      <c r="DI58" s="842"/>
      <c r="DJ58" s="842"/>
      <c r="DK58" s="842"/>
      <c r="DL58" s="842"/>
      <c r="DM58" s="842"/>
      <c r="DN58" s="842"/>
      <c r="DO58" s="842"/>
      <c r="DP58" s="842"/>
      <c r="DQ58" s="842"/>
      <c r="DR58" s="842"/>
      <c r="DS58" s="842"/>
      <c r="DT58" s="842"/>
      <c r="DU58" s="842"/>
      <c r="DV58" s="842"/>
      <c r="DW58" s="842"/>
      <c r="DX58" s="304"/>
      <c r="DY58" s="304"/>
    </row>
    <row r="59" spans="1:129" ht="11.25" customHeight="1">
      <c r="A59" s="492" t="str">
        <f>Inputs!A149</f>
        <v>Clean Material</v>
      </c>
      <c r="B59" s="672"/>
      <c r="C59" s="672"/>
      <c r="D59" s="493"/>
      <c r="E59" s="493"/>
      <c r="F59" s="512"/>
      <c r="G59" s="842">
        <f>IF(G$6,-SUMIF(Inputs!$E$145:$AH$145,CF!G$4,Inputs!$E149:$AH149)*G$7,0)</f>
        <v>0</v>
      </c>
      <c r="H59" s="842">
        <f>IF(H$6,-SUMIF(Inputs!$E$145:$AH$145,CF!H$4,Inputs!$E149:$AH149)*H$7,0)</f>
        <v>-20.164383561643838</v>
      </c>
      <c r="I59" s="842">
        <f>IF(I$6,-SUMIF(Inputs!$E$145:$AH$145,CF!I$4,Inputs!$E149:$AH149)*I$7,0)</f>
        <v>-19.835616438356166</v>
      </c>
      <c r="J59" s="842">
        <f>IF(J$6,-SUMIF(Inputs!$E$145:$AH$145,CF!J$4,Inputs!$E149:$AH149)*J$7,0)</f>
        <v>-20.511475409836063</v>
      </c>
      <c r="K59" s="842">
        <f>IF(K$6,-SUMIF(Inputs!$E$145:$AH$145,CF!K$4,Inputs!$E149:$AH149)*K$7,0)</f>
        <v>-20.288524590163934</v>
      </c>
      <c r="L59" s="842">
        <f>IF(L$6,-SUMIF(Inputs!$E$145:$AH$145,CF!L$4,Inputs!$E149:$AH149)*L$7,0)</f>
        <v>-20.979024657534247</v>
      </c>
      <c r="M59" s="842">
        <f>IF(M$6,-SUMIF(Inputs!$E$145:$AH$145,CF!M$4,Inputs!$E149:$AH149)*M$7,0)</f>
        <v>-20.636975342465753</v>
      </c>
      <c r="N59" s="842">
        <f>IF(N$6,-SUMIF(Inputs!$E$145:$AH$145,CF!N$4,Inputs!$E149:$AH149)*N$7,0)</f>
        <v>-21.398605150684929</v>
      </c>
      <c r="O59" s="842">
        <f>IF(O$6,-SUMIF(Inputs!$E$145:$AH$145,CF!O$4,Inputs!$E149:$AH149)*O$7,0)</f>
        <v>-21.049714849315066</v>
      </c>
      <c r="P59" s="842">
        <f>IF(P$6,-SUMIF(Inputs!$E$145:$AH$145,CF!P$4,Inputs!$E149:$AH149)*P$7,0)</f>
        <v>-21.82657725369863</v>
      </c>
      <c r="Q59" s="842">
        <f>IF(Q$6,-SUMIF(Inputs!$E$145:$AH$145,CF!Q$4,Inputs!$E149:$AH149)*Q$7,0)</f>
        <v>-21.47070914630137</v>
      </c>
      <c r="R59" s="842">
        <f>IF(R$6,-SUMIF(Inputs!$E$145:$AH$145,CF!R$4,Inputs!$E149:$AH149)*R$7,0)</f>
        <v>-22.202280632655739</v>
      </c>
      <c r="S59" s="842">
        <f>IF(S$6,-SUMIF(Inputs!$E$145:$AH$145,CF!S$4,Inputs!$E149:$AH149)*S$7,0)</f>
        <v>-21.960951495344265</v>
      </c>
      <c r="T59" s="842">
        <f>IF(T$6,-SUMIF(Inputs!$E$145:$AH$145,CF!T$4,Inputs!$E149:$AH149)*T$7,0)</f>
        <v>-22.70837097474806</v>
      </c>
      <c r="U59" s="842">
        <f>IF(U$6,-SUMIF(Inputs!$E$145:$AH$145,CF!U$4,Inputs!$E149:$AH149)*U$7,0)</f>
        <v>-22.338125795811948</v>
      </c>
      <c r="V59" s="842">
        <f>IF(V$6,-SUMIF(Inputs!$E$145:$AH$145,CF!V$4,Inputs!$E149:$AH149)*V$7,0)</f>
        <v>-23.162538394243015</v>
      </c>
      <c r="W59" s="842">
        <f>IF(W$6,-SUMIF(Inputs!$E$145:$AH$145,CF!W$4,Inputs!$E149:$AH149)*W$7,0)</f>
        <v>-22.784888311728182</v>
      </c>
      <c r="X59" s="842">
        <f>IF(X$6,-SUMIF(Inputs!$E$145:$AH$145,CF!X$4,Inputs!$E149:$AH149)*X$7,0)</f>
        <v>-23.625789162127877</v>
      </c>
      <c r="Y59" s="842">
        <f>IF(Y$6,-SUMIF(Inputs!$E$145:$AH$145,CF!Y$4,Inputs!$E149:$AH149)*Y$7,0)</f>
        <v>-23.240586077962746</v>
      </c>
      <c r="Z59" s="842">
        <f>IF(Z$6,-SUMIF(Inputs!$E$145:$AH$145,CF!Z$4,Inputs!$E149:$AH149)*Z$7,0)</f>
        <v>-24.032462582131714</v>
      </c>
      <c r="AA59" s="842">
        <f>IF(AA$6,-SUMIF(Inputs!$E$145:$AH$145,CF!AA$4,Inputs!$E149:$AH149)*AA$7,0)</f>
        <v>-23.771240162760719</v>
      </c>
      <c r="AB59" s="842">
        <f>IF(AB$6,-SUMIF(Inputs!$E$145:$AH$145,CF!AB$4,Inputs!$E149:$AH149)*AB$7,0)</f>
        <v>-24.580271044277847</v>
      </c>
      <c r="AC59" s="842">
        <f>IF(AC$6,-SUMIF(Inputs!$E$145:$AH$145,CF!AC$4,Inputs!$E149:$AH149)*AC$7,0)</f>
        <v>-24.179505755512444</v>
      </c>
      <c r="AD59" s="842">
        <f>IF(AD$6,-SUMIF(Inputs!$E$145:$AH$145,CF!AD$4,Inputs!$E149:$AH149)*AD$7,0)</f>
        <v>-25.071876465163395</v>
      </c>
      <c r="AE59" s="842">
        <f>IF(AE$6,-SUMIF(Inputs!$E$145:$AH$145,CF!AE$4,Inputs!$E149:$AH149)*AE$7,0)</f>
        <v>-24.663095870622687</v>
      </c>
      <c r="AF59" s="842">
        <f>IF(AF$6,-SUMIF(Inputs!$E$145:$AH$145,CF!AF$4,Inputs!$E149:$AH149)*AF$7,0)</f>
        <v>-25.57331399446667</v>
      </c>
      <c r="AG59" s="842">
        <f>IF(AG$6,-SUMIF(Inputs!$E$145:$AH$145,CF!AG$4,Inputs!$E149:$AH149)*AG$7,0)</f>
        <v>-25.156357788035145</v>
      </c>
      <c r="AH59" s="842">
        <f>IF(AH$6,-SUMIF(Inputs!$E$145:$AH$145,CF!AH$4,Inputs!$E149:$AH149)*AH$7,0)</f>
        <v>-26.013510382896008</v>
      </c>
      <c r="AI59" s="842">
        <f>IF(AI$6,-SUMIF(Inputs!$E$145:$AH$145,CF!AI$4,Inputs!$E149:$AH149)*AI$7,0)</f>
        <v>-25.730754835255837</v>
      </c>
      <c r="AJ59" s="842">
        <f>IF(AJ$6,-SUMIF(Inputs!$E$145:$AH$145,CF!AJ$4,Inputs!$E149:$AH149)*AJ$7,0)</f>
        <v>-26.606475879843121</v>
      </c>
      <c r="AK59" s="842">
        <f>IF(AK$6,-SUMIF(Inputs!$E$145:$AH$145,CF!AK$4,Inputs!$E149:$AH149)*AK$7,0)</f>
        <v>-26.172674642671765</v>
      </c>
      <c r="AL59" s="842">
        <f>IF(AL$6,-SUMIF(Inputs!$E$145:$AH$145,CF!AL$4,Inputs!$E149:$AH149)*AL$7,0)</f>
        <v>-27.138605397439978</v>
      </c>
      <c r="AM59" s="842">
        <f>IF(AM$6,-SUMIF(Inputs!$E$145:$AH$145,CF!AM$4,Inputs!$E149:$AH149)*AM$7,0)</f>
        <v>-26.696128135525193</v>
      </c>
      <c r="AN59" s="842">
        <f>IF(AN$6,-SUMIF(Inputs!$E$145:$AH$145,CF!AN$4,Inputs!$E149:$AH149)*AN$7,0)</f>
        <v>-27.681377505388781</v>
      </c>
      <c r="AO59" s="842">
        <f>IF(AO$6,-SUMIF(Inputs!$E$145:$AH$145,CF!AO$4,Inputs!$E149:$AH149)*AO$7,0)</f>
        <v>-27.230050698235704</v>
      </c>
      <c r="AP59" s="842">
        <f>IF(AP$6,-SUMIF(Inputs!$E$145:$AH$145,CF!AP$4,Inputs!$E149:$AH149)*AP$7,0)</f>
        <v>-28.157860232940557</v>
      </c>
      <c r="AQ59" s="842">
        <f>IF(AQ$6,-SUMIF(Inputs!$E$145:$AH$145,CF!AQ$4,Inputs!$E149:$AH149)*AQ$7,0)</f>
        <v>-27.851796534756417</v>
      </c>
      <c r="AR59" s="842">
        <f>IF(AR$6,-SUMIF(Inputs!$E$145:$AH$145,CF!AR$4,Inputs!$E149:$AH149)*AR$7,0)</f>
        <v>-28.799705156606489</v>
      </c>
      <c r="AS59" s="842">
        <f>IF(AS$6,-SUMIF(Inputs!$E$145:$AH$145,CF!AS$4,Inputs!$E149:$AH149)*AS$7,0)</f>
        <v>-28.330144746444425</v>
      </c>
      <c r="AT59" s="842">
        <f>IF(AT$6,-SUMIF(Inputs!$E$145:$AH$145,CF!AT$4,Inputs!$E149:$AH149)*AT$7,0)</f>
        <v>-29.375699259738617</v>
      </c>
      <c r="AU59" s="842">
        <f>IF(AU$6,-SUMIF(Inputs!$E$145:$AH$145,CF!AU$4,Inputs!$E149:$AH149)*AU$7,0)</f>
        <v>-28.896747641373313</v>
      </c>
      <c r="AV59" s="842">
        <f>IF(AV$6,-SUMIF(Inputs!$E$145:$AH$145,CF!AV$4,Inputs!$E149:$AH149)*AV$7,0)</f>
        <v>-29.963213244933392</v>
      </c>
      <c r="AW59" s="842">
        <f>IF(AW$6,-SUMIF(Inputs!$E$145:$AH$145,CF!AW$4,Inputs!$E149:$AH149)*AW$7,0)</f>
        <v>-29.474682594200782</v>
      </c>
      <c r="AX59" s="842">
        <f>IF(AX$6,-SUMIF(Inputs!$E$145:$AH$145,CF!AX$4,Inputs!$E149:$AH149)*AX$7,0)</f>
        <v>-30.478973472919947</v>
      </c>
      <c r="AY59" s="842">
        <f>IF(AY$6,-SUMIF(Inputs!$E$145:$AH$145,CF!AY$4,Inputs!$E149:$AH149)*AY$7,0)</f>
        <v>-30.147680282996902</v>
      </c>
      <c r="AZ59" s="842">
        <f>IF(AZ$6,-SUMIF(Inputs!$E$145:$AH$145,CF!AZ$4,Inputs!$E149:$AH149)*AZ$7,0)</f>
        <v>-31.173727060028703</v>
      </c>
      <c r="BA59" s="842">
        <f>IF(BA$6,-SUMIF(Inputs!$E$145:$AH$145,CF!BA$4,Inputs!$E149:$AH149)*BA$7,0)</f>
        <v>-30.665459771006493</v>
      </c>
      <c r="BB59" s="842">
        <f>IF(BB$6,-SUMIF(Inputs!$E$145:$AH$145,CF!BB$4,Inputs!$E149:$AH149)*BB$7,0)</f>
        <v>-31.797201601229268</v>
      </c>
      <c r="BC59" s="842">
        <f>IF(BC$6,-SUMIF(Inputs!$E$145:$AH$145,CF!BC$4,Inputs!$E149:$AH149)*BC$7,0)</f>
        <v>-31.278768966426615</v>
      </c>
      <c r="BD59" s="842">
        <f>IF(BD$6,-SUMIF(Inputs!$E$145:$AH$145,CF!BD$4,Inputs!$E149:$AH149)*BD$7,0)</f>
        <v>-32.433145633253858</v>
      </c>
      <c r="BE59" s="842">
        <f>IF(BE$6,-SUMIF(Inputs!$E$145:$AH$145,CF!BE$4,Inputs!$E149:$AH149)*BE$7,0)</f>
        <v>-31.904344345755153</v>
      </c>
      <c r="BF59" s="842">
        <f>IF(BF$6,-SUMIF(Inputs!$E$145:$AH$145,CF!BF$4,Inputs!$E149:$AH149)*BF$7,0)</f>
        <v>-32.991421090875434</v>
      </c>
      <c r="BG59" s="842">
        <f>IF(BG$6,-SUMIF(Inputs!$E$145:$AH$145,CF!BG$4,Inputs!$E149:$AH149)*BG$7,0)</f>
        <v>-32.632818687713751</v>
      </c>
      <c r="BH59" s="842">
        <f>IF(BH$6,-SUMIF(Inputs!$E$145:$AH$145,CF!BH$4,Inputs!$E149:$AH149)*BH$7,0)</f>
        <v>-33.743444716837317</v>
      </c>
      <c r="BI59" s="842">
        <f>IF(BI$6,-SUMIF(Inputs!$E$145:$AH$145,CF!BI$4,Inputs!$E149:$AH149)*BI$7,0)</f>
        <v>-33.193279857323667</v>
      </c>
      <c r="BJ59" s="842">
        <f>IF(BJ$6,-SUMIF(Inputs!$E$145:$AH$145,CF!BJ$4,Inputs!$E149:$AH149)*BJ$7,0)</f>
        <v>-34.418313611174057</v>
      </c>
      <c r="BK59" s="842">
        <f>IF(BK$6,-SUMIF(Inputs!$E$145:$AH$145,CF!BK$4,Inputs!$E149:$AH149)*BK$7,0)</f>
        <v>-33.857145454470128</v>
      </c>
      <c r="BL59" s="842">
        <f>IF(BL$6,-SUMIF(Inputs!$E$145:$AH$145,CF!BL$4,Inputs!$E149:$AH149)*BL$7,0)</f>
        <v>-35.10667988339754</v>
      </c>
      <c r="BM59" s="842">
        <f>IF(BM$6,-SUMIF(Inputs!$E$145:$AH$145,CF!BM$4,Inputs!$E149:$AH149)*BM$7,0)</f>
        <v>-34.534288363559533</v>
      </c>
      <c r="BN59" s="842">
        <f>IF(BN$6,-SUMIF(Inputs!$E$145:$AH$145,CF!BN$4,Inputs!$E149:$AH149)*BN$7,0)</f>
        <v>-35.710975192865853</v>
      </c>
      <c r="BO59" s="842">
        <f>IF(BO$6,-SUMIF(Inputs!$E$145:$AH$145,CF!BO$4,Inputs!$E149:$AH149)*BO$7,0)</f>
        <v>-35.322812419030349</v>
      </c>
      <c r="BP59" s="842"/>
      <c r="BQ59" s="842"/>
      <c r="BR59" s="842"/>
      <c r="BS59" s="842"/>
      <c r="BT59" s="842"/>
      <c r="BU59" s="842"/>
      <c r="BV59" s="842"/>
      <c r="BW59" s="842"/>
      <c r="BX59" s="842"/>
      <c r="BY59" s="842"/>
      <c r="BZ59" s="842"/>
      <c r="CA59" s="842"/>
      <c r="CB59" s="842"/>
      <c r="CC59" s="842"/>
      <c r="CD59" s="842"/>
      <c r="CE59" s="842"/>
      <c r="CF59" s="842"/>
      <c r="CG59" s="842"/>
      <c r="CH59" s="842"/>
      <c r="CI59" s="842"/>
      <c r="CJ59" s="842"/>
      <c r="CK59" s="842"/>
      <c r="CL59" s="842"/>
      <c r="CM59" s="842"/>
      <c r="CN59" s="842"/>
      <c r="CO59" s="842"/>
      <c r="CP59" s="842"/>
      <c r="CQ59" s="842"/>
      <c r="CR59" s="842"/>
      <c r="CS59" s="842"/>
      <c r="CT59" s="842"/>
      <c r="CU59" s="842"/>
      <c r="CV59" s="842"/>
      <c r="CW59" s="842"/>
      <c r="CX59" s="842"/>
      <c r="CY59" s="842"/>
      <c r="CZ59" s="842"/>
      <c r="DA59" s="842"/>
      <c r="DB59" s="842"/>
      <c r="DC59" s="842"/>
      <c r="DD59" s="842"/>
      <c r="DE59" s="842"/>
      <c r="DF59" s="842"/>
      <c r="DG59" s="842"/>
      <c r="DH59" s="842"/>
      <c r="DI59" s="842"/>
      <c r="DJ59" s="842"/>
      <c r="DK59" s="842"/>
      <c r="DL59" s="842"/>
      <c r="DM59" s="842"/>
      <c r="DN59" s="842"/>
      <c r="DO59" s="842"/>
      <c r="DP59" s="842"/>
      <c r="DQ59" s="842"/>
      <c r="DR59" s="842"/>
      <c r="DS59" s="842"/>
      <c r="DT59" s="842"/>
      <c r="DU59" s="842"/>
      <c r="DV59" s="842"/>
      <c r="DW59" s="842"/>
      <c r="DX59" s="304"/>
      <c r="DY59" s="304"/>
    </row>
    <row r="60" spans="1:129" ht="11.25" customHeight="1">
      <c r="A60" s="492" t="str">
        <f>Inputs!A150</f>
        <v>Security</v>
      </c>
      <c r="B60" s="672"/>
      <c r="C60" s="672"/>
      <c r="D60" s="493"/>
      <c r="E60" s="493"/>
      <c r="F60" s="512"/>
      <c r="G60" s="842">
        <f>IF(G$6,-SUMIF(Inputs!$E$145:$AH$145,CF!G$4,Inputs!$E150:$AH150)*G$7,0)</f>
        <v>0</v>
      </c>
      <c r="H60" s="842">
        <f>IF(H$6,-SUMIF(Inputs!$E$145:$AH$145,CF!H$4,Inputs!$E150:$AH150)*H$7,0)</f>
        <v>-15.173698630136988</v>
      </c>
      <c r="I60" s="842">
        <f>IF(I$6,-SUMIF(Inputs!$E$145:$AH$145,CF!I$4,Inputs!$E150:$AH150)*I$7,0)</f>
        <v>-14.926301369863015</v>
      </c>
      <c r="J60" s="842">
        <f>IF(J$6,-SUMIF(Inputs!$E$145:$AH$145,CF!J$4,Inputs!$E150:$AH150)*J$7,0)</f>
        <v>-15.43488524590164</v>
      </c>
      <c r="K60" s="842">
        <f>IF(K$6,-SUMIF(Inputs!$E$145:$AH$145,CF!K$4,Inputs!$E150:$AH150)*K$7,0)</f>
        <v>-15.267114754098362</v>
      </c>
      <c r="L60" s="842">
        <f>IF(L$6,-SUMIF(Inputs!$E$145:$AH$145,CF!L$4,Inputs!$E150:$AH150)*L$7,0)</f>
        <v>-15.786716054794523</v>
      </c>
      <c r="M60" s="842">
        <f>IF(M$6,-SUMIF(Inputs!$E$145:$AH$145,CF!M$4,Inputs!$E150:$AH150)*M$7,0)</f>
        <v>-15.52932394520548</v>
      </c>
      <c r="N60" s="842">
        <f>IF(N$6,-SUMIF(Inputs!$E$145:$AH$145,CF!N$4,Inputs!$E150:$AH150)*N$7,0)</f>
        <v>-16.102450375890413</v>
      </c>
      <c r="O60" s="842">
        <f>IF(O$6,-SUMIF(Inputs!$E$145:$AH$145,CF!O$4,Inputs!$E150:$AH150)*O$7,0)</f>
        <v>-15.83991042410959</v>
      </c>
      <c r="P60" s="842">
        <f>IF(P$6,-SUMIF(Inputs!$E$145:$AH$145,CF!P$4,Inputs!$E150:$AH150)*P$7,0)</f>
        <v>-16.424499383408218</v>
      </c>
      <c r="Q60" s="842">
        <f>IF(Q$6,-SUMIF(Inputs!$E$145:$AH$145,CF!Q$4,Inputs!$E150:$AH150)*Q$7,0)</f>
        <v>-16.15670863259178</v>
      </c>
      <c r="R60" s="842">
        <f>IF(R$6,-SUMIF(Inputs!$E$145:$AH$145,CF!R$4,Inputs!$E150:$AH150)*R$7,0)</f>
        <v>-16.707216176073445</v>
      </c>
      <c r="S60" s="842">
        <f>IF(S$6,-SUMIF(Inputs!$E$145:$AH$145,CF!S$4,Inputs!$E150:$AH150)*S$7,0)</f>
        <v>-16.525616000246558</v>
      </c>
      <c r="T60" s="842">
        <f>IF(T$6,-SUMIF(Inputs!$E$145:$AH$145,CF!T$4,Inputs!$E150:$AH150)*T$7,0)</f>
        <v>-17.088049158497913</v>
      </c>
      <c r="U60" s="842">
        <f>IF(U$6,-SUMIF(Inputs!$E$145:$AH$145,CF!U$4,Inputs!$E150:$AH150)*U$7,0)</f>
        <v>-16.809439661348492</v>
      </c>
      <c r="V60" s="842">
        <f>IF(V$6,-SUMIF(Inputs!$E$145:$AH$145,CF!V$4,Inputs!$E150:$AH150)*V$7,0)</f>
        <v>-17.429810141667868</v>
      </c>
      <c r="W60" s="842">
        <f>IF(W$6,-SUMIF(Inputs!$E$145:$AH$145,CF!W$4,Inputs!$E150:$AH150)*W$7,0)</f>
        <v>-17.145628454575458</v>
      </c>
      <c r="X60" s="842">
        <f>IF(X$6,-SUMIF(Inputs!$E$145:$AH$145,CF!X$4,Inputs!$E150:$AH150)*X$7,0)</f>
        <v>-17.778406344501228</v>
      </c>
      <c r="Y60" s="842">
        <f>IF(Y$6,-SUMIF(Inputs!$E$145:$AH$145,CF!Y$4,Inputs!$E150:$AH150)*Y$7,0)</f>
        <v>-17.488541023666968</v>
      </c>
      <c r="Z60" s="842">
        <f>IF(Z$6,-SUMIF(Inputs!$E$145:$AH$145,CF!Z$4,Inputs!$E150:$AH150)*Z$7,0)</f>
        <v>-18.084428093054115</v>
      </c>
      <c r="AA60" s="842">
        <f>IF(AA$6,-SUMIF(Inputs!$E$145:$AH$145,CF!AA$4,Inputs!$E150:$AH150)*AA$7,0)</f>
        <v>-17.887858222477441</v>
      </c>
      <c r="AB60" s="842">
        <f>IF(AB$6,-SUMIF(Inputs!$E$145:$AH$145,CF!AB$4,Inputs!$E150:$AH150)*AB$7,0)</f>
        <v>-18.496653960819081</v>
      </c>
      <c r="AC60" s="842">
        <f>IF(AC$6,-SUMIF(Inputs!$E$145:$AH$145,CF!AC$4,Inputs!$E150:$AH150)*AC$7,0)</f>
        <v>-18.195078081023116</v>
      </c>
      <c r="AD60" s="842">
        <f>IF(AD$6,-SUMIF(Inputs!$E$145:$AH$145,CF!AD$4,Inputs!$E150:$AH150)*AD$7,0)</f>
        <v>-18.866587040035455</v>
      </c>
      <c r="AE60" s="842">
        <f>IF(AE$6,-SUMIF(Inputs!$E$145:$AH$145,CF!AE$4,Inputs!$E150:$AH150)*AE$7,0)</f>
        <v>-18.558979642643571</v>
      </c>
      <c r="AF60" s="842">
        <f>IF(AF$6,-SUMIF(Inputs!$E$145:$AH$145,CF!AF$4,Inputs!$E150:$AH150)*AF$7,0)</f>
        <v>-19.243918780836168</v>
      </c>
      <c r="AG60" s="842">
        <f>IF(AG$6,-SUMIF(Inputs!$E$145:$AH$145,CF!AG$4,Inputs!$E150:$AH150)*AG$7,0)</f>
        <v>-18.930159235496447</v>
      </c>
      <c r="AH60" s="842">
        <f>IF(AH$6,-SUMIF(Inputs!$E$145:$AH$145,CF!AH$4,Inputs!$E150:$AH150)*AH$7,0)</f>
        <v>-19.575166563129248</v>
      </c>
      <c r="AI60" s="842">
        <f>IF(AI$6,-SUMIF(Inputs!$E$145:$AH$145,CF!AI$4,Inputs!$E150:$AH150)*AI$7,0)</f>
        <v>-19.362393013530014</v>
      </c>
      <c r="AJ60" s="842">
        <f>IF(AJ$6,-SUMIF(Inputs!$E$145:$AH$145,CF!AJ$4,Inputs!$E150:$AH150)*AJ$7,0)</f>
        <v>-20.02137309958195</v>
      </c>
      <c r="AK60" s="842">
        <f>IF(AK$6,-SUMIF(Inputs!$E$145:$AH$145,CF!AK$4,Inputs!$E150:$AH150)*AK$7,0)</f>
        <v>-19.694937668610503</v>
      </c>
      <c r="AL60" s="842">
        <f>IF(AL$6,-SUMIF(Inputs!$E$145:$AH$145,CF!AL$4,Inputs!$E150:$AH150)*AL$7,0)</f>
        <v>-20.421800561573583</v>
      </c>
      <c r="AM60" s="842">
        <f>IF(AM$6,-SUMIF(Inputs!$E$145:$AH$145,CF!AM$4,Inputs!$E150:$AH150)*AM$7,0)</f>
        <v>-20.088836421982709</v>
      </c>
      <c r="AN60" s="842">
        <f>IF(AN$6,-SUMIF(Inputs!$E$145:$AH$145,CF!AN$4,Inputs!$E150:$AH150)*AN$7,0)</f>
        <v>-20.83023657280506</v>
      </c>
      <c r="AO60" s="842">
        <f>IF(AO$6,-SUMIF(Inputs!$E$145:$AH$145,CF!AO$4,Inputs!$E150:$AH150)*AO$7,0)</f>
        <v>-20.490613150422369</v>
      </c>
      <c r="AP60" s="842">
        <f>IF(AP$6,-SUMIF(Inputs!$E$145:$AH$145,CF!AP$4,Inputs!$E150:$AH150)*AP$7,0)</f>
        <v>-21.18878982528777</v>
      </c>
      <c r="AQ60" s="842">
        <f>IF(AQ$6,-SUMIF(Inputs!$E$145:$AH$145,CF!AQ$4,Inputs!$E150:$AH150)*AQ$7,0)</f>
        <v>-20.958476892404207</v>
      </c>
      <c r="AR60" s="842">
        <f>IF(AR$6,-SUMIF(Inputs!$E$145:$AH$145,CF!AR$4,Inputs!$E150:$AH150)*AR$7,0)</f>
        <v>-21.671778130346382</v>
      </c>
      <c r="AS60" s="842">
        <f>IF(AS$6,-SUMIF(Inputs!$E$145:$AH$145,CF!AS$4,Inputs!$E150:$AH150)*AS$7,0)</f>
        <v>-21.31843392169943</v>
      </c>
      <c r="AT60" s="842">
        <f>IF(AT$6,-SUMIF(Inputs!$E$145:$AH$145,CF!AT$4,Inputs!$E150:$AH150)*AT$7,0)</f>
        <v>-22.10521369295331</v>
      </c>
      <c r="AU60" s="842">
        <f>IF(AU$6,-SUMIF(Inputs!$E$145:$AH$145,CF!AU$4,Inputs!$E150:$AH150)*AU$7,0)</f>
        <v>-21.744802600133418</v>
      </c>
      <c r="AV60" s="842">
        <f>IF(AV$6,-SUMIF(Inputs!$E$145:$AH$145,CF!AV$4,Inputs!$E150:$AH150)*AV$7,0)</f>
        <v>-22.547317966812376</v>
      </c>
      <c r="AW60" s="842">
        <f>IF(AW$6,-SUMIF(Inputs!$E$145:$AH$145,CF!AW$4,Inputs!$E150:$AH150)*AW$7,0)</f>
        <v>-22.179698652136086</v>
      </c>
      <c r="AX60" s="842">
        <f>IF(AX$6,-SUMIF(Inputs!$E$145:$AH$145,CF!AX$4,Inputs!$E150:$AH150)*AX$7,0)</f>
        <v>-22.935427538372259</v>
      </c>
      <c r="AY60" s="842">
        <f>IF(AY$6,-SUMIF(Inputs!$E$145:$AH$145,CF!AY$4,Inputs!$E150:$AH150)*AY$7,0)</f>
        <v>-22.686129412955168</v>
      </c>
      <c r="AZ60" s="842">
        <f>IF(AZ$6,-SUMIF(Inputs!$E$145:$AH$145,CF!AZ$4,Inputs!$E150:$AH150)*AZ$7,0)</f>
        <v>-23.458229612671598</v>
      </c>
      <c r="BA60" s="842">
        <f>IF(BA$6,-SUMIF(Inputs!$E$145:$AH$145,CF!BA$4,Inputs!$E150:$AH150)*BA$7,0)</f>
        <v>-23.075758477682385</v>
      </c>
      <c r="BB60" s="842">
        <f>IF(BB$6,-SUMIF(Inputs!$E$145:$AH$145,CF!BB$4,Inputs!$E150:$AH150)*BB$7,0)</f>
        <v>-23.927394204925026</v>
      </c>
      <c r="BC60" s="842">
        <f>IF(BC$6,-SUMIF(Inputs!$E$145:$AH$145,CF!BC$4,Inputs!$E150:$AH150)*BC$7,0)</f>
        <v>-23.537273647236027</v>
      </c>
      <c r="BD60" s="842">
        <f>IF(BD$6,-SUMIF(Inputs!$E$145:$AH$145,CF!BD$4,Inputs!$E150:$AH150)*BD$7,0)</f>
        <v>-24.405942089023526</v>
      </c>
      <c r="BE60" s="842">
        <f>IF(BE$6,-SUMIF(Inputs!$E$145:$AH$145,CF!BE$4,Inputs!$E150:$AH150)*BE$7,0)</f>
        <v>-24.008019120180752</v>
      </c>
      <c r="BF60" s="842">
        <f>IF(BF$6,-SUMIF(Inputs!$E$145:$AH$145,CF!BF$4,Inputs!$E150:$AH150)*BF$7,0)</f>
        <v>-24.826044370883768</v>
      </c>
      <c r="BG60" s="842">
        <f>IF(BG$6,-SUMIF(Inputs!$E$145:$AH$145,CF!BG$4,Inputs!$E150:$AH150)*BG$7,0)</f>
        <v>-24.556196062504593</v>
      </c>
      <c r="BH60" s="842">
        <f>IF(BH$6,-SUMIF(Inputs!$E$145:$AH$145,CF!BH$4,Inputs!$E150:$AH150)*BH$7,0)</f>
        <v>-25.391942149420082</v>
      </c>
      <c r="BI60" s="842">
        <f>IF(BI$6,-SUMIF(Inputs!$E$145:$AH$145,CF!BI$4,Inputs!$E150:$AH150)*BI$7,0)</f>
        <v>-24.977943092636057</v>
      </c>
      <c r="BJ60" s="842">
        <f>IF(BJ$6,-SUMIF(Inputs!$E$145:$AH$145,CF!BJ$4,Inputs!$E150:$AH150)*BJ$7,0)</f>
        <v>-25.899780992408477</v>
      </c>
      <c r="BK60" s="842">
        <f>IF(BK$6,-SUMIF(Inputs!$E$145:$AH$145,CF!BK$4,Inputs!$E150:$AH150)*BK$7,0)</f>
        <v>-25.477501954488773</v>
      </c>
      <c r="BL60" s="842">
        <f>IF(BL$6,-SUMIF(Inputs!$E$145:$AH$145,CF!BL$4,Inputs!$E150:$AH150)*BL$7,0)</f>
        <v>-26.417776612256652</v>
      </c>
      <c r="BM60" s="842">
        <f>IF(BM$6,-SUMIF(Inputs!$E$145:$AH$145,CF!BM$4,Inputs!$E150:$AH150)*BM$7,0)</f>
        <v>-25.987051993578554</v>
      </c>
      <c r="BN60" s="842">
        <f>IF(BN$6,-SUMIF(Inputs!$E$145:$AH$145,CF!BN$4,Inputs!$E150:$AH150)*BN$7,0)</f>
        <v>-26.872508832631556</v>
      </c>
      <c r="BO60" s="842">
        <f>IF(BO$6,-SUMIF(Inputs!$E$145:$AH$145,CF!BO$4,Inputs!$E150:$AH150)*BO$7,0)</f>
        <v>-26.580416345320341</v>
      </c>
      <c r="BP60" s="842"/>
      <c r="BQ60" s="842"/>
      <c r="BR60" s="842"/>
      <c r="BS60" s="842"/>
      <c r="BT60" s="842"/>
      <c r="BU60" s="842"/>
      <c r="BV60" s="842"/>
      <c r="BW60" s="842"/>
      <c r="BX60" s="842"/>
      <c r="BY60" s="842"/>
      <c r="BZ60" s="842"/>
      <c r="CA60" s="842"/>
      <c r="CB60" s="842"/>
      <c r="CC60" s="842"/>
      <c r="CD60" s="842"/>
      <c r="CE60" s="842"/>
      <c r="CF60" s="842"/>
      <c r="CG60" s="842"/>
      <c r="CH60" s="842"/>
      <c r="CI60" s="842"/>
      <c r="CJ60" s="842"/>
      <c r="CK60" s="842"/>
      <c r="CL60" s="842"/>
      <c r="CM60" s="842"/>
      <c r="CN60" s="842"/>
      <c r="CO60" s="842"/>
      <c r="CP60" s="842"/>
      <c r="CQ60" s="842"/>
      <c r="CR60" s="842"/>
      <c r="CS60" s="842"/>
      <c r="CT60" s="842"/>
      <c r="CU60" s="842"/>
      <c r="CV60" s="842"/>
      <c r="CW60" s="842"/>
      <c r="CX60" s="842"/>
      <c r="CY60" s="842"/>
      <c r="CZ60" s="842"/>
      <c r="DA60" s="842"/>
      <c r="DB60" s="842"/>
      <c r="DC60" s="842"/>
      <c r="DD60" s="842"/>
      <c r="DE60" s="842"/>
      <c r="DF60" s="842"/>
      <c r="DG60" s="842"/>
      <c r="DH60" s="842"/>
      <c r="DI60" s="842"/>
      <c r="DJ60" s="842"/>
      <c r="DK60" s="842"/>
      <c r="DL60" s="842"/>
      <c r="DM60" s="842"/>
      <c r="DN60" s="842"/>
      <c r="DO60" s="842"/>
      <c r="DP60" s="842"/>
      <c r="DQ60" s="842"/>
      <c r="DR60" s="842"/>
      <c r="DS60" s="842"/>
      <c r="DT60" s="842"/>
      <c r="DU60" s="842"/>
      <c r="DV60" s="842"/>
      <c r="DW60" s="842"/>
      <c r="DX60" s="304"/>
      <c r="DY60" s="304"/>
    </row>
    <row r="61" spans="1:129" ht="11.25" customHeight="1">
      <c r="A61" s="492" t="str">
        <f>Inputs!A151</f>
        <v>Insurance</v>
      </c>
      <c r="B61" s="672"/>
      <c r="C61" s="672"/>
      <c r="D61" s="493"/>
      <c r="E61" s="493"/>
      <c r="F61" s="512"/>
      <c r="G61" s="842">
        <f>IF(G$6,-SUMIF(Inputs!$E$145:$AH$145,CF!G$4,Inputs!$E151:$AH151)*G$7,0)</f>
        <v>0</v>
      </c>
      <c r="H61" s="842">
        <f>IF(H$6,-SUMIF(Inputs!$E$145:$AH$145,CF!H$4,Inputs!$E151:$AH151)*H$7,0)</f>
        <v>-128.54794520547946</v>
      </c>
      <c r="I61" s="842">
        <f>IF(I$6,-SUMIF(Inputs!$E$145:$AH$145,CF!I$4,Inputs!$E151:$AH151)*I$7,0)</f>
        <v>-126.45205479452055</v>
      </c>
      <c r="J61" s="842">
        <f>IF(J$6,-SUMIF(Inputs!$E$145:$AH$145,CF!J$4,Inputs!$E151:$AH151)*J$7,0)</f>
        <v>-130.76065573770492</v>
      </c>
      <c r="K61" s="842">
        <f>IF(K$6,-SUMIF(Inputs!$E$145:$AH$145,CF!K$4,Inputs!$E151:$AH151)*K$7,0)</f>
        <v>-129.3393442622951</v>
      </c>
      <c r="L61" s="842">
        <f>IF(L$6,-SUMIF(Inputs!$E$145:$AH$145,CF!L$4,Inputs!$E151:$AH151)*L$7,0)</f>
        <v>-133.74128219178084</v>
      </c>
      <c r="M61" s="842">
        <f>IF(M$6,-SUMIF(Inputs!$E$145:$AH$145,CF!M$4,Inputs!$E151:$AH151)*M$7,0)</f>
        <v>-131.56071780821918</v>
      </c>
      <c r="N61" s="842">
        <f>IF(N$6,-SUMIF(Inputs!$E$145:$AH$145,CF!N$4,Inputs!$E151:$AH151)*N$7,0)</f>
        <v>-136.41610783561643</v>
      </c>
      <c r="O61" s="842">
        <f>IF(O$6,-SUMIF(Inputs!$E$145:$AH$145,CF!O$4,Inputs!$E151:$AH151)*O$7,0)</f>
        <v>-134.19193216438356</v>
      </c>
      <c r="P61" s="842">
        <f>IF(P$6,-SUMIF(Inputs!$E$145:$AH$145,CF!P$4,Inputs!$E151:$AH151)*P$7,0)</f>
        <v>-139.14442999232878</v>
      </c>
      <c r="Q61" s="842">
        <f>IF(Q$6,-SUMIF(Inputs!$E$145:$AH$145,CF!Q$4,Inputs!$E151:$AH151)*Q$7,0)</f>
        <v>-136.87577080767124</v>
      </c>
      <c r="R61" s="842">
        <f>IF(R$6,-SUMIF(Inputs!$E$145:$AH$145,CF!R$4,Inputs!$E151:$AH151)*R$7,0)</f>
        <v>-141.53953903318032</v>
      </c>
      <c r="S61" s="842">
        <f>IF(S$6,-SUMIF(Inputs!$E$145:$AH$145,CF!S$4,Inputs!$E151:$AH151)*S$7,0)</f>
        <v>-140.00106578281967</v>
      </c>
      <c r="T61" s="842">
        <f>IF(T$6,-SUMIF(Inputs!$E$145:$AH$145,CF!T$4,Inputs!$E151:$AH151)*T$7,0)</f>
        <v>-144.76586496401887</v>
      </c>
      <c r="U61" s="842">
        <f>IF(U$6,-SUMIF(Inputs!$E$145:$AH$145,CF!U$4,Inputs!$E151:$AH151)*U$7,0)</f>
        <v>-142.40555194830117</v>
      </c>
      <c r="V61" s="842">
        <f>IF(V$6,-SUMIF(Inputs!$E$145:$AH$145,CF!V$4,Inputs!$E151:$AH151)*V$7,0)</f>
        <v>-147.66118226329922</v>
      </c>
      <c r="W61" s="842">
        <f>IF(W$6,-SUMIF(Inputs!$E$145:$AH$145,CF!W$4,Inputs!$E151:$AH151)*W$7,0)</f>
        <v>-145.25366298726718</v>
      </c>
      <c r="X61" s="842">
        <f>IF(X$6,-SUMIF(Inputs!$E$145:$AH$145,CF!X$4,Inputs!$E151:$AH151)*X$7,0)</f>
        <v>-150.6144059085652</v>
      </c>
      <c r="Y61" s="842">
        <f>IF(Y$6,-SUMIF(Inputs!$E$145:$AH$145,CF!Y$4,Inputs!$E151:$AH151)*Y$7,0)</f>
        <v>-148.15873624701251</v>
      </c>
      <c r="Z61" s="842">
        <f>IF(Z$6,-SUMIF(Inputs!$E$145:$AH$145,CF!Z$4,Inputs!$E151:$AH151)*Z$7,0)</f>
        <v>-153.20694896108967</v>
      </c>
      <c r="AA61" s="842">
        <f>IF(AA$6,-SUMIF(Inputs!$E$145:$AH$145,CF!AA$4,Inputs!$E151:$AH151)*AA$7,0)</f>
        <v>-151.54165603759958</v>
      </c>
      <c r="AB61" s="842">
        <f>IF(AB$6,-SUMIF(Inputs!$E$145:$AH$145,CF!AB$4,Inputs!$E151:$AH151)*AB$7,0)</f>
        <v>-156.69922790727125</v>
      </c>
      <c r="AC61" s="842">
        <f>IF(AC$6,-SUMIF(Inputs!$E$145:$AH$145,CF!AC$4,Inputs!$E151:$AH151)*AC$7,0)</f>
        <v>-154.14434919139183</v>
      </c>
      <c r="AD61" s="842">
        <f>IF(AD$6,-SUMIF(Inputs!$E$145:$AH$145,CF!AD$4,Inputs!$E151:$AH151)*AD$7,0)</f>
        <v>-159.83321246541664</v>
      </c>
      <c r="AE61" s="842">
        <f>IF(AE$6,-SUMIF(Inputs!$E$145:$AH$145,CF!AE$4,Inputs!$E151:$AH151)*AE$7,0)</f>
        <v>-157.22723617521962</v>
      </c>
      <c r="AF61" s="842">
        <f>IF(AF$6,-SUMIF(Inputs!$E$145:$AH$145,CF!AF$4,Inputs!$E151:$AH151)*AF$7,0)</f>
        <v>-163.02987671472502</v>
      </c>
      <c r="AG61" s="842">
        <f>IF(AG$6,-SUMIF(Inputs!$E$145:$AH$145,CF!AG$4,Inputs!$E151:$AH151)*AG$7,0)</f>
        <v>-160.37178089872407</v>
      </c>
      <c r="AH61" s="842">
        <f>IF(AH$6,-SUMIF(Inputs!$E$145:$AH$145,CF!AH$4,Inputs!$E151:$AH151)*AH$7,0)</f>
        <v>-165.83612869096206</v>
      </c>
      <c r="AI61" s="842">
        <f>IF(AI$6,-SUMIF(Inputs!$E$145:$AH$145,CF!AI$4,Inputs!$E151:$AH151)*AI$7,0)</f>
        <v>-164.03356207475596</v>
      </c>
      <c r="AJ61" s="842">
        <f>IF(AJ$6,-SUMIF(Inputs!$E$145:$AH$145,CF!AJ$4,Inputs!$E151:$AH151)*AJ$7,0)</f>
        <v>-169.61628373399989</v>
      </c>
      <c r="AK61" s="842">
        <f>IF(AK$6,-SUMIF(Inputs!$E$145:$AH$145,CF!AK$4,Inputs!$E151:$AH151)*AK$7,0)</f>
        <v>-166.8508008470325</v>
      </c>
      <c r="AL61" s="842">
        <f>IF(AL$6,-SUMIF(Inputs!$E$145:$AH$145,CF!AL$4,Inputs!$E151:$AH151)*AL$7,0)</f>
        <v>-173.00860940867986</v>
      </c>
      <c r="AM61" s="842">
        <f>IF(AM$6,-SUMIF(Inputs!$E$145:$AH$145,CF!AM$4,Inputs!$E151:$AH151)*AM$7,0)</f>
        <v>-170.18781686397313</v>
      </c>
      <c r="AN61" s="842">
        <f>IF(AN$6,-SUMIF(Inputs!$E$145:$AH$145,CF!AN$4,Inputs!$E151:$AH151)*AN$7,0)</f>
        <v>-176.46878159685349</v>
      </c>
      <c r="AO61" s="842">
        <f>IF(AO$6,-SUMIF(Inputs!$E$145:$AH$145,CF!AO$4,Inputs!$E151:$AH151)*AO$7,0)</f>
        <v>-173.5915732012526</v>
      </c>
      <c r="AP61" s="842">
        <f>IF(AP$6,-SUMIF(Inputs!$E$145:$AH$145,CF!AP$4,Inputs!$E151:$AH151)*AP$7,0)</f>
        <v>-179.50635898499604</v>
      </c>
      <c r="AQ61" s="842">
        <f>IF(AQ$6,-SUMIF(Inputs!$E$145:$AH$145,CF!AQ$4,Inputs!$E151:$AH151)*AQ$7,0)</f>
        <v>-177.55520290907219</v>
      </c>
      <c r="AR61" s="842">
        <f>IF(AR$6,-SUMIF(Inputs!$E$145:$AH$145,CF!AR$4,Inputs!$E151:$AH151)*AR$7,0)</f>
        <v>-183.59812037336636</v>
      </c>
      <c r="AS61" s="842">
        <f>IF(AS$6,-SUMIF(Inputs!$E$145:$AH$145,CF!AS$4,Inputs!$E151:$AH151)*AS$7,0)</f>
        <v>-180.60467275858321</v>
      </c>
      <c r="AT61" s="842">
        <f>IF(AT$6,-SUMIF(Inputs!$E$145:$AH$145,CF!AT$4,Inputs!$E151:$AH151)*AT$7,0)</f>
        <v>-187.27008278083369</v>
      </c>
      <c r="AU61" s="842">
        <f>IF(AU$6,-SUMIF(Inputs!$E$145:$AH$145,CF!AU$4,Inputs!$E151:$AH151)*AU$7,0)</f>
        <v>-184.21676621375485</v>
      </c>
      <c r="AV61" s="842">
        <f>IF(AV$6,-SUMIF(Inputs!$E$145:$AH$145,CF!AV$4,Inputs!$E151:$AH151)*AV$7,0)</f>
        <v>-191.01548443645035</v>
      </c>
      <c r="AW61" s="842">
        <f>IF(AW$6,-SUMIF(Inputs!$E$145:$AH$145,CF!AW$4,Inputs!$E151:$AH151)*AW$7,0)</f>
        <v>-187.90110153802996</v>
      </c>
      <c r="AX61" s="842">
        <f>IF(AX$6,-SUMIF(Inputs!$E$145:$AH$145,CF!AX$4,Inputs!$E151:$AH151)*AX$7,0)</f>
        <v>-194.30345588986467</v>
      </c>
      <c r="AY61" s="842">
        <f>IF(AY$6,-SUMIF(Inputs!$E$145:$AH$145,CF!AY$4,Inputs!$E151:$AH151)*AY$7,0)</f>
        <v>-192.19146180410524</v>
      </c>
      <c r="AZ61" s="842">
        <f>IF(AZ$6,-SUMIF(Inputs!$E$145:$AH$145,CF!AZ$4,Inputs!$E151:$AH151)*AZ$7,0)</f>
        <v>-198.73251000768298</v>
      </c>
      <c r="BA61" s="842">
        <f>IF(BA$6,-SUMIF(Inputs!$E$145:$AH$145,CF!BA$4,Inputs!$E151:$AH151)*BA$7,0)</f>
        <v>-195.4923060401664</v>
      </c>
      <c r="BB61" s="842">
        <f>IF(BB$6,-SUMIF(Inputs!$E$145:$AH$145,CF!BB$4,Inputs!$E151:$AH151)*BB$7,0)</f>
        <v>-202.70716020783658</v>
      </c>
      <c r="BC61" s="842">
        <f>IF(BC$6,-SUMIF(Inputs!$E$145:$AH$145,CF!BC$4,Inputs!$E151:$AH151)*BC$7,0)</f>
        <v>-199.40215216096968</v>
      </c>
      <c r="BD61" s="842">
        <f>IF(BD$6,-SUMIF(Inputs!$E$145:$AH$145,CF!BD$4,Inputs!$E151:$AH151)*BD$7,0)</f>
        <v>-206.76130341199334</v>
      </c>
      <c r="BE61" s="842">
        <f>IF(BE$6,-SUMIF(Inputs!$E$145:$AH$145,CF!BE$4,Inputs!$E151:$AH151)*BE$7,0)</f>
        <v>-203.39019520418907</v>
      </c>
      <c r="BF61" s="842">
        <f>IF(BF$6,-SUMIF(Inputs!$E$145:$AH$145,CF!BF$4,Inputs!$E151:$AH151)*BF$7,0)</f>
        <v>-210.3203094543309</v>
      </c>
      <c r="BG61" s="842">
        <f>IF(BG$6,-SUMIF(Inputs!$E$145:$AH$145,CF!BG$4,Inputs!$E151:$AH151)*BG$7,0)</f>
        <v>-208.03421913417512</v>
      </c>
      <c r="BH61" s="842">
        <f>IF(BH$6,-SUMIF(Inputs!$E$145:$AH$145,CF!BH$4,Inputs!$E151:$AH151)*BH$7,0)</f>
        <v>-215.11446006983789</v>
      </c>
      <c r="BI61" s="842">
        <f>IF(BI$6,-SUMIF(Inputs!$E$145:$AH$145,CF!BI$4,Inputs!$E151:$AH151)*BI$7,0)</f>
        <v>-211.60715909043833</v>
      </c>
      <c r="BJ61" s="842">
        <f>IF(BJ$6,-SUMIF(Inputs!$E$145:$AH$145,CF!BJ$4,Inputs!$E151:$AH151)*BJ$7,0)</f>
        <v>-219.41674927123461</v>
      </c>
      <c r="BK61" s="842">
        <f>IF(BK$6,-SUMIF(Inputs!$E$145:$AH$145,CF!BK$4,Inputs!$E151:$AH151)*BK$7,0)</f>
        <v>-215.83930227224707</v>
      </c>
      <c r="BL61" s="842">
        <f>IF(BL$6,-SUMIF(Inputs!$E$145:$AH$145,CF!BL$4,Inputs!$E151:$AH151)*BL$7,0)</f>
        <v>-223.80508425665934</v>
      </c>
      <c r="BM61" s="842">
        <f>IF(BM$6,-SUMIF(Inputs!$E$145:$AH$145,CF!BM$4,Inputs!$E151:$AH151)*BM$7,0)</f>
        <v>-220.15608831769208</v>
      </c>
      <c r="BN61" s="842">
        <f>IF(BN$6,-SUMIF(Inputs!$E$145:$AH$145,CF!BN$4,Inputs!$E151:$AH151)*BN$7,0)</f>
        <v>-227.65746685451984</v>
      </c>
      <c r="BO61" s="842">
        <f>IF(BO$6,-SUMIF(Inputs!$E$145:$AH$145,CF!BO$4,Inputs!$E151:$AH151)*BO$7,0)</f>
        <v>-225.18292917131851</v>
      </c>
      <c r="BP61" s="842"/>
      <c r="BQ61" s="842"/>
      <c r="BR61" s="842"/>
      <c r="BS61" s="842"/>
      <c r="BT61" s="842"/>
      <c r="BU61" s="842"/>
      <c r="BV61" s="842"/>
      <c r="BW61" s="842"/>
      <c r="BX61" s="842"/>
      <c r="BY61" s="842"/>
      <c r="BZ61" s="842"/>
      <c r="CA61" s="842"/>
      <c r="CB61" s="842"/>
      <c r="CC61" s="842"/>
      <c r="CD61" s="842"/>
      <c r="CE61" s="842"/>
      <c r="CF61" s="842"/>
      <c r="CG61" s="842"/>
      <c r="CH61" s="842"/>
      <c r="CI61" s="842"/>
      <c r="CJ61" s="842"/>
      <c r="CK61" s="842"/>
      <c r="CL61" s="842"/>
      <c r="CM61" s="842"/>
      <c r="CN61" s="842"/>
      <c r="CO61" s="842"/>
      <c r="CP61" s="842"/>
      <c r="CQ61" s="842"/>
      <c r="CR61" s="842"/>
      <c r="CS61" s="842"/>
      <c r="CT61" s="842"/>
      <c r="CU61" s="842"/>
      <c r="CV61" s="842"/>
      <c r="CW61" s="842"/>
      <c r="CX61" s="842"/>
      <c r="CY61" s="842"/>
      <c r="CZ61" s="842"/>
      <c r="DA61" s="842"/>
      <c r="DB61" s="842"/>
      <c r="DC61" s="842"/>
      <c r="DD61" s="842"/>
      <c r="DE61" s="842"/>
      <c r="DF61" s="842"/>
      <c r="DG61" s="842"/>
      <c r="DH61" s="842"/>
      <c r="DI61" s="842"/>
      <c r="DJ61" s="842"/>
      <c r="DK61" s="842"/>
      <c r="DL61" s="842"/>
      <c r="DM61" s="842"/>
      <c r="DN61" s="842"/>
      <c r="DO61" s="842"/>
      <c r="DP61" s="842"/>
      <c r="DQ61" s="842"/>
      <c r="DR61" s="842"/>
      <c r="DS61" s="842"/>
      <c r="DT61" s="842"/>
      <c r="DU61" s="842"/>
      <c r="DV61" s="842"/>
      <c r="DW61" s="842"/>
      <c r="DX61" s="304"/>
      <c r="DY61" s="304"/>
    </row>
    <row r="62" spans="1:129" ht="11.25" customHeight="1">
      <c r="A62" s="492" t="str">
        <f>Inputs!A152</f>
        <v>Lease &amp; property Tax</v>
      </c>
      <c r="B62" s="672"/>
      <c r="C62" s="672"/>
      <c r="D62" s="493"/>
      <c r="E62" s="493"/>
      <c r="F62" s="512"/>
      <c r="G62" s="842">
        <f>IF(G$6,-SUMIF(Inputs!$E$145:$AH$145,CF!G$4,Inputs!$E152:$AH152)*G$7,0)</f>
        <v>0</v>
      </c>
      <c r="H62" s="842">
        <f>IF(H$6,-SUMIF(Inputs!$E$145:$AH$145,CF!H$4,Inputs!$E152:$AH152)*H$7,0)</f>
        <v>-104.89512328767125</v>
      </c>
      <c r="I62" s="842">
        <f>IF(I$6,-SUMIF(Inputs!$E$145:$AH$145,CF!I$4,Inputs!$E152:$AH152)*I$7,0)</f>
        <v>-103.18487671232877</v>
      </c>
      <c r="J62" s="842">
        <f>IF(J$6,-SUMIF(Inputs!$E$145:$AH$145,CF!J$4,Inputs!$E152:$AH152)*J$7,0)</f>
        <v>-106.70069508196721</v>
      </c>
      <c r="K62" s="842">
        <f>IF(K$6,-SUMIF(Inputs!$E$145:$AH$145,CF!K$4,Inputs!$E152:$AH152)*K$7,0)</f>
        <v>-105.54090491803279</v>
      </c>
      <c r="L62" s="842">
        <f>IF(L$6,-SUMIF(Inputs!$E$145:$AH$145,CF!L$4,Inputs!$E152:$AH152)*L$7,0)</f>
        <v>-109.13288626849315</v>
      </c>
      <c r="M62" s="842">
        <f>IF(M$6,-SUMIF(Inputs!$E$145:$AH$145,CF!M$4,Inputs!$E152:$AH152)*M$7,0)</f>
        <v>-107.35354573150684</v>
      </c>
      <c r="N62" s="842">
        <f>IF(N$6,-SUMIF(Inputs!$E$145:$AH$145,CF!N$4,Inputs!$E152:$AH152)*N$7,0)</f>
        <v>-111.31554399386302</v>
      </c>
      <c r="O62" s="842">
        <f>IF(O$6,-SUMIF(Inputs!$E$145:$AH$145,CF!O$4,Inputs!$E152:$AH152)*O$7,0)</f>
        <v>-109.50061664613699</v>
      </c>
      <c r="P62" s="842">
        <f>IF(P$6,-SUMIF(Inputs!$E$145:$AH$145,CF!P$4,Inputs!$E152:$AH152)*P$7,0)</f>
        <v>-113.54185487374029</v>
      </c>
      <c r="Q62" s="842">
        <f>IF(Q$6,-SUMIF(Inputs!$E$145:$AH$145,CF!Q$4,Inputs!$E152:$AH152)*Q$7,0)</f>
        <v>-111.69062897905974</v>
      </c>
      <c r="R62" s="842">
        <f>IF(R$6,-SUMIF(Inputs!$E$145:$AH$145,CF!R$4,Inputs!$E152:$AH152)*R$7,0)</f>
        <v>-115.49626385107516</v>
      </c>
      <c r="S62" s="842">
        <f>IF(S$6,-SUMIF(Inputs!$E$145:$AH$145,CF!S$4,Inputs!$E152:$AH152)*S$7,0)</f>
        <v>-114.24086967878085</v>
      </c>
      <c r="T62" s="842">
        <f>IF(T$6,-SUMIF(Inputs!$E$145:$AH$145,CF!T$4,Inputs!$E152:$AH152)*T$7,0)</f>
        <v>-118.12894581063937</v>
      </c>
      <c r="U62" s="842">
        <f>IF(U$6,-SUMIF(Inputs!$E$145:$AH$145,CF!U$4,Inputs!$E152:$AH152)*U$7,0)</f>
        <v>-116.20293038981373</v>
      </c>
      <c r="V62" s="842">
        <f>IF(V$6,-SUMIF(Inputs!$E$145:$AH$145,CF!V$4,Inputs!$E152:$AH152)*V$7,0)</f>
        <v>-120.49152472685218</v>
      </c>
      <c r="W62" s="842">
        <f>IF(W$6,-SUMIF(Inputs!$E$145:$AH$145,CF!W$4,Inputs!$E152:$AH152)*W$7,0)</f>
        <v>-118.52698899761</v>
      </c>
      <c r="X62" s="842">
        <f>IF(X$6,-SUMIF(Inputs!$E$145:$AH$145,CF!X$4,Inputs!$E152:$AH152)*X$7,0)</f>
        <v>-122.90135522138921</v>
      </c>
      <c r="Y62" s="842">
        <f>IF(Y$6,-SUMIF(Inputs!$E$145:$AH$145,CF!Y$4,Inputs!$E152:$AH152)*Y$7,0)</f>
        <v>-120.8975287775622</v>
      </c>
      <c r="Z62" s="842">
        <f>IF(Z$6,-SUMIF(Inputs!$E$145:$AH$145,CF!Z$4,Inputs!$E152:$AH152)*Z$7,0)</f>
        <v>-125.01687035224919</v>
      </c>
      <c r="AA62" s="842">
        <f>IF(AA$6,-SUMIF(Inputs!$E$145:$AH$145,CF!AA$4,Inputs!$E152:$AH152)*AA$7,0)</f>
        <v>-123.65799132668127</v>
      </c>
      <c r="AB62" s="842">
        <f>IF(AB$6,-SUMIF(Inputs!$E$145:$AH$145,CF!AB$4,Inputs!$E152:$AH152)*AB$7,0)</f>
        <v>-127.86656997233332</v>
      </c>
      <c r="AC62" s="842">
        <f>IF(AC$6,-SUMIF(Inputs!$E$145:$AH$145,CF!AC$4,Inputs!$E152:$AH152)*AC$7,0)</f>
        <v>-125.78178894017572</v>
      </c>
      <c r="AD62" s="842">
        <f>IF(AD$6,-SUMIF(Inputs!$E$145:$AH$145,CF!AD$4,Inputs!$E152:$AH152)*AD$7,0)</f>
        <v>-130.42390137178</v>
      </c>
      <c r="AE62" s="842">
        <f>IF(AE$6,-SUMIF(Inputs!$E$145:$AH$145,CF!AE$4,Inputs!$E152:$AH152)*AE$7,0)</f>
        <v>-128.29742471897924</v>
      </c>
      <c r="AF62" s="842">
        <f>IF(AF$6,-SUMIF(Inputs!$E$145:$AH$145,CF!AF$4,Inputs!$E152:$AH152)*AF$7,0)</f>
        <v>-133.03237939921561</v>
      </c>
      <c r="AG62" s="842">
        <f>IF(AG$6,-SUMIF(Inputs!$E$145:$AH$145,CF!AG$4,Inputs!$E152:$AH152)*AG$7,0)</f>
        <v>-130.86337321335884</v>
      </c>
      <c r="AH62" s="842">
        <f>IF(AH$6,-SUMIF(Inputs!$E$145:$AH$145,CF!AH$4,Inputs!$E152:$AH152)*AH$7,0)</f>
        <v>-135.32228101182505</v>
      </c>
      <c r="AI62" s="842">
        <f>IF(AI$6,-SUMIF(Inputs!$E$145:$AH$145,CF!AI$4,Inputs!$E152:$AH152)*AI$7,0)</f>
        <v>-133.85138665300087</v>
      </c>
      <c r="AJ62" s="842">
        <f>IF(AJ$6,-SUMIF(Inputs!$E$145:$AH$145,CF!AJ$4,Inputs!$E152:$AH152)*AJ$7,0)</f>
        <v>-138.40688752694388</v>
      </c>
      <c r="AK62" s="842">
        <f>IF(AK$6,-SUMIF(Inputs!$E$145:$AH$145,CF!AK$4,Inputs!$E152:$AH152)*AK$7,0)</f>
        <v>-136.15025349117849</v>
      </c>
      <c r="AL62" s="842">
        <f>IF(AL$6,-SUMIF(Inputs!$E$145:$AH$145,CF!AL$4,Inputs!$E152:$AH152)*AL$7,0)</f>
        <v>-141.17502527748277</v>
      </c>
      <c r="AM62" s="842">
        <f>IF(AM$6,-SUMIF(Inputs!$E$145:$AH$145,CF!AM$4,Inputs!$E152:$AH152)*AM$7,0)</f>
        <v>-138.87325856100207</v>
      </c>
      <c r="AN62" s="842">
        <f>IF(AN$6,-SUMIF(Inputs!$E$145:$AH$145,CF!AN$4,Inputs!$E152:$AH152)*AN$7,0)</f>
        <v>-143.99852578303245</v>
      </c>
      <c r="AO62" s="842">
        <f>IF(AO$6,-SUMIF(Inputs!$E$145:$AH$145,CF!AO$4,Inputs!$E152:$AH152)*AO$7,0)</f>
        <v>-141.65072373222213</v>
      </c>
      <c r="AP62" s="842">
        <f>IF(AP$6,-SUMIF(Inputs!$E$145:$AH$145,CF!AP$4,Inputs!$E152:$AH152)*AP$7,0)</f>
        <v>-146.47718893175676</v>
      </c>
      <c r="AQ62" s="842">
        <f>IF(AQ$6,-SUMIF(Inputs!$E$145:$AH$145,CF!AQ$4,Inputs!$E152:$AH152)*AQ$7,0)</f>
        <v>-144.88504557380287</v>
      </c>
      <c r="AR62" s="842">
        <f>IF(AR$6,-SUMIF(Inputs!$E$145:$AH$145,CF!AR$4,Inputs!$E152:$AH152)*AR$7,0)</f>
        <v>-149.81606622466694</v>
      </c>
      <c r="AS62" s="842">
        <f>IF(AS$6,-SUMIF(Inputs!$E$145:$AH$145,CF!AS$4,Inputs!$E152:$AH152)*AS$7,0)</f>
        <v>-147.37341297100389</v>
      </c>
      <c r="AT62" s="842">
        <f>IF(AT$6,-SUMIF(Inputs!$E$145:$AH$145,CF!AT$4,Inputs!$E152:$AH152)*AT$7,0)</f>
        <v>-152.81238754916032</v>
      </c>
      <c r="AU62" s="842">
        <f>IF(AU$6,-SUMIF(Inputs!$E$145:$AH$145,CF!AU$4,Inputs!$E152:$AH152)*AU$7,0)</f>
        <v>-150.32088123042399</v>
      </c>
      <c r="AV62" s="842">
        <f>IF(AV$6,-SUMIF(Inputs!$E$145:$AH$145,CF!AV$4,Inputs!$E152:$AH152)*AV$7,0)</f>
        <v>-155.8686353001435</v>
      </c>
      <c r="AW62" s="842">
        <f>IF(AW$6,-SUMIF(Inputs!$E$145:$AH$145,CF!AW$4,Inputs!$E152:$AH152)*AW$7,0)</f>
        <v>-153.32729885503244</v>
      </c>
      <c r="AX62" s="842">
        <f>IF(AX$6,-SUMIF(Inputs!$E$145:$AH$145,CF!AX$4,Inputs!$E152:$AH152)*AX$7,0)</f>
        <v>-158.55162000612958</v>
      </c>
      <c r="AY62" s="842">
        <f>IF(AY$6,-SUMIF(Inputs!$E$145:$AH$145,CF!AY$4,Inputs!$E152:$AH152)*AY$7,0)</f>
        <v>-156.82823283214989</v>
      </c>
      <c r="AZ62" s="842">
        <f>IF(AZ$6,-SUMIF(Inputs!$E$145:$AH$145,CF!AZ$4,Inputs!$E152:$AH152)*AZ$7,0)</f>
        <v>-162.16572816626928</v>
      </c>
      <c r="BA62" s="842">
        <f>IF(BA$6,-SUMIF(Inputs!$E$145:$AH$145,CF!BA$4,Inputs!$E152:$AH152)*BA$7,0)</f>
        <v>-159.52172172877576</v>
      </c>
      <c r="BB62" s="842">
        <f>IF(BB$6,-SUMIF(Inputs!$E$145:$AH$145,CF!BB$4,Inputs!$E152:$AH152)*BB$7,0)</f>
        <v>-165.40904272959466</v>
      </c>
      <c r="BC62" s="842">
        <f>IF(BC$6,-SUMIF(Inputs!$E$145:$AH$145,CF!BC$4,Inputs!$E152:$AH152)*BC$7,0)</f>
        <v>-162.71215616335127</v>
      </c>
      <c r="BD62" s="842">
        <f>IF(BD$6,-SUMIF(Inputs!$E$145:$AH$145,CF!BD$4,Inputs!$E152:$AH152)*BD$7,0)</f>
        <v>-168.71722358418654</v>
      </c>
      <c r="BE62" s="842">
        <f>IF(BE$6,-SUMIF(Inputs!$E$145:$AH$145,CF!BE$4,Inputs!$E152:$AH152)*BE$7,0)</f>
        <v>-165.96639928661827</v>
      </c>
      <c r="BF62" s="842">
        <f>IF(BF$6,-SUMIF(Inputs!$E$145:$AH$145,CF!BF$4,Inputs!$E152:$AH152)*BF$7,0)</f>
        <v>-171.62137251473402</v>
      </c>
      <c r="BG62" s="842">
        <f>IF(BG$6,-SUMIF(Inputs!$E$145:$AH$145,CF!BG$4,Inputs!$E152:$AH152)*BG$7,0)</f>
        <v>-169.75592281348693</v>
      </c>
      <c r="BH62" s="842">
        <f>IF(BH$6,-SUMIF(Inputs!$E$145:$AH$145,CF!BH$4,Inputs!$E152:$AH152)*BH$7,0)</f>
        <v>-175.53339941698766</v>
      </c>
      <c r="BI62" s="842">
        <f>IF(BI$6,-SUMIF(Inputs!$E$145:$AH$145,CF!BI$4,Inputs!$E152:$AH152)*BI$7,0)</f>
        <v>-172.67144181779764</v>
      </c>
      <c r="BJ62" s="842">
        <f>IF(BJ$6,-SUMIF(Inputs!$E$145:$AH$145,CF!BJ$4,Inputs!$E152:$AH152)*BJ$7,0)</f>
        <v>-179.04406740532747</v>
      </c>
      <c r="BK62" s="842">
        <f>IF(BK$6,-SUMIF(Inputs!$E$145:$AH$145,CF!BK$4,Inputs!$E152:$AH152)*BK$7,0)</f>
        <v>-176.12487065415365</v>
      </c>
      <c r="BL62" s="842">
        <f>IF(BL$6,-SUMIF(Inputs!$E$145:$AH$145,CF!BL$4,Inputs!$E152:$AH152)*BL$7,0)</f>
        <v>-182.62494875343398</v>
      </c>
      <c r="BM62" s="842">
        <f>IF(BM$6,-SUMIF(Inputs!$E$145:$AH$145,CF!BM$4,Inputs!$E152:$AH152)*BM$7,0)</f>
        <v>-179.6473680672367</v>
      </c>
      <c r="BN62" s="842">
        <f>IF(BN$6,-SUMIF(Inputs!$E$145:$AH$145,CF!BN$4,Inputs!$E152:$AH152)*BN$7,0)</f>
        <v>-185.76849295328819</v>
      </c>
      <c r="BO62" s="842">
        <f>IF(BO$6,-SUMIF(Inputs!$E$145:$AH$145,CF!BO$4,Inputs!$E152:$AH152)*BO$7,0)</f>
        <v>-183.74927020379593</v>
      </c>
      <c r="BP62" s="842"/>
      <c r="BQ62" s="842"/>
      <c r="BR62" s="842"/>
      <c r="BS62" s="842"/>
      <c r="BT62" s="842"/>
      <c r="BU62" s="842"/>
      <c r="BV62" s="842"/>
      <c r="BW62" s="842"/>
      <c r="BX62" s="842"/>
      <c r="BY62" s="842"/>
      <c r="BZ62" s="842"/>
      <c r="CA62" s="842"/>
      <c r="CB62" s="842"/>
      <c r="CC62" s="842"/>
      <c r="CD62" s="842"/>
      <c r="CE62" s="842"/>
      <c r="CF62" s="842"/>
      <c r="CG62" s="842"/>
      <c r="CH62" s="842"/>
      <c r="CI62" s="842"/>
      <c r="CJ62" s="842"/>
      <c r="CK62" s="842"/>
      <c r="CL62" s="842"/>
      <c r="CM62" s="842"/>
      <c r="CN62" s="842"/>
      <c r="CO62" s="842"/>
      <c r="CP62" s="842"/>
      <c r="CQ62" s="842"/>
      <c r="CR62" s="842"/>
      <c r="CS62" s="842"/>
      <c r="CT62" s="842"/>
      <c r="CU62" s="842"/>
      <c r="CV62" s="842"/>
      <c r="CW62" s="842"/>
      <c r="CX62" s="842"/>
      <c r="CY62" s="842"/>
      <c r="CZ62" s="842"/>
      <c r="DA62" s="842"/>
      <c r="DB62" s="842"/>
      <c r="DC62" s="842"/>
      <c r="DD62" s="842"/>
      <c r="DE62" s="842"/>
      <c r="DF62" s="842"/>
      <c r="DG62" s="842"/>
      <c r="DH62" s="842"/>
      <c r="DI62" s="842"/>
      <c r="DJ62" s="842"/>
      <c r="DK62" s="842"/>
      <c r="DL62" s="842"/>
      <c r="DM62" s="842"/>
      <c r="DN62" s="842"/>
      <c r="DO62" s="842"/>
      <c r="DP62" s="842"/>
      <c r="DQ62" s="842"/>
      <c r="DR62" s="842"/>
      <c r="DS62" s="842"/>
      <c r="DT62" s="842"/>
      <c r="DU62" s="842"/>
      <c r="DV62" s="842"/>
      <c r="DW62" s="842"/>
      <c r="DX62" s="304"/>
      <c r="DY62" s="304"/>
    </row>
    <row r="63" spans="1:129" ht="11.25" customHeight="1">
      <c r="A63" s="492" t="str">
        <f>Inputs!A153</f>
        <v>Power Expenses</v>
      </c>
      <c r="B63" s="672"/>
      <c r="C63" s="672"/>
      <c r="D63" s="493"/>
      <c r="E63" s="493"/>
      <c r="F63" s="512"/>
      <c r="G63" s="842">
        <f>IF(G$6,-SUMIF(Inputs!$E$145:$AH$145,CF!G$4,Inputs!$E153:$AH153)*G$7,0)</f>
        <v>0</v>
      </c>
      <c r="H63" s="842">
        <f>IF(H$6,-SUMIF(Inputs!$E$145:$AH$145,CF!H$4,Inputs!$E153:$AH153)*H$7,0)</f>
        <v>-89.157225205479463</v>
      </c>
      <c r="I63" s="842">
        <f>IF(I$6,-SUMIF(Inputs!$E$145:$AH$145,CF!I$4,Inputs!$E153:$AH153)*I$7,0)</f>
        <v>-87.703574794520563</v>
      </c>
      <c r="J63" s="842">
        <f>IF(J$6,-SUMIF(Inputs!$E$145:$AH$145,CF!J$4,Inputs!$E153:$AH153)*J$7,0)</f>
        <v>-88.913626229508196</v>
      </c>
      <c r="K63" s="842">
        <f>IF(K$6,-SUMIF(Inputs!$E$145:$AH$145,CF!K$4,Inputs!$E153:$AH153)*K$7,0)</f>
        <v>-87.947173770491816</v>
      </c>
      <c r="L63" s="842">
        <f>IF(L$6,-SUMIF(Inputs!$E$145:$AH$145,CF!L$4,Inputs!$E153:$AH153)*L$7,0)</f>
        <v>-89.157225205479463</v>
      </c>
      <c r="M63" s="842">
        <f>IF(M$6,-SUMIF(Inputs!$E$145:$AH$145,CF!M$4,Inputs!$E153:$AH153)*M$7,0)</f>
        <v>-87.703574794520563</v>
      </c>
      <c r="N63" s="842">
        <f>IF(N$6,-SUMIF(Inputs!$E$145:$AH$145,CF!N$4,Inputs!$E153:$AH153)*N$7,0)</f>
        <v>-89.157225205479463</v>
      </c>
      <c r="O63" s="842">
        <f>IF(O$6,-SUMIF(Inputs!$E$145:$AH$145,CF!O$4,Inputs!$E153:$AH153)*O$7,0)</f>
        <v>-87.703574794520563</v>
      </c>
      <c r="P63" s="842">
        <f>IF(P$6,-SUMIF(Inputs!$E$145:$AH$145,CF!P$4,Inputs!$E153:$AH153)*P$7,0)</f>
        <v>-89.157225205479463</v>
      </c>
      <c r="Q63" s="842">
        <f>IF(Q$6,-SUMIF(Inputs!$E$145:$AH$145,CF!Q$4,Inputs!$E153:$AH153)*Q$7,0)</f>
        <v>-87.703574794520563</v>
      </c>
      <c r="R63" s="842">
        <f>IF(R$6,-SUMIF(Inputs!$E$145:$AH$145,CF!R$4,Inputs!$E153:$AH153)*R$7,0)</f>
        <v>-88.913626229508196</v>
      </c>
      <c r="S63" s="842">
        <f>IF(S$6,-SUMIF(Inputs!$E$145:$AH$145,CF!S$4,Inputs!$E153:$AH153)*S$7,0)</f>
        <v>-87.947173770491816</v>
      </c>
      <c r="T63" s="842">
        <f>IF(T$6,-SUMIF(Inputs!$E$145:$AH$145,CF!T$4,Inputs!$E153:$AH153)*T$7,0)</f>
        <v>-89.157225205479463</v>
      </c>
      <c r="U63" s="842">
        <f>IF(U$6,-SUMIF(Inputs!$E$145:$AH$145,CF!U$4,Inputs!$E153:$AH153)*U$7,0)</f>
        <v>-87.703574794520563</v>
      </c>
      <c r="V63" s="842">
        <f>IF(V$6,-SUMIF(Inputs!$E$145:$AH$145,CF!V$4,Inputs!$E153:$AH153)*V$7,0)</f>
        <v>-89.157225205479463</v>
      </c>
      <c r="W63" s="842">
        <f>IF(W$6,-SUMIF(Inputs!$E$145:$AH$145,CF!W$4,Inputs!$E153:$AH153)*W$7,0)</f>
        <v>-87.703574794520563</v>
      </c>
      <c r="X63" s="842">
        <f>IF(X$6,-SUMIF(Inputs!$E$145:$AH$145,CF!X$4,Inputs!$E153:$AH153)*X$7,0)</f>
        <v>-89.157225205479463</v>
      </c>
      <c r="Y63" s="842">
        <f>IF(Y$6,-SUMIF(Inputs!$E$145:$AH$145,CF!Y$4,Inputs!$E153:$AH153)*Y$7,0)</f>
        <v>-87.703574794520563</v>
      </c>
      <c r="Z63" s="842">
        <f>IF(Z$6,-SUMIF(Inputs!$E$145:$AH$145,CF!Z$4,Inputs!$E153:$AH153)*Z$7,0)</f>
        <v>-88.913626229508196</v>
      </c>
      <c r="AA63" s="842">
        <f>IF(AA$6,-SUMIF(Inputs!$E$145:$AH$145,CF!AA$4,Inputs!$E153:$AH153)*AA$7,0)</f>
        <v>-87.947173770491816</v>
      </c>
      <c r="AB63" s="842">
        <f>IF(AB$6,-SUMIF(Inputs!$E$145:$AH$145,CF!AB$4,Inputs!$E153:$AH153)*AB$7,0)</f>
        <v>-277.1409008219178</v>
      </c>
      <c r="AC63" s="842">
        <f>IF(AC$6,-SUMIF(Inputs!$E$145:$AH$145,CF!AC$4,Inputs!$E153:$AH153)*AC$7,0)</f>
        <v>-272.62229917808219</v>
      </c>
      <c r="AD63" s="842">
        <f>IF(AD$6,-SUMIF(Inputs!$E$145:$AH$145,CF!AD$4,Inputs!$E153:$AH153)*AD$7,0)</f>
        <v>-277.1409008219178</v>
      </c>
      <c r="AE63" s="842">
        <f>IF(AE$6,-SUMIF(Inputs!$E$145:$AH$145,CF!AE$4,Inputs!$E153:$AH153)*AE$7,0)</f>
        <v>-272.62229917808219</v>
      </c>
      <c r="AF63" s="842">
        <f>IF(AF$6,-SUMIF(Inputs!$E$145:$AH$145,CF!AF$4,Inputs!$E153:$AH153)*AF$7,0)</f>
        <v>-277.1409008219178</v>
      </c>
      <c r="AG63" s="842">
        <f>IF(AG$6,-SUMIF(Inputs!$E$145:$AH$145,CF!AG$4,Inputs!$E153:$AH153)*AG$7,0)</f>
        <v>-272.62229917808219</v>
      </c>
      <c r="AH63" s="842">
        <f>IF(AH$6,-SUMIF(Inputs!$E$145:$AH$145,CF!AH$4,Inputs!$E153:$AH153)*AH$7,0)</f>
        <v>-276.38368524590163</v>
      </c>
      <c r="AI63" s="842">
        <f>IF(AI$6,-SUMIF(Inputs!$E$145:$AH$145,CF!AI$4,Inputs!$E153:$AH153)*AI$7,0)</f>
        <v>-273.37951475409835</v>
      </c>
      <c r="AJ63" s="842">
        <f>IF(AJ$6,-SUMIF(Inputs!$E$145:$AH$145,CF!AJ$4,Inputs!$E153:$AH153)*AJ$7,0)</f>
        <v>-277.1409008219178</v>
      </c>
      <c r="AK63" s="842">
        <f>IF(AK$6,-SUMIF(Inputs!$E$145:$AH$145,CF!AK$4,Inputs!$E153:$AH153)*AK$7,0)</f>
        <v>-272.62229917808219</v>
      </c>
      <c r="AL63" s="842">
        <f>IF(AL$6,-SUMIF(Inputs!$E$145:$AH$145,CF!AL$4,Inputs!$E153:$AH153)*AL$7,0)</f>
        <v>-277.1409008219178</v>
      </c>
      <c r="AM63" s="842">
        <f>IF(AM$6,-SUMIF(Inputs!$E$145:$AH$145,CF!AM$4,Inputs!$E153:$AH153)*AM$7,0)</f>
        <v>-272.62229917808219</v>
      </c>
      <c r="AN63" s="842">
        <f>IF(AN$6,-SUMIF(Inputs!$E$145:$AH$145,CF!AN$4,Inputs!$E153:$AH153)*AN$7,0)</f>
        <v>-277.1409008219178</v>
      </c>
      <c r="AO63" s="842">
        <f>IF(AO$6,-SUMIF(Inputs!$E$145:$AH$145,CF!AO$4,Inputs!$E153:$AH153)*AO$7,0)</f>
        <v>-272.62229917808219</v>
      </c>
      <c r="AP63" s="842">
        <f>IF(AP$6,-SUMIF(Inputs!$E$145:$AH$145,CF!AP$4,Inputs!$E153:$AH153)*AP$7,0)</f>
        <v>-276.38368524590163</v>
      </c>
      <c r="AQ63" s="842">
        <f>IF(AQ$6,-SUMIF(Inputs!$E$145:$AH$145,CF!AQ$4,Inputs!$E153:$AH153)*AQ$7,0)</f>
        <v>-273.37951475409835</v>
      </c>
      <c r="AR63" s="842">
        <f>IF(AR$6,-SUMIF(Inputs!$E$145:$AH$145,CF!AR$4,Inputs!$E153:$AH153)*AR$7,0)</f>
        <v>-277.1409008219178</v>
      </c>
      <c r="AS63" s="842">
        <f>IF(AS$6,-SUMIF(Inputs!$E$145:$AH$145,CF!AS$4,Inputs!$E153:$AH153)*AS$7,0)</f>
        <v>-272.62229917808219</v>
      </c>
      <c r="AT63" s="842">
        <f>IF(AT$6,-SUMIF(Inputs!$E$145:$AH$145,CF!AT$4,Inputs!$E153:$AH153)*AT$7,0)</f>
        <v>-277.1409008219178</v>
      </c>
      <c r="AU63" s="842">
        <f>IF(AU$6,-SUMIF(Inputs!$E$145:$AH$145,CF!AU$4,Inputs!$E153:$AH153)*AU$7,0)</f>
        <v>-272.62229917808219</v>
      </c>
      <c r="AV63" s="842">
        <f>IF(AV$6,-SUMIF(Inputs!$E$145:$AH$145,CF!AV$4,Inputs!$E153:$AH153)*AV$7,0)</f>
        <v>-277.1409008219178</v>
      </c>
      <c r="AW63" s="842">
        <f>IF(AW$6,-SUMIF(Inputs!$E$145:$AH$145,CF!AW$4,Inputs!$E153:$AH153)*AW$7,0)</f>
        <v>-272.62229917808219</v>
      </c>
      <c r="AX63" s="842">
        <f>IF(AX$6,-SUMIF(Inputs!$E$145:$AH$145,CF!AX$4,Inputs!$E153:$AH153)*AX$7,0)</f>
        <v>-276.38368524590163</v>
      </c>
      <c r="AY63" s="842">
        <f>IF(AY$6,-SUMIF(Inputs!$E$145:$AH$145,CF!AY$4,Inputs!$E153:$AH153)*AY$7,0)</f>
        <v>-273.37951475409835</v>
      </c>
      <c r="AZ63" s="842">
        <f>IF(AZ$6,-SUMIF(Inputs!$E$145:$AH$145,CF!AZ$4,Inputs!$E153:$AH153)*AZ$7,0)</f>
        <v>-277.1409008219178</v>
      </c>
      <c r="BA63" s="842">
        <f>IF(BA$6,-SUMIF(Inputs!$E$145:$AH$145,CF!BA$4,Inputs!$E153:$AH153)*BA$7,0)</f>
        <v>-272.62229917808219</v>
      </c>
      <c r="BB63" s="842">
        <f>IF(BB$6,-SUMIF(Inputs!$E$145:$AH$145,CF!BB$4,Inputs!$E153:$AH153)*BB$7,0)</f>
        <v>-277.1409008219178</v>
      </c>
      <c r="BC63" s="842">
        <f>IF(BC$6,-SUMIF(Inputs!$E$145:$AH$145,CF!BC$4,Inputs!$E153:$AH153)*BC$7,0)</f>
        <v>-272.62229917808219</v>
      </c>
      <c r="BD63" s="842">
        <f>IF(BD$6,-SUMIF(Inputs!$E$145:$AH$145,CF!BD$4,Inputs!$E153:$AH153)*BD$7,0)</f>
        <v>-277.1409008219178</v>
      </c>
      <c r="BE63" s="842">
        <f>IF(BE$6,-SUMIF(Inputs!$E$145:$AH$145,CF!BE$4,Inputs!$E153:$AH153)*BE$7,0)</f>
        <v>-272.62229917808219</v>
      </c>
      <c r="BF63" s="842">
        <f>IF(BF$6,-SUMIF(Inputs!$E$145:$AH$145,CF!BF$4,Inputs!$E153:$AH153)*BF$7,0)</f>
        <v>-276.38368524590163</v>
      </c>
      <c r="BG63" s="842">
        <f>IF(BG$6,-SUMIF(Inputs!$E$145:$AH$145,CF!BG$4,Inputs!$E153:$AH153)*BG$7,0)</f>
        <v>-273.37951475409835</v>
      </c>
      <c r="BH63" s="842">
        <f>IF(BH$6,-SUMIF(Inputs!$E$145:$AH$145,CF!BH$4,Inputs!$E153:$AH153)*BH$7,0)</f>
        <v>-277.1409008219178</v>
      </c>
      <c r="BI63" s="842">
        <f>IF(BI$6,-SUMIF(Inputs!$E$145:$AH$145,CF!BI$4,Inputs!$E153:$AH153)*BI$7,0)</f>
        <v>-272.62229917808219</v>
      </c>
      <c r="BJ63" s="842">
        <f>IF(BJ$6,-SUMIF(Inputs!$E$145:$AH$145,CF!BJ$4,Inputs!$E153:$AH153)*BJ$7,0)</f>
        <v>-277.1409008219178</v>
      </c>
      <c r="BK63" s="842">
        <f>IF(BK$6,-SUMIF(Inputs!$E$145:$AH$145,CF!BK$4,Inputs!$E153:$AH153)*BK$7,0)</f>
        <v>-272.62229917808219</v>
      </c>
      <c r="BL63" s="842">
        <f>IF(BL$6,-SUMIF(Inputs!$E$145:$AH$145,CF!BL$4,Inputs!$E153:$AH153)*BL$7,0)</f>
        <v>-277.1409008219178</v>
      </c>
      <c r="BM63" s="842">
        <f>IF(BM$6,-SUMIF(Inputs!$E$145:$AH$145,CF!BM$4,Inputs!$E153:$AH153)*BM$7,0)</f>
        <v>-272.62229917808219</v>
      </c>
      <c r="BN63" s="842">
        <f>IF(BN$6,-SUMIF(Inputs!$E$145:$AH$145,CF!BN$4,Inputs!$E153:$AH153)*BN$7,0)</f>
        <v>-276.38368524590163</v>
      </c>
      <c r="BO63" s="842">
        <f>IF(BO$6,-SUMIF(Inputs!$E$145:$AH$145,CF!BO$4,Inputs!$E153:$AH153)*BO$7,0)</f>
        <v>-273.37951475409835</v>
      </c>
      <c r="BP63" s="842"/>
      <c r="BQ63" s="842"/>
      <c r="BR63" s="842"/>
      <c r="BS63" s="842"/>
      <c r="BT63" s="842"/>
      <c r="BU63" s="842"/>
      <c r="BV63" s="842"/>
      <c r="BW63" s="842"/>
      <c r="BX63" s="842"/>
      <c r="BY63" s="842"/>
      <c r="BZ63" s="842"/>
      <c r="CA63" s="842"/>
      <c r="CB63" s="842"/>
      <c r="CC63" s="842"/>
      <c r="CD63" s="842"/>
      <c r="CE63" s="842"/>
      <c r="CF63" s="842"/>
      <c r="CG63" s="842"/>
      <c r="CH63" s="842"/>
      <c r="CI63" s="842"/>
      <c r="CJ63" s="842"/>
      <c r="CK63" s="842"/>
      <c r="CL63" s="842"/>
      <c r="CM63" s="842"/>
      <c r="CN63" s="842"/>
      <c r="CO63" s="842"/>
      <c r="CP63" s="842"/>
      <c r="CQ63" s="842"/>
      <c r="CR63" s="842"/>
      <c r="CS63" s="842"/>
      <c r="CT63" s="842"/>
      <c r="CU63" s="842"/>
      <c r="CV63" s="842"/>
      <c r="CW63" s="842"/>
      <c r="CX63" s="842"/>
      <c r="CY63" s="842"/>
      <c r="CZ63" s="842"/>
      <c r="DA63" s="842"/>
      <c r="DB63" s="842"/>
      <c r="DC63" s="842"/>
      <c r="DD63" s="842"/>
      <c r="DE63" s="842"/>
      <c r="DF63" s="842"/>
      <c r="DG63" s="842"/>
      <c r="DH63" s="842"/>
      <c r="DI63" s="842"/>
      <c r="DJ63" s="842"/>
      <c r="DK63" s="842"/>
      <c r="DL63" s="842"/>
      <c r="DM63" s="842"/>
      <c r="DN63" s="842"/>
      <c r="DO63" s="842"/>
      <c r="DP63" s="842"/>
      <c r="DQ63" s="842"/>
      <c r="DR63" s="842"/>
      <c r="DS63" s="842"/>
      <c r="DT63" s="842"/>
      <c r="DU63" s="842"/>
      <c r="DV63" s="842"/>
      <c r="DW63" s="842"/>
      <c r="DX63" s="304"/>
      <c r="DY63" s="304"/>
    </row>
    <row r="64" spans="1:129" ht="11.25" customHeight="1">
      <c r="A64" s="492" t="str">
        <f>Inputs!A154</f>
        <v xml:space="preserve"> Fees</v>
      </c>
      <c r="B64" s="672"/>
      <c r="C64" s="672"/>
      <c r="D64" s="493"/>
      <c r="E64" s="493"/>
      <c r="F64" s="512"/>
      <c r="G64" s="842">
        <f>IF(G$6,-SUMIF(Inputs!$E$145:$AH$145,CF!G$4,Inputs!$E154:$AH154)*G$7,0)</f>
        <v>0</v>
      </c>
      <c r="H64" s="842">
        <f>IF(H$6,-SUMIF(Inputs!$E$145:$AH$145,CF!H$4,Inputs!$E154:$AH154)*H$7,0)</f>
        <v>-7.0575342465753428</v>
      </c>
      <c r="I64" s="842">
        <f>IF(I$6,-SUMIF(Inputs!$E$145:$AH$145,CF!I$4,Inputs!$E154:$AH154)*I$7,0)</f>
        <v>-6.9424657534246581</v>
      </c>
      <c r="J64" s="842">
        <f>IF(J$6,-SUMIF(Inputs!$E$145:$AH$145,CF!J$4,Inputs!$E154:$AH154)*J$7,0)</f>
        <v>-7.0382513661202184</v>
      </c>
      <c r="K64" s="842">
        <f>IF(K$6,-SUMIF(Inputs!$E$145:$AH$145,CF!K$4,Inputs!$E154:$AH154)*K$7,0)</f>
        <v>-6.9617486338797816</v>
      </c>
      <c r="L64" s="842">
        <f>IF(L$6,-SUMIF(Inputs!$E$145:$AH$145,CF!L$4,Inputs!$E154:$AH154)*L$7,0)</f>
        <v>-7.0575342465753428</v>
      </c>
      <c r="M64" s="842">
        <f>IF(M$6,-SUMIF(Inputs!$E$145:$AH$145,CF!M$4,Inputs!$E154:$AH154)*M$7,0)</f>
        <v>-6.9424657534246581</v>
      </c>
      <c r="N64" s="842">
        <f>IF(N$6,-SUMIF(Inputs!$E$145:$AH$145,CF!N$4,Inputs!$E154:$AH154)*N$7,0)</f>
        <v>-7.0575342465753428</v>
      </c>
      <c r="O64" s="842">
        <f>IF(O$6,-SUMIF(Inputs!$E$145:$AH$145,CF!O$4,Inputs!$E154:$AH154)*O$7,0)</f>
        <v>-6.9424657534246581</v>
      </c>
      <c r="P64" s="842">
        <f>IF(P$6,-SUMIF(Inputs!$E$145:$AH$145,CF!P$4,Inputs!$E154:$AH154)*P$7,0)</f>
        <v>-7.0575342465753428</v>
      </c>
      <c r="Q64" s="842">
        <f>IF(Q$6,-SUMIF(Inputs!$E$145:$AH$145,CF!Q$4,Inputs!$E154:$AH154)*Q$7,0)</f>
        <v>-6.9424657534246581</v>
      </c>
      <c r="R64" s="842">
        <f>IF(R$6,-SUMIF(Inputs!$E$145:$AH$145,CF!R$4,Inputs!$E154:$AH154)*R$7,0)</f>
        <v>-7.0382513661202184</v>
      </c>
      <c r="S64" s="842">
        <f>IF(S$6,-SUMIF(Inputs!$E$145:$AH$145,CF!S$4,Inputs!$E154:$AH154)*S$7,0)</f>
        <v>-6.9617486338797816</v>
      </c>
      <c r="T64" s="842">
        <f>IF(T$6,-SUMIF(Inputs!$E$145:$AH$145,CF!T$4,Inputs!$E154:$AH154)*T$7,0)</f>
        <v>-7.0575342465753428</v>
      </c>
      <c r="U64" s="842">
        <f>IF(U$6,-SUMIF(Inputs!$E$145:$AH$145,CF!U$4,Inputs!$E154:$AH154)*U$7,0)</f>
        <v>-6.9424657534246581</v>
      </c>
      <c r="V64" s="842">
        <f>IF(V$6,-SUMIF(Inputs!$E$145:$AH$145,CF!V$4,Inputs!$E154:$AH154)*V$7,0)</f>
        <v>-7.0575342465753428</v>
      </c>
      <c r="W64" s="842">
        <f>IF(W$6,-SUMIF(Inputs!$E$145:$AH$145,CF!W$4,Inputs!$E154:$AH154)*W$7,0)</f>
        <v>-6.9424657534246581</v>
      </c>
      <c r="X64" s="842">
        <f>IF(X$6,-SUMIF(Inputs!$E$145:$AH$145,CF!X$4,Inputs!$E154:$AH154)*X$7,0)</f>
        <v>-7.0575342465753428</v>
      </c>
      <c r="Y64" s="842">
        <f>IF(Y$6,-SUMIF(Inputs!$E$145:$AH$145,CF!Y$4,Inputs!$E154:$AH154)*Y$7,0)</f>
        <v>-6.9424657534246581</v>
      </c>
      <c r="Z64" s="842">
        <f>IF(Z$6,-SUMIF(Inputs!$E$145:$AH$145,CF!Z$4,Inputs!$E154:$AH154)*Z$7,0)</f>
        <v>-7.0382513661202184</v>
      </c>
      <c r="AA64" s="842">
        <f>IF(AA$6,-SUMIF(Inputs!$E$145:$AH$145,CF!AA$4,Inputs!$E154:$AH154)*AA$7,0)</f>
        <v>-6.9617486338797816</v>
      </c>
      <c r="AB64" s="842">
        <f>IF(AB$6,-SUMIF(Inputs!$E$145:$AH$145,CF!AB$4,Inputs!$E154:$AH154)*AB$7,0)</f>
        <v>-7.0575342465753428</v>
      </c>
      <c r="AC64" s="842">
        <f>IF(AC$6,-SUMIF(Inputs!$E$145:$AH$145,CF!AC$4,Inputs!$E154:$AH154)*AC$7,0)</f>
        <v>-6.9424657534246581</v>
      </c>
      <c r="AD64" s="842">
        <f>IF(AD$6,-SUMIF(Inputs!$E$145:$AH$145,CF!AD$4,Inputs!$E154:$AH154)*AD$7,0)</f>
        <v>-7.0575342465753428</v>
      </c>
      <c r="AE64" s="842">
        <f>IF(AE$6,-SUMIF(Inputs!$E$145:$AH$145,CF!AE$4,Inputs!$E154:$AH154)*AE$7,0)</f>
        <v>-6.9424657534246581</v>
      </c>
      <c r="AF64" s="842">
        <f>IF(AF$6,-SUMIF(Inputs!$E$145:$AH$145,CF!AF$4,Inputs!$E154:$AH154)*AF$7,0)</f>
        <v>-7.0575342465753428</v>
      </c>
      <c r="AG64" s="842">
        <f>IF(AG$6,-SUMIF(Inputs!$E$145:$AH$145,CF!AG$4,Inputs!$E154:$AH154)*AG$7,0)</f>
        <v>-6.9424657534246581</v>
      </c>
      <c r="AH64" s="842">
        <f>IF(AH$6,-SUMIF(Inputs!$E$145:$AH$145,CF!AH$4,Inputs!$E154:$AH154)*AH$7,0)</f>
        <v>-7.0382513661202184</v>
      </c>
      <c r="AI64" s="842">
        <f>IF(AI$6,-SUMIF(Inputs!$E$145:$AH$145,CF!AI$4,Inputs!$E154:$AH154)*AI$7,0)</f>
        <v>-6.9617486338797816</v>
      </c>
      <c r="AJ64" s="842">
        <f>IF(AJ$6,-SUMIF(Inputs!$E$145:$AH$145,CF!AJ$4,Inputs!$E154:$AH154)*AJ$7,0)</f>
        <v>-7.0575342465753428</v>
      </c>
      <c r="AK64" s="842">
        <f>IF(AK$6,-SUMIF(Inputs!$E$145:$AH$145,CF!AK$4,Inputs!$E154:$AH154)*AK$7,0)</f>
        <v>-6.9424657534246581</v>
      </c>
      <c r="AL64" s="842">
        <f>IF(AL$6,-SUMIF(Inputs!$E$145:$AH$145,CF!AL$4,Inputs!$E154:$AH154)*AL$7,0)</f>
        <v>-7.0575342465753428</v>
      </c>
      <c r="AM64" s="842">
        <f>IF(AM$6,-SUMIF(Inputs!$E$145:$AH$145,CF!AM$4,Inputs!$E154:$AH154)*AM$7,0)</f>
        <v>-6.9424657534246581</v>
      </c>
      <c r="AN64" s="842">
        <f>IF(AN$6,-SUMIF(Inputs!$E$145:$AH$145,CF!AN$4,Inputs!$E154:$AH154)*AN$7,0)</f>
        <v>-7.0575342465753428</v>
      </c>
      <c r="AO64" s="842">
        <f>IF(AO$6,-SUMIF(Inputs!$E$145:$AH$145,CF!AO$4,Inputs!$E154:$AH154)*AO$7,0)</f>
        <v>-6.9424657534246581</v>
      </c>
      <c r="AP64" s="842">
        <f>IF(AP$6,-SUMIF(Inputs!$E$145:$AH$145,CF!AP$4,Inputs!$E154:$AH154)*AP$7,0)</f>
        <v>-7.0382513661202184</v>
      </c>
      <c r="AQ64" s="842">
        <f>IF(AQ$6,-SUMIF(Inputs!$E$145:$AH$145,CF!AQ$4,Inputs!$E154:$AH154)*AQ$7,0)</f>
        <v>-6.9617486338797816</v>
      </c>
      <c r="AR64" s="842">
        <f>IF(AR$6,-SUMIF(Inputs!$E$145:$AH$145,CF!AR$4,Inputs!$E154:$AH154)*AR$7,0)</f>
        <v>-7.0575342465753428</v>
      </c>
      <c r="AS64" s="842">
        <f>IF(AS$6,-SUMIF(Inputs!$E$145:$AH$145,CF!AS$4,Inputs!$E154:$AH154)*AS$7,0)</f>
        <v>-6.9424657534246581</v>
      </c>
      <c r="AT64" s="842">
        <f>IF(AT$6,-SUMIF(Inputs!$E$145:$AH$145,CF!AT$4,Inputs!$E154:$AH154)*AT$7,0)</f>
        <v>-7.0575342465753428</v>
      </c>
      <c r="AU64" s="842">
        <f>IF(AU$6,-SUMIF(Inputs!$E$145:$AH$145,CF!AU$4,Inputs!$E154:$AH154)*AU$7,0)</f>
        <v>-6.9424657534246581</v>
      </c>
      <c r="AV64" s="842">
        <f>IF(AV$6,-SUMIF(Inputs!$E$145:$AH$145,CF!AV$4,Inputs!$E154:$AH154)*AV$7,0)</f>
        <v>-7.0575342465753428</v>
      </c>
      <c r="AW64" s="842">
        <f>IF(AW$6,-SUMIF(Inputs!$E$145:$AH$145,CF!AW$4,Inputs!$E154:$AH154)*AW$7,0)</f>
        <v>-6.9424657534246581</v>
      </c>
      <c r="AX64" s="842">
        <f>IF(AX$6,-SUMIF(Inputs!$E$145:$AH$145,CF!AX$4,Inputs!$E154:$AH154)*AX$7,0)</f>
        <v>-7.0382513661202184</v>
      </c>
      <c r="AY64" s="842">
        <f>IF(AY$6,-SUMIF(Inputs!$E$145:$AH$145,CF!AY$4,Inputs!$E154:$AH154)*AY$7,0)</f>
        <v>-6.9617486338797816</v>
      </c>
      <c r="AZ64" s="842">
        <f>IF(AZ$6,-SUMIF(Inputs!$E$145:$AH$145,CF!AZ$4,Inputs!$E154:$AH154)*AZ$7,0)</f>
        <v>-7.0575342465753428</v>
      </c>
      <c r="BA64" s="842">
        <f>IF(BA$6,-SUMIF(Inputs!$E$145:$AH$145,CF!BA$4,Inputs!$E154:$AH154)*BA$7,0)</f>
        <v>-6.9424657534246581</v>
      </c>
      <c r="BB64" s="842">
        <f>IF(BB$6,-SUMIF(Inputs!$E$145:$AH$145,CF!BB$4,Inputs!$E154:$AH154)*BB$7,0)</f>
        <v>-7.0575342465753428</v>
      </c>
      <c r="BC64" s="842">
        <f>IF(BC$6,-SUMIF(Inputs!$E$145:$AH$145,CF!BC$4,Inputs!$E154:$AH154)*BC$7,0)</f>
        <v>-6.9424657534246581</v>
      </c>
      <c r="BD64" s="842">
        <f>IF(BD$6,-SUMIF(Inputs!$E$145:$AH$145,CF!BD$4,Inputs!$E154:$AH154)*BD$7,0)</f>
        <v>-7.0575342465753428</v>
      </c>
      <c r="BE64" s="842">
        <f>IF(BE$6,-SUMIF(Inputs!$E$145:$AH$145,CF!BE$4,Inputs!$E154:$AH154)*BE$7,0)</f>
        <v>-6.9424657534246581</v>
      </c>
      <c r="BF64" s="842">
        <f>IF(BF$6,-SUMIF(Inputs!$E$145:$AH$145,CF!BF$4,Inputs!$E154:$AH154)*BF$7,0)</f>
        <v>-7.0382513661202184</v>
      </c>
      <c r="BG64" s="842">
        <f>IF(BG$6,-SUMIF(Inputs!$E$145:$AH$145,CF!BG$4,Inputs!$E154:$AH154)*BG$7,0)</f>
        <v>-6.9617486338797816</v>
      </c>
      <c r="BH64" s="842">
        <f>IF(BH$6,-SUMIF(Inputs!$E$145:$AH$145,CF!BH$4,Inputs!$E154:$AH154)*BH$7,0)</f>
        <v>-7.0575342465753428</v>
      </c>
      <c r="BI64" s="842">
        <f>IF(BI$6,-SUMIF(Inputs!$E$145:$AH$145,CF!BI$4,Inputs!$E154:$AH154)*BI$7,0)</f>
        <v>-6.9424657534246581</v>
      </c>
      <c r="BJ64" s="842">
        <f>IF(BJ$6,-SUMIF(Inputs!$E$145:$AH$145,CF!BJ$4,Inputs!$E154:$AH154)*BJ$7,0)</f>
        <v>-7.0575342465753428</v>
      </c>
      <c r="BK64" s="842">
        <f>IF(BK$6,-SUMIF(Inputs!$E$145:$AH$145,CF!BK$4,Inputs!$E154:$AH154)*BK$7,0)</f>
        <v>-6.9424657534246581</v>
      </c>
      <c r="BL64" s="842">
        <f>IF(BL$6,-SUMIF(Inputs!$E$145:$AH$145,CF!BL$4,Inputs!$E154:$AH154)*BL$7,0)</f>
        <v>-7.0575342465753428</v>
      </c>
      <c r="BM64" s="842">
        <f>IF(BM$6,-SUMIF(Inputs!$E$145:$AH$145,CF!BM$4,Inputs!$E154:$AH154)*BM$7,0)</f>
        <v>-6.9424657534246581</v>
      </c>
      <c r="BN64" s="842">
        <f>IF(BN$6,-SUMIF(Inputs!$E$145:$AH$145,CF!BN$4,Inputs!$E154:$AH154)*BN$7,0)</f>
        <v>-7.0382513661202184</v>
      </c>
      <c r="BO64" s="842">
        <f>IF(BO$6,-SUMIF(Inputs!$E$145:$AH$145,CF!BO$4,Inputs!$E154:$AH154)*BO$7,0)</f>
        <v>-6.9617486338797816</v>
      </c>
      <c r="BP64" s="842"/>
      <c r="BQ64" s="842"/>
      <c r="BR64" s="842"/>
      <c r="BS64" s="842"/>
      <c r="BT64" s="842"/>
      <c r="BU64" s="842"/>
      <c r="BV64" s="842"/>
      <c r="BW64" s="842"/>
      <c r="BX64" s="842"/>
      <c r="BY64" s="842"/>
      <c r="BZ64" s="842"/>
      <c r="CA64" s="842"/>
      <c r="CB64" s="842"/>
      <c r="CC64" s="842"/>
      <c r="CD64" s="842"/>
      <c r="CE64" s="842"/>
      <c r="CF64" s="842"/>
      <c r="CG64" s="842"/>
      <c r="CH64" s="842"/>
      <c r="CI64" s="842"/>
      <c r="CJ64" s="842"/>
      <c r="CK64" s="842"/>
      <c r="CL64" s="842"/>
      <c r="CM64" s="842"/>
      <c r="CN64" s="842"/>
      <c r="CO64" s="842"/>
      <c r="CP64" s="842"/>
      <c r="CQ64" s="842"/>
      <c r="CR64" s="842"/>
      <c r="CS64" s="842"/>
      <c r="CT64" s="842"/>
      <c r="CU64" s="842"/>
      <c r="CV64" s="842"/>
      <c r="CW64" s="842"/>
      <c r="CX64" s="842"/>
      <c r="CY64" s="842"/>
      <c r="CZ64" s="842"/>
      <c r="DA64" s="842"/>
      <c r="DB64" s="842"/>
      <c r="DC64" s="842"/>
      <c r="DD64" s="842"/>
      <c r="DE64" s="842"/>
      <c r="DF64" s="842"/>
      <c r="DG64" s="842"/>
      <c r="DH64" s="842"/>
      <c r="DI64" s="842"/>
      <c r="DJ64" s="842"/>
      <c r="DK64" s="842"/>
      <c r="DL64" s="842"/>
      <c r="DM64" s="842"/>
      <c r="DN64" s="842"/>
      <c r="DO64" s="842"/>
      <c r="DP64" s="842"/>
      <c r="DQ64" s="842"/>
      <c r="DR64" s="842"/>
      <c r="DS64" s="842"/>
      <c r="DT64" s="842"/>
      <c r="DU64" s="842"/>
      <c r="DV64" s="842"/>
      <c r="DW64" s="842"/>
      <c r="DX64" s="304"/>
      <c r="DY64" s="304"/>
    </row>
    <row r="65" spans="1:129" ht="11.25" customHeight="1">
      <c r="A65" s="492" t="str">
        <f>Inputs!A155</f>
        <v>Audit&amp;Accounting&amp;Legal Fees</v>
      </c>
      <c r="B65" s="672"/>
      <c r="C65" s="672"/>
      <c r="D65" s="493"/>
      <c r="E65" s="493"/>
      <c r="F65" s="512"/>
      <c r="G65" s="842">
        <f>IF(G$6,-SUMIF(Inputs!$E$145:$AH$145,CF!G$4,Inputs!$E155:$AH155)*G$7,0)</f>
        <v>0</v>
      </c>
      <c r="H65" s="842">
        <f>IF(H$6,-SUMIF(Inputs!$E$145:$AH$145,CF!H$4,Inputs!$E155:$AH155)*H$7,0)</f>
        <v>-12.098630136986301</v>
      </c>
      <c r="I65" s="842">
        <f>IF(I$6,-SUMIF(Inputs!$E$145:$AH$145,CF!I$4,Inputs!$E155:$AH155)*I$7,0)</f>
        <v>-11.901369863013699</v>
      </c>
      <c r="J65" s="842">
        <f>IF(J$6,-SUMIF(Inputs!$E$145:$AH$145,CF!J$4,Inputs!$E155:$AH155)*J$7,0)</f>
        <v>-12.30688524590164</v>
      </c>
      <c r="K65" s="842">
        <f>IF(K$6,-SUMIF(Inputs!$E$145:$AH$145,CF!K$4,Inputs!$E155:$AH155)*K$7,0)</f>
        <v>-12.173114754098361</v>
      </c>
      <c r="L65" s="842">
        <f>IF(L$6,-SUMIF(Inputs!$E$145:$AH$145,CF!L$4,Inputs!$E155:$AH155)*L$7,0)</f>
        <v>-8.3916098630136986</v>
      </c>
      <c r="M65" s="842">
        <f>IF(M$6,-SUMIF(Inputs!$E$145:$AH$145,CF!M$4,Inputs!$E155:$AH155)*M$7,0)</f>
        <v>-8.2547901369863013</v>
      </c>
      <c r="N65" s="842">
        <f>IF(N$6,-SUMIF(Inputs!$E$145:$AH$145,CF!N$4,Inputs!$E155:$AH155)*N$7,0)</f>
        <v>-8.5594420602739731</v>
      </c>
      <c r="O65" s="842">
        <f>IF(O$6,-SUMIF(Inputs!$E$145:$AH$145,CF!O$4,Inputs!$E155:$AH155)*O$7,0)</f>
        <v>-8.4198859397260275</v>
      </c>
      <c r="P65" s="842">
        <f>IF(P$6,-SUMIF(Inputs!$E$145:$AH$145,CF!P$4,Inputs!$E155:$AH155)*P$7,0)</f>
        <v>-8.7306309014794525</v>
      </c>
      <c r="Q65" s="842">
        <f>IF(Q$6,-SUMIF(Inputs!$E$145:$AH$145,CF!Q$4,Inputs!$E155:$AH155)*Q$7,0)</f>
        <v>-8.5882836585205489</v>
      </c>
      <c r="R65" s="842">
        <f>IF(R$6,-SUMIF(Inputs!$E$145:$AH$145,CF!R$4,Inputs!$E155:$AH155)*R$7,0)</f>
        <v>-8.880912253062295</v>
      </c>
      <c r="S65" s="842">
        <f>IF(S$6,-SUMIF(Inputs!$E$145:$AH$145,CF!S$4,Inputs!$E155:$AH155)*S$7,0)</f>
        <v>-8.7843805981377052</v>
      </c>
      <c r="T65" s="842">
        <f>IF(T$6,-SUMIF(Inputs!$E$145:$AH$145,CF!T$4,Inputs!$E155:$AH155)*T$7,0)</f>
        <v>-9.0833483898992231</v>
      </c>
      <c r="U65" s="842">
        <f>IF(U$6,-SUMIF(Inputs!$E$145:$AH$145,CF!U$4,Inputs!$E155:$AH155)*U$7,0)</f>
        <v>-8.9352503183247798</v>
      </c>
      <c r="V65" s="842">
        <f>IF(V$6,-SUMIF(Inputs!$E$145:$AH$145,CF!V$4,Inputs!$E155:$AH155)*V$7,0)</f>
        <v>-9.2650153576972052</v>
      </c>
      <c r="W65" s="842">
        <f>IF(W$6,-SUMIF(Inputs!$E$145:$AH$145,CF!W$4,Inputs!$E155:$AH155)*W$7,0)</f>
        <v>-9.1139553246912719</v>
      </c>
      <c r="X65" s="842">
        <f>IF(X$6,-SUMIF(Inputs!$E$145:$AH$145,CF!X$4,Inputs!$E155:$AH155)*X$7,0)</f>
        <v>-9.4503156648511499</v>
      </c>
      <c r="Y65" s="842">
        <f>IF(Y$6,-SUMIF(Inputs!$E$145:$AH$145,CF!Y$4,Inputs!$E155:$AH155)*Y$7,0)</f>
        <v>-9.2962344311850984</v>
      </c>
      <c r="Z65" s="842">
        <f>IF(Z$6,-SUMIF(Inputs!$E$145:$AH$145,CF!Z$4,Inputs!$E155:$AH155)*Z$7,0)</f>
        <v>-9.612985032852686</v>
      </c>
      <c r="AA65" s="842">
        <f>IF(AA$6,-SUMIF(Inputs!$E$145:$AH$145,CF!AA$4,Inputs!$E155:$AH155)*AA$7,0)</f>
        <v>-9.5084960651042874</v>
      </c>
      <c r="AB65" s="842">
        <f>IF(AB$6,-SUMIF(Inputs!$E$145:$AH$145,CF!AB$4,Inputs!$E155:$AH155)*AB$7,0)</f>
        <v>-9.8321084177111366</v>
      </c>
      <c r="AC65" s="842">
        <f>IF(AC$6,-SUMIF(Inputs!$E$145:$AH$145,CF!AC$4,Inputs!$E155:$AH155)*AC$7,0)</f>
        <v>-9.6718023022049771</v>
      </c>
      <c r="AD65" s="842">
        <f>IF(AD$6,-SUMIF(Inputs!$E$145:$AH$145,CF!AD$4,Inputs!$E155:$AH155)*AD$7,0)</f>
        <v>-10.028750586065359</v>
      </c>
      <c r="AE65" s="842">
        <f>IF(AE$6,-SUMIF(Inputs!$E$145:$AH$145,CF!AE$4,Inputs!$E155:$AH155)*AE$7,0)</f>
        <v>-9.8652383482490755</v>
      </c>
      <c r="AF65" s="842">
        <f>IF(AF$6,-SUMIF(Inputs!$E$145:$AH$145,CF!AF$4,Inputs!$E155:$AH155)*AF$7,0)</f>
        <v>-10.229325597786668</v>
      </c>
      <c r="AG65" s="842">
        <f>IF(AG$6,-SUMIF(Inputs!$E$145:$AH$145,CF!AG$4,Inputs!$E155:$AH155)*AG$7,0)</f>
        <v>-10.062543115214059</v>
      </c>
      <c r="AH65" s="842">
        <f>IF(AH$6,-SUMIF(Inputs!$E$145:$AH$145,CF!AH$4,Inputs!$E155:$AH155)*AH$7,0)</f>
        <v>-10.405404153158404</v>
      </c>
      <c r="AI65" s="842">
        <f>IF(AI$6,-SUMIF(Inputs!$E$145:$AH$145,CF!AI$4,Inputs!$E155:$AH155)*AI$7,0)</f>
        <v>-10.292301934102333</v>
      </c>
      <c r="AJ65" s="842">
        <f>IF(AJ$6,-SUMIF(Inputs!$E$145:$AH$145,CF!AJ$4,Inputs!$E155:$AH155)*AJ$7,0)</f>
        <v>-10.642590351937249</v>
      </c>
      <c r="AK65" s="842">
        <f>IF(AK$6,-SUMIF(Inputs!$E$145:$AH$145,CF!AK$4,Inputs!$E155:$AH155)*AK$7,0)</f>
        <v>-10.469069857068707</v>
      </c>
      <c r="AL65" s="842">
        <f>IF(AL$6,-SUMIF(Inputs!$E$145:$AH$145,CF!AL$4,Inputs!$E155:$AH155)*AL$7,0)</f>
        <v>-10.855442158975992</v>
      </c>
      <c r="AM65" s="842">
        <f>IF(AM$6,-SUMIF(Inputs!$E$145:$AH$145,CF!AM$4,Inputs!$E155:$AH155)*AM$7,0)</f>
        <v>-10.678451254210078</v>
      </c>
      <c r="AN65" s="842">
        <f>IF(AN$6,-SUMIF(Inputs!$E$145:$AH$145,CF!AN$4,Inputs!$E155:$AH155)*AN$7,0)</f>
        <v>-11.072551002155512</v>
      </c>
      <c r="AO65" s="842">
        <f>IF(AO$6,-SUMIF(Inputs!$E$145:$AH$145,CF!AO$4,Inputs!$E155:$AH155)*AO$7,0)</f>
        <v>-10.892020279294281</v>
      </c>
      <c r="AP65" s="842">
        <f>IF(AP$6,-SUMIF(Inputs!$E$145:$AH$145,CF!AP$4,Inputs!$E155:$AH155)*AP$7,0)</f>
        <v>-11.263144093176223</v>
      </c>
      <c r="AQ65" s="842">
        <f>IF(AQ$6,-SUMIF(Inputs!$E$145:$AH$145,CF!AQ$4,Inputs!$E155:$AH155)*AQ$7,0)</f>
        <v>-11.140718613902568</v>
      </c>
      <c r="AR65" s="842">
        <f>IF(AR$6,-SUMIF(Inputs!$E$145:$AH$145,CF!AR$4,Inputs!$E155:$AH155)*AR$7,0)</f>
        <v>-11.519882062642596</v>
      </c>
      <c r="AS65" s="842">
        <f>IF(AS$6,-SUMIF(Inputs!$E$145:$AH$145,CF!AS$4,Inputs!$E155:$AH155)*AS$7,0)</f>
        <v>-11.332057898577769</v>
      </c>
      <c r="AT65" s="842">
        <f>IF(AT$6,-SUMIF(Inputs!$E$145:$AH$145,CF!AT$4,Inputs!$E155:$AH155)*AT$7,0)</f>
        <v>-11.750279703895446</v>
      </c>
      <c r="AU65" s="842">
        <f>IF(AU$6,-SUMIF(Inputs!$E$145:$AH$145,CF!AU$4,Inputs!$E155:$AH155)*AU$7,0)</f>
        <v>-11.558699056549324</v>
      </c>
      <c r="AV65" s="842">
        <f>IF(AV$6,-SUMIF(Inputs!$E$145:$AH$145,CF!AV$4,Inputs!$E155:$AH155)*AV$7,0)</f>
        <v>-11.985285297973357</v>
      </c>
      <c r="AW65" s="842">
        <f>IF(AW$6,-SUMIF(Inputs!$E$145:$AH$145,CF!AW$4,Inputs!$E155:$AH155)*AW$7,0)</f>
        <v>-11.789873037680312</v>
      </c>
      <c r="AX65" s="842">
        <f>IF(AX$6,-SUMIF(Inputs!$E$145:$AH$145,CF!AX$4,Inputs!$E155:$AH155)*AX$7,0)</f>
        <v>-12.191589389167978</v>
      </c>
      <c r="AY65" s="842">
        <f>IF(AY$6,-SUMIF(Inputs!$E$145:$AH$145,CF!AY$4,Inputs!$E155:$AH155)*AY$7,0)</f>
        <v>-12.059072113198761</v>
      </c>
      <c r="AZ65" s="842">
        <f>IF(AZ$6,-SUMIF(Inputs!$E$145:$AH$145,CF!AZ$4,Inputs!$E155:$AH155)*AZ$7,0)</f>
        <v>-12.46949082401148</v>
      </c>
      <c r="BA65" s="842">
        <f>IF(BA$6,-SUMIF(Inputs!$E$145:$AH$145,CF!BA$4,Inputs!$E155:$AH155)*BA$7,0)</f>
        <v>-12.266183908402597</v>
      </c>
      <c r="BB65" s="842">
        <f>IF(BB$6,-SUMIF(Inputs!$E$145:$AH$145,CF!BB$4,Inputs!$E155:$AH155)*BB$7,0)</f>
        <v>-12.718880640491708</v>
      </c>
      <c r="BC65" s="842">
        <f>IF(BC$6,-SUMIF(Inputs!$E$145:$AH$145,CF!BC$4,Inputs!$E155:$AH155)*BC$7,0)</f>
        <v>-12.511507586570646</v>
      </c>
      <c r="BD65" s="842">
        <f>IF(BD$6,-SUMIF(Inputs!$E$145:$AH$145,CF!BD$4,Inputs!$E155:$AH155)*BD$7,0)</f>
        <v>-12.973258253301543</v>
      </c>
      <c r="BE65" s="842">
        <f>IF(BE$6,-SUMIF(Inputs!$E$145:$AH$145,CF!BE$4,Inputs!$E155:$AH155)*BE$7,0)</f>
        <v>-12.76173773830206</v>
      </c>
      <c r="BF65" s="842">
        <f>IF(BF$6,-SUMIF(Inputs!$E$145:$AH$145,CF!BF$4,Inputs!$E155:$AH155)*BF$7,0)</f>
        <v>-13.196568436350175</v>
      </c>
      <c r="BG65" s="842">
        <f>IF(BG$6,-SUMIF(Inputs!$E$145:$AH$145,CF!BG$4,Inputs!$E155:$AH155)*BG$7,0)</f>
        <v>-13.053127475085498</v>
      </c>
      <c r="BH65" s="842">
        <f>IF(BH$6,-SUMIF(Inputs!$E$145:$AH$145,CF!BH$4,Inputs!$E155:$AH155)*BH$7,0)</f>
        <v>-13.497377886734926</v>
      </c>
      <c r="BI65" s="842">
        <f>IF(BI$6,-SUMIF(Inputs!$E$145:$AH$145,CF!BI$4,Inputs!$E155:$AH155)*BI$7,0)</f>
        <v>-13.277311942929465</v>
      </c>
      <c r="BJ65" s="842">
        <f>IF(BJ$6,-SUMIF(Inputs!$E$145:$AH$145,CF!BJ$4,Inputs!$E155:$AH155)*BJ$7,0)</f>
        <v>-13.767325444469622</v>
      </c>
      <c r="BK65" s="842">
        <f>IF(BK$6,-SUMIF(Inputs!$E$145:$AH$145,CF!BK$4,Inputs!$E155:$AH155)*BK$7,0)</f>
        <v>-13.542858181788052</v>
      </c>
      <c r="BL65" s="842">
        <f>IF(BL$6,-SUMIF(Inputs!$E$145:$AH$145,CF!BL$4,Inputs!$E155:$AH155)*BL$7,0)</f>
        <v>-14.042671953359017</v>
      </c>
      <c r="BM65" s="842">
        <f>IF(BM$6,-SUMIF(Inputs!$E$145:$AH$145,CF!BM$4,Inputs!$E155:$AH155)*BM$7,0)</f>
        <v>-13.813715345423816</v>
      </c>
      <c r="BN65" s="842">
        <f>IF(BN$6,-SUMIF(Inputs!$E$145:$AH$145,CF!BN$4,Inputs!$E155:$AH155)*BN$7,0)</f>
        <v>-14.284390077146341</v>
      </c>
      <c r="BO65" s="842">
        <f>IF(BO$6,-SUMIF(Inputs!$E$145:$AH$145,CF!BO$4,Inputs!$E155:$AH155)*BO$7,0)</f>
        <v>-14.129124967612142</v>
      </c>
      <c r="BP65" s="842"/>
      <c r="BQ65" s="842"/>
      <c r="BR65" s="842"/>
      <c r="BS65" s="842"/>
      <c r="BT65" s="842"/>
      <c r="BU65" s="842"/>
      <c r="BV65" s="842"/>
      <c r="BW65" s="842"/>
      <c r="BX65" s="842"/>
      <c r="BY65" s="842"/>
      <c r="BZ65" s="842"/>
      <c r="CA65" s="842"/>
      <c r="CB65" s="842"/>
      <c r="CC65" s="842"/>
      <c r="CD65" s="842"/>
      <c r="CE65" s="842"/>
      <c r="CF65" s="842"/>
      <c r="CG65" s="842"/>
      <c r="CH65" s="842"/>
      <c r="CI65" s="842"/>
      <c r="CJ65" s="842"/>
      <c r="CK65" s="842"/>
      <c r="CL65" s="842"/>
      <c r="CM65" s="842"/>
      <c r="CN65" s="842"/>
      <c r="CO65" s="842"/>
      <c r="CP65" s="842"/>
      <c r="CQ65" s="842"/>
      <c r="CR65" s="842"/>
      <c r="CS65" s="842"/>
      <c r="CT65" s="842"/>
      <c r="CU65" s="842"/>
      <c r="CV65" s="842"/>
      <c r="CW65" s="842"/>
      <c r="CX65" s="842"/>
      <c r="CY65" s="842"/>
      <c r="CZ65" s="842"/>
      <c r="DA65" s="842"/>
      <c r="DB65" s="842"/>
      <c r="DC65" s="842"/>
      <c r="DD65" s="842"/>
      <c r="DE65" s="842"/>
      <c r="DF65" s="842"/>
      <c r="DG65" s="842"/>
      <c r="DH65" s="842"/>
      <c r="DI65" s="842"/>
      <c r="DJ65" s="842"/>
      <c r="DK65" s="842"/>
      <c r="DL65" s="842"/>
      <c r="DM65" s="842"/>
      <c r="DN65" s="842"/>
      <c r="DO65" s="842"/>
      <c r="DP65" s="842"/>
      <c r="DQ65" s="842"/>
      <c r="DR65" s="842"/>
      <c r="DS65" s="842"/>
      <c r="DT65" s="842"/>
      <c r="DU65" s="842"/>
      <c r="DV65" s="842"/>
      <c r="DW65" s="842"/>
      <c r="DX65" s="304"/>
      <c r="DY65" s="304"/>
    </row>
    <row r="66" spans="1:129" ht="11.25" customHeight="1">
      <c r="A66" s="492" t="str">
        <f>Inputs!A156</f>
        <v>Bank Fees</v>
      </c>
      <c r="B66" s="672"/>
      <c r="C66" s="672"/>
      <c r="D66" s="493"/>
      <c r="E66" s="493"/>
      <c r="F66" s="512"/>
      <c r="G66" s="842">
        <f>IF(G$6,-SUMIF(Inputs!$E$145:$AH$145,CF!G$4,Inputs!$E156:$AH156)*G$7,0)</f>
        <v>0</v>
      </c>
      <c r="H66" s="842">
        <f>IF(H$6,-SUMIF(Inputs!$E$145:$AH$145,CF!H$4,Inputs!$E156:$AH156)*H$7,0)</f>
        <v>-10.082191780821919</v>
      </c>
      <c r="I66" s="842">
        <f>IF(I$6,-SUMIF(Inputs!$E$145:$AH$145,CF!I$4,Inputs!$E156:$AH156)*I$7,0)</f>
        <v>-9.9178082191780828</v>
      </c>
      <c r="J66" s="842">
        <f>IF(J$6,-SUMIF(Inputs!$E$145:$AH$145,CF!J$4,Inputs!$E156:$AH156)*J$7,0)</f>
        <v>-10.255737704918031</v>
      </c>
      <c r="K66" s="842">
        <f>IF(K$6,-SUMIF(Inputs!$E$145:$AH$145,CF!K$4,Inputs!$E156:$AH156)*K$7,0)</f>
        <v>-10.144262295081967</v>
      </c>
      <c r="L66" s="842">
        <f>IF(L$6,-SUMIF(Inputs!$E$145:$AH$145,CF!L$4,Inputs!$E156:$AH156)*L$7,0)</f>
        <v>-10.489512328767123</v>
      </c>
      <c r="M66" s="842">
        <f>IF(M$6,-SUMIF(Inputs!$E$145:$AH$145,CF!M$4,Inputs!$E156:$AH156)*M$7,0)</f>
        <v>-10.318487671232877</v>
      </c>
      <c r="N66" s="842">
        <f>IF(N$6,-SUMIF(Inputs!$E$145:$AH$145,CF!N$4,Inputs!$E156:$AH156)*N$7,0)</f>
        <v>-10.699302575342465</v>
      </c>
      <c r="O66" s="842">
        <f>IF(O$6,-SUMIF(Inputs!$E$145:$AH$145,CF!O$4,Inputs!$E156:$AH156)*O$7,0)</f>
        <v>-10.524857424657533</v>
      </c>
      <c r="P66" s="842">
        <f>IF(P$6,-SUMIF(Inputs!$E$145:$AH$145,CF!P$4,Inputs!$E156:$AH156)*P$7,0)</f>
        <v>-10.913288626849315</v>
      </c>
      <c r="Q66" s="842">
        <f>IF(Q$6,-SUMIF(Inputs!$E$145:$AH$145,CF!Q$4,Inputs!$E156:$AH156)*Q$7,0)</f>
        <v>-10.735354573150685</v>
      </c>
      <c r="R66" s="842">
        <f>IF(R$6,-SUMIF(Inputs!$E$145:$AH$145,CF!R$4,Inputs!$E156:$AH156)*R$7,0)</f>
        <v>-11.10114031632787</v>
      </c>
      <c r="S66" s="842">
        <f>IF(S$6,-SUMIF(Inputs!$E$145:$AH$145,CF!S$4,Inputs!$E156:$AH156)*S$7,0)</f>
        <v>-10.980475747672132</v>
      </c>
      <c r="T66" s="842">
        <f>IF(T$6,-SUMIF(Inputs!$E$145:$AH$145,CF!T$4,Inputs!$E156:$AH156)*T$7,0)</f>
        <v>-11.35418548737403</v>
      </c>
      <c r="U66" s="842">
        <f>IF(U$6,-SUMIF(Inputs!$E$145:$AH$145,CF!U$4,Inputs!$E156:$AH156)*U$7,0)</f>
        <v>-11.169062897905974</v>
      </c>
      <c r="V66" s="842">
        <f>IF(V$6,-SUMIF(Inputs!$E$145:$AH$145,CF!V$4,Inputs!$E156:$AH156)*V$7,0)</f>
        <v>-11.581269197121507</v>
      </c>
      <c r="W66" s="842">
        <f>IF(W$6,-SUMIF(Inputs!$E$145:$AH$145,CF!W$4,Inputs!$E156:$AH156)*W$7,0)</f>
        <v>-11.392444155864091</v>
      </c>
      <c r="X66" s="842">
        <f>IF(X$6,-SUMIF(Inputs!$E$145:$AH$145,CF!X$4,Inputs!$E156:$AH156)*X$7,0)</f>
        <v>-11.812894581063938</v>
      </c>
      <c r="Y66" s="842">
        <f>IF(Y$6,-SUMIF(Inputs!$E$145:$AH$145,CF!Y$4,Inputs!$E156:$AH156)*Y$7,0)</f>
        <v>-11.620293038981373</v>
      </c>
      <c r="Z66" s="842">
        <f>IF(Z$6,-SUMIF(Inputs!$E$145:$AH$145,CF!Z$4,Inputs!$E156:$AH156)*Z$7,0)</f>
        <v>-12.016231291065857</v>
      </c>
      <c r="AA66" s="842">
        <f>IF(AA$6,-SUMIF(Inputs!$E$145:$AH$145,CF!AA$4,Inputs!$E156:$AH156)*AA$7,0)</f>
        <v>-11.88562008138036</v>
      </c>
      <c r="AB66" s="842">
        <f>IF(AB$6,-SUMIF(Inputs!$E$145:$AH$145,CF!AB$4,Inputs!$E156:$AH156)*AB$7,0)</f>
        <v>-12.290135522138923</v>
      </c>
      <c r="AC66" s="842">
        <f>IF(AC$6,-SUMIF(Inputs!$E$145:$AH$145,CF!AC$4,Inputs!$E156:$AH156)*AC$7,0)</f>
        <v>-12.089752877756222</v>
      </c>
      <c r="AD66" s="842">
        <f>IF(AD$6,-SUMIF(Inputs!$E$145:$AH$145,CF!AD$4,Inputs!$E156:$AH156)*AD$7,0)</f>
        <v>-12.535938232581698</v>
      </c>
      <c r="AE66" s="842">
        <f>IF(AE$6,-SUMIF(Inputs!$E$145:$AH$145,CF!AE$4,Inputs!$E156:$AH156)*AE$7,0)</f>
        <v>-12.331547935311344</v>
      </c>
      <c r="AF66" s="842">
        <f>IF(AF$6,-SUMIF(Inputs!$E$145:$AH$145,CF!AF$4,Inputs!$E156:$AH156)*AF$7,0)</f>
        <v>-12.786656997233335</v>
      </c>
      <c r="AG66" s="842">
        <f>IF(AG$6,-SUMIF(Inputs!$E$145:$AH$145,CF!AG$4,Inputs!$E156:$AH156)*AG$7,0)</f>
        <v>-12.578178894017572</v>
      </c>
      <c r="AH66" s="842">
        <f>IF(AH$6,-SUMIF(Inputs!$E$145:$AH$145,CF!AH$4,Inputs!$E156:$AH156)*AH$7,0)</f>
        <v>-13.006755191448004</v>
      </c>
      <c r="AI66" s="842">
        <f>IF(AI$6,-SUMIF(Inputs!$E$145:$AH$145,CF!AI$4,Inputs!$E156:$AH156)*AI$7,0)</f>
        <v>-12.865377417627919</v>
      </c>
      <c r="AJ66" s="842">
        <f>IF(AJ$6,-SUMIF(Inputs!$E$145:$AH$145,CF!AJ$4,Inputs!$E156:$AH156)*AJ$7,0)</f>
        <v>0</v>
      </c>
      <c r="AK66" s="842">
        <f>IF(AK$6,-SUMIF(Inputs!$E$145:$AH$145,CF!AK$4,Inputs!$E156:$AH156)*AK$7,0)</f>
        <v>0</v>
      </c>
      <c r="AL66" s="842">
        <f>IF(AL$6,-SUMIF(Inputs!$E$145:$AH$145,CF!AL$4,Inputs!$E156:$AH156)*AL$7,0)</f>
        <v>0</v>
      </c>
      <c r="AM66" s="842">
        <f>IF(AM$6,-SUMIF(Inputs!$E$145:$AH$145,CF!AM$4,Inputs!$E156:$AH156)*AM$7,0)</f>
        <v>0</v>
      </c>
      <c r="AN66" s="842">
        <f>IF(AN$6,-SUMIF(Inputs!$E$145:$AH$145,CF!AN$4,Inputs!$E156:$AH156)*AN$7,0)</f>
        <v>0</v>
      </c>
      <c r="AO66" s="842">
        <f>IF(AO$6,-SUMIF(Inputs!$E$145:$AH$145,CF!AO$4,Inputs!$E156:$AH156)*AO$7,0)</f>
        <v>0</v>
      </c>
      <c r="AP66" s="842">
        <f>IF(AP$6,-SUMIF(Inputs!$E$145:$AH$145,CF!AP$4,Inputs!$E156:$AH156)*AP$7,0)</f>
        <v>0</v>
      </c>
      <c r="AQ66" s="842">
        <f>IF(AQ$6,-SUMIF(Inputs!$E$145:$AH$145,CF!AQ$4,Inputs!$E156:$AH156)*AQ$7,0)</f>
        <v>0</v>
      </c>
      <c r="AR66" s="842">
        <f>IF(AR$6,-SUMIF(Inputs!$E$145:$AH$145,CF!AR$4,Inputs!$E156:$AH156)*AR$7,0)</f>
        <v>0</v>
      </c>
      <c r="AS66" s="842">
        <f>IF(AS$6,-SUMIF(Inputs!$E$145:$AH$145,CF!AS$4,Inputs!$E156:$AH156)*AS$7,0)</f>
        <v>0</v>
      </c>
      <c r="AT66" s="842">
        <f>IF(AT$6,-SUMIF(Inputs!$E$145:$AH$145,CF!AT$4,Inputs!$E156:$AH156)*AT$7,0)</f>
        <v>0</v>
      </c>
      <c r="AU66" s="842">
        <f>IF(AU$6,-SUMIF(Inputs!$E$145:$AH$145,CF!AU$4,Inputs!$E156:$AH156)*AU$7,0)</f>
        <v>0</v>
      </c>
      <c r="AV66" s="842">
        <f>IF(AV$6,-SUMIF(Inputs!$E$145:$AH$145,CF!AV$4,Inputs!$E156:$AH156)*AV$7,0)</f>
        <v>0</v>
      </c>
      <c r="AW66" s="842">
        <f>IF(AW$6,-SUMIF(Inputs!$E$145:$AH$145,CF!AW$4,Inputs!$E156:$AH156)*AW$7,0)</f>
        <v>0</v>
      </c>
      <c r="AX66" s="842">
        <f>IF(AX$6,-SUMIF(Inputs!$E$145:$AH$145,CF!AX$4,Inputs!$E156:$AH156)*AX$7,0)</f>
        <v>0</v>
      </c>
      <c r="AY66" s="842">
        <f>IF(AY$6,-SUMIF(Inputs!$E$145:$AH$145,CF!AY$4,Inputs!$E156:$AH156)*AY$7,0)</f>
        <v>0</v>
      </c>
      <c r="AZ66" s="842">
        <f>IF(AZ$6,-SUMIF(Inputs!$E$145:$AH$145,CF!AZ$4,Inputs!$E156:$AH156)*AZ$7,0)</f>
        <v>0</v>
      </c>
      <c r="BA66" s="842">
        <f>IF(BA$6,-SUMIF(Inputs!$E$145:$AH$145,CF!BA$4,Inputs!$E156:$AH156)*BA$7,0)</f>
        <v>0</v>
      </c>
      <c r="BB66" s="842">
        <f>IF(BB$6,-SUMIF(Inputs!$E$145:$AH$145,CF!BB$4,Inputs!$E156:$AH156)*BB$7,0)</f>
        <v>0</v>
      </c>
      <c r="BC66" s="842">
        <f>IF(BC$6,-SUMIF(Inputs!$E$145:$AH$145,CF!BC$4,Inputs!$E156:$AH156)*BC$7,0)</f>
        <v>0</v>
      </c>
      <c r="BD66" s="842">
        <f>IF(BD$6,-SUMIF(Inputs!$E$145:$AH$145,CF!BD$4,Inputs!$E156:$AH156)*BD$7,0)</f>
        <v>0</v>
      </c>
      <c r="BE66" s="842">
        <f>IF(BE$6,-SUMIF(Inputs!$E$145:$AH$145,CF!BE$4,Inputs!$E156:$AH156)*BE$7,0)</f>
        <v>0</v>
      </c>
      <c r="BF66" s="842">
        <f>IF(BF$6,-SUMIF(Inputs!$E$145:$AH$145,CF!BF$4,Inputs!$E156:$AH156)*BF$7,0)</f>
        <v>0</v>
      </c>
      <c r="BG66" s="842">
        <f>IF(BG$6,-SUMIF(Inputs!$E$145:$AH$145,CF!BG$4,Inputs!$E156:$AH156)*BG$7,0)</f>
        <v>0</v>
      </c>
      <c r="BH66" s="842">
        <f>IF(BH$6,-SUMIF(Inputs!$E$145:$AH$145,CF!BH$4,Inputs!$E156:$AH156)*BH$7,0)</f>
        <v>0</v>
      </c>
      <c r="BI66" s="842">
        <f>IF(BI$6,-SUMIF(Inputs!$E$145:$AH$145,CF!BI$4,Inputs!$E156:$AH156)*BI$7,0)</f>
        <v>0</v>
      </c>
      <c r="BJ66" s="842">
        <f>IF(BJ$6,-SUMIF(Inputs!$E$145:$AH$145,CF!BJ$4,Inputs!$E156:$AH156)*BJ$7,0)</f>
        <v>0</v>
      </c>
      <c r="BK66" s="842">
        <f>IF(BK$6,-SUMIF(Inputs!$E$145:$AH$145,CF!BK$4,Inputs!$E156:$AH156)*BK$7,0)</f>
        <v>0</v>
      </c>
      <c r="BL66" s="842">
        <f>IF(BL$6,-SUMIF(Inputs!$E$145:$AH$145,CF!BL$4,Inputs!$E156:$AH156)*BL$7,0)</f>
        <v>0</v>
      </c>
      <c r="BM66" s="842">
        <f>IF(BM$6,-SUMIF(Inputs!$E$145:$AH$145,CF!BM$4,Inputs!$E156:$AH156)*BM$7,0)</f>
        <v>0</v>
      </c>
      <c r="BN66" s="842">
        <f>IF(BN$6,-SUMIF(Inputs!$E$145:$AH$145,CF!BN$4,Inputs!$E156:$AH156)*BN$7,0)</f>
        <v>0</v>
      </c>
      <c r="BO66" s="842">
        <f>IF(BO$6,-SUMIF(Inputs!$E$145:$AH$145,CF!BO$4,Inputs!$E156:$AH156)*BO$7,0)</f>
        <v>0</v>
      </c>
      <c r="BP66" s="842"/>
      <c r="BQ66" s="842"/>
      <c r="BR66" s="842"/>
      <c r="BS66" s="842"/>
      <c r="BT66" s="842"/>
      <c r="BU66" s="842"/>
      <c r="BV66" s="842"/>
      <c r="BW66" s="842"/>
      <c r="BX66" s="842"/>
      <c r="BY66" s="842"/>
      <c r="BZ66" s="842"/>
      <c r="CA66" s="842"/>
      <c r="CB66" s="842"/>
      <c r="CC66" s="842"/>
      <c r="CD66" s="842"/>
      <c r="CE66" s="842"/>
      <c r="CF66" s="842"/>
      <c r="CG66" s="842"/>
      <c r="CH66" s="842"/>
      <c r="CI66" s="842"/>
      <c r="CJ66" s="842"/>
      <c r="CK66" s="842"/>
      <c r="CL66" s="842"/>
      <c r="CM66" s="842"/>
      <c r="CN66" s="842"/>
      <c r="CO66" s="842"/>
      <c r="CP66" s="842"/>
      <c r="CQ66" s="842"/>
      <c r="CR66" s="842"/>
      <c r="CS66" s="842"/>
      <c r="CT66" s="842"/>
      <c r="CU66" s="842"/>
      <c r="CV66" s="842"/>
      <c r="CW66" s="842"/>
      <c r="CX66" s="842"/>
      <c r="CY66" s="842"/>
      <c r="CZ66" s="842"/>
      <c r="DA66" s="842"/>
      <c r="DB66" s="842"/>
      <c r="DC66" s="842"/>
      <c r="DD66" s="842"/>
      <c r="DE66" s="842"/>
      <c r="DF66" s="842"/>
      <c r="DG66" s="842"/>
      <c r="DH66" s="842"/>
      <c r="DI66" s="842"/>
      <c r="DJ66" s="842"/>
      <c r="DK66" s="842"/>
      <c r="DL66" s="842"/>
      <c r="DM66" s="842"/>
      <c r="DN66" s="842"/>
      <c r="DO66" s="842"/>
      <c r="DP66" s="842"/>
      <c r="DQ66" s="842"/>
      <c r="DR66" s="842"/>
      <c r="DS66" s="842"/>
      <c r="DT66" s="842"/>
      <c r="DU66" s="842"/>
      <c r="DV66" s="842"/>
      <c r="DW66" s="842"/>
      <c r="DX66" s="304"/>
      <c r="DY66" s="304"/>
    </row>
    <row r="67" spans="1:129" ht="11.25" customHeight="1">
      <c r="A67" s="492" t="str">
        <f>Inputs!A157</f>
        <v>Environmental&amp;Social management</v>
      </c>
      <c r="B67" s="672"/>
      <c r="C67" s="672"/>
      <c r="D67" s="493"/>
      <c r="E67" s="493"/>
      <c r="F67" s="512"/>
      <c r="G67" s="842">
        <f>IF(G$6,-SUMIF(Inputs!$E$145:$AH$145,CF!G$4,Inputs!$E157:$AH157)*G$7,0)</f>
        <v>0</v>
      </c>
      <c r="H67" s="842">
        <f>IF(H$6,-SUMIF(Inputs!$E$145:$AH$145,CF!H$4,Inputs!$E157:$AH157)*H$7,0)</f>
        <v>-16.13150684931507</v>
      </c>
      <c r="I67" s="842">
        <f>IF(I$6,-SUMIF(Inputs!$E$145:$AH$145,CF!I$4,Inputs!$E157:$AH157)*I$7,0)</f>
        <v>-15.868493150684932</v>
      </c>
      <c r="J67" s="842">
        <f>IF(J$6,-SUMIF(Inputs!$E$145:$AH$145,CF!J$4,Inputs!$E157:$AH157)*J$7,0)</f>
        <v>-16.409180327868853</v>
      </c>
      <c r="K67" s="842">
        <f>IF(K$6,-SUMIF(Inputs!$E$145:$AH$145,CF!K$4,Inputs!$E157:$AH157)*K$7,0)</f>
        <v>-16.230819672131148</v>
      </c>
      <c r="L67" s="842">
        <f>IF(L$6,-SUMIF(Inputs!$E$145:$AH$145,CF!L$4,Inputs!$E157:$AH157)*L$7,0)</f>
        <v>-6.2937073972602748</v>
      </c>
      <c r="M67" s="842">
        <f>IF(M$6,-SUMIF(Inputs!$E$145:$AH$145,CF!M$4,Inputs!$E157:$AH157)*M$7,0)</f>
        <v>-6.1910926027397259</v>
      </c>
      <c r="N67" s="842">
        <f>IF(N$6,-SUMIF(Inputs!$E$145:$AH$145,CF!N$4,Inputs!$E157:$AH157)*N$7,0)</f>
        <v>-6.4195815452054799</v>
      </c>
      <c r="O67" s="842">
        <f>IF(O$6,-SUMIF(Inputs!$E$145:$AH$145,CF!O$4,Inputs!$E157:$AH157)*O$7,0)</f>
        <v>-6.3149144547945211</v>
      </c>
      <c r="P67" s="842">
        <f>IF(P$6,-SUMIF(Inputs!$E$145:$AH$145,CF!P$4,Inputs!$E157:$AH157)*P$7,0)</f>
        <v>-6.5479731761095898</v>
      </c>
      <c r="Q67" s="842">
        <f>IF(Q$6,-SUMIF(Inputs!$E$145:$AH$145,CF!Q$4,Inputs!$E157:$AH157)*Q$7,0)</f>
        <v>-6.4412127438904117</v>
      </c>
      <c r="R67" s="842">
        <f>IF(R$6,-SUMIF(Inputs!$E$145:$AH$145,CF!R$4,Inputs!$E157:$AH157)*R$7,0)</f>
        <v>-6.6606841897967213</v>
      </c>
      <c r="S67" s="842">
        <f>IF(S$6,-SUMIF(Inputs!$E$145:$AH$145,CF!S$4,Inputs!$E157:$AH157)*S$7,0)</f>
        <v>-6.5882854486032789</v>
      </c>
      <c r="T67" s="842">
        <f>IF(T$6,-SUMIF(Inputs!$E$145:$AH$145,CF!T$4,Inputs!$E157:$AH157)*T$7,0)</f>
        <v>-6.8125112924244169</v>
      </c>
      <c r="U67" s="842">
        <f>IF(U$6,-SUMIF(Inputs!$E$145:$AH$145,CF!U$4,Inputs!$E157:$AH157)*U$7,0)</f>
        <v>-6.7014377387435839</v>
      </c>
      <c r="V67" s="842">
        <f>IF(V$6,-SUMIF(Inputs!$E$145:$AH$145,CF!V$4,Inputs!$E157:$AH157)*V$7,0)</f>
        <v>-6.9487615182729039</v>
      </c>
      <c r="W67" s="842">
        <f>IF(W$6,-SUMIF(Inputs!$E$145:$AH$145,CF!W$4,Inputs!$E157:$AH157)*W$7,0)</f>
        <v>-6.8354664935184548</v>
      </c>
      <c r="X67" s="842">
        <f>IF(X$6,-SUMIF(Inputs!$E$145:$AH$145,CF!X$4,Inputs!$E157:$AH157)*X$7,0)</f>
        <v>-7.0877367486383633</v>
      </c>
      <c r="Y67" s="842">
        <f>IF(Y$6,-SUMIF(Inputs!$E$145:$AH$145,CF!Y$4,Inputs!$E157:$AH157)*Y$7,0)</f>
        <v>-6.9721758233888247</v>
      </c>
      <c r="Z67" s="842">
        <f>IF(Z$6,-SUMIF(Inputs!$E$145:$AH$145,CF!Z$4,Inputs!$E157:$AH157)*Z$7,0)</f>
        <v>-7.209738774639515</v>
      </c>
      <c r="AA67" s="842">
        <f>IF(AA$6,-SUMIF(Inputs!$E$145:$AH$145,CF!AA$4,Inputs!$E157:$AH157)*AA$7,0)</f>
        <v>-7.1313720488282151</v>
      </c>
      <c r="AB67" s="842">
        <f>IF(AB$6,-SUMIF(Inputs!$E$145:$AH$145,CF!AB$4,Inputs!$E157:$AH157)*AB$7,0)</f>
        <v>-7.3740813132833534</v>
      </c>
      <c r="AC67" s="842">
        <f>IF(AC$6,-SUMIF(Inputs!$E$145:$AH$145,CF!AC$4,Inputs!$E157:$AH157)*AC$7,0)</f>
        <v>-7.2538517266537328</v>
      </c>
      <c r="AD67" s="842">
        <f>IF(AD$6,-SUMIF(Inputs!$E$145:$AH$145,CF!AD$4,Inputs!$E157:$AH157)*AD$7,0)</f>
        <v>-7.5215629395490184</v>
      </c>
      <c r="AE67" s="842">
        <f>IF(AE$6,-SUMIF(Inputs!$E$145:$AH$145,CF!AE$4,Inputs!$E157:$AH157)*AE$7,0)</f>
        <v>-7.3989287611868058</v>
      </c>
      <c r="AF67" s="842">
        <f>IF(AF$6,-SUMIF(Inputs!$E$145:$AH$145,CF!AF$4,Inputs!$E157:$AH157)*AF$7,0)</f>
        <v>-7.6719941983400002</v>
      </c>
      <c r="AG67" s="842">
        <f>IF(AG$6,-SUMIF(Inputs!$E$145:$AH$145,CF!AG$4,Inputs!$E157:$AH157)*AG$7,0)</f>
        <v>-7.5469073364105439</v>
      </c>
      <c r="AH67" s="842">
        <f>IF(AH$6,-SUMIF(Inputs!$E$145:$AH$145,CF!AH$4,Inputs!$E157:$AH157)*AH$7,0)</f>
        <v>-7.8040531148688022</v>
      </c>
      <c r="AI67" s="842">
        <f>IF(AI$6,-SUMIF(Inputs!$E$145:$AH$145,CF!AI$4,Inputs!$E157:$AH157)*AI$7,0)</f>
        <v>-7.7192264505767501</v>
      </c>
      <c r="AJ67" s="842">
        <f>IF(AJ$6,-SUMIF(Inputs!$E$145:$AH$145,CF!AJ$4,Inputs!$E157:$AH157)*AJ$7,0)</f>
        <v>-7.9819427639529366</v>
      </c>
      <c r="AK67" s="842">
        <f>IF(AK$6,-SUMIF(Inputs!$E$145:$AH$145,CF!AK$4,Inputs!$E157:$AH157)*AK$7,0)</f>
        <v>-7.8518023928015301</v>
      </c>
      <c r="AL67" s="842">
        <f>IF(AL$6,-SUMIF(Inputs!$E$145:$AH$145,CF!AL$4,Inputs!$E157:$AH157)*AL$7,0)</f>
        <v>-8.1415816192319941</v>
      </c>
      <c r="AM67" s="842">
        <f>IF(AM$6,-SUMIF(Inputs!$E$145:$AH$145,CF!AM$4,Inputs!$E157:$AH157)*AM$7,0)</f>
        <v>-8.0088384406575592</v>
      </c>
      <c r="AN67" s="842">
        <f>IF(AN$6,-SUMIF(Inputs!$E$145:$AH$145,CF!AN$4,Inputs!$E157:$AH157)*AN$7,0)</f>
        <v>-8.3044132516166353</v>
      </c>
      <c r="AO67" s="842">
        <f>IF(AO$6,-SUMIF(Inputs!$E$145:$AH$145,CF!AO$4,Inputs!$E157:$AH157)*AO$7,0)</f>
        <v>-8.1690152094707109</v>
      </c>
      <c r="AP67" s="842">
        <f>IF(AP$6,-SUMIF(Inputs!$E$145:$AH$145,CF!AP$4,Inputs!$E157:$AH157)*AP$7,0)</f>
        <v>-8.4473580698821671</v>
      </c>
      <c r="AQ67" s="842">
        <f>IF(AQ$6,-SUMIF(Inputs!$E$145:$AH$145,CF!AQ$4,Inputs!$E157:$AH157)*AQ$7,0)</f>
        <v>-8.3555389604269266</v>
      </c>
      <c r="AR67" s="842">
        <f>IF(AR$6,-SUMIF(Inputs!$E$145:$AH$145,CF!AR$4,Inputs!$E157:$AH157)*AR$7,0)</f>
        <v>-8.6399115469819456</v>
      </c>
      <c r="AS67" s="842">
        <f>IF(AS$6,-SUMIF(Inputs!$E$145:$AH$145,CF!AS$4,Inputs!$E157:$AH157)*AS$7,0)</f>
        <v>-8.4990434239333261</v>
      </c>
      <c r="AT67" s="842">
        <f>IF(AT$6,-SUMIF(Inputs!$E$145:$AH$145,CF!AT$4,Inputs!$E157:$AH157)*AT$7,0)</f>
        <v>-8.8127097779215848</v>
      </c>
      <c r="AU67" s="842">
        <f>IF(AU$6,-SUMIF(Inputs!$E$145:$AH$145,CF!AU$4,Inputs!$E157:$AH157)*AU$7,0)</f>
        <v>-8.6690242924119936</v>
      </c>
      <c r="AV67" s="842">
        <f>IF(AV$6,-SUMIF(Inputs!$E$145:$AH$145,CF!AV$4,Inputs!$E157:$AH157)*AV$7,0)</f>
        <v>-8.9889639734800166</v>
      </c>
      <c r="AW67" s="842">
        <f>IF(AW$6,-SUMIF(Inputs!$E$145:$AH$145,CF!AW$4,Inputs!$E157:$AH157)*AW$7,0)</f>
        <v>-8.8424047782602333</v>
      </c>
      <c r="AX67" s="842">
        <f>IF(AX$6,-SUMIF(Inputs!$E$145:$AH$145,CF!AX$4,Inputs!$E157:$AH157)*AX$7,0)</f>
        <v>-9.1436920418759833</v>
      </c>
      <c r="AY67" s="842">
        <f>IF(AY$6,-SUMIF(Inputs!$E$145:$AH$145,CF!AY$4,Inputs!$E157:$AH157)*AY$7,0)</f>
        <v>-9.0443040848990712</v>
      </c>
      <c r="AZ67" s="842">
        <f>IF(AZ$6,-SUMIF(Inputs!$E$145:$AH$145,CF!AZ$4,Inputs!$E157:$AH157)*AZ$7,0)</f>
        <v>-9.3521181180086099</v>
      </c>
      <c r="BA67" s="842">
        <f>IF(BA$6,-SUMIF(Inputs!$E$145:$AH$145,CF!BA$4,Inputs!$E157:$AH157)*BA$7,0)</f>
        <v>-9.1996379313019467</v>
      </c>
      <c r="BB67" s="842">
        <f>IF(BB$6,-SUMIF(Inputs!$E$145:$AH$145,CF!BB$4,Inputs!$E157:$AH157)*BB$7,0)</f>
        <v>-9.5391604803687802</v>
      </c>
      <c r="BC67" s="842">
        <f>IF(BC$6,-SUMIF(Inputs!$E$145:$AH$145,CF!BC$4,Inputs!$E157:$AH157)*BC$7,0)</f>
        <v>-9.3836306899279851</v>
      </c>
      <c r="BD67" s="842">
        <f>IF(BD$6,-SUMIF(Inputs!$E$145:$AH$145,CF!BD$4,Inputs!$E157:$AH157)*BD$7,0)</f>
        <v>-9.7299436899761567</v>
      </c>
      <c r="BE67" s="842">
        <f>IF(BE$6,-SUMIF(Inputs!$E$145:$AH$145,CF!BE$4,Inputs!$E157:$AH157)*BE$7,0)</f>
        <v>-9.5713033037265447</v>
      </c>
      <c r="BF67" s="842">
        <f>IF(BF$6,-SUMIF(Inputs!$E$145:$AH$145,CF!BF$4,Inputs!$E157:$AH157)*BF$7,0)</f>
        <v>-9.8974263272626306</v>
      </c>
      <c r="BG67" s="842">
        <f>IF(BG$6,-SUMIF(Inputs!$E$145:$AH$145,CF!BG$4,Inputs!$E157:$AH157)*BG$7,0)</f>
        <v>-9.7898456063141222</v>
      </c>
      <c r="BH67" s="842">
        <f>IF(BH$6,-SUMIF(Inputs!$E$145:$AH$145,CF!BH$4,Inputs!$E157:$AH157)*BH$7,0)</f>
        <v>-10.123033415051193</v>
      </c>
      <c r="BI67" s="842">
        <f>IF(BI$6,-SUMIF(Inputs!$E$145:$AH$145,CF!BI$4,Inputs!$E157:$AH157)*BI$7,0)</f>
        <v>-9.9579839571970972</v>
      </c>
      <c r="BJ67" s="842">
        <f>IF(BJ$6,-SUMIF(Inputs!$E$145:$AH$145,CF!BJ$4,Inputs!$E157:$AH157)*BJ$7,0)</f>
        <v>-10.325494083352217</v>
      </c>
      <c r="BK67" s="842">
        <f>IF(BK$6,-SUMIF(Inputs!$E$145:$AH$145,CF!BK$4,Inputs!$E157:$AH157)*BK$7,0)</f>
        <v>-10.157143636341038</v>
      </c>
      <c r="BL67" s="842">
        <f>IF(BL$6,-SUMIF(Inputs!$E$145:$AH$145,CF!BL$4,Inputs!$E157:$AH157)*BL$7,0)</f>
        <v>-10.532003965019262</v>
      </c>
      <c r="BM67" s="842">
        <f>IF(BM$6,-SUMIF(Inputs!$E$145:$AH$145,CF!BM$4,Inputs!$E157:$AH157)*BM$7,0)</f>
        <v>-10.360286509067862</v>
      </c>
      <c r="BN67" s="842">
        <f>IF(BN$6,-SUMIF(Inputs!$E$145:$AH$145,CF!BN$4,Inputs!$E157:$AH157)*BN$7,0)</f>
        <v>-10.713292557859756</v>
      </c>
      <c r="BO67" s="842">
        <f>IF(BO$6,-SUMIF(Inputs!$E$145:$AH$145,CF!BO$4,Inputs!$E157:$AH157)*BO$7,0)</f>
        <v>-10.596843725709107</v>
      </c>
      <c r="BP67" s="842"/>
      <c r="BQ67" s="842"/>
      <c r="BR67" s="842"/>
      <c r="BS67" s="842"/>
      <c r="BT67" s="842"/>
      <c r="BU67" s="842"/>
      <c r="BV67" s="842"/>
      <c r="BW67" s="842"/>
      <c r="BX67" s="842"/>
      <c r="BY67" s="842"/>
      <c r="BZ67" s="842"/>
      <c r="CA67" s="842"/>
      <c r="CB67" s="842"/>
      <c r="CC67" s="842"/>
      <c r="CD67" s="842"/>
      <c r="CE67" s="842"/>
      <c r="CF67" s="842"/>
      <c r="CG67" s="842"/>
      <c r="CH67" s="842"/>
      <c r="CI67" s="842"/>
      <c r="CJ67" s="842"/>
      <c r="CK67" s="842"/>
      <c r="CL67" s="842"/>
      <c r="CM67" s="842"/>
      <c r="CN67" s="842"/>
      <c r="CO67" s="842"/>
      <c r="CP67" s="842"/>
      <c r="CQ67" s="842"/>
      <c r="CR67" s="842"/>
      <c r="CS67" s="842"/>
      <c r="CT67" s="842"/>
      <c r="CU67" s="842"/>
      <c r="CV67" s="842"/>
      <c r="CW67" s="842"/>
      <c r="CX67" s="842"/>
      <c r="CY67" s="842"/>
      <c r="CZ67" s="842"/>
      <c r="DA67" s="842"/>
      <c r="DB67" s="842"/>
      <c r="DC67" s="842"/>
      <c r="DD67" s="842"/>
      <c r="DE67" s="842"/>
      <c r="DF67" s="842"/>
      <c r="DG67" s="842"/>
      <c r="DH67" s="842"/>
      <c r="DI67" s="842"/>
      <c r="DJ67" s="842"/>
      <c r="DK67" s="842"/>
      <c r="DL67" s="842"/>
      <c r="DM67" s="842"/>
      <c r="DN67" s="842"/>
      <c r="DO67" s="842"/>
      <c r="DP67" s="842"/>
      <c r="DQ67" s="842"/>
      <c r="DR67" s="842"/>
      <c r="DS67" s="842"/>
      <c r="DT67" s="842"/>
      <c r="DU67" s="842"/>
      <c r="DV67" s="842"/>
      <c r="DW67" s="842"/>
      <c r="DX67" s="304"/>
      <c r="DY67" s="304"/>
    </row>
    <row r="68" spans="1:129" ht="11.25" customHeight="1">
      <c r="A68" s="492" t="str">
        <f>Inputs!A158</f>
        <v xml:space="preserve">Contingencies </v>
      </c>
      <c r="B68" s="672"/>
      <c r="C68" s="672"/>
      <c r="D68" s="493"/>
      <c r="E68" s="493"/>
      <c r="F68" s="512"/>
      <c r="G68" s="842">
        <f>IF(G$6,-SUMIF(Inputs!$E$145:$AH$145,CF!G$4,Inputs!$E158:$AH158)*G$7,0)</f>
        <v>0</v>
      </c>
      <c r="H68" s="842">
        <f>IF(H$6,-SUMIF(Inputs!$E$145:$AH$145,CF!H$4,Inputs!$E158:$AH158)*H$7,0)</f>
        <v>-25.956417227397264</v>
      </c>
      <c r="I68" s="842">
        <f>IF(I$6,-SUMIF(Inputs!$E$145:$AH$145,CF!I$4,Inputs!$E158:$AH158)*I$7,0)</f>
        <v>-25.53321477260274</v>
      </c>
      <c r="J68" s="842">
        <f>IF(J$6,-SUMIF(Inputs!$E$145:$AH$145,CF!J$4,Inputs!$E158:$AH158)*J$7,0)</f>
        <v>-25.054735038251369</v>
      </c>
      <c r="K68" s="842">
        <f>IF(K$6,-SUMIF(Inputs!$E$145:$AH$145,CF!K$4,Inputs!$E158:$AH158)*K$7,0)</f>
        <v>-24.782400961748639</v>
      </c>
      <c r="L68" s="842">
        <f>IF(L$6,-SUMIF(Inputs!$E$145:$AH$145,CF!L$4,Inputs!$E158:$AH158)*L$7,0)</f>
        <v>-24.961461212931507</v>
      </c>
      <c r="M68" s="842">
        <f>IF(M$6,-SUMIF(Inputs!$E$145:$AH$145,CF!M$4,Inputs!$E158:$AH158)*M$7,0)</f>
        <v>-24.554480867068492</v>
      </c>
      <c r="N68" s="842">
        <f>IF(N$6,-SUMIF(Inputs!$E$145:$AH$145,CF!N$4,Inputs!$E158:$AH158)*N$7,0)</f>
        <v>-25.383718629628493</v>
      </c>
      <c r="O68" s="842">
        <f>IF(O$6,-SUMIF(Inputs!$E$145:$AH$145,CF!O$4,Inputs!$E158:$AH158)*O$7,0)</f>
        <v>-24.969853651971505</v>
      </c>
      <c r="P68" s="842">
        <f>IF(P$6,-SUMIF(Inputs!$E$145:$AH$145,CF!P$4,Inputs!$E158:$AH158)*P$7,0)</f>
        <v>-25.81442119465942</v>
      </c>
      <c r="Q68" s="842">
        <f>IF(Q$6,-SUMIF(Inputs!$E$145:$AH$145,CF!Q$4,Inputs!$E158:$AH158)*Q$7,0)</f>
        <v>-25.393533892572581</v>
      </c>
      <c r="R68" s="842">
        <f>IF(R$6,-SUMIF(Inputs!$E$145:$AH$145,CF!R$4,Inputs!$E158:$AH158)*R$7,0)</f>
        <v>-26.182006286917222</v>
      </c>
      <c r="S68" s="842">
        <f>IF(S$6,-SUMIF(Inputs!$E$145:$AH$145,CF!S$4,Inputs!$E158:$AH158)*S$7,0)</f>
        <v>-25.897419262059422</v>
      </c>
      <c r="T68" s="842">
        <f>IF(T$6,-SUMIF(Inputs!$E$145:$AH$145,CF!T$4,Inputs!$E158:$AH158)*T$7,0)</f>
        <v>-26.701840759649144</v>
      </c>
      <c r="U68" s="842">
        <f>IF(U$6,-SUMIF(Inputs!$E$145:$AH$145,CF!U$4,Inputs!$E158:$AH158)*U$7,0)</f>
        <v>-26.266484660307039</v>
      </c>
      <c r="V68" s="842">
        <f>IF(V$6,-SUMIF(Inputs!$E$145:$AH$145,CF!V$4,Inputs!$E158:$AH158)*V$7,0)</f>
        <v>-27.15890576728048</v>
      </c>
      <c r="W68" s="842">
        <f>IF(W$6,-SUMIF(Inputs!$E$145:$AH$145,CF!W$4,Inputs!$E158:$AH158)*W$7,0)</f>
        <v>-26.716097521074818</v>
      </c>
      <c r="X68" s="842">
        <f>IF(X$6,-SUMIF(Inputs!$E$145:$AH$145,CF!X$4,Inputs!$E158:$AH158)*X$7,0)</f>
        <v>-27.625112075064447</v>
      </c>
      <c r="Y68" s="842">
        <f>IF(Y$6,-SUMIF(Inputs!$E$145:$AH$145,CF!Y$4,Inputs!$E158:$AH158)*Y$7,0)</f>
        <v>-27.174702639057962</v>
      </c>
      <c r="Z68" s="842">
        <f>IF(Z$6,-SUMIF(Inputs!$E$145:$AH$145,CF!Z$4,Inputs!$E158:$AH158)*Z$7,0)</f>
        <v>-28.023864797230853</v>
      </c>
      <c r="AA68" s="842">
        <f>IF(AA$6,-SUMIF(Inputs!$E$145:$AH$145,CF!AA$4,Inputs!$E158:$AH158)*AA$7,0)</f>
        <v>-27.719257571173994</v>
      </c>
      <c r="AB68" s="842">
        <f>IF(AB$6,-SUMIF(Inputs!$E$145:$AH$145,CF!AB$4,Inputs!$E158:$AH158)*AB$7,0)</f>
        <v>-36.105030576280058</v>
      </c>
      <c r="AC68" s="842">
        <f>IF(AC$6,-SUMIF(Inputs!$E$145:$AH$145,CF!AC$4,Inputs!$E158:$AH158)*AC$7,0)</f>
        <v>-35.516361599492882</v>
      </c>
      <c r="AD68" s="842">
        <f>IF(AD$6,-SUMIF(Inputs!$E$145:$AH$145,CF!AD$4,Inputs!$E158:$AH158)*AD$7,0)</f>
        <v>-36.599772439750872</v>
      </c>
      <c r="AE68" s="842">
        <f>IF(AE$6,-SUMIF(Inputs!$E$145:$AH$145,CF!AE$4,Inputs!$E158:$AH158)*AE$7,0)</f>
        <v>-36.003037019537544</v>
      </c>
      <c r="AF68" s="842">
        <f>IF(AF$6,-SUMIF(Inputs!$E$145:$AH$145,CF!AF$4,Inputs!$E158:$AH158)*AF$7,0)</f>
        <v>-37.104409140491093</v>
      </c>
      <c r="AG68" s="842">
        <f>IF(AG$6,-SUMIF(Inputs!$E$145:$AH$145,CF!AG$4,Inputs!$E158:$AH158)*AG$7,0)</f>
        <v>-36.499445947983084</v>
      </c>
      <c r="AH68" s="842">
        <f>IF(AH$6,-SUMIF(Inputs!$E$145:$AH$145,CF!AH$4,Inputs!$E158:$AH158)*AH$7,0)</f>
        <v>-37.516354043619756</v>
      </c>
      <c r="AI68" s="842">
        <f>IF(AI$6,-SUMIF(Inputs!$E$145:$AH$145,CF!AI$4,Inputs!$E158:$AH158)*AI$7,0)</f>
        <v>-37.108567586623892</v>
      </c>
      <c r="AJ68" s="842">
        <f>IF(AJ$6,-SUMIF(Inputs!$E$145:$AH$145,CF!AJ$4,Inputs!$E158:$AH158)*AJ$7,0)</f>
        <v>-37.612033081099383</v>
      </c>
      <c r="AK68" s="842">
        <f>IF(AK$6,-SUMIF(Inputs!$E$145:$AH$145,CF!AK$4,Inputs!$E158:$AH158)*AK$7,0)</f>
        <v>-36.998793411298848</v>
      </c>
      <c r="AL68" s="842">
        <f>IF(AL$6,-SUMIF(Inputs!$E$145:$AH$145,CF!AL$4,Inputs!$E158:$AH158)*AL$7,0)</f>
        <v>-38.136914994666569</v>
      </c>
      <c r="AM68" s="842">
        <f>IF(AM$6,-SUMIF(Inputs!$E$145:$AH$145,CF!AM$4,Inputs!$E158:$AH158)*AM$7,0)</f>
        <v>-37.515117467579614</v>
      </c>
      <c r="AN68" s="842">
        <f>IF(AN$6,-SUMIF(Inputs!$E$145:$AH$145,CF!AN$4,Inputs!$E158:$AH158)*AN$7,0)</f>
        <v>-38.672294546505114</v>
      </c>
      <c r="AO68" s="842">
        <f>IF(AO$6,-SUMIF(Inputs!$E$145:$AH$145,CF!AO$4,Inputs!$E158:$AH158)*AO$7,0)</f>
        <v>-38.041768004986004</v>
      </c>
      <c r="AP68" s="842">
        <f>IF(AP$6,-SUMIF(Inputs!$E$145:$AH$145,CF!AP$4,Inputs!$E158:$AH158)*AP$7,0)</f>
        <v>-39.111227641048778</v>
      </c>
      <c r="AQ68" s="842">
        <f>IF(AQ$6,-SUMIF(Inputs!$E$145:$AH$145,CF!AQ$4,Inputs!$E158:$AH158)*AQ$7,0)</f>
        <v>-38.686105601472157</v>
      </c>
      <c r="AR68" s="842">
        <f>IF(AR$6,-SUMIF(Inputs!$E$145:$AH$145,CF!AR$4,Inputs!$E158:$AH158)*AR$7,0)</f>
        <v>-39.775390575113235</v>
      </c>
      <c r="AS68" s="842">
        <f>IF(AS$6,-SUMIF(Inputs!$E$145:$AH$145,CF!AS$4,Inputs!$E158:$AH158)*AS$7,0)</f>
        <v>-39.126878772258124</v>
      </c>
      <c r="AT68" s="842">
        <f>IF(AT$6,-SUMIF(Inputs!$E$145:$AH$145,CF!AT$4,Inputs!$E158:$AH158)*AT$7,0)</f>
        <v>-40.343539638560699</v>
      </c>
      <c r="AU68" s="842">
        <f>IF(AU$6,-SUMIF(Inputs!$E$145:$AH$145,CF!AU$4,Inputs!$E158:$AH158)*AU$7,0)</f>
        <v>-39.685764535758075</v>
      </c>
      <c r="AV68" s="842">
        <f>IF(AV$6,-SUMIF(Inputs!$E$145:$AH$145,CF!AV$4,Inputs!$E158:$AH158)*AV$7,0)</f>
        <v>-40.92305168327713</v>
      </c>
      <c r="AW68" s="842">
        <f>IF(AW$6,-SUMIF(Inputs!$E$145:$AH$145,CF!AW$4,Inputs!$E158:$AH158)*AW$7,0)</f>
        <v>-40.255828014528049</v>
      </c>
      <c r="AX68" s="842">
        <f>IF(AX$6,-SUMIF(Inputs!$E$145:$AH$145,CF!AX$4,Inputs!$E158:$AH158)*AX$7,0)</f>
        <v>-41.400727318699651</v>
      </c>
      <c r="AY68" s="842">
        <f>IF(AY$6,-SUMIF(Inputs!$E$145:$AH$145,CF!AY$4,Inputs!$E158:$AH158)*AY$7,0)</f>
        <v>-40.950719413061606</v>
      </c>
      <c r="AZ68" s="842">
        <f>IF(AZ$6,-SUMIF(Inputs!$E$145:$AH$145,CF!AZ$4,Inputs!$E158:$AH158)*AZ$7,0)</f>
        <v>-42.117078300210835</v>
      </c>
      <c r="BA68" s="842">
        <f>IF(BA$6,-SUMIF(Inputs!$E$145:$AH$145,CF!BA$4,Inputs!$E158:$AH158)*BA$7,0)</f>
        <v>-41.430386806185659</v>
      </c>
      <c r="BB68" s="842">
        <f>IF(BB$6,-SUMIF(Inputs!$E$145:$AH$145,CF!BB$4,Inputs!$E158:$AH158)*BB$7,0)</f>
        <v>-42.732061118160253</v>
      </c>
      <c r="BC68" s="842">
        <f>IF(BC$6,-SUMIF(Inputs!$E$145:$AH$145,CF!BC$4,Inputs!$E158:$AH158)*BC$7,0)</f>
        <v>-42.035342730364164</v>
      </c>
      <c r="BD68" s="842">
        <f>IF(BD$6,-SUMIF(Inputs!$E$145:$AH$145,CF!BD$4,Inputs!$E158:$AH158)*BD$7,0)</f>
        <v>-43.359343592468662</v>
      </c>
      <c r="BE68" s="842">
        <f>IF(BE$6,-SUMIF(Inputs!$E$145:$AH$145,CF!BE$4,Inputs!$E158:$AH158)*BE$7,0)</f>
        <v>-42.652397773026237</v>
      </c>
      <c r="BF68" s="842">
        <f>IF(BF$6,-SUMIF(Inputs!$E$145:$AH$145,CF!BF$4,Inputs!$E158:$AH158)*BF$7,0)</f>
        <v>-43.87895540009859</v>
      </c>
      <c r="BG68" s="842">
        <f>IF(BG$6,-SUMIF(Inputs!$E$145:$AH$145,CF!BG$4,Inputs!$E158:$AH158)*BG$7,0)</f>
        <v>-43.402010232706218</v>
      </c>
      <c r="BH68" s="842">
        <f>IF(BH$6,-SUMIF(Inputs!$E$145:$AH$145,CF!BH$4,Inputs!$E158:$AH158)*BH$7,0)</f>
        <v>-44.651796402533712</v>
      </c>
      <c r="BI68" s="842">
        <f>IF(BI$6,-SUMIF(Inputs!$E$145:$AH$145,CF!BI$4,Inputs!$E158:$AH158)*BI$7,0)</f>
        <v>-43.923777982927184</v>
      </c>
      <c r="BJ68" s="842">
        <f>IF(BJ$6,-SUMIF(Inputs!$E$145:$AH$145,CF!BJ$4,Inputs!$E158:$AH158)*BJ$7,0)</f>
        <v>-45.317473582529594</v>
      </c>
      <c r="BK68" s="842">
        <f>IF(BK$6,-SUMIF(Inputs!$E$145:$AH$145,CF!BK$4,Inputs!$E158:$AH158)*BK$7,0)</f>
        <v>-44.578601730640521</v>
      </c>
      <c r="BL68" s="842">
        <f>IF(BL$6,-SUMIF(Inputs!$E$145:$AH$145,CF!BL$4,Inputs!$E158:$AH158)*BL$7,0)</f>
        <v>-45.996464306125404</v>
      </c>
      <c r="BM68" s="842">
        <f>IF(BM$6,-SUMIF(Inputs!$E$145:$AH$145,CF!BM$4,Inputs!$E158:$AH158)*BM$7,0)</f>
        <v>-45.24652195330814</v>
      </c>
      <c r="BN68" s="842">
        <f>IF(BN$6,-SUMIF(Inputs!$E$145:$AH$145,CF!BN$4,Inputs!$E158:$AH158)*BN$7,0)</f>
        <v>-46.561469175219898</v>
      </c>
      <c r="BO68" s="842">
        <f>IF(BO$6,-SUMIF(Inputs!$E$145:$AH$145,CF!BO$4,Inputs!$E158:$AH158)*BO$7,0)</f>
        <v>-46.055366249402283</v>
      </c>
      <c r="BP68" s="842"/>
      <c r="BQ68" s="842"/>
      <c r="BR68" s="842"/>
      <c r="BS68" s="842"/>
      <c r="BT68" s="842"/>
      <c r="BU68" s="842"/>
      <c r="BV68" s="842"/>
      <c r="BW68" s="842"/>
      <c r="BX68" s="842"/>
      <c r="BY68" s="842"/>
      <c r="BZ68" s="842"/>
      <c r="CA68" s="842"/>
      <c r="CB68" s="842"/>
      <c r="CC68" s="842"/>
      <c r="CD68" s="842"/>
      <c r="CE68" s="842"/>
      <c r="CF68" s="842"/>
      <c r="CG68" s="842"/>
      <c r="CH68" s="842"/>
      <c r="CI68" s="842"/>
      <c r="CJ68" s="842"/>
      <c r="CK68" s="842"/>
      <c r="CL68" s="842"/>
      <c r="CM68" s="842"/>
      <c r="CN68" s="842"/>
      <c r="CO68" s="842"/>
      <c r="CP68" s="842"/>
      <c r="CQ68" s="842"/>
      <c r="CR68" s="842"/>
      <c r="CS68" s="842"/>
      <c r="CT68" s="842"/>
      <c r="CU68" s="842"/>
      <c r="CV68" s="842"/>
      <c r="CW68" s="842"/>
      <c r="CX68" s="842"/>
      <c r="CY68" s="842"/>
      <c r="CZ68" s="842"/>
      <c r="DA68" s="842"/>
      <c r="DB68" s="842"/>
      <c r="DC68" s="842"/>
      <c r="DD68" s="842"/>
      <c r="DE68" s="842"/>
      <c r="DF68" s="842"/>
      <c r="DG68" s="842"/>
      <c r="DH68" s="842"/>
      <c r="DI68" s="842"/>
      <c r="DJ68" s="842"/>
      <c r="DK68" s="842"/>
      <c r="DL68" s="842"/>
      <c r="DM68" s="842"/>
      <c r="DN68" s="842"/>
      <c r="DO68" s="842"/>
      <c r="DP68" s="842"/>
      <c r="DQ68" s="842"/>
      <c r="DR68" s="842"/>
      <c r="DS68" s="842"/>
      <c r="DT68" s="842"/>
      <c r="DU68" s="842"/>
      <c r="DV68" s="842"/>
      <c r="DW68" s="842"/>
      <c r="DX68" s="304"/>
      <c r="DY68" s="304"/>
    </row>
    <row r="69" spans="1:129" ht="11.25" customHeight="1">
      <c r="A69" s="492" t="str">
        <f>Inputs!A159</f>
        <v>Taxes</v>
      </c>
      <c r="B69" s="672"/>
      <c r="C69" s="672"/>
      <c r="D69" s="493"/>
      <c r="E69" s="493"/>
      <c r="F69" s="512"/>
      <c r="G69" s="842">
        <f>IF(G$6,-SUMIF(Inputs!$E$145:$AH$145,CF!G$4,Inputs!$E159:$AH159)*G$7,0)</f>
        <v>0</v>
      </c>
      <c r="H69" s="842">
        <f>IF(H$6,-SUMIF(Inputs!$E$145:$AH$145,CF!H$4,Inputs!$E159:$AH159)*H$7,0)</f>
        <v>0</v>
      </c>
      <c r="I69" s="842">
        <f>IF(I$6,-SUMIF(Inputs!$E$145:$AH$145,CF!I$4,Inputs!$E159:$AH159)*I$7,0)</f>
        <v>0</v>
      </c>
      <c r="J69" s="842">
        <f>IF(J$6,-SUMIF(Inputs!$E$145:$AH$145,CF!J$4,Inputs!$E159:$AH159)*J$7,0)</f>
        <v>0</v>
      </c>
      <c r="K69" s="842">
        <f>IF(K$6,-SUMIF(Inputs!$E$145:$AH$145,CF!K$4,Inputs!$E159:$AH159)*K$7,0)</f>
        <v>0</v>
      </c>
      <c r="L69" s="842">
        <f>IF(L$6,-SUMIF(Inputs!$E$145:$AH$145,CF!L$4,Inputs!$E159:$AH159)*L$7,0)</f>
        <v>0</v>
      </c>
      <c r="M69" s="842">
        <f>IF(M$6,-SUMIF(Inputs!$E$145:$AH$145,CF!M$4,Inputs!$E159:$AH159)*M$7,0)</f>
        <v>0</v>
      </c>
      <c r="N69" s="842">
        <f>IF(N$6,-SUMIF(Inputs!$E$145:$AH$145,CF!N$4,Inputs!$E159:$AH159)*N$7,0)</f>
        <v>0</v>
      </c>
      <c r="O69" s="842">
        <f>IF(O$6,-SUMIF(Inputs!$E$145:$AH$145,CF!O$4,Inputs!$E159:$AH159)*O$7,0)</f>
        <v>0</v>
      </c>
      <c r="P69" s="842">
        <f>IF(P$6,-SUMIF(Inputs!$E$145:$AH$145,CF!P$4,Inputs!$E159:$AH159)*P$7,0)</f>
        <v>0</v>
      </c>
      <c r="Q69" s="842">
        <f>IF(Q$6,-SUMIF(Inputs!$E$145:$AH$145,CF!Q$4,Inputs!$E159:$AH159)*Q$7,0)</f>
        <v>0</v>
      </c>
      <c r="R69" s="842">
        <f>IF(R$6,-SUMIF(Inputs!$E$145:$AH$145,CF!R$4,Inputs!$E159:$AH159)*R$7,0)</f>
        <v>0</v>
      </c>
      <c r="S69" s="842">
        <f>IF(S$6,-SUMIF(Inputs!$E$145:$AH$145,CF!S$4,Inputs!$E159:$AH159)*S$7,0)</f>
        <v>0</v>
      </c>
      <c r="T69" s="842">
        <f>IF(T$6,-SUMIF(Inputs!$E$145:$AH$145,CF!T$4,Inputs!$E159:$AH159)*T$7,0)</f>
        <v>0</v>
      </c>
      <c r="U69" s="842">
        <f>IF(U$6,-SUMIF(Inputs!$E$145:$AH$145,CF!U$4,Inputs!$E159:$AH159)*U$7,0)</f>
        <v>0</v>
      </c>
      <c r="V69" s="842">
        <f>IF(V$6,-SUMIF(Inputs!$E$145:$AH$145,CF!V$4,Inputs!$E159:$AH159)*V$7,0)</f>
        <v>0</v>
      </c>
      <c r="W69" s="842">
        <f>IF(W$6,-SUMIF(Inputs!$E$145:$AH$145,CF!W$4,Inputs!$E159:$AH159)*W$7,0)</f>
        <v>0</v>
      </c>
      <c r="X69" s="842">
        <f>IF(X$6,-SUMIF(Inputs!$E$145:$AH$145,CF!X$4,Inputs!$E159:$AH159)*X$7,0)</f>
        <v>0</v>
      </c>
      <c r="Y69" s="842">
        <f>IF(Y$6,-SUMIF(Inputs!$E$145:$AH$145,CF!Y$4,Inputs!$E159:$AH159)*Y$7,0)</f>
        <v>0</v>
      </c>
      <c r="Z69" s="842">
        <f>IF(Z$6,-SUMIF(Inputs!$E$145:$AH$145,CF!Z$4,Inputs!$E159:$AH159)*Z$7,0)</f>
        <v>0</v>
      </c>
      <c r="AA69" s="842">
        <f>IF(AA$6,-SUMIF(Inputs!$E$145:$AH$145,CF!AA$4,Inputs!$E159:$AH159)*AA$7,0)</f>
        <v>0</v>
      </c>
      <c r="AB69" s="842">
        <f>IF(AB$6,-SUMIF(Inputs!$E$145:$AH$145,CF!AB$4,Inputs!$E159:$AH159)*AB$7,0)</f>
        <v>0</v>
      </c>
      <c r="AC69" s="842">
        <f>IF(AC$6,-SUMIF(Inputs!$E$145:$AH$145,CF!AC$4,Inputs!$E159:$AH159)*AC$7,0)</f>
        <v>0</v>
      </c>
      <c r="AD69" s="842">
        <f>IF(AD$6,-SUMIF(Inputs!$E$145:$AH$145,CF!AD$4,Inputs!$E159:$AH159)*AD$7,0)</f>
        <v>0</v>
      </c>
      <c r="AE69" s="842">
        <f>IF(AE$6,-SUMIF(Inputs!$E$145:$AH$145,CF!AE$4,Inputs!$E159:$AH159)*AE$7,0)</f>
        <v>0</v>
      </c>
      <c r="AF69" s="842">
        <f>IF(AF$6,-SUMIF(Inputs!$E$145:$AH$145,CF!AF$4,Inputs!$E159:$AH159)*AF$7,0)</f>
        <v>0</v>
      </c>
      <c r="AG69" s="842">
        <f>IF(AG$6,-SUMIF(Inputs!$E$145:$AH$145,CF!AG$4,Inputs!$E159:$AH159)*AG$7,0)</f>
        <v>0</v>
      </c>
      <c r="AH69" s="842">
        <f>IF(AH$6,-SUMIF(Inputs!$E$145:$AH$145,CF!AH$4,Inputs!$E159:$AH159)*AH$7,0)</f>
        <v>0</v>
      </c>
      <c r="AI69" s="842">
        <f>IF(AI$6,-SUMIF(Inputs!$E$145:$AH$145,CF!AI$4,Inputs!$E159:$AH159)*AI$7,0)</f>
        <v>0</v>
      </c>
      <c r="AJ69" s="842">
        <f>IF(AJ$6,-SUMIF(Inputs!$E$145:$AH$145,CF!AJ$4,Inputs!$E159:$AH159)*AJ$7,0)</f>
        <v>0</v>
      </c>
      <c r="AK69" s="842">
        <f>IF(AK$6,-SUMIF(Inputs!$E$145:$AH$145,CF!AK$4,Inputs!$E159:$AH159)*AK$7,0)</f>
        <v>0</v>
      </c>
      <c r="AL69" s="842">
        <f>IF(AL$6,-SUMIF(Inputs!$E$145:$AH$145,CF!AL$4,Inputs!$E159:$AH159)*AL$7,0)</f>
        <v>0</v>
      </c>
      <c r="AM69" s="842">
        <f>IF(AM$6,-SUMIF(Inputs!$E$145:$AH$145,CF!AM$4,Inputs!$E159:$AH159)*AM$7,0)</f>
        <v>0</v>
      </c>
      <c r="AN69" s="842">
        <f>IF(AN$6,-SUMIF(Inputs!$E$145:$AH$145,CF!AN$4,Inputs!$E159:$AH159)*AN$7,0)</f>
        <v>0</v>
      </c>
      <c r="AO69" s="842">
        <f>IF(AO$6,-SUMIF(Inputs!$E$145:$AH$145,CF!AO$4,Inputs!$E159:$AH159)*AO$7,0)</f>
        <v>0</v>
      </c>
      <c r="AP69" s="842">
        <f>IF(AP$6,-SUMIF(Inputs!$E$145:$AH$145,CF!AP$4,Inputs!$E159:$AH159)*AP$7,0)</f>
        <v>0</v>
      </c>
      <c r="AQ69" s="842">
        <f>IF(AQ$6,-SUMIF(Inputs!$E$145:$AH$145,CF!AQ$4,Inputs!$E159:$AH159)*AQ$7,0)</f>
        <v>0</v>
      </c>
      <c r="AR69" s="842">
        <f>IF(AR$6,-SUMIF(Inputs!$E$145:$AH$145,CF!AR$4,Inputs!$E159:$AH159)*AR$7,0)</f>
        <v>0</v>
      </c>
      <c r="AS69" s="842">
        <f>IF(AS$6,-SUMIF(Inputs!$E$145:$AH$145,CF!AS$4,Inputs!$E159:$AH159)*AS$7,0)</f>
        <v>0</v>
      </c>
      <c r="AT69" s="842">
        <f>IF(AT$6,-SUMIF(Inputs!$E$145:$AH$145,CF!AT$4,Inputs!$E159:$AH159)*AT$7,0)</f>
        <v>0</v>
      </c>
      <c r="AU69" s="842">
        <f>IF(AU$6,-SUMIF(Inputs!$E$145:$AH$145,CF!AU$4,Inputs!$E159:$AH159)*AU$7,0)</f>
        <v>0</v>
      </c>
      <c r="AV69" s="842">
        <f>IF(AV$6,-SUMIF(Inputs!$E$145:$AH$145,CF!AV$4,Inputs!$E159:$AH159)*AV$7,0)</f>
        <v>0</v>
      </c>
      <c r="AW69" s="842">
        <f>IF(AW$6,-SUMIF(Inputs!$E$145:$AH$145,CF!AW$4,Inputs!$E159:$AH159)*AW$7,0)</f>
        <v>0</v>
      </c>
      <c r="AX69" s="842">
        <f>IF(AX$6,-SUMIF(Inputs!$E$145:$AH$145,CF!AX$4,Inputs!$E159:$AH159)*AX$7,0)</f>
        <v>0</v>
      </c>
      <c r="AY69" s="842">
        <f>IF(AY$6,-SUMIF(Inputs!$E$145:$AH$145,CF!AY$4,Inputs!$E159:$AH159)*AY$7,0)</f>
        <v>0</v>
      </c>
      <c r="AZ69" s="842">
        <f>IF(AZ$6,-SUMIF(Inputs!$E$145:$AH$145,CF!AZ$4,Inputs!$E159:$AH159)*AZ$7,0)</f>
        <v>0</v>
      </c>
      <c r="BA69" s="842">
        <f>IF(BA$6,-SUMIF(Inputs!$E$145:$AH$145,CF!BA$4,Inputs!$E159:$AH159)*BA$7,0)</f>
        <v>0</v>
      </c>
      <c r="BB69" s="842">
        <f>IF(BB$6,-SUMIF(Inputs!$E$145:$AH$145,CF!BB$4,Inputs!$E159:$AH159)*BB$7,0)</f>
        <v>0</v>
      </c>
      <c r="BC69" s="842">
        <f>IF(BC$6,-SUMIF(Inputs!$E$145:$AH$145,CF!BC$4,Inputs!$E159:$AH159)*BC$7,0)</f>
        <v>0</v>
      </c>
      <c r="BD69" s="842">
        <f>IF(BD$6,-SUMIF(Inputs!$E$145:$AH$145,CF!BD$4,Inputs!$E159:$AH159)*BD$7,0)</f>
        <v>0</v>
      </c>
      <c r="BE69" s="842">
        <f>IF(BE$6,-SUMIF(Inputs!$E$145:$AH$145,CF!BE$4,Inputs!$E159:$AH159)*BE$7,0)</f>
        <v>0</v>
      </c>
      <c r="BF69" s="842">
        <f>IF(BF$6,-SUMIF(Inputs!$E$145:$AH$145,CF!BF$4,Inputs!$E159:$AH159)*BF$7,0)</f>
        <v>0</v>
      </c>
      <c r="BG69" s="842">
        <f>IF(BG$6,-SUMIF(Inputs!$E$145:$AH$145,CF!BG$4,Inputs!$E159:$AH159)*BG$7,0)</f>
        <v>0</v>
      </c>
      <c r="BH69" s="842">
        <f>IF(BH$6,-SUMIF(Inputs!$E$145:$AH$145,CF!BH$4,Inputs!$E159:$AH159)*BH$7,0)</f>
        <v>0</v>
      </c>
      <c r="BI69" s="842">
        <f>IF(BI$6,-SUMIF(Inputs!$E$145:$AH$145,CF!BI$4,Inputs!$E159:$AH159)*BI$7,0)</f>
        <v>0</v>
      </c>
      <c r="BJ69" s="842">
        <f>IF(BJ$6,-SUMIF(Inputs!$E$145:$AH$145,CF!BJ$4,Inputs!$E159:$AH159)*BJ$7,0)</f>
        <v>0</v>
      </c>
      <c r="BK69" s="842">
        <f>IF(BK$6,-SUMIF(Inputs!$E$145:$AH$145,CF!BK$4,Inputs!$E159:$AH159)*BK$7,0)</f>
        <v>0</v>
      </c>
      <c r="BL69" s="842">
        <f>IF(BL$6,-SUMIF(Inputs!$E$145:$AH$145,CF!BL$4,Inputs!$E159:$AH159)*BL$7,0)</f>
        <v>0</v>
      </c>
      <c r="BM69" s="842">
        <f>IF(BM$6,-SUMIF(Inputs!$E$145:$AH$145,CF!BM$4,Inputs!$E159:$AH159)*BM$7,0)</f>
        <v>0</v>
      </c>
      <c r="BN69" s="842">
        <f>IF(BN$6,-SUMIF(Inputs!$E$145:$AH$145,CF!BN$4,Inputs!$E159:$AH159)*BN$7,0)</f>
        <v>0</v>
      </c>
      <c r="BO69" s="842">
        <f>IF(BO$6,-SUMIF(Inputs!$E$145:$AH$145,CF!BO$4,Inputs!$E159:$AH159)*BO$7,0)</f>
        <v>0</v>
      </c>
      <c r="BP69" s="842"/>
      <c r="BQ69" s="842"/>
      <c r="BR69" s="842"/>
      <c r="BS69" s="842"/>
      <c r="BT69" s="842"/>
      <c r="BU69" s="842"/>
      <c r="BV69" s="842"/>
      <c r="BW69" s="842"/>
      <c r="BX69" s="842"/>
      <c r="BY69" s="842"/>
      <c r="BZ69" s="842"/>
      <c r="CA69" s="842"/>
      <c r="CB69" s="842"/>
      <c r="CC69" s="842"/>
      <c r="CD69" s="842"/>
      <c r="CE69" s="842"/>
      <c r="CF69" s="842"/>
      <c r="CG69" s="842"/>
      <c r="CH69" s="842"/>
      <c r="CI69" s="842"/>
      <c r="CJ69" s="842"/>
      <c r="CK69" s="842"/>
      <c r="CL69" s="842"/>
      <c r="CM69" s="842"/>
      <c r="CN69" s="842"/>
      <c r="CO69" s="842"/>
      <c r="CP69" s="842"/>
      <c r="CQ69" s="842"/>
      <c r="CR69" s="842"/>
      <c r="CS69" s="842"/>
      <c r="CT69" s="842"/>
      <c r="CU69" s="842"/>
      <c r="CV69" s="842"/>
      <c r="CW69" s="842"/>
      <c r="CX69" s="842"/>
      <c r="CY69" s="842"/>
      <c r="CZ69" s="842"/>
      <c r="DA69" s="842"/>
      <c r="DB69" s="842"/>
      <c r="DC69" s="842"/>
      <c r="DD69" s="842"/>
      <c r="DE69" s="842"/>
      <c r="DF69" s="842"/>
      <c r="DG69" s="842"/>
      <c r="DH69" s="842"/>
      <c r="DI69" s="842"/>
      <c r="DJ69" s="842"/>
      <c r="DK69" s="842"/>
      <c r="DL69" s="842"/>
      <c r="DM69" s="842"/>
      <c r="DN69" s="842"/>
      <c r="DO69" s="842"/>
      <c r="DP69" s="842"/>
      <c r="DQ69" s="842"/>
      <c r="DR69" s="842"/>
      <c r="DS69" s="842"/>
      <c r="DT69" s="842"/>
      <c r="DU69" s="842"/>
      <c r="DV69" s="842"/>
      <c r="DW69" s="842"/>
      <c r="DX69" s="304"/>
      <c r="DY69" s="304"/>
    </row>
    <row r="70" spans="1:129" ht="11.25" customHeight="1">
      <c r="A70" s="492" t="str">
        <f>Inputs!A160</f>
        <v>Salary and payroll Tax</v>
      </c>
      <c r="B70" s="672"/>
      <c r="C70" s="672"/>
      <c r="D70" s="493"/>
      <c r="E70" s="493"/>
      <c r="F70" s="512"/>
      <c r="G70" s="842">
        <f>IF(G$6,-SUMIF(Inputs!$E$145:$AH$145,CF!G$4,Inputs!$E160:$AH160)*G$7,0)</f>
        <v>0</v>
      </c>
      <c r="H70" s="842">
        <f>IF(H$6,-SUMIF(Inputs!$E$145:$AH$145,CF!H$4,Inputs!$E160:$AH160)*H$7,0)</f>
        <v>0</v>
      </c>
      <c r="I70" s="842">
        <f>IF(I$6,-SUMIF(Inputs!$E$145:$AH$145,CF!I$4,Inputs!$E160:$AH160)*I$7,0)</f>
        <v>0</v>
      </c>
      <c r="J70" s="842">
        <f>IF(J$6,-SUMIF(Inputs!$E$145:$AH$145,CF!J$4,Inputs!$E160:$AH160)*J$7,0)</f>
        <v>0</v>
      </c>
      <c r="K70" s="842">
        <f>IF(K$6,-SUMIF(Inputs!$E$145:$AH$145,CF!K$4,Inputs!$E160:$AH160)*K$7,0)</f>
        <v>0</v>
      </c>
      <c r="L70" s="842">
        <f>IF(L$6,-SUMIF(Inputs!$E$145:$AH$145,CF!L$4,Inputs!$E160:$AH160)*L$7,0)</f>
        <v>0</v>
      </c>
      <c r="M70" s="842">
        <f>IF(M$6,-SUMIF(Inputs!$E$145:$AH$145,CF!M$4,Inputs!$E160:$AH160)*M$7,0)</f>
        <v>0</v>
      </c>
      <c r="N70" s="842">
        <f>IF(N$6,-SUMIF(Inputs!$E$145:$AH$145,CF!N$4,Inputs!$E160:$AH160)*N$7,0)</f>
        <v>0</v>
      </c>
      <c r="O70" s="842">
        <f>IF(O$6,-SUMIF(Inputs!$E$145:$AH$145,CF!O$4,Inputs!$E160:$AH160)*O$7,0)</f>
        <v>0</v>
      </c>
      <c r="P70" s="842">
        <f>IF(P$6,-SUMIF(Inputs!$E$145:$AH$145,CF!P$4,Inputs!$E160:$AH160)*P$7,0)</f>
        <v>0</v>
      </c>
      <c r="Q70" s="842">
        <f>IF(Q$6,-SUMIF(Inputs!$E$145:$AH$145,CF!Q$4,Inputs!$E160:$AH160)*Q$7,0)</f>
        <v>0</v>
      </c>
      <c r="R70" s="842">
        <f>IF(R$6,-SUMIF(Inputs!$E$145:$AH$145,CF!R$4,Inputs!$E160:$AH160)*R$7,0)</f>
        <v>0</v>
      </c>
      <c r="S70" s="842">
        <f>IF(S$6,-SUMIF(Inputs!$E$145:$AH$145,CF!S$4,Inputs!$E160:$AH160)*S$7,0)</f>
        <v>0</v>
      </c>
      <c r="T70" s="842">
        <f>IF(T$6,-SUMIF(Inputs!$E$145:$AH$145,CF!T$4,Inputs!$E160:$AH160)*T$7,0)</f>
        <v>0</v>
      </c>
      <c r="U70" s="842">
        <f>IF(U$6,-SUMIF(Inputs!$E$145:$AH$145,CF!U$4,Inputs!$E160:$AH160)*U$7,0)</f>
        <v>0</v>
      </c>
      <c r="V70" s="842">
        <f>IF(V$6,-SUMIF(Inputs!$E$145:$AH$145,CF!V$4,Inputs!$E160:$AH160)*V$7,0)</f>
        <v>0</v>
      </c>
      <c r="W70" s="842">
        <f>IF(W$6,-SUMIF(Inputs!$E$145:$AH$145,CF!W$4,Inputs!$E160:$AH160)*W$7,0)</f>
        <v>0</v>
      </c>
      <c r="X70" s="842">
        <f>IF(X$6,-SUMIF(Inputs!$E$145:$AH$145,CF!X$4,Inputs!$E160:$AH160)*X$7,0)</f>
        <v>0</v>
      </c>
      <c r="Y70" s="842">
        <f>IF(Y$6,-SUMIF(Inputs!$E$145:$AH$145,CF!Y$4,Inputs!$E160:$AH160)*Y$7,0)</f>
        <v>0</v>
      </c>
      <c r="Z70" s="842">
        <f>IF(Z$6,-SUMIF(Inputs!$E$145:$AH$145,CF!Z$4,Inputs!$E160:$AH160)*Z$7,0)</f>
        <v>0</v>
      </c>
      <c r="AA70" s="842">
        <f>IF(AA$6,-SUMIF(Inputs!$E$145:$AH$145,CF!AA$4,Inputs!$E160:$AH160)*AA$7,0)</f>
        <v>0</v>
      </c>
      <c r="AB70" s="842">
        <f>IF(AB$6,-SUMIF(Inputs!$E$145:$AH$145,CF!AB$4,Inputs!$E160:$AH160)*AB$7,0)</f>
        <v>0</v>
      </c>
      <c r="AC70" s="842">
        <f>IF(AC$6,-SUMIF(Inputs!$E$145:$AH$145,CF!AC$4,Inputs!$E160:$AH160)*AC$7,0)</f>
        <v>0</v>
      </c>
      <c r="AD70" s="842">
        <f>IF(AD$6,-SUMIF(Inputs!$E$145:$AH$145,CF!AD$4,Inputs!$E160:$AH160)*AD$7,0)</f>
        <v>0</v>
      </c>
      <c r="AE70" s="842">
        <f>IF(AE$6,-SUMIF(Inputs!$E$145:$AH$145,CF!AE$4,Inputs!$E160:$AH160)*AE$7,0)</f>
        <v>0</v>
      </c>
      <c r="AF70" s="842">
        <f>IF(AF$6,-SUMIF(Inputs!$E$145:$AH$145,CF!AF$4,Inputs!$E160:$AH160)*AF$7,0)</f>
        <v>0</v>
      </c>
      <c r="AG70" s="842">
        <f>IF(AG$6,-SUMIF(Inputs!$E$145:$AH$145,CF!AG$4,Inputs!$E160:$AH160)*AG$7,0)</f>
        <v>0</v>
      </c>
      <c r="AH70" s="842">
        <f>IF(AH$6,-SUMIF(Inputs!$E$145:$AH$145,CF!AH$4,Inputs!$E160:$AH160)*AH$7,0)</f>
        <v>0</v>
      </c>
      <c r="AI70" s="842">
        <f>IF(AI$6,-SUMIF(Inputs!$E$145:$AH$145,CF!AI$4,Inputs!$E160:$AH160)*AI$7,0)</f>
        <v>0</v>
      </c>
      <c r="AJ70" s="842">
        <f>IF(AJ$6,-SUMIF(Inputs!$E$145:$AH$145,CF!AJ$4,Inputs!$E160:$AH160)*AJ$7,0)</f>
        <v>0</v>
      </c>
      <c r="AK70" s="842">
        <f>IF(AK$6,-SUMIF(Inputs!$E$145:$AH$145,CF!AK$4,Inputs!$E160:$AH160)*AK$7,0)</f>
        <v>0</v>
      </c>
      <c r="AL70" s="842">
        <f>IF(AL$6,-SUMIF(Inputs!$E$145:$AH$145,CF!AL$4,Inputs!$E160:$AH160)*AL$7,0)</f>
        <v>0</v>
      </c>
      <c r="AM70" s="842">
        <f>IF(AM$6,-SUMIF(Inputs!$E$145:$AH$145,CF!AM$4,Inputs!$E160:$AH160)*AM$7,0)</f>
        <v>0</v>
      </c>
      <c r="AN70" s="842">
        <f>IF(AN$6,-SUMIF(Inputs!$E$145:$AH$145,CF!AN$4,Inputs!$E160:$AH160)*AN$7,0)</f>
        <v>0</v>
      </c>
      <c r="AO70" s="842">
        <f>IF(AO$6,-SUMIF(Inputs!$E$145:$AH$145,CF!AO$4,Inputs!$E160:$AH160)*AO$7,0)</f>
        <v>0</v>
      </c>
      <c r="AP70" s="842">
        <f>IF(AP$6,-SUMIF(Inputs!$E$145:$AH$145,CF!AP$4,Inputs!$E160:$AH160)*AP$7,0)</f>
        <v>0</v>
      </c>
      <c r="AQ70" s="842">
        <f>IF(AQ$6,-SUMIF(Inputs!$E$145:$AH$145,CF!AQ$4,Inputs!$E160:$AH160)*AQ$7,0)</f>
        <v>0</v>
      </c>
      <c r="AR70" s="842">
        <f>IF(AR$6,-SUMIF(Inputs!$E$145:$AH$145,CF!AR$4,Inputs!$E160:$AH160)*AR$7,0)</f>
        <v>0</v>
      </c>
      <c r="AS70" s="842">
        <f>IF(AS$6,-SUMIF(Inputs!$E$145:$AH$145,CF!AS$4,Inputs!$E160:$AH160)*AS$7,0)</f>
        <v>0</v>
      </c>
      <c r="AT70" s="842">
        <f>IF(AT$6,-SUMIF(Inputs!$E$145:$AH$145,CF!AT$4,Inputs!$E160:$AH160)*AT$7,0)</f>
        <v>0</v>
      </c>
      <c r="AU70" s="842">
        <f>IF(AU$6,-SUMIF(Inputs!$E$145:$AH$145,CF!AU$4,Inputs!$E160:$AH160)*AU$7,0)</f>
        <v>0</v>
      </c>
      <c r="AV70" s="842">
        <f>IF(AV$6,-SUMIF(Inputs!$E$145:$AH$145,CF!AV$4,Inputs!$E160:$AH160)*AV$7,0)</f>
        <v>0</v>
      </c>
      <c r="AW70" s="842">
        <f>IF(AW$6,-SUMIF(Inputs!$E$145:$AH$145,CF!AW$4,Inputs!$E160:$AH160)*AW$7,0)</f>
        <v>0</v>
      </c>
      <c r="AX70" s="842">
        <f>IF(AX$6,-SUMIF(Inputs!$E$145:$AH$145,CF!AX$4,Inputs!$E160:$AH160)*AX$7,0)</f>
        <v>0</v>
      </c>
      <c r="AY70" s="842">
        <f>IF(AY$6,-SUMIF(Inputs!$E$145:$AH$145,CF!AY$4,Inputs!$E160:$AH160)*AY$7,0)</f>
        <v>0</v>
      </c>
      <c r="AZ70" s="842">
        <f>IF(AZ$6,-SUMIF(Inputs!$E$145:$AH$145,CF!AZ$4,Inputs!$E160:$AH160)*AZ$7,0)</f>
        <v>0</v>
      </c>
      <c r="BA70" s="842">
        <f>IF(BA$6,-SUMIF(Inputs!$E$145:$AH$145,CF!BA$4,Inputs!$E160:$AH160)*BA$7,0)</f>
        <v>0</v>
      </c>
      <c r="BB70" s="842">
        <f>IF(BB$6,-SUMIF(Inputs!$E$145:$AH$145,CF!BB$4,Inputs!$E160:$AH160)*BB$7,0)</f>
        <v>0</v>
      </c>
      <c r="BC70" s="842">
        <f>IF(BC$6,-SUMIF(Inputs!$E$145:$AH$145,CF!BC$4,Inputs!$E160:$AH160)*BC$7,0)</f>
        <v>0</v>
      </c>
      <c r="BD70" s="842">
        <f>IF(BD$6,-SUMIF(Inputs!$E$145:$AH$145,CF!BD$4,Inputs!$E160:$AH160)*BD$7,0)</f>
        <v>0</v>
      </c>
      <c r="BE70" s="842">
        <f>IF(BE$6,-SUMIF(Inputs!$E$145:$AH$145,CF!BE$4,Inputs!$E160:$AH160)*BE$7,0)</f>
        <v>0</v>
      </c>
      <c r="BF70" s="842">
        <f>IF(BF$6,-SUMIF(Inputs!$E$145:$AH$145,CF!BF$4,Inputs!$E160:$AH160)*BF$7,0)</f>
        <v>0</v>
      </c>
      <c r="BG70" s="842">
        <f>IF(BG$6,-SUMIF(Inputs!$E$145:$AH$145,CF!BG$4,Inputs!$E160:$AH160)*BG$7,0)</f>
        <v>0</v>
      </c>
      <c r="BH70" s="842">
        <f>IF(BH$6,-SUMIF(Inputs!$E$145:$AH$145,CF!BH$4,Inputs!$E160:$AH160)*BH$7,0)</f>
        <v>0</v>
      </c>
      <c r="BI70" s="842">
        <f>IF(BI$6,-SUMIF(Inputs!$E$145:$AH$145,CF!BI$4,Inputs!$E160:$AH160)*BI$7,0)</f>
        <v>0</v>
      </c>
      <c r="BJ70" s="842">
        <f>IF(BJ$6,-SUMIF(Inputs!$E$145:$AH$145,CF!BJ$4,Inputs!$E160:$AH160)*BJ$7,0)</f>
        <v>0</v>
      </c>
      <c r="BK70" s="842">
        <f>IF(BK$6,-SUMIF(Inputs!$E$145:$AH$145,CF!BK$4,Inputs!$E160:$AH160)*BK$7,0)</f>
        <v>0</v>
      </c>
      <c r="BL70" s="842">
        <f>IF(BL$6,-SUMIF(Inputs!$E$145:$AH$145,CF!BL$4,Inputs!$E160:$AH160)*BL$7,0)</f>
        <v>0</v>
      </c>
      <c r="BM70" s="842">
        <f>IF(BM$6,-SUMIF(Inputs!$E$145:$AH$145,CF!BM$4,Inputs!$E160:$AH160)*BM$7,0)</f>
        <v>0</v>
      </c>
      <c r="BN70" s="842">
        <f>IF(BN$6,-SUMIF(Inputs!$E$145:$AH$145,CF!BN$4,Inputs!$E160:$AH160)*BN$7,0)</f>
        <v>0</v>
      </c>
      <c r="BO70" s="842">
        <f>IF(BO$6,-SUMIF(Inputs!$E$145:$AH$145,CF!BO$4,Inputs!$E160:$AH160)*BO$7,0)</f>
        <v>0</v>
      </c>
      <c r="BP70" s="842"/>
      <c r="BQ70" s="842"/>
      <c r="BR70" s="842"/>
      <c r="BS70" s="842"/>
      <c r="BT70" s="842"/>
      <c r="BU70" s="842"/>
      <c r="BV70" s="842"/>
      <c r="BW70" s="842"/>
      <c r="BX70" s="842"/>
      <c r="BY70" s="842"/>
      <c r="BZ70" s="842"/>
      <c r="CA70" s="842"/>
      <c r="CB70" s="842"/>
      <c r="CC70" s="842"/>
      <c r="CD70" s="842"/>
      <c r="CE70" s="842"/>
      <c r="CF70" s="842"/>
      <c r="CG70" s="842"/>
      <c r="CH70" s="842"/>
      <c r="CI70" s="842"/>
      <c r="CJ70" s="842"/>
      <c r="CK70" s="842"/>
      <c r="CL70" s="842"/>
      <c r="CM70" s="842"/>
      <c r="CN70" s="842"/>
      <c r="CO70" s="842"/>
      <c r="CP70" s="842"/>
      <c r="CQ70" s="842"/>
      <c r="CR70" s="842"/>
      <c r="CS70" s="842"/>
      <c r="CT70" s="842"/>
      <c r="CU70" s="842"/>
      <c r="CV70" s="842"/>
      <c r="CW70" s="842"/>
      <c r="CX70" s="842"/>
      <c r="CY70" s="842"/>
      <c r="CZ70" s="842"/>
      <c r="DA70" s="842"/>
      <c r="DB70" s="842"/>
      <c r="DC70" s="842"/>
      <c r="DD70" s="842"/>
      <c r="DE70" s="842"/>
      <c r="DF70" s="842"/>
      <c r="DG70" s="842"/>
      <c r="DH70" s="842"/>
      <c r="DI70" s="842"/>
      <c r="DJ70" s="842"/>
      <c r="DK70" s="842"/>
      <c r="DL70" s="842"/>
      <c r="DM70" s="842"/>
      <c r="DN70" s="842"/>
      <c r="DO70" s="842"/>
      <c r="DP70" s="842"/>
      <c r="DQ70" s="842"/>
      <c r="DR70" s="842"/>
      <c r="DS70" s="842"/>
      <c r="DT70" s="842"/>
      <c r="DU70" s="842"/>
      <c r="DV70" s="842"/>
      <c r="DW70" s="842"/>
      <c r="DX70" s="304"/>
      <c r="DY70" s="304"/>
    </row>
    <row r="71" spans="1:129">
      <c r="A71" s="492" t="str">
        <f>Inputs!A161</f>
        <v>Withholding Tax</v>
      </c>
      <c r="B71" s="672"/>
      <c r="C71" s="672"/>
      <c r="D71" s="493"/>
      <c r="E71" s="493"/>
      <c r="F71" s="512"/>
      <c r="G71" s="842">
        <f>IF(G$6,-SUMIF(Inputs!$E$145:$AH$145,CF!G$4,Inputs!$E161:$AH161)*G$7,0)</f>
        <v>0</v>
      </c>
      <c r="H71" s="842">
        <f>IF(H$6,-SUMIF(Inputs!$E$145:$AH$145,CF!H$4,Inputs!$E161:$AH161)*H$7,0)</f>
        <v>0</v>
      </c>
      <c r="I71" s="842">
        <f>IF(I$6,-SUMIF(Inputs!$E$145:$AH$145,CF!I$4,Inputs!$E161:$AH161)*I$7,0)</f>
        <v>0</v>
      </c>
      <c r="J71" s="842">
        <f>IF(J$6,-SUMIF(Inputs!$E$145:$AH$145,CF!J$4,Inputs!$E161:$AH161)*J$7,0)</f>
        <v>0</v>
      </c>
      <c r="K71" s="842">
        <f>IF(K$6,-SUMIF(Inputs!$E$145:$AH$145,CF!K$4,Inputs!$E161:$AH161)*K$7,0)</f>
        <v>0</v>
      </c>
      <c r="L71" s="842">
        <f>IF(L$6,-SUMIF(Inputs!$E$145:$AH$145,CF!L$4,Inputs!$E161:$AH161)*L$7,0)</f>
        <v>0</v>
      </c>
      <c r="M71" s="842">
        <f>IF(M$6,-SUMIF(Inputs!$E$145:$AH$145,CF!M$4,Inputs!$E161:$AH161)*M$7,0)</f>
        <v>0</v>
      </c>
      <c r="N71" s="842">
        <f>IF(N$6,-SUMIF(Inputs!$E$145:$AH$145,CF!N$4,Inputs!$E161:$AH161)*N$7,0)</f>
        <v>0</v>
      </c>
      <c r="O71" s="842">
        <f>IF(O$6,-SUMIF(Inputs!$E$145:$AH$145,CF!O$4,Inputs!$E161:$AH161)*O$7,0)</f>
        <v>0</v>
      </c>
      <c r="P71" s="842">
        <f>IF(P$6,-SUMIF(Inputs!$E$145:$AH$145,CF!P$4,Inputs!$E161:$AH161)*P$7,0)</f>
        <v>0</v>
      </c>
      <c r="Q71" s="842">
        <f>IF(Q$6,-SUMIF(Inputs!$E$145:$AH$145,CF!Q$4,Inputs!$E161:$AH161)*Q$7,0)</f>
        <v>0</v>
      </c>
      <c r="R71" s="842">
        <f>IF(R$6,-SUMIF(Inputs!$E$145:$AH$145,CF!R$4,Inputs!$E161:$AH161)*R$7,0)</f>
        <v>0</v>
      </c>
      <c r="S71" s="842">
        <f>IF(S$6,-SUMIF(Inputs!$E$145:$AH$145,CF!S$4,Inputs!$E161:$AH161)*S$7,0)</f>
        <v>0</v>
      </c>
      <c r="T71" s="842">
        <f>IF(T$6,-SUMIF(Inputs!$E$145:$AH$145,CF!T$4,Inputs!$E161:$AH161)*T$7,0)</f>
        <v>0</v>
      </c>
      <c r="U71" s="842">
        <f>IF(U$6,-SUMIF(Inputs!$E$145:$AH$145,CF!U$4,Inputs!$E161:$AH161)*U$7,0)</f>
        <v>0</v>
      </c>
      <c r="V71" s="842">
        <f>IF(V$6,-SUMIF(Inputs!$E$145:$AH$145,CF!V$4,Inputs!$E161:$AH161)*V$7,0)</f>
        <v>0</v>
      </c>
      <c r="W71" s="842">
        <f>IF(W$6,-SUMIF(Inputs!$E$145:$AH$145,CF!W$4,Inputs!$E161:$AH161)*W$7,0)</f>
        <v>0</v>
      </c>
      <c r="X71" s="842">
        <f>IF(X$6,-SUMIF(Inputs!$E$145:$AH$145,CF!X$4,Inputs!$E161:$AH161)*X$7,0)</f>
        <v>0</v>
      </c>
      <c r="Y71" s="842">
        <f>IF(Y$6,-SUMIF(Inputs!$E$145:$AH$145,CF!Y$4,Inputs!$E161:$AH161)*Y$7,0)</f>
        <v>0</v>
      </c>
      <c r="Z71" s="842">
        <f>IF(Z$6,-SUMIF(Inputs!$E$145:$AH$145,CF!Z$4,Inputs!$E161:$AH161)*Z$7,0)</f>
        <v>0</v>
      </c>
      <c r="AA71" s="842">
        <f>IF(AA$6,-SUMIF(Inputs!$E$145:$AH$145,CF!AA$4,Inputs!$E161:$AH161)*AA$7,0)</f>
        <v>0</v>
      </c>
      <c r="AB71" s="842">
        <f>IF(AB$6,-SUMIF(Inputs!$E$145:$AH$145,CF!AB$4,Inputs!$E161:$AH161)*AB$7,0)</f>
        <v>0</v>
      </c>
      <c r="AC71" s="842">
        <f>IF(AC$6,-SUMIF(Inputs!$E$145:$AH$145,CF!AC$4,Inputs!$E161:$AH161)*AC$7,0)</f>
        <v>0</v>
      </c>
      <c r="AD71" s="842">
        <f>IF(AD$6,-SUMIF(Inputs!$E$145:$AH$145,CF!AD$4,Inputs!$E161:$AH161)*AD$7,0)</f>
        <v>0</v>
      </c>
      <c r="AE71" s="842">
        <f>IF(AE$6,-SUMIF(Inputs!$E$145:$AH$145,CF!AE$4,Inputs!$E161:$AH161)*AE$7,0)</f>
        <v>0</v>
      </c>
      <c r="AF71" s="842">
        <f>IF(AF$6,-SUMIF(Inputs!$E$145:$AH$145,CF!AF$4,Inputs!$E161:$AH161)*AF$7,0)</f>
        <v>0</v>
      </c>
      <c r="AG71" s="842">
        <f>IF(AG$6,-SUMIF(Inputs!$E$145:$AH$145,CF!AG$4,Inputs!$E161:$AH161)*AG$7,0)</f>
        <v>0</v>
      </c>
      <c r="AH71" s="842">
        <f>IF(AH$6,-SUMIF(Inputs!$E$145:$AH$145,CF!AH$4,Inputs!$E161:$AH161)*AH$7,0)</f>
        <v>0</v>
      </c>
      <c r="AI71" s="842">
        <f>IF(AI$6,-SUMIF(Inputs!$E$145:$AH$145,CF!AI$4,Inputs!$E161:$AH161)*AI$7,0)</f>
        <v>0</v>
      </c>
      <c r="AJ71" s="842">
        <f>IF(AJ$6,-SUMIF(Inputs!$E$145:$AH$145,CF!AJ$4,Inputs!$E161:$AH161)*AJ$7,0)</f>
        <v>0</v>
      </c>
      <c r="AK71" s="842">
        <f>IF(AK$6,-SUMIF(Inputs!$E$145:$AH$145,CF!AK$4,Inputs!$E161:$AH161)*AK$7,0)</f>
        <v>0</v>
      </c>
      <c r="AL71" s="842">
        <f>IF(AL$6,-SUMIF(Inputs!$E$145:$AH$145,CF!AL$4,Inputs!$E161:$AH161)*AL$7,0)</f>
        <v>0</v>
      </c>
      <c r="AM71" s="842">
        <f>IF(AM$6,-SUMIF(Inputs!$E$145:$AH$145,CF!AM$4,Inputs!$E161:$AH161)*AM$7,0)</f>
        <v>0</v>
      </c>
      <c r="AN71" s="842">
        <f>IF(AN$6,-SUMIF(Inputs!$E$145:$AH$145,CF!AN$4,Inputs!$E161:$AH161)*AN$7,0)</f>
        <v>0</v>
      </c>
      <c r="AO71" s="842">
        <f>IF(AO$6,-SUMIF(Inputs!$E$145:$AH$145,CF!AO$4,Inputs!$E161:$AH161)*AO$7,0)</f>
        <v>0</v>
      </c>
      <c r="AP71" s="842">
        <f>IF(AP$6,-SUMIF(Inputs!$E$145:$AH$145,CF!AP$4,Inputs!$E161:$AH161)*AP$7,0)</f>
        <v>0</v>
      </c>
      <c r="AQ71" s="842">
        <f>IF(AQ$6,-SUMIF(Inputs!$E$145:$AH$145,CF!AQ$4,Inputs!$E161:$AH161)*AQ$7,0)</f>
        <v>0</v>
      </c>
      <c r="AR71" s="842">
        <f>IF(AR$6,-SUMIF(Inputs!$E$145:$AH$145,CF!AR$4,Inputs!$E161:$AH161)*AR$7,0)</f>
        <v>0</v>
      </c>
      <c r="AS71" s="842">
        <f>IF(AS$6,-SUMIF(Inputs!$E$145:$AH$145,CF!AS$4,Inputs!$E161:$AH161)*AS$7,0)</f>
        <v>0</v>
      </c>
      <c r="AT71" s="842">
        <f>IF(AT$6,-SUMIF(Inputs!$E$145:$AH$145,CF!AT$4,Inputs!$E161:$AH161)*AT$7,0)</f>
        <v>0</v>
      </c>
      <c r="AU71" s="842">
        <f>IF(AU$6,-SUMIF(Inputs!$E$145:$AH$145,CF!AU$4,Inputs!$E161:$AH161)*AU$7,0)</f>
        <v>0</v>
      </c>
      <c r="AV71" s="842">
        <f>IF(AV$6,-SUMIF(Inputs!$E$145:$AH$145,CF!AV$4,Inputs!$E161:$AH161)*AV$7,0)</f>
        <v>0</v>
      </c>
      <c r="AW71" s="842">
        <f>IF(AW$6,-SUMIF(Inputs!$E$145:$AH$145,CF!AW$4,Inputs!$E161:$AH161)*AW$7,0)</f>
        <v>0</v>
      </c>
      <c r="AX71" s="842">
        <f>IF(AX$6,-SUMIF(Inputs!$E$145:$AH$145,CF!AX$4,Inputs!$E161:$AH161)*AX$7,0)</f>
        <v>0</v>
      </c>
      <c r="AY71" s="842">
        <f>IF(AY$6,-SUMIF(Inputs!$E$145:$AH$145,CF!AY$4,Inputs!$E161:$AH161)*AY$7,0)</f>
        <v>0</v>
      </c>
      <c r="AZ71" s="842">
        <f>IF(AZ$6,-SUMIF(Inputs!$E$145:$AH$145,CF!AZ$4,Inputs!$E161:$AH161)*AZ$7,0)</f>
        <v>0</v>
      </c>
      <c r="BA71" s="842">
        <f>IF(BA$6,-SUMIF(Inputs!$E$145:$AH$145,CF!BA$4,Inputs!$E161:$AH161)*BA$7,0)</f>
        <v>0</v>
      </c>
      <c r="BB71" s="842">
        <f>IF(BB$6,-SUMIF(Inputs!$E$145:$AH$145,CF!BB$4,Inputs!$E161:$AH161)*BB$7,0)</f>
        <v>0</v>
      </c>
      <c r="BC71" s="842">
        <f>IF(BC$6,-SUMIF(Inputs!$E$145:$AH$145,CF!BC$4,Inputs!$E161:$AH161)*BC$7,0)</f>
        <v>0</v>
      </c>
      <c r="BD71" s="842">
        <f>IF(BD$6,-SUMIF(Inputs!$E$145:$AH$145,CF!BD$4,Inputs!$E161:$AH161)*BD$7,0)</f>
        <v>0</v>
      </c>
      <c r="BE71" s="842">
        <f>IF(BE$6,-SUMIF(Inputs!$E$145:$AH$145,CF!BE$4,Inputs!$E161:$AH161)*BE$7,0)</f>
        <v>0</v>
      </c>
      <c r="BF71" s="842">
        <f>IF(BF$6,-SUMIF(Inputs!$E$145:$AH$145,CF!BF$4,Inputs!$E161:$AH161)*BF$7,0)</f>
        <v>0</v>
      </c>
      <c r="BG71" s="842">
        <f>IF(BG$6,-SUMIF(Inputs!$E$145:$AH$145,CF!BG$4,Inputs!$E161:$AH161)*BG$7,0)</f>
        <v>0</v>
      </c>
      <c r="BH71" s="842">
        <f>IF(BH$6,-SUMIF(Inputs!$E$145:$AH$145,CF!BH$4,Inputs!$E161:$AH161)*BH$7,0)</f>
        <v>0</v>
      </c>
      <c r="BI71" s="842">
        <f>IF(BI$6,-SUMIF(Inputs!$E$145:$AH$145,CF!BI$4,Inputs!$E161:$AH161)*BI$7,0)</f>
        <v>0</v>
      </c>
      <c r="BJ71" s="842">
        <f>IF(BJ$6,-SUMIF(Inputs!$E$145:$AH$145,CF!BJ$4,Inputs!$E161:$AH161)*BJ$7,0)</f>
        <v>0</v>
      </c>
      <c r="BK71" s="842">
        <f>IF(BK$6,-SUMIF(Inputs!$E$145:$AH$145,CF!BK$4,Inputs!$E161:$AH161)*BK$7,0)</f>
        <v>0</v>
      </c>
      <c r="BL71" s="842">
        <f>IF(BL$6,-SUMIF(Inputs!$E$145:$AH$145,CF!BL$4,Inputs!$E161:$AH161)*BL$7,0)</f>
        <v>0</v>
      </c>
      <c r="BM71" s="842">
        <f>IF(BM$6,-SUMIF(Inputs!$E$145:$AH$145,CF!BM$4,Inputs!$E161:$AH161)*BM$7,0)</f>
        <v>0</v>
      </c>
      <c r="BN71" s="842">
        <f>IF(BN$6,-SUMIF(Inputs!$E$145:$AH$145,CF!BN$4,Inputs!$E161:$AH161)*BN$7,0)</f>
        <v>0</v>
      </c>
      <c r="BO71" s="842">
        <f>IF(BO$6,-SUMIF(Inputs!$E$145:$AH$145,CF!BO$4,Inputs!$E161:$AH161)*BO$7,0)</f>
        <v>0</v>
      </c>
      <c r="BP71" s="842"/>
      <c r="BQ71" s="842"/>
      <c r="BR71" s="842"/>
      <c r="BS71" s="842"/>
      <c r="BT71" s="842"/>
      <c r="BU71" s="842"/>
      <c r="BV71" s="842"/>
      <c r="BW71" s="842"/>
      <c r="BX71" s="842"/>
      <c r="BY71" s="842"/>
      <c r="BZ71" s="842"/>
      <c r="CA71" s="842"/>
      <c r="CB71" s="842"/>
      <c r="CC71" s="842"/>
      <c r="CD71" s="842"/>
      <c r="CE71" s="842"/>
      <c r="CF71" s="842"/>
      <c r="CG71" s="842"/>
      <c r="CH71" s="842"/>
      <c r="CI71" s="842"/>
      <c r="CJ71" s="842"/>
      <c r="CK71" s="842"/>
      <c r="CL71" s="842"/>
      <c r="CM71" s="842"/>
      <c r="CN71" s="842"/>
      <c r="CO71" s="842"/>
      <c r="CP71" s="842"/>
      <c r="CQ71" s="842"/>
      <c r="CR71" s="842"/>
      <c r="CS71" s="842"/>
      <c r="CT71" s="842"/>
      <c r="CU71" s="842"/>
      <c r="CV71" s="842"/>
      <c r="CW71" s="842"/>
      <c r="CX71" s="842"/>
      <c r="CY71" s="842"/>
      <c r="CZ71" s="842"/>
      <c r="DA71" s="842"/>
      <c r="DB71" s="842"/>
      <c r="DC71" s="842"/>
      <c r="DD71" s="842"/>
      <c r="DE71" s="842"/>
      <c r="DF71" s="842"/>
      <c r="DG71" s="842"/>
      <c r="DH71" s="842"/>
      <c r="DI71" s="842"/>
      <c r="DJ71" s="842"/>
      <c r="DK71" s="842"/>
      <c r="DL71" s="842"/>
      <c r="DM71" s="842"/>
      <c r="DN71" s="842"/>
      <c r="DO71" s="842"/>
      <c r="DP71" s="842"/>
      <c r="DQ71" s="842"/>
      <c r="DR71" s="842"/>
      <c r="DS71" s="842"/>
      <c r="DT71" s="842"/>
      <c r="DU71" s="842"/>
      <c r="DV71" s="842"/>
      <c r="DW71" s="842"/>
      <c r="DX71" s="304"/>
      <c r="DY71" s="304"/>
    </row>
    <row r="72" spans="1:129">
      <c r="A72" s="492"/>
      <c r="B72" s="672"/>
      <c r="C72" s="672"/>
      <c r="D72" s="493"/>
      <c r="E72" s="493"/>
      <c r="F72" s="512"/>
      <c r="G72" s="498"/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  <c r="AA72" s="498"/>
      <c r="AB72" s="498"/>
      <c r="AC72" s="498"/>
      <c r="AD72" s="498"/>
      <c r="AE72" s="498"/>
      <c r="AF72" s="498"/>
      <c r="AG72" s="498"/>
      <c r="AH72" s="498"/>
      <c r="AI72" s="498"/>
      <c r="AJ72" s="498"/>
      <c r="AK72" s="498"/>
      <c r="AL72" s="498"/>
      <c r="AM72" s="498"/>
      <c r="AN72" s="498"/>
      <c r="AO72" s="498"/>
      <c r="AP72" s="498"/>
      <c r="AQ72" s="498"/>
      <c r="AR72" s="498"/>
      <c r="AS72" s="498"/>
      <c r="AT72" s="498"/>
      <c r="AU72" s="498"/>
      <c r="AV72" s="498"/>
      <c r="AW72" s="498"/>
      <c r="AX72" s="498"/>
      <c r="AY72" s="498"/>
      <c r="AZ72" s="498"/>
      <c r="BA72" s="498"/>
      <c r="BB72" s="498"/>
      <c r="BC72" s="498"/>
      <c r="BD72" s="498"/>
      <c r="BE72" s="498"/>
      <c r="BF72" s="498"/>
      <c r="BG72" s="498"/>
      <c r="BH72" s="498"/>
      <c r="BI72" s="498"/>
      <c r="BJ72" s="498"/>
      <c r="BK72" s="498"/>
      <c r="BL72" s="498"/>
      <c r="BM72" s="498"/>
      <c r="BN72" s="498"/>
      <c r="BO72" s="498"/>
      <c r="BP72" s="498"/>
      <c r="BQ72" s="498"/>
      <c r="BR72" s="498"/>
      <c r="BS72" s="498"/>
      <c r="BT72" s="498"/>
      <c r="BU72" s="498"/>
      <c r="BV72" s="498"/>
      <c r="BW72" s="498"/>
      <c r="BX72" s="498"/>
      <c r="BY72" s="498"/>
      <c r="BZ72" s="498"/>
      <c r="CA72" s="498"/>
      <c r="CB72" s="498"/>
      <c r="CC72" s="498"/>
      <c r="CD72" s="498"/>
      <c r="CE72" s="498"/>
      <c r="CF72" s="498"/>
      <c r="CG72" s="498"/>
      <c r="CH72" s="498"/>
      <c r="CI72" s="498"/>
      <c r="CJ72" s="498"/>
      <c r="CK72" s="498"/>
      <c r="CL72" s="498"/>
      <c r="CM72" s="498"/>
      <c r="CN72" s="498"/>
      <c r="CO72" s="498"/>
      <c r="CP72" s="498"/>
      <c r="CQ72" s="498"/>
      <c r="CR72" s="498"/>
      <c r="CS72" s="498"/>
      <c r="CT72" s="498"/>
      <c r="CU72" s="498"/>
      <c r="CV72" s="498"/>
      <c r="CW72" s="498"/>
      <c r="CX72" s="498"/>
      <c r="CY72" s="498"/>
      <c r="CZ72" s="498"/>
      <c r="DA72" s="498"/>
      <c r="DB72" s="498"/>
      <c r="DC72" s="498"/>
      <c r="DD72" s="498"/>
      <c r="DE72" s="498"/>
      <c r="DF72" s="498"/>
      <c r="DG72" s="498"/>
      <c r="DH72" s="498"/>
      <c r="DI72" s="498"/>
      <c r="DJ72" s="498"/>
      <c r="DK72" s="498"/>
      <c r="DL72" s="498"/>
      <c r="DM72" s="498"/>
      <c r="DN72" s="498"/>
      <c r="DO72" s="498"/>
      <c r="DP72" s="498"/>
      <c r="DQ72" s="498"/>
      <c r="DR72" s="498"/>
      <c r="DS72" s="498"/>
      <c r="DT72" s="498"/>
      <c r="DU72" s="498"/>
      <c r="DV72" s="498"/>
      <c r="DW72" s="498"/>
      <c r="DX72" s="304"/>
      <c r="DY72" s="304"/>
    </row>
    <row r="73" spans="1:129">
      <c r="A73" s="496" t="s">
        <v>1145</v>
      </c>
      <c r="B73" s="673"/>
      <c r="C73" s="673"/>
      <c r="G73" s="978">
        <f>Macro!G46</f>
        <v>0</v>
      </c>
      <c r="H73" s="978">
        <f>Macro!H46</f>
        <v>0</v>
      </c>
      <c r="I73" s="978">
        <f>Macro!I46</f>
        <v>0</v>
      </c>
      <c r="J73" s="978">
        <f>Macro!J46</f>
        <v>0</v>
      </c>
      <c r="K73" s="978">
        <f>Macro!K46</f>
        <v>0</v>
      </c>
      <c r="L73" s="978">
        <f>Macro!L46</f>
        <v>0</v>
      </c>
      <c r="M73" s="978">
        <f>Macro!M46</f>
        <v>0</v>
      </c>
      <c r="N73" s="978">
        <f>Macro!N46</f>
        <v>0</v>
      </c>
      <c r="O73" s="978">
        <f>Macro!O46</f>
        <v>0</v>
      </c>
      <c r="P73" s="978">
        <f>Macro!P46</f>
        <v>0</v>
      </c>
      <c r="Q73" s="978">
        <f>Macro!Q46</f>
        <v>0</v>
      </c>
      <c r="R73" s="978">
        <f>Macro!R46</f>
        <v>0</v>
      </c>
      <c r="S73" s="978">
        <f>Macro!S46</f>
        <v>0</v>
      </c>
      <c r="T73" s="978">
        <f>Macro!T46</f>
        <v>0</v>
      </c>
      <c r="U73" s="978">
        <f>Macro!U46</f>
        <v>0</v>
      </c>
      <c r="V73" s="978">
        <f>Macro!V46</f>
        <v>0</v>
      </c>
      <c r="W73" s="978">
        <f>Macro!W46</f>
        <v>0</v>
      </c>
      <c r="X73" s="978">
        <f>Macro!X46</f>
        <v>0</v>
      </c>
      <c r="Y73" s="978">
        <f>Macro!Y46</f>
        <v>0</v>
      </c>
      <c r="Z73" s="978">
        <f>Macro!Z46</f>
        <v>0</v>
      </c>
      <c r="AA73" s="978">
        <f>Macro!AA46</f>
        <v>0</v>
      </c>
      <c r="AB73" s="978">
        <f>Macro!AB46</f>
        <v>0</v>
      </c>
      <c r="AC73" s="978">
        <f>Macro!AC46</f>
        <v>0</v>
      </c>
      <c r="AD73" s="978">
        <f>Macro!AD46</f>
        <v>0</v>
      </c>
      <c r="AE73" s="978">
        <f>Macro!AE46</f>
        <v>0</v>
      </c>
      <c r="AF73" s="978">
        <f>Macro!AF46</f>
        <v>0</v>
      </c>
      <c r="AG73" s="978">
        <f>Macro!AG46</f>
        <v>0</v>
      </c>
      <c r="AH73" s="978">
        <f>Macro!AH46</f>
        <v>0</v>
      </c>
      <c r="AI73" s="978">
        <f>Macro!AI46</f>
        <v>0</v>
      </c>
      <c r="AJ73" s="978">
        <f>Macro!AJ46</f>
        <v>0</v>
      </c>
      <c r="AK73" s="978">
        <f>Macro!AK46</f>
        <v>0</v>
      </c>
      <c r="AL73" s="978">
        <f>Macro!AL46</f>
        <v>0</v>
      </c>
      <c r="AM73" s="978">
        <f>Macro!AM46</f>
        <v>0</v>
      </c>
      <c r="AN73" s="978">
        <f>Macro!AN46</f>
        <v>0</v>
      </c>
      <c r="AO73" s="978">
        <f>Macro!AO46</f>
        <v>0</v>
      </c>
      <c r="AP73" s="978">
        <f>Macro!AP46</f>
        <v>0</v>
      </c>
      <c r="AQ73" s="978">
        <f>Macro!AQ46</f>
        <v>0</v>
      </c>
      <c r="AR73" s="978">
        <f>Macro!AR46</f>
        <v>0</v>
      </c>
      <c r="AS73" s="978">
        <f>Macro!AS46</f>
        <v>0</v>
      </c>
      <c r="AT73" s="978">
        <f>Macro!AT46</f>
        <v>0</v>
      </c>
      <c r="AU73" s="978">
        <f>Macro!AU46</f>
        <v>0</v>
      </c>
      <c r="AV73" s="978">
        <f>Macro!AV46</f>
        <v>0</v>
      </c>
      <c r="AW73" s="978">
        <f>Macro!AW46</f>
        <v>0</v>
      </c>
      <c r="AX73" s="978">
        <f>Macro!AX46</f>
        <v>0</v>
      </c>
      <c r="AY73" s="978">
        <f>Macro!AY46</f>
        <v>0</v>
      </c>
      <c r="AZ73" s="978">
        <f>Macro!AZ46</f>
        <v>0</v>
      </c>
      <c r="BA73" s="978">
        <f>Macro!BA46</f>
        <v>0</v>
      </c>
      <c r="BB73" s="978">
        <f>Macro!BB46</f>
        <v>0</v>
      </c>
      <c r="BC73" s="978">
        <f>Macro!BC46</f>
        <v>0</v>
      </c>
      <c r="BD73" s="978">
        <f>Macro!BD46</f>
        <v>0</v>
      </c>
      <c r="BE73" s="978">
        <f>Macro!BE46</f>
        <v>0</v>
      </c>
      <c r="BF73" s="978">
        <f>Macro!BF46</f>
        <v>0</v>
      </c>
      <c r="BG73" s="978">
        <f>Macro!BG46</f>
        <v>0</v>
      </c>
      <c r="BH73" s="978">
        <f>Macro!BH46</f>
        <v>0</v>
      </c>
      <c r="BI73" s="978">
        <f>Macro!BI46</f>
        <v>0</v>
      </c>
      <c r="BJ73" s="978">
        <f>Macro!BJ46</f>
        <v>0</v>
      </c>
      <c r="BK73" s="978">
        <f>Macro!BK46</f>
        <v>0</v>
      </c>
      <c r="BL73" s="978">
        <f>Macro!BL46</f>
        <v>0</v>
      </c>
      <c r="BM73" s="978">
        <f>Macro!BM46</f>
        <v>0</v>
      </c>
      <c r="BN73" s="978">
        <f>Macro!BN46</f>
        <v>0</v>
      </c>
      <c r="BO73" s="978">
        <f>Macro!BO46</f>
        <v>0</v>
      </c>
      <c r="BP73" s="978"/>
      <c r="BQ73" s="978"/>
      <c r="BR73" s="978"/>
      <c r="BS73" s="978"/>
      <c r="BT73" s="978"/>
      <c r="BU73" s="978"/>
      <c r="BV73" s="978"/>
      <c r="BW73" s="978"/>
      <c r="BX73" s="978"/>
      <c r="BY73" s="978"/>
      <c r="BZ73" s="978"/>
      <c r="CA73" s="978"/>
      <c r="CB73" s="978"/>
      <c r="CC73" s="978"/>
      <c r="CD73" s="978"/>
      <c r="CE73" s="978"/>
      <c r="CF73" s="978"/>
      <c r="CG73" s="978"/>
      <c r="CH73" s="978"/>
      <c r="CI73" s="978"/>
      <c r="CJ73" s="978"/>
      <c r="CK73" s="978"/>
      <c r="CL73" s="978"/>
      <c r="CM73" s="978"/>
      <c r="CN73" s="978"/>
      <c r="CO73" s="978"/>
      <c r="CP73" s="978"/>
      <c r="CQ73" s="978"/>
      <c r="CR73" s="978"/>
      <c r="CS73" s="978"/>
      <c r="CT73" s="978"/>
      <c r="CU73" s="978"/>
      <c r="CV73" s="978"/>
      <c r="CW73" s="978"/>
      <c r="CX73" s="978"/>
      <c r="CY73" s="978"/>
      <c r="CZ73" s="978"/>
      <c r="DA73" s="978"/>
      <c r="DB73" s="978"/>
      <c r="DC73" s="978"/>
      <c r="DD73" s="978"/>
      <c r="DE73" s="978"/>
      <c r="DF73" s="978"/>
      <c r="DG73" s="978"/>
      <c r="DH73" s="978"/>
      <c r="DI73" s="978"/>
      <c r="DJ73" s="978"/>
      <c r="DK73" s="978"/>
      <c r="DL73" s="978"/>
      <c r="DM73" s="978"/>
      <c r="DN73" s="978"/>
      <c r="DO73" s="978"/>
      <c r="DP73" s="978"/>
      <c r="DQ73" s="978"/>
      <c r="DR73" s="978"/>
      <c r="DS73" s="978"/>
      <c r="DT73" s="978"/>
      <c r="DU73" s="978"/>
      <c r="DV73" s="978"/>
      <c r="DW73" s="978"/>
    </row>
    <row r="74" spans="1:129" ht="11.25" customHeight="1">
      <c r="A74" s="511" t="s">
        <v>473</v>
      </c>
      <c r="B74" s="670">
        <f>Inputs!$D$438</f>
        <v>0.17</v>
      </c>
      <c r="C74" s="840"/>
      <c r="D74" s="512"/>
      <c r="E74" s="512"/>
      <c r="F74" s="512"/>
      <c r="G74" s="810">
        <f>-NOT(Inputs!$D$436)*$B74*SUM(G56:G70)</f>
        <v>0</v>
      </c>
      <c r="H74" s="810">
        <f>-NOT(Inputs!$D$436)*$B74*SUM(H56:H70)</f>
        <v>0</v>
      </c>
      <c r="I74" s="810">
        <f>-NOT(Inputs!$D$436)*$B74*SUM(I56:I70)</f>
        <v>0</v>
      </c>
      <c r="J74" s="810">
        <f>-NOT(Inputs!$D$436)*$B74*SUM(J56:J70)</f>
        <v>0</v>
      </c>
      <c r="K74" s="810">
        <f>-NOT(Inputs!$D$436)*$B74*SUM(K56:K70)</f>
        <v>0</v>
      </c>
      <c r="L74" s="810">
        <f>-NOT(Inputs!$D$436)*$B74*SUM(L56:L70)</f>
        <v>0</v>
      </c>
      <c r="M74" s="810">
        <f>-NOT(Inputs!$D$436)*$B74*SUM(M56:M70)</f>
        <v>0</v>
      </c>
      <c r="N74" s="810">
        <f>-NOT(Inputs!$D$436)*$B74*SUM(N56:N70)</f>
        <v>0</v>
      </c>
      <c r="O74" s="810">
        <f>-NOT(Inputs!$D$436)*$B74*SUM(O56:O70)</f>
        <v>0</v>
      </c>
      <c r="P74" s="810">
        <f>-NOT(Inputs!$D$436)*$B74*SUM(P56:P70)</f>
        <v>0</v>
      </c>
      <c r="Q74" s="810">
        <f>-NOT(Inputs!$D$436)*$B74*SUM(Q56:Q70)</f>
        <v>0</v>
      </c>
      <c r="R74" s="810">
        <f>-NOT(Inputs!$D$436)*$B74*SUM(R56:R70)</f>
        <v>0</v>
      </c>
      <c r="S74" s="810">
        <f>-NOT(Inputs!$D$436)*$B74*SUM(S56:S70)</f>
        <v>0</v>
      </c>
      <c r="T74" s="810">
        <f>-NOT(Inputs!$D$436)*$B74*SUM(T56:T70)</f>
        <v>0</v>
      </c>
      <c r="U74" s="810">
        <f>-NOT(Inputs!$D$436)*$B74*SUM(U56:U70)</f>
        <v>0</v>
      </c>
      <c r="V74" s="810">
        <f>-NOT(Inputs!$D$436)*$B74*SUM(V56:V70)</f>
        <v>0</v>
      </c>
      <c r="W74" s="810">
        <f>-NOT(Inputs!$D$436)*$B74*SUM(W56:W70)</f>
        <v>0</v>
      </c>
      <c r="X74" s="810">
        <f>-NOT(Inputs!$D$436)*$B74*SUM(X56:X70)</f>
        <v>0</v>
      </c>
      <c r="Y74" s="810">
        <f>-NOT(Inputs!$D$436)*$B74*SUM(Y56:Y70)</f>
        <v>0</v>
      </c>
      <c r="Z74" s="810">
        <f>-NOT(Inputs!$D$436)*$B74*SUM(Z56:Z70)</f>
        <v>0</v>
      </c>
      <c r="AA74" s="810">
        <f>-NOT(Inputs!$D$436)*$B74*SUM(AA56:AA70)</f>
        <v>0</v>
      </c>
      <c r="AB74" s="810">
        <f>-NOT(Inputs!$D$436)*$B74*SUM(AB56:AB70)</f>
        <v>0</v>
      </c>
      <c r="AC74" s="810">
        <f>-NOT(Inputs!$D$436)*$B74*SUM(AC56:AC70)</f>
        <v>0</v>
      </c>
      <c r="AD74" s="810">
        <f>-NOT(Inputs!$D$436)*$B74*SUM(AD56:AD70)</f>
        <v>0</v>
      </c>
      <c r="AE74" s="810">
        <f>-NOT(Inputs!$D$436)*$B74*SUM(AE56:AE70)</f>
        <v>0</v>
      </c>
      <c r="AF74" s="810">
        <f>-NOT(Inputs!$D$436)*$B74*SUM(AF56:AF70)</f>
        <v>0</v>
      </c>
      <c r="AG74" s="810">
        <f>-NOT(Inputs!$D$436)*$B74*SUM(AG56:AG70)</f>
        <v>0</v>
      </c>
      <c r="AH74" s="810">
        <f>-NOT(Inputs!$D$436)*$B74*SUM(AH56:AH70)</f>
        <v>0</v>
      </c>
      <c r="AI74" s="810">
        <f>-NOT(Inputs!$D$436)*$B74*SUM(AI56:AI70)</f>
        <v>0</v>
      </c>
      <c r="AJ74" s="810">
        <f>-NOT(Inputs!$D$436)*$B74*SUM(AJ56:AJ70)</f>
        <v>0</v>
      </c>
      <c r="AK74" s="810">
        <f>-NOT(Inputs!$D$436)*$B74*SUM(AK56:AK70)</f>
        <v>0</v>
      </c>
      <c r="AL74" s="810">
        <f>-NOT(Inputs!$D$436)*$B74*SUM(AL56:AL70)</f>
        <v>0</v>
      </c>
      <c r="AM74" s="810">
        <f>-NOT(Inputs!$D$436)*$B74*SUM(AM56:AM70)</f>
        <v>0</v>
      </c>
      <c r="AN74" s="810">
        <f>-NOT(Inputs!$D$436)*$B74*SUM(AN56:AN70)</f>
        <v>0</v>
      </c>
      <c r="AO74" s="810">
        <f>-NOT(Inputs!$D$436)*$B74*SUM(AO56:AO70)</f>
        <v>0</v>
      </c>
      <c r="AP74" s="810">
        <f>-NOT(Inputs!$D$436)*$B74*SUM(AP56:AP70)</f>
        <v>0</v>
      </c>
      <c r="AQ74" s="810">
        <f>-NOT(Inputs!$D$436)*$B74*SUM(AQ56:AQ70)</f>
        <v>0</v>
      </c>
      <c r="AR74" s="810">
        <f>-NOT(Inputs!$D$436)*$B74*SUM(AR56:AR70)</f>
        <v>0</v>
      </c>
      <c r="AS74" s="810">
        <f>-NOT(Inputs!$D$436)*$B74*SUM(AS56:AS70)</f>
        <v>0</v>
      </c>
      <c r="AT74" s="810">
        <f>-NOT(Inputs!$D$436)*$B74*SUM(AT56:AT70)</f>
        <v>0</v>
      </c>
      <c r="AU74" s="810">
        <f>-NOT(Inputs!$D$436)*$B74*SUM(AU56:AU70)</f>
        <v>0</v>
      </c>
      <c r="AV74" s="810">
        <f>-NOT(Inputs!$D$436)*$B74*SUM(AV56:AV70)</f>
        <v>0</v>
      </c>
      <c r="AW74" s="810">
        <f>-NOT(Inputs!$D$436)*$B74*SUM(AW56:AW70)</f>
        <v>0</v>
      </c>
      <c r="AX74" s="810">
        <f>-NOT(Inputs!$D$436)*$B74*SUM(AX56:AX70)</f>
        <v>0</v>
      </c>
      <c r="AY74" s="810">
        <f>-NOT(Inputs!$D$436)*$B74*SUM(AY56:AY70)</f>
        <v>0</v>
      </c>
      <c r="AZ74" s="810">
        <f>-NOT(Inputs!$D$436)*$B74*SUM(AZ56:AZ70)</f>
        <v>0</v>
      </c>
      <c r="BA74" s="810">
        <f>-NOT(Inputs!$D$436)*$B74*SUM(BA56:BA70)</f>
        <v>0</v>
      </c>
      <c r="BB74" s="810">
        <f>-NOT(Inputs!$D$436)*$B74*SUM(BB56:BB70)</f>
        <v>0</v>
      </c>
      <c r="BC74" s="810">
        <f>-NOT(Inputs!$D$436)*$B74*SUM(BC56:BC70)</f>
        <v>0</v>
      </c>
      <c r="BD74" s="810">
        <f>-NOT(Inputs!$D$436)*$B74*SUM(BD56:BD70)</f>
        <v>0</v>
      </c>
      <c r="BE74" s="810">
        <f>-NOT(Inputs!$D$436)*$B74*SUM(BE56:BE70)</f>
        <v>0</v>
      </c>
      <c r="BF74" s="810">
        <f>-NOT(Inputs!$D$436)*$B74*SUM(BF56:BF70)</f>
        <v>0</v>
      </c>
      <c r="BG74" s="810">
        <f>-NOT(Inputs!$D$436)*$B74*SUM(BG56:BG70)</f>
        <v>0</v>
      </c>
      <c r="BH74" s="810">
        <f>-NOT(Inputs!$D$436)*$B74*SUM(BH56:BH70)</f>
        <v>0</v>
      </c>
      <c r="BI74" s="810">
        <f>-NOT(Inputs!$D$436)*$B74*SUM(BI56:BI70)</f>
        <v>0</v>
      </c>
      <c r="BJ74" s="810">
        <f>-NOT(Inputs!$D$436)*$B74*SUM(BJ56:BJ70)</f>
        <v>0</v>
      </c>
      <c r="BK74" s="810">
        <f>-NOT(Inputs!$D$436)*$B74*SUM(BK56:BK70)</f>
        <v>0</v>
      </c>
      <c r="BL74" s="810">
        <f>-NOT(Inputs!$D$436)*$B74*SUM(BL56:BL70)</f>
        <v>0</v>
      </c>
      <c r="BM74" s="810">
        <f>-NOT(Inputs!$D$436)*$B74*SUM(BM56:BM70)</f>
        <v>0</v>
      </c>
      <c r="BN74" s="810">
        <f>-NOT(Inputs!$D$436)*$B74*SUM(BN56:BN70)</f>
        <v>0</v>
      </c>
      <c r="BO74" s="810">
        <f>-NOT(Inputs!$D$436)*$B74*SUM(BO56:BO70)</f>
        <v>0</v>
      </c>
      <c r="BP74" s="810"/>
      <c r="BQ74" s="810"/>
      <c r="BR74" s="810"/>
      <c r="BS74" s="810"/>
      <c r="BT74" s="810"/>
      <c r="BU74" s="810"/>
      <c r="BV74" s="810"/>
      <c r="BW74" s="810"/>
      <c r="BX74" s="810"/>
      <c r="BY74" s="810"/>
      <c r="BZ74" s="810"/>
      <c r="CA74" s="810"/>
      <c r="CB74" s="810"/>
      <c r="CC74" s="810"/>
      <c r="CD74" s="810"/>
      <c r="CE74" s="810"/>
      <c r="CF74" s="810"/>
      <c r="CG74" s="810"/>
      <c r="CH74" s="810"/>
      <c r="CI74" s="810"/>
      <c r="CJ74" s="810"/>
      <c r="CK74" s="810"/>
      <c r="CL74" s="810"/>
      <c r="CM74" s="810"/>
      <c r="CN74" s="810"/>
      <c r="CO74" s="810"/>
      <c r="CP74" s="810"/>
      <c r="CQ74" s="810"/>
      <c r="CR74" s="810"/>
      <c r="CS74" s="810"/>
      <c r="CT74" s="810"/>
      <c r="CU74" s="810"/>
      <c r="CV74" s="810"/>
      <c r="CW74" s="810"/>
      <c r="CX74" s="810"/>
      <c r="CY74" s="810"/>
      <c r="CZ74" s="810"/>
      <c r="DA74" s="810"/>
      <c r="DB74" s="810"/>
      <c r="DC74" s="810"/>
      <c r="DD74" s="810"/>
      <c r="DE74" s="810"/>
      <c r="DF74" s="810"/>
      <c r="DG74" s="810"/>
      <c r="DH74" s="810"/>
      <c r="DI74" s="810"/>
      <c r="DJ74" s="810"/>
      <c r="DK74" s="810"/>
      <c r="DL74" s="810"/>
      <c r="DM74" s="810"/>
      <c r="DN74" s="810"/>
      <c r="DO74" s="810"/>
      <c r="DP74" s="810"/>
      <c r="DQ74" s="810"/>
      <c r="DR74" s="810"/>
      <c r="DS74" s="810"/>
      <c r="DT74" s="810"/>
      <c r="DU74" s="810"/>
      <c r="DV74" s="810"/>
      <c r="DW74" s="810"/>
      <c r="DX74" s="304"/>
      <c r="DY74" s="304"/>
    </row>
    <row r="75" spans="1:129">
      <c r="A75" s="496"/>
      <c r="B75" s="672"/>
      <c r="C75" s="672"/>
      <c r="D75" s="493"/>
      <c r="E75" s="493"/>
      <c r="F75" s="512"/>
      <c r="G75" s="505"/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5"/>
      <c r="AB75" s="505"/>
      <c r="AC75" s="505"/>
      <c r="AD75" s="505"/>
      <c r="AE75" s="505"/>
      <c r="AF75" s="505"/>
      <c r="AG75" s="505"/>
      <c r="AH75" s="505"/>
      <c r="AI75" s="505"/>
      <c r="AJ75" s="505"/>
      <c r="AK75" s="505"/>
      <c r="AL75" s="505"/>
      <c r="AM75" s="505"/>
      <c r="AN75" s="505"/>
      <c r="AO75" s="505"/>
      <c r="AP75" s="505"/>
      <c r="AQ75" s="505"/>
      <c r="AR75" s="505"/>
      <c r="AS75" s="505"/>
      <c r="AT75" s="505"/>
      <c r="AU75" s="505"/>
      <c r="AV75" s="505"/>
      <c r="AW75" s="505"/>
      <c r="AX75" s="505"/>
      <c r="AY75" s="505"/>
      <c r="AZ75" s="505"/>
      <c r="BA75" s="505"/>
      <c r="BB75" s="505"/>
      <c r="BC75" s="505"/>
      <c r="BD75" s="505"/>
      <c r="BE75" s="505"/>
      <c r="BF75" s="505"/>
      <c r="BG75" s="505"/>
      <c r="BH75" s="505"/>
      <c r="BI75" s="505"/>
      <c r="BJ75" s="505"/>
      <c r="BK75" s="505"/>
      <c r="BL75" s="505"/>
      <c r="BM75" s="505"/>
      <c r="BN75" s="505"/>
      <c r="BO75" s="505"/>
      <c r="BP75" s="505"/>
      <c r="BQ75" s="505"/>
      <c r="BR75" s="505"/>
      <c r="BS75" s="505"/>
      <c r="BT75" s="505"/>
      <c r="BU75" s="505"/>
      <c r="BV75" s="505"/>
      <c r="BW75" s="505"/>
      <c r="BX75" s="505"/>
      <c r="BY75" s="505"/>
      <c r="BZ75" s="505"/>
      <c r="CA75" s="505"/>
      <c r="CB75" s="505"/>
      <c r="CC75" s="505"/>
      <c r="CD75" s="505"/>
      <c r="CE75" s="505"/>
      <c r="CF75" s="505"/>
      <c r="CG75" s="505"/>
      <c r="CH75" s="505"/>
      <c r="CI75" s="505"/>
      <c r="CJ75" s="505"/>
      <c r="CK75" s="505"/>
      <c r="CL75" s="505"/>
      <c r="CM75" s="505"/>
      <c r="CN75" s="505"/>
      <c r="CO75" s="505"/>
      <c r="CP75" s="505"/>
      <c r="CQ75" s="505"/>
      <c r="CR75" s="505"/>
      <c r="CS75" s="505"/>
      <c r="CT75" s="505"/>
      <c r="CU75" s="505"/>
      <c r="CV75" s="505"/>
      <c r="CW75" s="505"/>
      <c r="CX75" s="505"/>
      <c r="CY75" s="505"/>
      <c r="CZ75" s="505"/>
      <c r="DA75" s="505"/>
      <c r="DB75" s="505"/>
      <c r="DC75" s="505"/>
      <c r="DD75" s="505"/>
      <c r="DE75" s="505"/>
      <c r="DF75" s="505"/>
      <c r="DG75" s="505"/>
      <c r="DH75" s="505"/>
      <c r="DI75" s="505"/>
      <c r="DJ75" s="505"/>
      <c r="DK75" s="505"/>
      <c r="DL75" s="505"/>
      <c r="DM75" s="505"/>
      <c r="DN75" s="505"/>
      <c r="DO75" s="505"/>
      <c r="DP75" s="505"/>
      <c r="DQ75" s="505"/>
      <c r="DR75" s="505"/>
      <c r="DS75" s="505"/>
      <c r="DT75" s="505"/>
      <c r="DU75" s="505"/>
      <c r="DV75" s="505"/>
      <c r="DW75" s="505"/>
      <c r="DX75" s="304"/>
      <c r="DY75" s="304"/>
    </row>
    <row r="76" spans="1:129">
      <c r="A76" s="496" t="s">
        <v>1146</v>
      </c>
      <c r="B76" s="672"/>
      <c r="C76" s="672"/>
      <c r="D76" s="493"/>
      <c r="E76" s="493"/>
      <c r="F76" s="512"/>
      <c r="G76" s="978">
        <f>SUM('P&amp;L'!G19:G21)-'P&amp;L'!G28</f>
        <v>0</v>
      </c>
      <c r="H76" s="978">
        <f ca="1">SUM('P&amp;L'!H19:H21)-'P&amp;L'!H28</f>
        <v>0</v>
      </c>
      <c r="I76" s="978">
        <f ca="1">SUM('P&amp;L'!I19:I21)-'P&amp;L'!I28</f>
        <v>0</v>
      </c>
      <c r="J76" s="978">
        <f ca="1">SUM('P&amp;L'!J19:J21)-'P&amp;L'!J28</f>
        <v>0</v>
      </c>
      <c r="K76" s="978">
        <f ca="1">SUM('P&amp;L'!K19:K21)-'P&amp;L'!K28</f>
        <v>0</v>
      </c>
      <c r="L76" s="978">
        <f ca="1">SUM('P&amp;L'!L19:L21)-'P&amp;L'!L28</f>
        <v>0</v>
      </c>
      <c r="M76" s="978">
        <f ca="1">SUM('P&amp;L'!M19:M21)-'P&amp;L'!M28</f>
        <v>0</v>
      </c>
      <c r="N76" s="978">
        <f ca="1">SUM('P&amp;L'!N19:N21)-'P&amp;L'!N28</f>
        <v>0</v>
      </c>
      <c r="O76" s="978">
        <f ca="1">SUM('P&amp;L'!O19:O21)-'P&amp;L'!O28</f>
        <v>0</v>
      </c>
      <c r="P76" s="978">
        <f ca="1">SUM('P&amp;L'!P19:P21)-'P&amp;L'!P28</f>
        <v>0</v>
      </c>
      <c r="Q76" s="978">
        <f ca="1">SUM('P&amp;L'!Q19:Q21)-'P&amp;L'!Q28</f>
        <v>0</v>
      </c>
      <c r="R76" s="978">
        <f ca="1">SUM('P&amp;L'!R19:R21)-'P&amp;L'!R28</f>
        <v>0</v>
      </c>
      <c r="S76" s="978">
        <f ca="1">SUM('P&amp;L'!S19:S21)-'P&amp;L'!S28</f>
        <v>0</v>
      </c>
      <c r="T76" s="978">
        <f ca="1">SUM('P&amp;L'!T19:T21)-'P&amp;L'!T28</f>
        <v>0</v>
      </c>
      <c r="U76" s="978">
        <f ca="1">SUM('P&amp;L'!U19:U21)-'P&amp;L'!U28</f>
        <v>0</v>
      </c>
      <c r="V76" s="978">
        <f ca="1">SUM('P&amp;L'!V19:V21)-'P&amp;L'!V28</f>
        <v>0</v>
      </c>
      <c r="W76" s="978">
        <f ca="1">SUM('P&amp;L'!W19:W21)-'P&amp;L'!W28</f>
        <v>0</v>
      </c>
      <c r="X76" s="978">
        <f ca="1">SUM('P&amp;L'!X19:X21)-'P&amp;L'!X28</f>
        <v>0</v>
      </c>
      <c r="Y76" s="978">
        <f ca="1">SUM('P&amp;L'!Y19:Y21)-'P&amp;L'!Y28</f>
        <v>0</v>
      </c>
      <c r="Z76" s="978">
        <f ca="1">SUM('P&amp;L'!Z19:Z21)-'P&amp;L'!Z28</f>
        <v>0</v>
      </c>
      <c r="AA76" s="978">
        <f ca="1">SUM('P&amp;L'!AA19:AA21)-'P&amp;L'!AA28</f>
        <v>0</v>
      </c>
      <c r="AB76" s="978">
        <f ca="1">SUM('P&amp;L'!AB19:AB21)-'P&amp;L'!AB28</f>
        <v>0</v>
      </c>
      <c r="AC76" s="978">
        <f ca="1">SUM('P&amp;L'!AC19:AC21)-'P&amp;L'!AC28</f>
        <v>0</v>
      </c>
      <c r="AD76" s="978">
        <f ca="1">SUM('P&amp;L'!AD19:AD21)-'P&amp;L'!AD28</f>
        <v>0</v>
      </c>
      <c r="AE76" s="978">
        <f ca="1">SUM('P&amp;L'!AE19:AE21)-'P&amp;L'!AE28</f>
        <v>0</v>
      </c>
      <c r="AF76" s="978">
        <f ca="1">SUM('P&amp;L'!AF19:AF21)-'P&amp;L'!AF28</f>
        <v>0</v>
      </c>
      <c r="AG76" s="978">
        <f ca="1">SUM('P&amp;L'!AG19:AG21)-'P&amp;L'!AG28</f>
        <v>0</v>
      </c>
      <c r="AH76" s="978">
        <f ca="1">SUM('P&amp;L'!AH19:AH21)-'P&amp;L'!AH28</f>
        <v>0</v>
      </c>
      <c r="AI76" s="978">
        <f ca="1">SUM('P&amp;L'!AI19:AI21)-'P&amp;L'!AI28</f>
        <v>0</v>
      </c>
      <c r="AJ76" s="978">
        <f ca="1">SUM('P&amp;L'!AJ19:AJ21)-'P&amp;L'!AJ28</f>
        <v>0</v>
      </c>
      <c r="AK76" s="978">
        <f ca="1">SUM('P&amp;L'!AK19:AK21)-'P&amp;L'!AK28</f>
        <v>0</v>
      </c>
      <c r="AL76" s="978">
        <f ca="1">SUM('P&amp;L'!AL19:AL21)-'P&amp;L'!AL28</f>
        <v>0</v>
      </c>
      <c r="AM76" s="978">
        <f ca="1">SUM('P&amp;L'!AM19:AM21)-'P&amp;L'!AM28</f>
        <v>0</v>
      </c>
      <c r="AN76" s="978">
        <f ca="1">SUM('P&amp;L'!AN19:AN21)-'P&amp;L'!AN28</f>
        <v>0</v>
      </c>
      <c r="AO76" s="978">
        <f ca="1">SUM('P&amp;L'!AO19:AO21)-'P&amp;L'!AO28</f>
        <v>0</v>
      </c>
      <c r="AP76" s="978">
        <f ca="1">SUM('P&amp;L'!AP19:AP21)-'P&amp;L'!AP28</f>
        <v>0</v>
      </c>
      <c r="AQ76" s="978">
        <f ca="1">SUM('P&amp;L'!AQ19:AQ21)-'P&amp;L'!AQ28</f>
        <v>0</v>
      </c>
      <c r="AR76" s="978">
        <f ca="1">SUM('P&amp;L'!AR19:AR21)-'P&amp;L'!AR28</f>
        <v>0</v>
      </c>
      <c r="AS76" s="978">
        <f ca="1">SUM('P&amp;L'!AS19:AS21)-'P&amp;L'!AS28</f>
        <v>0</v>
      </c>
      <c r="AT76" s="978">
        <f ca="1">SUM('P&amp;L'!AT19:AT21)-'P&amp;L'!AT28</f>
        <v>0</v>
      </c>
      <c r="AU76" s="978">
        <f ca="1">SUM('P&amp;L'!AU19:AU21)-'P&amp;L'!AU28</f>
        <v>0</v>
      </c>
      <c r="AV76" s="978">
        <f ca="1">SUM('P&amp;L'!AV19:AV21)-'P&amp;L'!AV28</f>
        <v>2.7726027397261674</v>
      </c>
      <c r="AW76" s="978">
        <f ca="1">SUM('P&amp;L'!AW19:AW21)-'P&amp;L'!AW28</f>
        <v>2.7273972602741101</v>
      </c>
      <c r="AX76" s="978">
        <f ca="1">SUM('P&amp;L'!AX19:AX21)-'P&amp;L'!AX28</f>
        <v>2.765027322404511</v>
      </c>
      <c r="AY76" s="978">
        <f ca="1">SUM('P&amp;L'!AY19:AY21)-'P&amp;L'!AY28</f>
        <v>2.7349726775957661</v>
      </c>
      <c r="AZ76" s="978">
        <f ca="1">SUM('P&amp;L'!AZ19:AZ21)-'P&amp;L'!AZ28</f>
        <v>2.7726027397261674</v>
      </c>
      <c r="BA76" s="978">
        <f ca="1">SUM('P&amp;L'!BA19:BA21)-'P&amp;L'!BA28</f>
        <v>2.7273972602741101</v>
      </c>
      <c r="BB76" s="978">
        <f ca="1">SUM('P&amp;L'!BB19:BB21)-'P&amp;L'!BB28</f>
        <v>2.7726027397261674</v>
      </c>
      <c r="BC76" s="978">
        <f ca="1">SUM('P&amp;L'!BC19:BC21)-'P&amp;L'!BC28</f>
        <v>2.7273972602741101</v>
      </c>
      <c r="BD76" s="978">
        <f ca="1">SUM('P&amp;L'!BD19:BD21)-'P&amp;L'!BD28</f>
        <v>2.7726027397261674</v>
      </c>
      <c r="BE76" s="978">
        <f ca="1">SUM('P&amp;L'!BE19:BE21)-'P&amp;L'!BE28</f>
        <v>2.7273972602741101</v>
      </c>
      <c r="BF76" s="978">
        <f ca="1">SUM('P&amp;L'!BF19:BF21)-'P&amp;L'!BF28</f>
        <v>2.765027322404511</v>
      </c>
      <c r="BG76" s="978">
        <f ca="1">SUM('P&amp;L'!BG19:BG21)-'P&amp;L'!BG28</f>
        <v>2.7349726775957661</v>
      </c>
      <c r="BH76" s="978">
        <f ca="1">SUM('P&amp;L'!BH19:BH21)-'P&amp;L'!BH28</f>
        <v>2.7726027397261674</v>
      </c>
      <c r="BI76" s="978">
        <f ca="1">SUM('P&amp;L'!BI19:BI21)-'P&amp;L'!BI28</f>
        <v>2.7273972602741101</v>
      </c>
      <c r="BJ76" s="978">
        <f ca="1">SUM('P&amp;L'!BJ19:BJ21)-'P&amp;L'!BJ28</f>
        <v>2.7726027397261674</v>
      </c>
      <c r="BK76" s="978">
        <f ca="1">SUM('P&amp;L'!BK19:BK21)-'P&amp;L'!BK28</f>
        <v>2.7273972602741101</v>
      </c>
      <c r="BL76" s="978">
        <f ca="1">SUM('P&amp;L'!BL19:BL21)-'P&amp;L'!BL28</f>
        <v>2.7726027397261674</v>
      </c>
      <c r="BM76" s="978">
        <f ca="1">SUM('P&amp;L'!BM19:BM21)-'P&amp;L'!BM28</f>
        <v>2.7273972602741101</v>
      </c>
      <c r="BN76" s="978">
        <f ca="1">SUM('P&amp;L'!BN19:BN21)-'P&amp;L'!BN28</f>
        <v>2.765027322404511</v>
      </c>
      <c r="BO76" s="978">
        <f ca="1">SUM('P&amp;L'!BO19:BO21)-'P&amp;L'!BO28</f>
        <v>2.7349726775957661</v>
      </c>
      <c r="BP76" s="978"/>
      <c r="BQ76" s="978"/>
      <c r="BR76" s="978"/>
      <c r="BS76" s="978"/>
      <c r="BT76" s="978"/>
      <c r="BU76" s="978"/>
      <c r="BV76" s="978"/>
      <c r="BW76" s="978"/>
      <c r="BX76" s="978"/>
      <c r="BY76" s="978"/>
      <c r="BZ76" s="978"/>
      <c r="CA76" s="978"/>
      <c r="CB76" s="978"/>
      <c r="CC76" s="978"/>
      <c r="CD76" s="978"/>
      <c r="CE76" s="978"/>
      <c r="CF76" s="978"/>
      <c r="CG76" s="978"/>
      <c r="CH76" s="978"/>
      <c r="CI76" s="978"/>
      <c r="CJ76" s="978"/>
      <c r="CK76" s="978"/>
      <c r="CL76" s="978"/>
      <c r="CM76" s="978"/>
      <c r="CN76" s="978"/>
      <c r="CO76" s="978"/>
      <c r="CP76" s="978"/>
      <c r="CQ76" s="978"/>
      <c r="CR76" s="978"/>
      <c r="CS76" s="978"/>
      <c r="CT76" s="978"/>
      <c r="CU76" s="978"/>
      <c r="CV76" s="978"/>
      <c r="CW76" s="978"/>
      <c r="CX76" s="978"/>
      <c r="CY76" s="978"/>
      <c r="CZ76" s="978"/>
      <c r="DA76" s="978"/>
      <c r="DB76" s="978"/>
      <c r="DC76" s="978"/>
      <c r="DD76" s="978"/>
      <c r="DE76" s="978"/>
      <c r="DF76" s="978"/>
      <c r="DG76" s="978"/>
      <c r="DH76" s="978"/>
      <c r="DI76" s="978"/>
      <c r="DJ76" s="978"/>
      <c r="DK76" s="978"/>
      <c r="DL76" s="978"/>
      <c r="DM76" s="978"/>
      <c r="DN76" s="978"/>
      <c r="DO76" s="978"/>
      <c r="DP76" s="978"/>
      <c r="DQ76" s="978"/>
      <c r="DR76" s="978"/>
      <c r="DS76" s="978"/>
      <c r="DT76" s="978"/>
      <c r="DU76" s="978"/>
      <c r="DV76" s="978"/>
      <c r="DW76" s="978"/>
      <c r="DX76" s="304"/>
      <c r="DY76" s="304"/>
    </row>
    <row r="77" spans="1:129">
      <c r="A77" s="496" t="str">
        <f>Inputs!A401</f>
        <v>Corporate Income Tax</v>
      </c>
      <c r="B77" s="678"/>
      <c r="C77" s="678"/>
      <c r="D77" s="514"/>
      <c r="E77" s="514"/>
      <c r="F77" s="616"/>
      <c r="G77" s="1051">
        <f>-'P&amp;L'!G44</f>
        <v>0</v>
      </c>
      <c r="H77" s="1051">
        <f>-'P&amp;L'!H44</f>
        <v>0</v>
      </c>
      <c r="I77" s="1051">
        <f>-'P&amp;L'!I44</f>
        <v>0</v>
      </c>
      <c r="J77" s="1051">
        <f>-'P&amp;L'!J44</f>
        <v>0</v>
      </c>
      <c r="K77" s="1051">
        <f>-'P&amp;L'!K44</f>
        <v>0</v>
      </c>
      <c r="L77" s="1051">
        <f>-'P&amp;L'!L44</f>
        <v>0</v>
      </c>
      <c r="M77" s="1051">
        <f>-'P&amp;L'!M44</f>
        <v>-8.9040490955094818</v>
      </c>
      <c r="N77" s="1051">
        <f>-'P&amp;L'!N44</f>
        <v>0</v>
      </c>
      <c r="O77" s="1051">
        <f>-'P&amp;L'!O44</f>
        <v>-31.336962777804274</v>
      </c>
      <c r="P77" s="1051">
        <f>-'P&amp;L'!P44</f>
        <v>0</v>
      </c>
      <c r="Q77" s="1051">
        <f>-'P&amp;L'!Q44</f>
        <v>-54.454350041205764</v>
      </c>
      <c r="R77" s="1051">
        <f>-'P&amp;L'!R44</f>
        <v>0</v>
      </c>
      <c r="S77" s="1051">
        <f>-'P&amp;L'!S44</f>
        <v>-78.215568397135684</v>
      </c>
      <c r="T77" s="1051">
        <f>-'P&amp;L'!T44</f>
        <v>0</v>
      </c>
      <c r="U77" s="1051">
        <f>-'P&amp;L'!U44</f>
        <v>-104.29075994632126</v>
      </c>
      <c r="V77" s="1051">
        <f>-'P&amp;L'!V44</f>
        <v>0</v>
      </c>
      <c r="W77" s="1051">
        <f>-'P&amp;L'!W44</f>
        <v>-131.51136796406126</v>
      </c>
      <c r="X77" s="1051">
        <f>-'P&amp;L'!X44</f>
        <v>0</v>
      </c>
      <c r="Y77" s="1051">
        <f>-'P&amp;L'!Y44</f>
        <v>-160.43809095155504</v>
      </c>
      <c r="Z77" s="1051">
        <f>-'P&amp;L'!Z44</f>
        <v>0</v>
      </c>
      <c r="AA77" s="1051">
        <f>-'P&amp;L'!AA44</f>
        <v>-190.87897685546332</v>
      </c>
      <c r="AB77" s="1051">
        <f>-'P&amp;L'!AB44</f>
        <v>0</v>
      </c>
      <c r="AC77" s="1051">
        <f>-'P&amp;L'!AC44</f>
        <v>-184.43495072012698</v>
      </c>
      <c r="AD77" s="1051">
        <f>-'P&amp;L'!AD44</f>
        <v>0</v>
      </c>
      <c r="AE77" s="1051">
        <f>-'P&amp;L'!AE44</f>
        <v>-217.1428458446205</v>
      </c>
      <c r="AF77" s="1051">
        <f>-'P&amp;L'!AF44</f>
        <v>0</v>
      </c>
      <c r="AG77" s="1051">
        <f>-'P&amp;L'!AG44</f>
        <v>-285.10673595316121</v>
      </c>
      <c r="AH77" s="1051">
        <f>-'P&amp;L'!AH44</f>
        <v>0</v>
      </c>
      <c r="AI77" s="1051">
        <f>-'P&amp;L'!AI44</f>
        <v>-301.61782354670004</v>
      </c>
      <c r="AJ77" s="1051">
        <f>-'P&amp;L'!AJ44</f>
        <v>0</v>
      </c>
      <c r="AK77" s="1051">
        <f>-'P&amp;L'!AK44</f>
        <v>-303.21185389188378</v>
      </c>
      <c r="AL77" s="1051">
        <f>-'P&amp;L'!AL44</f>
        <v>0</v>
      </c>
      <c r="AM77" s="1051">
        <f>-'P&amp;L'!AM44</f>
        <v>-296.00147132863373</v>
      </c>
      <c r="AN77" s="1051">
        <f>-'P&amp;L'!AN44</f>
        <v>0</v>
      </c>
      <c r="AO77" s="1051">
        <f>-'P&amp;L'!AO44</f>
        <v>-307.13463387925572</v>
      </c>
      <c r="AP77" s="1051">
        <f>-'P&amp;L'!AP44</f>
        <v>0</v>
      </c>
      <c r="AQ77" s="1051">
        <f>-'P&amp;L'!AQ44</f>
        <v>-318.09934509444628</v>
      </c>
      <c r="AR77" s="1051">
        <f>-'P&amp;L'!AR44</f>
        <v>0</v>
      </c>
      <c r="AS77" s="1051">
        <f>-'P&amp;L'!AS44</f>
        <v>-328.90719150744792</v>
      </c>
      <c r="AT77" s="1051">
        <f>-'P&amp;L'!AT44</f>
        <v>0</v>
      </c>
      <c r="AU77" s="1051">
        <f>-'P&amp;L'!AU44</f>
        <v>-339.7135147660253</v>
      </c>
      <c r="AV77" s="1051">
        <f>-'P&amp;L'!AV44</f>
        <v>0</v>
      </c>
      <c r="AW77" s="1051">
        <f>-'P&amp;L'!AW44</f>
        <v>-634.47309204838393</v>
      </c>
      <c r="AX77" s="1051">
        <f>-'P&amp;L'!AX44</f>
        <v>0</v>
      </c>
      <c r="AY77" s="1051">
        <f>-'P&amp;L'!AY44</f>
        <v>-647.51332661413426</v>
      </c>
      <c r="AZ77" s="1051">
        <f>-'P&amp;L'!AZ44</f>
        <v>0</v>
      </c>
      <c r="BA77" s="1051">
        <f>-'P&amp;L'!BA44</f>
        <v>-657.85839401660292</v>
      </c>
      <c r="BB77" s="1051">
        <f>-'P&amp;L'!BB44</f>
        <v>0</v>
      </c>
      <c r="BC77" s="1051">
        <f>-'P&amp;L'!BC44</f>
        <v>-670.59382761203005</v>
      </c>
      <c r="BD77" s="1051">
        <f>-'P&amp;L'!BD44</f>
        <v>0</v>
      </c>
      <c r="BE77" s="1051">
        <f>-'P&amp;L'!BE44</f>
        <v>-683.23746400492189</v>
      </c>
      <c r="BF77" s="1051">
        <f>-'P&amp;L'!BF44</f>
        <v>0</v>
      </c>
      <c r="BG77" s="1051">
        <f>-'P&amp;L'!BG44</f>
        <v>-691.69510998976193</v>
      </c>
      <c r="BH77" s="1051">
        <f>-'P&amp;L'!BH44</f>
        <v>0</v>
      </c>
      <c r="BI77" s="1051">
        <f>-'P&amp;L'!BI44</f>
        <v>-698.25516247954351</v>
      </c>
      <c r="BJ77" s="1051">
        <f>-'P&amp;L'!BJ44</f>
        <v>0</v>
      </c>
      <c r="BK77" s="1051">
        <f>-'P&amp;L'!BK44</f>
        <v>-702.00910795234142</v>
      </c>
      <c r="BL77" s="1051">
        <f>-'P&amp;L'!BL44</f>
        <v>0</v>
      </c>
      <c r="BM77" s="1051">
        <f>-'P&amp;L'!BM44</f>
        <v>-705.33589939700096</v>
      </c>
      <c r="BN77" s="1051">
        <f>-'P&amp;L'!BN44</f>
        <v>0</v>
      </c>
      <c r="BO77" s="1051">
        <f>-'P&amp;L'!BO44</f>
        <v>-710.71645376886977</v>
      </c>
      <c r="BP77" s="1051"/>
      <c r="BQ77" s="1051"/>
      <c r="BR77" s="1051"/>
      <c r="BS77" s="1051"/>
      <c r="BT77" s="1051"/>
      <c r="BU77" s="1051"/>
      <c r="BV77" s="1051"/>
      <c r="BW77" s="1051"/>
      <c r="BX77" s="1051"/>
      <c r="BY77" s="1051"/>
      <c r="BZ77" s="1051"/>
      <c r="CA77" s="1051"/>
      <c r="CB77" s="1051"/>
      <c r="CC77" s="1051"/>
      <c r="CD77" s="1051"/>
      <c r="CE77" s="1051"/>
      <c r="CF77" s="1051"/>
      <c r="CG77" s="1051"/>
      <c r="CH77" s="1051"/>
      <c r="CI77" s="1051"/>
      <c r="CJ77" s="1051"/>
      <c r="CK77" s="1051"/>
      <c r="CL77" s="1051"/>
      <c r="CM77" s="1051"/>
      <c r="CN77" s="1051"/>
      <c r="CO77" s="1051"/>
      <c r="CP77" s="1051"/>
      <c r="CQ77" s="1051"/>
      <c r="CR77" s="1051"/>
      <c r="CS77" s="1051"/>
      <c r="CT77" s="1051"/>
      <c r="CU77" s="1051"/>
      <c r="CV77" s="1051"/>
      <c r="CW77" s="1051"/>
      <c r="CX77" s="1051"/>
      <c r="CY77" s="1051"/>
      <c r="CZ77" s="1051"/>
      <c r="DA77" s="1051"/>
      <c r="DB77" s="1051"/>
      <c r="DC77" s="1051"/>
      <c r="DD77" s="1051"/>
      <c r="DE77" s="1051"/>
      <c r="DF77" s="1051"/>
      <c r="DG77" s="1051"/>
      <c r="DH77" s="1051"/>
      <c r="DI77" s="1051"/>
      <c r="DJ77" s="1051"/>
      <c r="DK77" s="1051"/>
      <c r="DL77" s="1051"/>
      <c r="DM77" s="1051"/>
      <c r="DN77" s="1051"/>
      <c r="DO77" s="1051"/>
      <c r="DP77" s="1051"/>
      <c r="DQ77" s="1051"/>
      <c r="DR77" s="1051"/>
      <c r="DS77" s="1051"/>
      <c r="DT77" s="1051"/>
      <c r="DU77" s="1051"/>
      <c r="DV77" s="1051"/>
      <c r="DW77" s="1051"/>
      <c r="DX77" s="304"/>
      <c r="DY77" s="304"/>
    </row>
    <row r="78" spans="1:129">
      <c r="A78" s="496"/>
      <c r="B78" s="678"/>
      <c r="C78" s="678"/>
      <c r="D78" s="514"/>
      <c r="E78" s="514"/>
      <c r="F78" s="514"/>
      <c r="G78" s="490"/>
      <c r="H78" s="490"/>
      <c r="I78" s="490"/>
      <c r="J78" s="490"/>
      <c r="K78" s="490"/>
      <c r="L78" s="490"/>
      <c r="M78" s="490"/>
      <c r="N78" s="490"/>
      <c r="O78" s="490"/>
      <c r="P78" s="490"/>
      <c r="Q78" s="490"/>
      <c r="R78" s="490"/>
      <c r="S78" s="490"/>
      <c r="T78" s="490"/>
      <c r="U78" s="490"/>
      <c r="V78" s="490"/>
      <c r="W78" s="490"/>
      <c r="X78" s="490"/>
      <c r="Y78" s="490"/>
      <c r="Z78" s="490"/>
      <c r="AA78" s="490"/>
      <c r="AB78" s="490"/>
      <c r="AC78" s="490"/>
      <c r="AD78" s="490"/>
      <c r="AE78" s="490"/>
      <c r="AF78" s="490"/>
      <c r="AG78" s="490"/>
      <c r="AH78" s="490"/>
      <c r="AI78" s="490"/>
      <c r="AJ78" s="490"/>
      <c r="AK78" s="490"/>
      <c r="AL78" s="490"/>
      <c r="AM78" s="490"/>
      <c r="AN78" s="490"/>
      <c r="AO78" s="490"/>
      <c r="AP78" s="490"/>
      <c r="AQ78" s="490"/>
      <c r="AR78" s="490"/>
      <c r="AS78" s="490"/>
      <c r="AT78" s="490"/>
      <c r="AU78" s="490"/>
      <c r="AV78" s="490"/>
      <c r="AW78" s="490"/>
      <c r="AX78" s="490"/>
      <c r="AY78" s="490"/>
      <c r="AZ78" s="490"/>
      <c r="BA78" s="490"/>
      <c r="BB78" s="490"/>
      <c r="BC78" s="490"/>
      <c r="BD78" s="490"/>
      <c r="BE78" s="490"/>
      <c r="BF78" s="490"/>
      <c r="BG78" s="490"/>
      <c r="BH78" s="490"/>
      <c r="BI78" s="490"/>
      <c r="BJ78" s="490"/>
      <c r="BK78" s="490"/>
      <c r="BL78" s="490"/>
      <c r="BM78" s="490"/>
      <c r="BN78" s="490"/>
      <c r="BO78" s="490"/>
      <c r="BP78" s="490"/>
      <c r="BQ78" s="490"/>
      <c r="BR78" s="490"/>
      <c r="BS78" s="490"/>
      <c r="BT78" s="490"/>
      <c r="BU78" s="490"/>
      <c r="BV78" s="490"/>
      <c r="BW78" s="490"/>
      <c r="BX78" s="490"/>
      <c r="BY78" s="490"/>
      <c r="BZ78" s="490"/>
      <c r="CA78" s="490"/>
      <c r="CB78" s="490"/>
      <c r="CC78" s="490"/>
      <c r="CD78" s="490"/>
      <c r="CE78" s="490"/>
      <c r="CF78" s="490"/>
      <c r="CG78" s="490"/>
      <c r="CH78" s="490"/>
      <c r="CI78" s="490"/>
      <c r="CJ78" s="490"/>
      <c r="CK78" s="490"/>
      <c r="CL78" s="490"/>
      <c r="CM78" s="490"/>
      <c r="CN78" s="490"/>
      <c r="CO78" s="490"/>
      <c r="CP78" s="490"/>
      <c r="CQ78" s="490"/>
      <c r="CR78" s="490"/>
      <c r="CS78" s="490"/>
      <c r="CT78" s="490"/>
      <c r="CU78" s="490"/>
      <c r="CV78" s="490"/>
      <c r="CW78" s="490"/>
      <c r="CX78" s="490"/>
      <c r="CY78" s="490"/>
      <c r="CZ78" s="490"/>
      <c r="DA78" s="490"/>
      <c r="DB78" s="490"/>
      <c r="DC78" s="490"/>
      <c r="DD78" s="490"/>
      <c r="DE78" s="490"/>
      <c r="DF78" s="490"/>
      <c r="DG78" s="490"/>
      <c r="DH78" s="490"/>
      <c r="DI78" s="490"/>
      <c r="DJ78" s="490"/>
      <c r="DK78" s="490"/>
      <c r="DL78" s="490"/>
      <c r="DM78" s="490"/>
      <c r="DN78" s="490"/>
      <c r="DO78" s="490"/>
      <c r="DP78" s="490"/>
      <c r="DQ78" s="490"/>
      <c r="DR78" s="490"/>
      <c r="DS78" s="490"/>
      <c r="DT78" s="490"/>
      <c r="DU78" s="490"/>
      <c r="DV78" s="490"/>
      <c r="DW78" s="490"/>
      <c r="DX78" s="310"/>
      <c r="DY78" s="304"/>
    </row>
    <row r="79" spans="1:129">
      <c r="A79" s="861" t="s">
        <v>1147</v>
      </c>
      <c r="B79" s="862"/>
      <c r="C79" s="862"/>
      <c r="D79" s="864"/>
      <c r="E79" s="864"/>
      <c r="F79" s="863"/>
      <c r="G79" s="844">
        <f t="shared" ref="G79:AL79" si="28">SUM(G23,G49,G73,G76,G77)+$B$80*(G$4=0)</f>
        <v>0</v>
      </c>
      <c r="H79" s="844">
        <f t="shared" ca="1" si="28"/>
        <v>2575.0034247825092</v>
      </c>
      <c r="I79" s="844">
        <f t="shared" ca="1" si="28"/>
        <v>2533.0196732914906</v>
      </c>
      <c r="J79" s="844">
        <f t="shared" ca="1" si="28"/>
        <v>2576.6037713428454</v>
      </c>
      <c r="K79" s="844">
        <f t="shared" ca="1" si="28"/>
        <v>2610.8185963428691</v>
      </c>
      <c r="L79" s="844">
        <f t="shared" ca="1" si="28"/>
        <v>2637.7504890658502</v>
      </c>
      <c r="M79" s="844">
        <f t="shared" ca="1" si="28"/>
        <v>2648.8765041975066</v>
      </c>
      <c r="N79" s="844">
        <f t="shared" ca="1" si="28"/>
        <v>2677.4501512146035</v>
      </c>
      <c r="O79" s="844">
        <f t="shared" ca="1" si="28"/>
        <v>2666.4995224653298</v>
      </c>
      <c r="P79" s="844">
        <f t="shared" ca="1" si="28"/>
        <v>2717.7436256413152</v>
      </c>
      <c r="Q79" s="844">
        <f t="shared" ca="1" si="28"/>
        <v>2684.0381741747533</v>
      </c>
      <c r="R79" s="844">
        <f t="shared" ca="1" si="28"/>
        <v>2751.1021773897965</v>
      </c>
      <c r="S79" s="844">
        <f t="shared" ca="1" si="28"/>
        <v>2709.262597095757</v>
      </c>
      <c r="T79" s="844">
        <f t="shared" ca="1" si="28"/>
        <v>2800.1462544677497</v>
      </c>
      <c r="U79" s="844">
        <f t="shared" ca="1" si="28"/>
        <v>2717.3488695410761</v>
      </c>
      <c r="V79" s="844">
        <f t="shared" ca="1" si="28"/>
        <v>2842.2728269724084</v>
      </c>
      <c r="W79" s="844">
        <f t="shared" ca="1" si="28"/>
        <v>2732.6369828387387</v>
      </c>
      <c r="X79" s="844">
        <f t="shared" ca="1" si="28"/>
        <v>2885.0280510217112</v>
      </c>
      <c r="Y79" s="844">
        <f t="shared" ca="1" si="28"/>
        <v>2746.8544013598657</v>
      </c>
      <c r="Z79" s="844">
        <f t="shared" ca="1" si="28"/>
        <v>2920.4197890044052</v>
      </c>
      <c r="AA79" s="844">
        <f t="shared" ca="1" si="28"/>
        <v>2768.3989189396939</v>
      </c>
      <c r="AB79" s="844">
        <f t="shared" ca="1" si="28"/>
        <v>2776.9576052840412</v>
      </c>
      <c r="AC79" s="844">
        <f t="shared" ca="1" si="28"/>
        <v>2618.7732842489913</v>
      </c>
      <c r="AD79" s="844">
        <f t="shared" ca="1" si="28"/>
        <v>2821.6533572835297</v>
      </c>
      <c r="AE79" s="844">
        <f t="shared" ca="1" si="28"/>
        <v>2631.171117666127</v>
      </c>
      <c r="AF79" s="844">
        <f t="shared" ca="1" si="28"/>
        <v>2992.5247732037515</v>
      </c>
      <c r="AG79" s="844">
        <f t="shared" ca="1" si="28"/>
        <v>2694.7971679399302</v>
      </c>
      <c r="AH79" s="844">
        <f t="shared" ca="1" si="28"/>
        <v>2991.7390288891047</v>
      </c>
      <c r="AI79" s="844">
        <f t="shared" ca="1" si="28"/>
        <v>2667.8429553653973</v>
      </c>
      <c r="AJ79" s="844">
        <f t="shared" ca="1" si="28"/>
        <v>2994.5482101550338</v>
      </c>
      <c r="AK79" s="844">
        <f t="shared" ca="1" si="28"/>
        <v>2545.4162284351887</v>
      </c>
      <c r="AL79" s="844">
        <f t="shared" ca="1" si="28"/>
        <v>2866.7009595780269</v>
      </c>
      <c r="AM79" s="844">
        <f t="shared" ref="AM79:BO79" ca="1" si="29">SUM(AM23,AM49,AM73,AM76,AM77)+$B$80*(AM$4=0)</f>
        <v>2608.3700359429458</v>
      </c>
      <c r="AN79" s="844">
        <f t="shared" ca="1" si="29"/>
        <v>2922.8141129823598</v>
      </c>
      <c r="AO79" s="844">
        <f t="shared" ca="1" si="29"/>
        <v>2652.4553454942106</v>
      </c>
      <c r="AP79" s="844">
        <f t="shared" ca="1" si="29"/>
        <v>2970.2515213558436</v>
      </c>
      <c r="AQ79" s="844">
        <f t="shared" ca="1" si="29"/>
        <v>2703.7003380574424</v>
      </c>
      <c r="AR79" s="844">
        <f t="shared" ca="1" si="29"/>
        <v>3032.5617059389888</v>
      </c>
      <c r="AS79" s="844">
        <f t="shared" ca="1" si="29"/>
        <v>2738.6607711913121</v>
      </c>
      <c r="AT79" s="844">
        <f t="shared" ca="1" si="29"/>
        <v>3087.0294677969923</v>
      </c>
      <c r="AU79" s="844">
        <f t="shared" ca="1" si="29"/>
        <v>2781.4499186605049</v>
      </c>
      <c r="AV79" s="844">
        <f t="shared" ca="1" si="29"/>
        <v>3143.7134037943556</v>
      </c>
      <c r="AW79" s="844">
        <f t="shared" ca="1" si="29"/>
        <v>2566.5444246410993</v>
      </c>
      <c r="AX79" s="844">
        <f t="shared" ca="1" si="29"/>
        <v>3212.641439658667</v>
      </c>
      <c r="AY79" s="844">
        <f t="shared" ca="1" si="29"/>
        <v>2614.9784998685413</v>
      </c>
      <c r="AZ79" s="844">
        <f t="shared" ca="1" si="29"/>
        <v>3274.1680082495322</v>
      </c>
      <c r="BA79" s="844">
        <f t="shared" ca="1" si="29"/>
        <v>2646.5575378998938</v>
      </c>
      <c r="BB79" s="844">
        <f t="shared" ca="1" si="29"/>
        <v>3325.3898767289238</v>
      </c>
      <c r="BC79" s="844">
        <f t="shared" ca="1" si="29"/>
        <v>2709.9545717793458</v>
      </c>
      <c r="BD79" s="844">
        <f t="shared" ca="1" si="29"/>
        <v>3402.0908817008876</v>
      </c>
      <c r="BE79" s="844">
        <f t="shared" ca="1" si="29"/>
        <v>2747.0462943434081</v>
      </c>
      <c r="BF79" s="844">
        <f t="shared" ca="1" si="29"/>
        <v>3442.6250710426143</v>
      </c>
      <c r="BG79" s="844">
        <f t="shared" ca="1" si="29"/>
        <v>2782.6309188652426</v>
      </c>
      <c r="BH79" s="844">
        <f t="shared" ca="1" si="29"/>
        <v>3486.5071580853587</v>
      </c>
      <c r="BI79" s="844">
        <f t="shared" ca="1" si="29"/>
        <v>2797.7893042305323</v>
      </c>
      <c r="BJ79" s="844">
        <f t="shared" ca="1" si="29"/>
        <v>3517.833692193351</v>
      </c>
      <c r="BK79" s="844">
        <f t="shared" ca="1" si="29"/>
        <v>2800.2482793777217</v>
      </c>
      <c r="BL79" s="844">
        <f t="shared" ca="1" si="29"/>
        <v>3523.7089432490652</v>
      </c>
      <c r="BM79" s="844">
        <f t="shared" ca="1" si="29"/>
        <v>2824.314151323942</v>
      </c>
      <c r="BN79" s="844">
        <f t="shared" ca="1" si="29"/>
        <v>3541.3183097872079</v>
      </c>
      <c r="BO79" s="844">
        <f t="shared" ca="1" si="29"/>
        <v>2855.1297741326198</v>
      </c>
      <c r="BP79" s="844"/>
      <c r="BQ79" s="844"/>
      <c r="BR79" s="844"/>
      <c r="BS79" s="844"/>
      <c r="BT79" s="844"/>
      <c r="BU79" s="844"/>
      <c r="BV79" s="844"/>
      <c r="BW79" s="844"/>
      <c r="BX79" s="844"/>
      <c r="BY79" s="844"/>
      <c r="BZ79" s="844"/>
      <c r="CA79" s="844"/>
      <c r="CB79" s="844"/>
      <c r="CC79" s="844"/>
      <c r="CD79" s="844"/>
      <c r="CE79" s="844"/>
      <c r="CF79" s="844"/>
      <c r="CG79" s="844"/>
      <c r="CH79" s="844"/>
      <c r="CI79" s="844"/>
      <c r="CJ79" s="844"/>
      <c r="CK79" s="844"/>
      <c r="CL79" s="844"/>
      <c r="CM79" s="844"/>
      <c r="CN79" s="844"/>
      <c r="CO79" s="844"/>
      <c r="CP79" s="844"/>
      <c r="CQ79" s="844"/>
      <c r="CR79" s="844"/>
      <c r="CS79" s="844"/>
      <c r="CT79" s="844"/>
      <c r="CU79" s="844"/>
      <c r="CV79" s="844"/>
      <c r="CW79" s="844"/>
      <c r="CX79" s="844"/>
      <c r="CY79" s="844"/>
      <c r="CZ79" s="844"/>
      <c r="DA79" s="844"/>
      <c r="DB79" s="844"/>
      <c r="DC79" s="844"/>
      <c r="DD79" s="844"/>
      <c r="DE79" s="844"/>
      <c r="DF79" s="844"/>
      <c r="DG79" s="844"/>
      <c r="DH79" s="844"/>
      <c r="DI79" s="844"/>
      <c r="DJ79" s="844"/>
      <c r="DK79" s="844"/>
      <c r="DL79" s="844"/>
      <c r="DM79" s="844"/>
      <c r="DN79" s="844"/>
      <c r="DO79" s="844"/>
      <c r="DP79" s="844"/>
      <c r="DQ79" s="844"/>
      <c r="DR79" s="844"/>
      <c r="DS79" s="844"/>
      <c r="DT79" s="844"/>
      <c r="DU79" s="844"/>
      <c r="DV79" s="844"/>
      <c r="DW79" s="844"/>
      <c r="DX79" s="304"/>
      <c r="DY79" s="304"/>
    </row>
    <row r="80" spans="1:129">
      <c r="A80" s="516" t="s">
        <v>218</v>
      </c>
      <c r="B80" s="842">
        <f>Inputs!$G$169</f>
        <v>0</v>
      </c>
      <c r="C80" s="842"/>
      <c r="D80" s="504"/>
      <c r="E80" s="504"/>
      <c r="F80" s="415"/>
      <c r="G80" s="1051">
        <f>-SUM(DS!G52:G53,DS!G87:G88)</f>
        <v>0</v>
      </c>
      <c r="H80" s="1051">
        <f ca="1">-SUM(DS!H52:H53,DS!H87:H88)</f>
        <v>-2239.1334128543558</v>
      </c>
      <c r="I80" s="1051">
        <f ca="1">-SUM(DS!I52:I53,DS!I87:I88)</f>
        <v>-2202.625802862166</v>
      </c>
      <c r="J80" s="1051">
        <f ca="1">-SUM(DS!J52:J53,DS!J87:J88)</f>
        <v>-2240.5250185589962</v>
      </c>
      <c r="K80" s="1051">
        <f ca="1">-SUM(DS!K52:K53,DS!K87:K88)</f>
        <v>-2270.2770402981473</v>
      </c>
      <c r="L80" s="1051">
        <f ca="1">-SUM(DS!L52:L53,DS!L87:L88)</f>
        <v>-2293.6960774485656</v>
      </c>
      <c r="M80" s="1051">
        <f ca="1">-SUM(DS!M52:M53,DS!M87:M88)</f>
        <v>-2303.3654774105221</v>
      </c>
      <c r="N80" s="1051">
        <f ca="1">-SUM(DS!N52:N53,DS!N87:N88)</f>
        <v>-2328.2175227953076</v>
      </c>
      <c r="O80" s="1051">
        <f ca="1">-SUM(DS!O52:O53,DS!O87:O88)</f>
        <v>-2318.6903995538428</v>
      </c>
      <c r="P80" s="1051">
        <f ca="1">-SUM(DS!P52:P53,DS!P87:P88)</f>
        <v>-2363.2553266446221</v>
      </c>
      <c r="Q80" s="1051">
        <f ca="1">-SUM(DS!Q52:Q53,DS!Q87:Q88)</f>
        <v>-2333.9419124221117</v>
      </c>
      <c r="R80" s="1051">
        <f ca="1">-SUM(DS!R52:R53,DS!R87:R88)</f>
        <v>-2392.2627629476492</v>
      </c>
      <c r="S80" s="1051">
        <f ca="1">-SUM(DS!S52:S53,DS!S87:S88)</f>
        <v>-2355.8766562156934</v>
      </c>
      <c r="T80" s="1051">
        <f ca="1">-SUM(DS!T52:T53,DS!T87:T88)</f>
        <v>-2434.9097864936957</v>
      </c>
      <c r="U80" s="1051">
        <f ca="1">-SUM(DS!U52:U53,DS!U87:U88)</f>
        <v>-2362.9086260010927</v>
      </c>
      <c r="V80" s="1051">
        <f ca="1">-SUM(DS!V52:V53,DS!V87:V88)</f>
        <v>-2471.5415886716596</v>
      </c>
      <c r="W80" s="1051">
        <f ca="1">-SUM(DS!W52:W53,DS!W87:W88)</f>
        <v>-2376.2030087397643</v>
      </c>
      <c r="X80" s="1051">
        <f ca="1">-SUM(DS!X52:X53,DS!X87:X88)</f>
        <v>-2508.7200443667057</v>
      </c>
      <c r="Y80" s="1051">
        <f ca="1">-SUM(DS!Y52:Y53,DS!Y87:Y88)</f>
        <v>-2388.5662941292467</v>
      </c>
      <c r="Z80" s="1051">
        <f ca="1">-SUM(DS!Z52:Z53,DS!Z87:Z88)</f>
        <v>-2539.4954686994829</v>
      </c>
      <c r="AA80" s="1051">
        <f ca="1">-SUM(DS!AA52:AA53,DS!AA87:AA88)</f>
        <v>-2407.3009021250778</v>
      </c>
      <c r="AB80" s="1051">
        <f ca="1">-SUM(DS!AB52:AB53,DS!AB87:AB88)</f>
        <v>-2414.7457437252533</v>
      </c>
      <c r="AC80" s="1051">
        <f ca="1">-SUM(DS!AC52:AC53,DS!AC87:AC88)</f>
        <v>-2277.1918272348348</v>
      </c>
      <c r="AD80" s="1051">
        <f ca="1">-SUM(DS!AD52:AD53,DS!AD87:AD88)</f>
        <v>-2453.6116150291564</v>
      </c>
      <c r="AE80" s="1051">
        <f ca="1">-SUM(DS!AE52:AE53,DS!AE87:AE88)</f>
        <v>-2287.9726377316492</v>
      </c>
      <c r="AF80" s="1051">
        <f ca="1">-SUM(DS!AF52:AF53,DS!AF87:AF88)</f>
        <v>-1688.7311752822109</v>
      </c>
      <c r="AG80" s="1051">
        <f ca="1">-SUM(DS!AG52:AG53,DS!AG87:AG88)</f>
        <v>-1558.4026903790832</v>
      </c>
      <c r="AH80" s="1051">
        <f ca="1">-SUM(DS!AH52:AH53,DS!AH87:AH88)</f>
        <v>-1665.7503274515079</v>
      </c>
      <c r="AI80" s="1051">
        <f ca="1">-SUM(DS!AI52:AI53,DS!AI87:AI88)</f>
        <v>-1507.4389068089126</v>
      </c>
      <c r="AJ80" s="1051">
        <f ca="1">-SUM(DS!AJ52:AJ53,DS!AJ87:AJ88)</f>
        <v>0</v>
      </c>
      <c r="AK80" s="1051">
        <f ca="1">-SUM(DS!AK52:AK53,DS!AK87:AK88)</f>
        <v>0</v>
      </c>
      <c r="AL80" s="1051">
        <f ca="1">-SUM(DS!AL52:AL53,DS!AL87:AL88)</f>
        <v>0</v>
      </c>
      <c r="AM80" s="1051">
        <f ca="1">-SUM(DS!AM52:AM53,DS!AM87:AM88)</f>
        <v>0</v>
      </c>
      <c r="AN80" s="1051">
        <f ca="1">-SUM(DS!AN52:AN53,DS!AN87:AN88)</f>
        <v>0</v>
      </c>
      <c r="AO80" s="1051">
        <f ca="1">-SUM(DS!AO52:AO53,DS!AO87:AO88)</f>
        <v>0</v>
      </c>
      <c r="AP80" s="1051">
        <f ca="1">-SUM(DS!AP52:AP53,DS!AP87:AP88)</f>
        <v>0</v>
      </c>
      <c r="AQ80" s="1051">
        <f ca="1">-SUM(DS!AQ52:AQ53,DS!AQ87:AQ88)</f>
        <v>0</v>
      </c>
      <c r="AR80" s="1051">
        <f ca="1">-SUM(DS!AR52:AR53,DS!AR87:AR88)</f>
        <v>0</v>
      </c>
      <c r="AS80" s="1051">
        <f ca="1">-SUM(DS!AS52:AS53,DS!AS87:AS88)</f>
        <v>0</v>
      </c>
      <c r="AT80" s="1051">
        <f ca="1">-SUM(DS!AT52:AT53,DS!AT87:AT88)</f>
        <v>0</v>
      </c>
      <c r="AU80" s="1051">
        <f ca="1">-SUM(DS!AU52:AU53,DS!AU87:AU88)</f>
        <v>0</v>
      </c>
      <c r="AV80" s="1051">
        <f ca="1">-SUM(DS!AV52:AV53,DS!AV87:AV88)</f>
        <v>0</v>
      </c>
      <c r="AW80" s="1051">
        <f ca="1">-SUM(DS!AW52:AW53,DS!AW87:AW88)</f>
        <v>0</v>
      </c>
      <c r="AX80" s="1051">
        <f ca="1">-SUM(DS!AX52:AX53,DS!AX87:AX88)</f>
        <v>0</v>
      </c>
      <c r="AY80" s="1051">
        <f ca="1">-SUM(DS!AY52:AY53,DS!AY87:AY88)</f>
        <v>0</v>
      </c>
      <c r="AZ80" s="1051">
        <f ca="1">-SUM(DS!AZ52:AZ53,DS!AZ87:AZ88)</f>
        <v>0</v>
      </c>
      <c r="BA80" s="1051">
        <f ca="1">-SUM(DS!BA52:BA53,DS!BA87:BA88)</f>
        <v>0</v>
      </c>
      <c r="BB80" s="1051">
        <f ca="1">-SUM(DS!BB52:BB53,DS!BB87:BB88)</f>
        <v>0</v>
      </c>
      <c r="BC80" s="1051">
        <f ca="1">-SUM(DS!BC52:BC53,DS!BC87:BC88)</f>
        <v>0</v>
      </c>
      <c r="BD80" s="1051">
        <f ca="1">-SUM(DS!BD52:BD53,DS!BD87:BD88)</f>
        <v>0</v>
      </c>
      <c r="BE80" s="1051">
        <f ca="1">-SUM(DS!BE52:BE53,DS!BE87:BE88)</f>
        <v>0</v>
      </c>
      <c r="BF80" s="1051">
        <f ca="1">-SUM(DS!BF52:BF53,DS!BF87:BF88)</f>
        <v>0</v>
      </c>
      <c r="BG80" s="1051">
        <f ca="1">-SUM(DS!BG52:BG53,DS!BG87:BG88)</f>
        <v>0</v>
      </c>
      <c r="BH80" s="1051">
        <f ca="1">-SUM(DS!BH52:BH53,DS!BH87:BH88)</f>
        <v>0</v>
      </c>
      <c r="BI80" s="1051">
        <f ca="1">-SUM(DS!BI52:BI53,DS!BI87:BI88)</f>
        <v>0</v>
      </c>
      <c r="BJ80" s="1051">
        <f ca="1">-SUM(DS!BJ52:BJ53,DS!BJ87:BJ88)</f>
        <v>0</v>
      </c>
      <c r="BK80" s="1051">
        <f ca="1">-SUM(DS!BK52:BK53,DS!BK87:BK88)</f>
        <v>0</v>
      </c>
      <c r="BL80" s="1051">
        <f ca="1">-SUM(DS!BL52:BL53,DS!BL87:BL88)</f>
        <v>0</v>
      </c>
      <c r="BM80" s="1051">
        <f ca="1">-SUM(DS!BM52:BM53,DS!BM87:BM88)</f>
        <v>0</v>
      </c>
      <c r="BN80" s="1051">
        <f ca="1">-SUM(DS!BN52:BN53,DS!BN87:BN88)</f>
        <v>0</v>
      </c>
      <c r="BO80" s="1051">
        <f ca="1">-SUM(DS!BO52:BO53,DS!BO87:BO88)</f>
        <v>0</v>
      </c>
      <c r="BP80" s="1051"/>
      <c r="BQ80" s="1051"/>
      <c r="BR80" s="1051"/>
      <c r="BS80" s="1051"/>
      <c r="BT80" s="1051"/>
      <c r="BU80" s="1051"/>
      <c r="BV80" s="1051"/>
      <c r="BW80" s="1051"/>
      <c r="BX80" s="1051"/>
      <c r="BY80" s="1051"/>
      <c r="BZ80" s="1051"/>
      <c r="CA80" s="1051"/>
      <c r="CB80" s="1051"/>
      <c r="CC80" s="1051"/>
      <c r="CD80" s="1051"/>
      <c r="CE80" s="1051"/>
      <c r="CF80" s="1051"/>
      <c r="CG80" s="1051"/>
      <c r="CH80" s="1051"/>
      <c r="CI80" s="1051"/>
      <c r="CJ80" s="1051"/>
      <c r="CK80" s="1051"/>
      <c r="CL80" s="1051"/>
      <c r="CM80" s="1051"/>
      <c r="CN80" s="1051"/>
      <c r="CO80" s="1051"/>
      <c r="CP80" s="1051"/>
      <c r="CQ80" s="1051"/>
      <c r="CR80" s="1051"/>
      <c r="CS80" s="1051"/>
      <c r="CT80" s="1051"/>
      <c r="CU80" s="1051"/>
      <c r="CV80" s="1051"/>
      <c r="CW80" s="1051"/>
      <c r="CX80" s="1051"/>
      <c r="CY80" s="1051"/>
      <c r="CZ80" s="1051"/>
      <c r="DA80" s="1051"/>
      <c r="DB80" s="1051"/>
      <c r="DC80" s="1051"/>
      <c r="DD80" s="1051"/>
      <c r="DE80" s="1051"/>
      <c r="DF80" s="1051"/>
      <c r="DG80" s="1051"/>
      <c r="DH80" s="1051"/>
      <c r="DI80" s="1051"/>
      <c r="DJ80" s="1051"/>
      <c r="DK80" s="1051"/>
      <c r="DL80" s="1051"/>
      <c r="DM80" s="1051"/>
      <c r="DN80" s="1051"/>
      <c r="DO80" s="1051"/>
      <c r="DP80" s="1051"/>
      <c r="DQ80" s="1051"/>
      <c r="DR80" s="1051"/>
      <c r="DS80" s="1051"/>
      <c r="DT80" s="1051"/>
      <c r="DU80" s="1051"/>
      <c r="DV80" s="1051"/>
      <c r="DW80" s="1051"/>
      <c r="DX80" s="304"/>
      <c r="DY80" s="304"/>
    </row>
    <row r="81" spans="1:129" ht="11.25" customHeight="1">
      <c r="A81" s="995" t="s">
        <v>1148</v>
      </c>
      <c r="B81" s="679"/>
      <c r="C81" s="679"/>
      <c r="D81" s="504"/>
      <c r="E81" s="504"/>
      <c r="F81" s="415"/>
      <c r="G81" s="517">
        <f t="shared" ref="G81:AL81" si="30">MIN(-SUM(G80:G80),G79)</f>
        <v>0</v>
      </c>
      <c r="H81" s="517">
        <f t="shared" ca="1" si="30"/>
        <v>2239.1334128543558</v>
      </c>
      <c r="I81" s="517">
        <f t="shared" ca="1" si="30"/>
        <v>2202.625802862166</v>
      </c>
      <c r="J81" s="517">
        <f t="shared" ca="1" si="30"/>
        <v>2240.5250185589962</v>
      </c>
      <c r="K81" s="517">
        <f t="shared" ca="1" si="30"/>
        <v>2270.2770402981473</v>
      </c>
      <c r="L81" s="517">
        <f t="shared" ca="1" si="30"/>
        <v>2293.6960774485656</v>
      </c>
      <c r="M81" s="517">
        <f t="shared" ca="1" si="30"/>
        <v>2303.3654774105221</v>
      </c>
      <c r="N81" s="517">
        <f t="shared" ca="1" si="30"/>
        <v>2328.2175227953076</v>
      </c>
      <c r="O81" s="517">
        <f t="shared" ca="1" si="30"/>
        <v>2318.6903995538428</v>
      </c>
      <c r="P81" s="517">
        <f t="shared" ca="1" si="30"/>
        <v>2363.2553266446221</v>
      </c>
      <c r="Q81" s="517">
        <f t="shared" ca="1" si="30"/>
        <v>2333.9419124221117</v>
      </c>
      <c r="R81" s="517">
        <f t="shared" ca="1" si="30"/>
        <v>2392.2627629476492</v>
      </c>
      <c r="S81" s="517">
        <f t="shared" ca="1" si="30"/>
        <v>2355.8766562156934</v>
      </c>
      <c r="T81" s="517">
        <f t="shared" ca="1" si="30"/>
        <v>2434.9097864936957</v>
      </c>
      <c r="U81" s="517">
        <f t="shared" ca="1" si="30"/>
        <v>2362.9086260010927</v>
      </c>
      <c r="V81" s="517">
        <f t="shared" ca="1" si="30"/>
        <v>2471.5415886716596</v>
      </c>
      <c r="W81" s="517">
        <f t="shared" ca="1" si="30"/>
        <v>2376.2030087397643</v>
      </c>
      <c r="X81" s="517">
        <f t="shared" ca="1" si="30"/>
        <v>2508.7200443667057</v>
      </c>
      <c r="Y81" s="517">
        <f ca="1">MIN(-SUM(Y80:Y80),Y79)</f>
        <v>2388.5662941292467</v>
      </c>
      <c r="Z81" s="517">
        <f t="shared" ca="1" si="30"/>
        <v>2539.4954686994829</v>
      </c>
      <c r="AA81" s="517">
        <f t="shared" ca="1" si="30"/>
        <v>2407.3009021250778</v>
      </c>
      <c r="AB81" s="517">
        <f t="shared" ca="1" si="30"/>
        <v>2414.7457437252533</v>
      </c>
      <c r="AC81" s="517">
        <f t="shared" ca="1" si="30"/>
        <v>2277.1918272348348</v>
      </c>
      <c r="AD81" s="517">
        <f t="shared" ca="1" si="30"/>
        <v>2453.6116150291564</v>
      </c>
      <c r="AE81" s="517">
        <f t="shared" ca="1" si="30"/>
        <v>2287.9726377316492</v>
      </c>
      <c r="AF81" s="517">
        <f t="shared" ca="1" si="30"/>
        <v>1688.7311752822109</v>
      </c>
      <c r="AG81" s="517">
        <f t="shared" ca="1" si="30"/>
        <v>1558.4026903790832</v>
      </c>
      <c r="AH81" s="517">
        <f t="shared" ca="1" si="30"/>
        <v>1665.7503274515079</v>
      </c>
      <c r="AI81" s="517">
        <f t="shared" ca="1" si="30"/>
        <v>1507.4389068089126</v>
      </c>
      <c r="AJ81" s="517">
        <f t="shared" ca="1" si="30"/>
        <v>0</v>
      </c>
      <c r="AK81" s="517">
        <f t="shared" ca="1" si="30"/>
        <v>0</v>
      </c>
      <c r="AL81" s="517">
        <f t="shared" ca="1" si="30"/>
        <v>0</v>
      </c>
      <c r="AM81" s="517">
        <f t="shared" ref="AM81:BO81" ca="1" si="31">MIN(-SUM(AM80:AM80),AM79)</f>
        <v>0</v>
      </c>
      <c r="AN81" s="517">
        <f t="shared" ca="1" si="31"/>
        <v>0</v>
      </c>
      <c r="AO81" s="517">
        <f t="shared" ca="1" si="31"/>
        <v>0</v>
      </c>
      <c r="AP81" s="517">
        <f t="shared" ca="1" si="31"/>
        <v>0</v>
      </c>
      <c r="AQ81" s="517">
        <f t="shared" ca="1" si="31"/>
        <v>0</v>
      </c>
      <c r="AR81" s="517">
        <f t="shared" ca="1" si="31"/>
        <v>0</v>
      </c>
      <c r="AS81" s="517">
        <f t="shared" ca="1" si="31"/>
        <v>0</v>
      </c>
      <c r="AT81" s="517">
        <f t="shared" ca="1" si="31"/>
        <v>0</v>
      </c>
      <c r="AU81" s="517">
        <f t="shared" ca="1" si="31"/>
        <v>0</v>
      </c>
      <c r="AV81" s="517">
        <f t="shared" ca="1" si="31"/>
        <v>0</v>
      </c>
      <c r="AW81" s="517">
        <f t="shared" ca="1" si="31"/>
        <v>0</v>
      </c>
      <c r="AX81" s="517">
        <f t="shared" ca="1" si="31"/>
        <v>0</v>
      </c>
      <c r="AY81" s="517">
        <f t="shared" ca="1" si="31"/>
        <v>0</v>
      </c>
      <c r="AZ81" s="517">
        <f t="shared" ca="1" si="31"/>
        <v>0</v>
      </c>
      <c r="BA81" s="517">
        <f t="shared" ca="1" si="31"/>
        <v>0</v>
      </c>
      <c r="BB81" s="517">
        <f t="shared" ca="1" si="31"/>
        <v>0</v>
      </c>
      <c r="BC81" s="517">
        <f t="shared" ca="1" si="31"/>
        <v>0</v>
      </c>
      <c r="BD81" s="517">
        <f t="shared" ca="1" si="31"/>
        <v>0</v>
      </c>
      <c r="BE81" s="517">
        <f t="shared" ca="1" si="31"/>
        <v>0</v>
      </c>
      <c r="BF81" s="517">
        <f t="shared" ca="1" si="31"/>
        <v>0</v>
      </c>
      <c r="BG81" s="517">
        <f t="shared" ca="1" si="31"/>
        <v>0</v>
      </c>
      <c r="BH81" s="517">
        <f t="shared" ca="1" si="31"/>
        <v>0</v>
      </c>
      <c r="BI81" s="517">
        <f t="shared" ca="1" si="31"/>
        <v>0</v>
      </c>
      <c r="BJ81" s="517">
        <f t="shared" ca="1" si="31"/>
        <v>0</v>
      </c>
      <c r="BK81" s="517">
        <f t="shared" ca="1" si="31"/>
        <v>0</v>
      </c>
      <c r="BL81" s="517">
        <f t="shared" ca="1" si="31"/>
        <v>0</v>
      </c>
      <c r="BM81" s="517">
        <f t="shared" ca="1" si="31"/>
        <v>0</v>
      </c>
      <c r="BN81" s="517">
        <f t="shared" ca="1" si="31"/>
        <v>0</v>
      </c>
      <c r="BO81" s="517">
        <f t="shared" ca="1" si="31"/>
        <v>0</v>
      </c>
      <c r="BP81" s="517"/>
      <c r="BQ81" s="517"/>
      <c r="BR81" s="517"/>
      <c r="BS81" s="517"/>
      <c r="BT81" s="517"/>
      <c r="BU81" s="517"/>
      <c r="BV81" s="517"/>
      <c r="BW81" s="517"/>
      <c r="BX81" s="517"/>
      <c r="BY81" s="517"/>
      <c r="BZ81" s="517"/>
      <c r="CA81" s="517"/>
      <c r="CB81" s="517"/>
      <c r="CC81" s="517"/>
      <c r="CD81" s="517"/>
      <c r="CE81" s="517"/>
      <c r="CF81" s="517"/>
      <c r="CG81" s="517"/>
      <c r="CH81" s="517"/>
      <c r="CI81" s="517"/>
      <c r="CJ81" s="517"/>
      <c r="CK81" s="517"/>
      <c r="CL81" s="517"/>
      <c r="CM81" s="517"/>
      <c r="CN81" s="517"/>
      <c r="CO81" s="517"/>
      <c r="CP81" s="517"/>
      <c r="CQ81" s="517"/>
      <c r="CR81" s="517"/>
      <c r="CS81" s="517"/>
      <c r="CT81" s="517"/>
      <c r="CU81" s="517"/>
      <c r="CV81" s="517"/>
      <c r="CW81" s="517"/>
      <c r="CX81" s="517"/>
      <c r="CY81" s="517"/>
      <c r="CZ81" s="517"/>
      <c r="DA81" s="517"/>
      <c r="DB81" s="517"/>
      <c r="DC81" s="517"/>
      <c r="DD81" s="517"/>
      <c r="DE81" s="517"/>
      <c r="DF81" s="517"/>
      <c r="DG81" s="517"/>
      <c r="DH81" s="517"/>
      <c r="DI81" s="517"/>
      <c r="DJ81" s="517"/>
      <c r="DK81" s="517"/>
      <c r="DL81" s="517"/>
      <c r="DM81" s="517"/>
      <c r="DN81" s="517"/>
      <c r="DO81" s="517"/>
      <c r="DP81" s="517"/>
      <c r="DQ81" s="517"/>
      <c r="DR81" s="517"/>
      <c r="DS81" s="517"/>
      <c r="DT81" s="517"/>
      <c r="DU81" s="517"/>
      <c r="DV81" s="517"/>
      <c r="DW81" s="517"/>
      <c r="DX81" s="304"/>
      <c r="DY81" s="304"/>
    </row>
    <row r="82" spans="1:129" ht="11.25" customHeight="1">
      <c r="A82" s="995" t="s">
        <v>1149</v>
      </c>
      <c r="B82" s="679"/>
      <c r="C82" s="679"/>
      <c r="D82" s="504"/>
      <c r="E82" s="504"/>
      <c r="F82" s="415"/>
      <c r="G82" s="517">
        <f t="shared" ref="G82:AL82" si="32">MIN(-SUM(G80:G80)-G81,G87)</f>
        <v>0</v>
      </c>
      <c r="H82" s="517">
        <f t="shared" ca="1" si="32"/>
        <v>0</v>
      </c>
      <c r="I82" s="517">
        <f t="shared" ca="1" si="32"/>
        <v>0</v>
      </c>
      <c r="J82" s="517">
        <f t="shared" ca="1" si="32"/>
        <v>0</v>
      </c>
      <c r="K82" s="517">
        <f t="shared" ca="1" si="32"/>
        <v>0</v>
      </c>
      <c r="L82" s="517">
        <f t="shared" ca="1" si="32"/>
        <v>0</v>
      </c>
      <c r="M82" s="517">
        <f t="shared" ca="1" si="32"/>
        <v>0</v>
      </c>
      <c r="N82" s="517">
        <f t="shared" ca="1" si="32"/>
        <v>0</v>
      </c>
      <c r="O82" s="517">
        <f t="shared" ca="1" si="32"/>
        <v>0</v>
      </c>
      <c r="P82" s="517">
        <f t="shared" ca="1" si="32"/>
        <v>0</v>
      </c>
      <c r="Q82" s="517">
        <f t="shared" ca="1" si="32"/>
        <v>0</v>
      </c>
      <c r="R82" s="517">
        <f t="shared" ca="1" si="32"/>
        <v>0</v>
      </c>
      <c r="S82" s="517">
        <f t="shared" ca="1" si="32"/>
        <v>0</v>
      </c>
      <c r="T82" s="517">
        <f t="shared" ca="1" si="32"/>
        <v>0</v>
      </c>
      <c r="U82" s="517">
        <f t="shared" ca="1" si="32"/>
        <v>0</v>
      </c>
      <c r="V82" s="517">
        <f t="shared" ca="1" si="32"/>
        <v>0</v>
      </c>
      <c r="W82" s="517">
        <f t="shared" ca="1" si="32"/>
        <v>0</v>
      </c>
      <c r="X82" s="517">
        <f t="shared" ca="1" si="32"/>
        <v>0</v>
      </c>
      <c r="Y82" s="517">
        <f t="shared" ca="1" si="32"/>
        <v>0</v>
      </c>
      <c r="Z82" s="517">
        <f t="shared" ca="1" si="32"/>
        <v>0</v>
      </c>
      <c r="AA82" s="517">
        <f t="shared" ca="1" si="32"/>
        <v>0</v>
      </c>
      <c r="AB82" s="517">
        <f t="shared" ca="1" si="32"/>
        <v>0</v>
      </c>
      <c r="AC82" s="517">
        <f t="shared" ca="1" si="32"/>
        <v>0</v>
      </c>
      <c r="AD82" s="517">
        <f t="shared" ca="1" si="32"/>
        <v>0</v>
      </c>
      <c r="AE82" s="517">
        <f t="shared" ca="1" si="32"/>
        <v>0</v>
      </c>
      <c r="AF82" s="517">
        <f t="shared" ca="1" si="32"/>
        <v>0</v>
      </c>
      <c r="AG82" s="517">
        <f t="shared" ca="1" si="32"/>
        <v>0</v>
      </c>
      <c r="AH82" s="517">
        <f t="shared" ca="1" si="32"/>
        <v>0</v>
      </c>
      <c r="AI82" s="517">
        <f t="shared" ca="1" si="32"/>
        <v>0</v>
      </c>
      <c r="AJ82" s="517">
        <f t="shared" ca="1" si="32"/>
        <v>0</v>
      </c>
      <c r="AK82" s="517">
        <f t="shared" ca="1" si="32"/>
        <v>0</v>
      </c>
      <c r="AL82" s="517">
        <f t="shared" ca="1" si="32"/>
        <v>0</v>
      </c>
      <c r="AM82" s="517">
        <f t="shared" ref="AM82:BO82" ca="1" si="33">MIN(-SUM(AM80:AM80)-AM81,AM87)</f>
        <v>0</v>
      </c>
      <c r="AN82" s="517">
        <f t="shared" ca="1" si="33"/>
        <v>0</v>
      </c>
      <c r="AO82" s="517">
        <f t="shared" ca="1" si="33"/>
        <v>0</v>
      </c>
      <c r="AP82" s="517">
        <f t="shared" ca="1" si="33"/>
        <v>0</v>
      </c>
      <c r="AQ82" s="517">
        <f t="shared" ca="1" si="33"/>
        <v>0</v>
      </c>
      <c r="AR82" s="517">
        <f t="shared" ca="1" si="33"/>
        <v>0</v>
      </c>
      <c r="AS82" s="517">
        <f t="shared" ca="1" si="33"/>
        <v>0</v>
      </c>
      <c r="AT82" s="517">
        <f t="shared" ca="1" si="33"/>
        <v>0</v>
      </c>
      <c r="AU82" s="517">
        <f t="shared" ca="1" si="33"/>
        <v>0</v>
      </c>
      <c r="AV82" s="517">
        <f t="shared" ca="1" si="33"/>
        <v>0</v>
      </c>
      <c r="AW82" s="517">
        <f t="shared" ca="1" si="33"/>
        <v>0</v>
      </c>
      <c r="AX82" s="517">
        <f t="shared" ca="1" si="33"/>
        <v>0</v>
      </c>
      <c r="AY82" s="517">
        <f t="shared" ca="1" si="33"/>
        <v>0</v>
      </c>
      <c r="AZ82" s="517">
        <f t="shared" ca="1" si="33"/>
        <v>0</v>
      </c>
      <c r="BA82" s="517">
        <f t="shared" ca="1" si="33"/>
        <v>0</v>
      </c>
      <c r="BB82" s="517">
        <f t="shared" ca="1" si="33"/>
        <v>0</v>
      </c>
      <c r="BC82" s="517">
        <f t="shared" ca="1" si="33"/>
        <v>0</v>
      </c>
      <c r="BD82" s="517">
        <f t="shared" ca="1" si="33"/>
        <v>0</v>
      </c>
      <c r="BE82" s="517">
        <f t="shared" ca="1" si="33"/>
        <v>0</v>
      </c>
      <c r="BF82" s="517">
        <f t="shared" ca="1" si="33"/>
        <v>0</v>
      </c>
      <c r="BG82" s="517">
        <f t="shared" ca="1" si="33"/>
        <v>0</v>
      </c>
      <c r="BH82" s="517">
        <f t="shared" ca="1" si="33"/>
        <v>0</v>
      </c>
      <c r="BI82" s="517">
        <f t="shared" ca="1" si="33"/>
        <v>0</v>
      </c>
      <c r="BJ82" s="517">
        <f t="shared" ca="1" si="33"/>
        <v>0</v>
      </c>
      <c r="BK82" s="517">
        <f t="shared" ca="1" si="33"/>
        <v>0</v>
      </c>
      <c r="BL82" s="517">
        <f t="shared" ca="1" si="33"/>
        <v>0</v>
      </c>
      <c r="BM82" s="517">
        <f t="shared" ca="1" si="33"/>
        <v>0</v>
      </c>
      <c r="BN82" s="517">
        <f t="shared" ca="1" si="33"/>
        <v>0</v>
      </c>
      <c r="BO82" s="517">
        <f t="shared" ca="1" si="33"/>
        <v>0</v>
      </c>
      <c r="BP82" s="517"/>
      <c r="BQ82" s="517"/>
      <c r="BR82" s="517"/>
      <c r="BS82" s="517"/>
      <c r="BT82" s="517"/>
      <c r="BU82" s="517"/>
      <c r="BV82" s="517"/>
      <c r="BW82" s="517"/>
      <c r="BX82" s="517"/>
      <c r="BY82" s="517"/>
      <c r="BZ82" s="517"/>
      <c r="CA82" s="517"/>
      <c r="CB82" s="517"/>
      <c r="CC82" s="517"/>
      <c r="CD82" s="517"/>
      <c r="CE82" s="517"/>
      <c r="CF82" s="517"/>
      <c r="CG82" s="517"/>
      <c r="CH82" s="517"/>
      <c r="CI82" s="517"/>
      <c r="CJ82" s="517"/>
      <c r="CK82" s="517"/>
      <c r="CL82" s="517"/>
      <c r="CM82" s="517"/>
      <c r="CN82" s="517"/>
      <c r="CO82" s="517"/>
      <c r="CP82" s="517"/>
      <c r="CQ82" s="517"/>
      <c r="CR82" s="517"/>
      <c r="CS82" s="517"/>
      <c r="CT82" s="517"/>
      <c r="CU82" s="517"/>
      <c r="CV82" s="517"/>
      <c r="CW82" s="517"/>
      <c r="CX82" s="517"/>
      <c r="CY82" s="517"/>
      <c r="CZ82" s="517"/>
      <c r="DA82" s="517"/>
      <c r="DB82" s="517"/>
      <c r="DC82" s="517"/>
      <c r="DD82" s="517"/>
      <c r="DE82" s="517"/>
      <c r="DF82" s="517"/>
      <c r="DG82" s="517"/>
      <c r="DH82" s="517"/>
      <c r="DI82" s="517"/>
      <c r="DJ82" s="517"/>
      <c r="DK82" s="517"/>
      <c r="DL82" s="517"/>
      <c r="DM82" s="517"/>
      <c r="DN82" s="517"/>
      <c r="DO82" s="517"/>
      <c r="DP82" s="517"/>
      <c r="DQ82" s="517"/>
      <c r="DR82" s="517"/>
      <c r="DS82" s="517"/>
      <c r="DT82" s="517"/>
      <c r="DU82" s="517"/>
      <c r="DV82" s="517"/>
      <c r="DW82" s="517"/>
      <c r="DX82" s="304"/>
      <c r="DY82" s="304"/>
    </row>
    <row r="83" spans="1:129" ht="11.25" customHeight="1">
      <c r="A83" s="515" t="str">
        <f>Inputs!A273</f>
        <v>VAT Facility</v>
      </c>
      <c r="B83" s="672"/>
      <c r="C83" s="672"/>
      <c r="D83" s="493"/>
      <c r="E83" s="493"/>
      <c r="F83" s="512"/>
      <c r="G83" s="1050">
        <f>-DS!G35</f>
        <v>0</v>
      </c>
      <c r="H83" s="1050">
        <f ca="1">-DS!H35</f>
        <v>0</v>
      </c>
      <c r="I83" s="1050">
        <f ca="1">-DS!I35</f>
        <v>0</v>
      </c>
      <c r="J83" s="1050">
        <f ca="1">-DS!J35</f>
        <v>0</v>
      </c>
      <c r="K83" s="1050">
        <f ca="1">-DS!K35</f>
        <v>0</v>
      </c>
      <c r="L83" s="1050">
        <f ca="1">-DS!L35</f>
        <v>0</v>
      </c>
      <c r="M83" s="1050">
        <f ca="1">-DS!M35</f>
        <v>0</v>
      </c>
      <c r="N83" s="1050">
        <f ca="1">-DS!N35</f>
        <v>0</v>
      </c>
      <c r="O83" s="1050">
        <f ca="1">-DS!O35</f>
        <v>0</v>
      </c>
      <c r="P83" s="1050">
        <f ca="1">-DS!P35</f>
        <v>0</v>
      </c>
      <c r="Q83" s="1050">
        <f ca="1">-DS!Q35</f>
        <v>0</v>
      </c>
      <c r="R83" s="1050">
        <f ca="1">-DS!R35</f>
        <v>0</v>
      </c>
      <c r="S83" s="1050">
        <f ca="1">-DS!S35</f>
        <v>0</v>
      </c>
      <c r="T83" s="1050">
        <f ca="1">-DS!T35</f>
        <v>0</v>
      </c>
      <c r="U83" s="1050">
        <f ca="1">-DS!U35</f>
        <v>0</v>
      </c>
      <c r="V83" s="1050">
        <f ca="1">-DS!V35</f>
        <v>0</v>
      </c>
      <c r="W83" s="1050">
        <f ca="1">-DS!W35</f>
        <v>0</v>
      </c>
      <c r="X83" s="1050">
        <f ca="1">-DS!X35</f>
        <v>0</v>
      </c>
      <c r="Y83" s="1050">
        <f ca="1">-DS!Y35</f>
        <v>0</v>
      </c>
      <c r="Z83" s="1050">
        <f ca="1">-DS!Z35</f>
        <v>0</v>
      </c>
      <c r="AA83" s="1050">
        <f ca="1">-DS!AA35</f>
        <v>0</v>
      </c>
      <c r="AB83" s="1050">
        <f ca="1">-DS!AB35</f>
        <v>0</v>
      </c>
      <c r="AC83" s="1050">
        <f ca="1">-DS!AC35</f>
        <v>0</v>
      </c>
      <c r="AD83" s="1050">
        <f ca="1">-DS!AD35</f>
        <v>0</v>
      </c>
      <c r="AE83" s="1050">
        <f ca="1">-DS!AE35</f>
        <v>0</v>
      </c>
      <c r="AF83" s="1050">
        <f ca="1">-DS!AF35</f>
        <v>0</v>
      </c>
      <c r="AG83" s="1050">
        <f ca="1">-DS!AG35</f>
        <v>0</v>
      </c>
      <c r="AH83" s="1050">
        <f ca="1">-DS!AH35</f>
        <v>0</v>
      </c>
      <c r="AI83" s="1050">
        <f ca="1">-DS!AI35</f>
        <v>0</v>
      </c>
      <c r="AJ83" s="1050">
        <f ca="1">-DS!AJ35</f>
        <v>0</v>
      </c>
      <c r="AK83" s="1050">
        <f ca="1">-DS!AK35</f>
        <v>0</v>
      </c>
      <c r="AL83" s="1050">
        <f ca="1">-DS!AL35</f>
        <v>0</v>
      </c>
      <c r="AM83" s="1050">
        <f ca="1">-DS!AM35</f>
        <v>0</v>
      </c>
      <c r="AN83" s="1050">
        <f ca="1">-DS!AN35</f>
        <v>0</v>
      </c>
      <c r="AO83" s="1050">
        <f ca="1">-DS!AO35</f>
        <v>0</v>
      </c>
      <c r="AP83" s="1050">
        <f ca="1">-DS!AP35</f>
        <v>0</v>
      </c>
      <c r="AQ83" s="1050">
        <f ca="1">-DS!AQ35</f>
        <v>0</v>
      </c>
      <c r="AR83" s="1050">
        <f ca="1">-DS!AR35</f>
        <v>0</v>
      </c>
      <c r="AS83" s="1050">
        <f ca="1">-DS!AS35</f>
        <v>0</v>
      </c>
      <c r="AT83" s="1050">
        <f ca="1">-DS!AT35</f>
        <v>0</v>
      </c>
      <c r="AU83" s="1050">
        <f ca="1">-DS!AU35</f>
        <v>0</v>
      </c>
      <c r="AV83" s="1050">
        <f ca="1">-DS!AV35</f>
        <v>0</v>
      </c>
      <c r="AW83" s="1050">
        <f ca="1">-DS!AW35</f>
        <v>0</v>
      </c>
      <c r="AX83" s="1050">
        <f ca="1">-DS!AX35</f>
        <v>0</v>
      </c>
      <c r="AY83" s="1050">
        <f ca="1">-DS!AY35</f>
        <v>0</v>
      </c>
      <c r="AZ83" s="1050">
        <f ca="1">-DS!AZ35</f>
        <v>0</v>
      </c>
      <c r="BA83" s="1050">
        <f ca="1">-DS!BA35</f>
        <v>0</v>
      </c>
      <c r="BB83" s="1050">
        <f ca="1">-DS!BB35</f>
        <v>0</v>
      </c>
      <c r="BC83" s="1050">
        <f ca="1">-DS!BC35</f>
        <v>0</v>
      </c>
      <c r="BD83" s="1050">
        <f ca="1">-DS!BD35</f>
        <v>0</v>
      </c>
      <c r="BE83" s="1050">
        <f ca="1">-DS!BE35</f>
        <v>0</v>
      </c>
      <c r="BF83" s="1050">
        <f ca="1">-DS!BF35</f>
        <v>0</v>
      </c>
      <c r="BG83" s="1050">
        <f ca="1">-DS!BG35</f>
        <v>0</v>
      </c>
      <c r="BH83" s="1050">
        <f ca="1">-DS!BH35</f>
        <v>0</v>
      </c>
      <c r="BI83" s="1050">
        <f ca="1">-DS!BI35</f>
        <v>0</v>
      </c>
      <c r="BJ83" s="1050">
        <f ca="1">-DS!BJ35</f>
        <v>0</v>
      </c>
      <c r="BK83" s="1050">
        <f ca="1">-DS!BK35</f>
        <v>0</v>
      </c>
      <c r="BL83" s="1050">
        <f ca="1">-DS!BL35</f>
        <v>0</v>
      </c>
      <c r="BM83" s="1050">
        <f ca="1">-DS!BM35</f>
        <v>0</v>
      </c>
      <c r="BN83" s="1050">
        <f ca="1">-DS!BN35</f>
        <v>0</v>
      </c>
      <c r="BO83" s="1050">
        <f ca="1">-DS!BO35</f>
        <v>0</v>
      </c>
      <c r="BP83" s="1050"/>
      <c r="BQ83" s="1050"/>
      <c r="BR83" s="1050"/>
      <c r="BS83" s="1050"/>
      <c r="BT83" s="1050"/>
      <c r="BU83" s="1050"/>
      <c r="BV83" s="1050"/>
      <c r="BW83" s="1050"/>
      <c r="BX83" s="1050"/>
      <c r="BY83" s="1050"/>
      <c r="BZ83" s="1050"/>
      <c r="CA83" s="1050"/>
      <c r="CB83" s="1050"/>
      <c r="CC83" s="1050"/>
      <c r="CD83" s="1050"/>
      <c r="CE83" s="1050"/>
      <c r="CF83" s="1050"/>
      <c r="CG83" s="1050"/>
      <c r="CH83" s="1050"/>
      <c r="CI83" s="1050"/>
      <c r="CJ83" s="1050"/>
      <c r="CK83" s="1050"/>
      <c r="CL83" s="1050"/>
      <c r="CM83" s="1050"/>
      <c r="CN83" s="1050"/>
      <c r="CO83" s="1050"/>
      <c r="CP83" s="1050"/>
      <c r="CQ83" s="1050"/>
      <c r="CR83" s="1050"/>
      <c r="CS83" s="1050"/>
      <c r="CT83" s="1050"/>
      <c r="CU83" s="1050"/>
      <c r="CV83" s="1050"/>
      <c r="CW83" s="1050"/>
      <c r="CX83" s="1050"/>
      <c r="CY83" s="1050"/>
      <c r="CZ83" s="1050"/>
      <c r="DA83" s="1050"/>
      <c r="DB83" s="1050"/>
      <c r="DC83" s="1050"/>
      <c r="DD83" s="1050"/>
      <c r="DE83" s="1050"/>
      <c r="DF83" s="1050"/>
      <c r="DG83" s="1050"/>
      <c r="DH83" s="1050"/>
      <c r="DI83" s="1050"/>
      <c r="DJ83" s="1050"/>
      <c r="DK83" s="1050"/>
      <c r="DL83" s="1050"/>
      <c r="DM83" s="1050"/>
      <c r="DN83" s="1050"/>
      <c r="DO83" s="1050"/>
      <c r="DP83" s="1050"/>
      <c r="DQ83" s="1050"/>
      <c r="DR83" s="1050"/>
      <c r="DS83" s="1050"/>
      <c r="DT83" s="1050"/>
      <c r="DU83" s="1050"/>
      <c r="DV83" s="1050"/>
      <c r="DW83" s="1050"/>
      <c r="DX83" s="304"/>
      <c r="DY83" s="304"/>
    </row>
    <row r="84" spans="1:129">
      <c r="A84" s="516"/>
      <c r="B84" s="679"/>
      <c r="C84" s="679"/>
      <c r="D84" s="504"/>
      <c r="E84" s="504"/>
      <c r="F84" s="415"/>
      <c r="G84" s="518"/>
      <c r="H84" s="519"/>
      <c r="I84" s="519"/>
      <c r="J84" s="519"/>
      <c r="K84" s="519"/>
      <c r="L84" s="519"/>
      <c r="M84" s="519"/>
      <c r="N84" s="519"/>
      <c r="O84" s="519"/>
      <c r="P84" s="519"/>
      <c r="Q84" s="519"/>
      <c r="R84" s="519"/>
      <c r="S84" s="519"/>
      <c r="T84" s="519"/>
      <c r="U84" s="519"/>
      <c r="V84" s="519"/>
      <c r="W84" s="519"/>
      <c r="X84" s="519"/>
      <c r="Y84" s="519"/>
      <c r="Z84" s="519"/>
      <c r="AA84" s="519"/>
      <c r="AB84" s="519"/>
      <c r="AC84" s="519"/>
      <c r="AD84" s="519"/>
      <c r="AE84" s="519"/>
      <c r="AF84" s="519"/>
      <c r="AG84" s="519"/>
      <c r="AH84" s="519"/>
      <c r="AI84" s="519"/>
      <c r="AJ84" s="519"/>
      <c r="AK84" s="519"/>
      <c r="AL84" s="519"/>
      <c r="AM84" s="519"/>
      <c r="AN84" s="519"/>
      <c r="AO84" s="519"/>
      <c r="AP84" s="519"/>
      <c r="AQ84" s="519"/>
      <c r="AR84" s="519"/>
      <c r="AS84" s="519"/>
      <c r="AT84" s="519"/>
      <c r="AU84" s="519"/>
      <c r="AV84" s="519"/>
      <c r="AW84" s="519"/>
      <c r="AX84" s="519"/>
      <c r="AY84" s="519"/>
      <c r="AZ84" s="519"/>
      <c r="BA84" s="519"/>
      <c r="BB84" s="519"/>
      <c r="BC84" s="519"/>
      <c r="BD84" s="519"/>
      <c r="BE84" s="519"/>
      <c r="BF84" s="519"/>
      <c r="BG84" s="519"/>
      <c r="BH84" s="519"/>
      <c r="BI84" s="519"/>
      <c r="BJ84" s="519"/>
      <c r="BK84" s="519"/>
      <c r="BL84" s="519"/>
      <c r="BM84" s="519"/>
      <c r="BN84" s="519"/>
      <c r="BO84" s="519"/>
      <c r="BP84" s="519"/>
      <c r="BQ84" s="519"/>
      <c r="BR84" s="519"/>
      <c r="BS84" s="519"/>
      <c r="BT84" s="519"/>
      <c r="BU84" s="519"/>
      <c r="BV84" s="519"/>
      <c r="BW84" s="519"/>
      <c r="BX84" s="519"/>
      <c r="BY84" s="519"/>
      <c r="BZ84" s="519"/>
      <c r="CA84" s="519"/>
      <c r="CB84" s="519"/>
      <c r="CC84" s="519"/>
      <c r="CD84" s="519"/>
      <c r="CE84" s="519"/>
      <c r="CF84" s="519"/>
      <c r="CG84" s="519"/>
      <c r="CH84" s="519"/>
      <c r="CI84" s="519"/>
      <c r="CJ84" s="519"/>
      <c r="CK84" s="519"/>
      <c r="CL84" s="519"/>
      <c r="CM84" s="519"/>
      <c r="CN84" s="519"/>
      <c r="CO84" s="519"/>
      <c r="CP84" s="519"/>
      <c r="CQ84" s="519"/>
      <c r="CR84" s="519"/>
      <c r="CS84" s="519"/>
      <c r="CT84" s="519"/>
      <c r="CU84" s="519"/>
      <c r="CV84" s="519"/>
      <c r="CW84" s="519"/>
      <c r="CX84" s="519"/>
      <c r="CY84" s="519"/>
      <c r="CZ84" s="519"/>
      <c r="DA84" s="519"/>
      <c r="DB84" s="519"/>
      <c r="DC84" s="519"/>
      <c r="DD84" s="519"/>
      <c r="DE84" s="519"/>
      <c r="DF84" s="519"/>
      <c r="DG84" s="519"/>
      <c r="DH84" s="519"/>
      <c r="DI84" s="519"/>
      <c r="DJ84" s="519"/>
      <c r="DK84" s="519"/>
      <c r="DL84" s="519"/>
      <c r="DM84" s="519"/>
      <c r="DN84" s="519"/>
      <c r="DO84" s="519"/>
      <c r="DP84" s="519"/>
      <c r="DQ84" s="519"/>
      <c r="DR84" s="519"/>
      <c r="DS84" s="519"/>
      <c r="DT84" s="519"/>
      <c r="DU84" s="519"/>
      <c r="DV84" s="519"/>
      <c r="DW84" s="519"/>
      <c r="DX84" s="304"/>
      <c r="DY84" s="304"/>
    </row>
    <row r="85" spans="1:129" ht="11.25" customHeight="1">
      <c r="A85" s="516" t="str">
        <f>Inputs!A344</f>
        <v>DSRA</v>
      </c>
      <c r="B85" s="680"/>
      <c r="C85" s="680"/>
      <c r="D85" s="520"/>
      <c r="E85" s="520"/>
      <c r="F85" s="935"/>
      <c r="G85" s="521"/>
      <c r="H85" s="521"/>
      <c r="I85" s="521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  <c r="W85" s="521"/>
      <c r="X85" s="521"/>
      <c r="Y85" s="521"/>
      <c r="Z85" s="521"/>
      <c r="AA85" s="521"/>
      <c r="AB85" s="521"/>
      <c r="AC85" s="521"/>
      <c r="AD85" s="521"/>
      <c r="AE85" s="521"/>
      <c r="AF85" s="521"/>
      <c r="AG85" s="521"/>
      <c r="AH85" s="521"/>
      <c r="AI85" s="521"/>
      <c r="AJ85" s="521"/>
      <c r="AK85" s="521"/>
      <c r="AL85" s="521"/>
      <c r="AM85" s="521"/>
      <c r="AN85" s="521"/>
      <c r="AO85" s="521"/>
      <c r="AP85" s="521"/>
      <c r="AQ85" s="521"/>
      <c r="AR85" s="521"/>
      <c r="AS85" s="521"/>
      <c r="AT85" s="521"/>
      <c r="AU85" s="521"/>
      <c r="AV85" s="521"/>
      <c r="AW85" s="521"/>
      <c r="AX85" s="521"/>
      <c r="AY85" s="521"/>
      <c r="AZ85" s="521"/>
      <c r="BA85" s="521"/>
      <c r="BB85" s="521"/>
      <c r="BC85" s="521"/>
      <c r="BD85" s="521"/>
      <c r="BE85" s="521"/>
      <c r="BF85" s="521"/>
      <c r="BG85" s="521"/>
      <c r="BH85" s="521"/>
      <c r="BI85" s="521"/>
      <c r="BJ85" s="521"/>
      <c r="BK85" s="521"/>
      <c r="BL85" s="521"/>
      <c r="BM85" s="521"/>
      <c r="BN85" s="521"/>
      <c r="BO85" s="521"/>
      <c r="BP85" s="521"/>
      <c r="BQ85" s="521"/>
      <c r="BR85" s="521"/>
      <c r="BS85" s="521"/>
      <c r="BT85" s="521"/>
      <c r="BU85" s="521"/>
      <c r="BV85" s="521"/>
      <c r="BW85" s="521"/>
      <c r="BX85" s="521"/>
      <c r="BY85" s="521"/>
      <c r="BZ85" s="521"/>
      <c r="CA85" s="521"/>
      <c r="CB85" s="521"/>
      <c r="CC85" s="521"/>
      <c r="CD85" s="521"/>
      <c r="CE85" s="521"/>
      <c r="CF85" s="521"/>
      <c r="CG85" s="521"/>
      <c r="CH85" s="521"/>
      <c r="CI85" s="521"/>
      <c r="CJ85" s="521"/>
      <c r="CK85" s="521"/>
      <c r="CL85" s="521"/>
      <c r="CM85" s="521"/>
      <c r="CN85" s="521"/>
      <c r="CO85" s="521"/>
      <c r="CP85" s="521"/>
      <c r="CQ85" s="521"/>
      <c r="CR85" s="521"/>
      <c r="CS85" s="521"/>
      <c r="CT85" s="521"/>
      <c r="CU85" s="521"/>
      <c r="CV85" s="521"/>
      <c r="CW85" s="521"/>
      <c r="CX85" s="521"/>
      <c r="CY85" s="521"/>
      <c r="CZ85" s="521"/>
      <c r="DA85" s="521"/>
      <c r="DB85" s="521"/>
      <c r="DC85" s="521"/>
      <c r="DD85" s="521"/>
      <c r="DE85" s="521"/>
      <c r="DF85" s="521"/>
      <c r="DG85" s="521"/>
      <c r="DH85" s="521"/>
      <c r="DI85" s="521"/>
      <c r="DJ85" s="521"/>
      <c r="DK85" s="521"/>
      <c r="DL85" s="521"/>
      <c r="DM85" s="521"/>
      <c r="DN85" s="521"/>
      <c r="DO85" s="521"/>
      <c r="DP85" s="521"/>
      <c r="DQ85" s="521"/>
      <c r="DR85" s="521"/>
      <c r="DS85" s="521"/>
      <c r="DT85" s="521"/>
      <c r="DU85" s="521"/>
      <c r="DV85" s="521"/>
      <c r="DW85" s="521"/>
      <c r="DX85" s="304"/>
      <c r="DY85" s="304"/>
    </row>
    <row r="86" spans="1:129" ht="11.25" customHeight="1">
      <c r="A86" s="522" t="s">
        <v>1150</v>
      </c>
      <c r="B86" s="1052">
        <f>Inputs!$I$348</f>
        <v>0</v>
      </c>
      <c r="C86" s="1052"/>
      <c r="D86" s="523"/>
      <c r="E86" s="523"/>
      <c r="F86" s="936"/>
      <c r="G86" s="524">
        <f t="shared" ref="G86:AL86" ca="1" si="34">-H$80*($B$86*$B$4)/monthsinyear*(G$4&gt;0)</f>
        <v>0</v>
      </c>
      <c r="H86" s="524">
        <f t="shared" ca="1" si="34"/>
        <v>0</v>
      </c>
      <c r="I86" s="524">
        <f t="shared" ca="1" si="34"/>
        <v>0</v>
      </c>
      <c r="J86" s="524">
        <f t="shared" ca="1" si="34"/>
        <v>0</v>
      </c>
      <c r="K86" s="524">
        <f t="shared" ca="1" si="34"/>
        <v>0</v>
      </c>
      <c r="L86" s="524">
        <f t="shared" ca="1" si="34"/>
        <v>0</v>
      </c>
      <c r="M86" s="524">
        <f t="shared" ca="1" si="34"/>
        <v>0</v>
      </c>
      <c r="N86" s="524">
        <f t="shared" ca="1" si="34"/>
        <v>0</v>
      </c>
      <c r="O86" s="524">
        <f t="shared" ca="1" si="34"/>
        <v>0</v>
      </c>
      <c r="P86" s="524">
        <f t="shared" ca="1" si="34"/>
        <v>0</v>
      </c>
      <c r="Q86" s="524">
        <f t="shared" ca="1" si="34"/>
        <v>0</v>
      </c>
      <c r="R86" s="524">
        <f t="shared" ca="1" si="34"/>
        <v>0</v>
      </c>
      <c r="S86" s="524">
        <f t="shared" ca="1" si="34"/>
        <v>0</v>
      </c>
      <c r="T86" s="524">
        <f t="shared" ca="1" si="34"/>
        <v>0</v>
      </c>
      <c r="U86" s="524">
        <f t="shared" ca="1" si="34"/>
        <v>0</v>
      </c>
      <c r="V86" s="524">
        <f t="shared" ca="1" si="34"/>
        <v>0</v>
      </c>
      <c r="W86" s="524">
        <f t="shared" ca="1" si="34"/>
        <v>0</v>
      </c>
      <c r="X86" s="524">
        <f t="shared" ca="1" si="34"/>
        <v>0</v>
      </c>
      <c r="Y86" s="524">
        <f t="shared" ca="1" si="34"/>
        <v>0</v>
      </c>
      <c r="Z86" s="524">
        <f t="shared" ca="1" si="34"/>
        <v>0</v>
      </c>
      <c r="AA86" s="524">
        <f t="shared" ca="1" si="34"/>
        <v>0</v>
      </c>
      <c r="AB86" s="524">
        <f t="shared" ca="1" si="34"/>
        <v>0</v>
      </c>
      <c r="AC86" s="524">
        <f t="shared" ca="1" si="34"/>
        <v>0</v>
      </c>
      <c r="AD86" s="524">
        <f t="shared" ca="1" si="34"/>
        <v>0</v>
      </c>
      <c r="AE86" s="524">
        <f t="shared" ca="1" si="34"/>
        <v>0</v>
      </c>
      <c r="AF86" s="524">
        <f t="shared" ca="1" si="34"/>
        <v>0</v>
      </c>
      <c r="AG86" s="524">
        <f t="shared" ca="1" si="34"/>
        <v>0</v>
      </c>
      <c r="AH86" s="524">
        <f t="shared" ca="1" si="34"/>
        <v>0</v>
      </c>
      <c r="AI86" s="524">
        <f t="shared" ca="1" si="34"/>
        <v>0</v>
      </c>
      <c r="AJ86" s="524">
        <f t="shared" ca="1" si="34"/>
        <v>0</v>
      </c>
      <c r="AK86" s="524">
        <f t="shared" ca="1" si="34"/>
        <v>0</v>
      </c>
      <c r="AL86" s="524">
        <f t="shared" ca="1" si="34"/>
        <v>0</v>
      </c>
      <c r="AM86" s="524">
        <f t="shared" ref="AM86:BO86" ca="1" si="35">-AN$80*($B$86*$B$4)/monthsinyear*(AM$4&gt;0)</f>
        <v>0</v>
      </c>
      <c r="AN86" s="524">
        <f t="shared" ca="1" si="35"/>
        <v>0</v>
      </c>
      <c r="AO86" s="524">
        <f t="shared" ca="1" si="35"/>
        <v>0</v>
      </c>
      <c r="AP86" s="524">
        <f t="shared" ca="1" si="35"/>
        <v>0</v>
      </c>
      <c r="AQ86" s="524">
        <f t="shared" ca="1" si="35"/>
        <v>0</v>
      </c>
      <c r="AR86" s="524">
        <f t="shared" ca="1" si="35"/>
        <v>0</v>
      </c>
      <c r="AS86" s="524">
        <f t="shared" ca="1" si="35"/>
        <v>0</v>
      </c>
      <c r="AT86" s="524">
        <f t="shared" ca="1" si="35"/>
        <v>0</v>
      </c>
      <c r="AU86" s="524">
        <f t="shared" ca="1" si="35"/>
        <v>0</v>
      </c>
      <c r="AV86" s="524">
        <f t="shared" ca="1" si="35"/>
        <v>0</v>
      </c>
      <c r="AW86" s="524">
        <f t="shared" ca="1" si="35"/>
        <v>0</v>
      </c>
      <c r="AX86" s="524">
        <f t="shared" ca="1" si="35"/>
        <v>0</v>
      </c>
      <c r="AY86" s="524">
        <f t="shared" ca="1" si="35"/>
        <v>0</v>
      </c>
      <c r="AZ86" s="524">
        <f t="shared" ca="1" si="35"/>
        <v>0</v>
      </c>
      <c r="BA86" s="524">
        <f t="shared" ca="1" si="35"/>
        <v>0</v>
      </c>
      <c r="BB86" s="524">
        <f t="shared" ca="1" si="35"/>
        <v>0</v>
      </c>
      <c r="BC86" s="524">
        <f t="shared" ca="1" si="35"/>
        <v>0</v>
      </c>
      <c r="BD86" s="524">
        <f t="shared" ca="1" si="35"/>
        <v>0</v>
      </c>
      <c r="BE86" s="524">
        <f t="shared" ca="1" si="35"/>
        <v>0</v>
      </c>
      <c r="BF86" s="524">
        <f t="shared" ca="1" si="35"/>
        <v>0</v>
      </c>
      <c r="BG86" s="524">
        <f t="shared" ca="1" si="35"/>
        <v>0</v>
      </c>
      <c r="BH86" s="524">
        <f t="shared" ca="1" si="35"/>
        <v>0</v>
      </c>
      <c r="BI86" s="524">
        <f t="shared" ca="1" si="35"/>
        <v>0</v>
      </c>
      <c r="BJ86" s="524">
        <f t="shared" ca="1" si="35"/>
        <v>0</v>
      </c>
      <c r="BK86" s="524">
        <f t="shared" ca="1" si="35"/>
        <v>0</v>
      </c>
      <c r="BL86" s="524">
        <f t="shared" ca="1" si="35"/>
        <v>0</v>
      </c>
      <c r="BM86" s="524">
        <f t="shared" ca="1" si="35"/>
        <v>0</v>
      </c>
      <c r="BN86" s="524">
        <f t="shared" ca="1" si="35"/>
        <v>0</v>
      </c>
      <c r="BO86" s="524">
        <f t="shared" si="35"/>
        <v>0</v>
      </c>
      <c r="BP86" s="524"/>
      <c r="BQ86" s="524"/>
      <c r="BR86" s="524"/>
      <c r="BS86" s="524"/>
      <c r="BT86" s="524"/>
      <c r="BU86" s="524"/>
      <c r="BV86" s="524"/>
      <c r="BW86" s="524"/>
      <c r="BX86" s="524"/>
      <c r="BY86" s="524"/>
      <c r="BZ86" s="524"/>
      <c r="CA86" s="524"/>
      <c r="CB86" s="524"/>
      <c r="CC86" s="524"/>
      <c r="CD86" s="524"/>
      <c r="CE86" s="524"/>
      <c r="CF86" s="524"/>
      <c r="CG86" s="524"/>
      <c r="CH86" s="524"/>
      <c r="CI86" s="524"/>
      <c r="CJ86" s="524"/>
      <c r="CK86" s="524"/>
      <c r="CL86" s="524"/>
      <c r="CM86" s="524"/>
      <c r="CN86" s="524"/>
      <c r="CO86" s="524"/>
      <c r="CP86" s="524"/>
      <c r="CQ86" s="524"/>
      <c r="CR86" s="524"/>
      <c r="CS86" s="524"/>
      <c r="CT86" s="524"/>
      <c r="CU86" s="524"/>
      <c r="CV86" s="524"/>
      <c r="CW86" s="524"/>
      <c r="CX86" s="524"/>
      <c r="CY86" s="524"/>
      <c r="CZ86" s="524"/>
      <c r="DA86" s="524"/>
      <c r="DB86" s="524"/>
      <c r="DC86" s="524"/>
      <c r="DD86" s="524"/>
      <c r="DE86" s="524"/>
      <c r="DF86" s="524"/>
      <c r="DG86" s="524"/>
      <c r="DH86" s="524"/>
      <c r="DI86" s="524"/>
      <c r="DJ86" s="524"/>
      <c r="DK86" s="524"/>
      <c r="DL86" s="524"/>
      <c r="DM86" s="524"/>
      <c r="DN86" s="524"/>
      <c r="DO86" s="524"/>
      <c r="DP86" s="524"/>
      <c r="DQ86" s="524"/>
      <c r="DR86" s="524"/>
      <c r="DS86" s="524"/>
      <c r="DT86" s="524"/>
      <c r="DU86" s="524"/>
      <c r="DV86" s="524"/>
      <c r="DW86" s="524"/>
      <c r="DX86" s="304"/>
      <c r="DY86" s="304"/>
    </row>
    <row r="87" spans="1:129" ht="11.25" customHeight="1">
      <c r="A87" s="515" t="s">
        <v>1151</v>
      </c>
      <c r="B87" s="681"/>
      <c r="C87" s="681"/>
      <c r="D87" s="525"/>
      <c r="E87" s="525"/>
      <c r="F87" s="528"/>
      <c r="G87" s="526">
        <f>F91</f>
        <v>0</v>
      </c>
      <c r="H87" s="526">
        <f t="shared" ref="H87:AM87" ca="1" si="36">MAX(G87+G89+G88,0)</f>
        <v>0</v>
      </c>
      <c r="I87" s="526">
        <f t="shared" ca="1" si="36"/>
        <v>0</v>
      </c>
      <c r="J87" s="526">
        <f t="shared" ca="1" si="36"/>
        <v>0</v>
      </c>
      <c r="K87" s="526">
        <f t="shared" ca="1" si="36"/>
        <v>0</v>
      </c>
      <c r="L87" s="526">
        <f t="shared" ca="1" si="36"/>
        <v>0</v>
      </c>
      <c r="M87" s="526">
        <f t="shared" ca="1" si="36"/>
        <v>0</v>
      </c>
      <c r="N87" s="526">
        <f t="shared" ca="1" si="36"/>
        <v>0</v>
      </c>
      <c r="O87" s="526">
        <f t="shared" ca="1" si="36"/>
        <v>0</v>
      </c>
      <c r="P87" s="526">
        <f t="shared" ca="1" si="36"/>
        <v>0</v>
      </c>
      <c r="Q87" s="526">
        <f t="shared" ca="1" si="36"/>
        <v>0</v>
      </c>
      <c r="R87" s="526">
        <f t="shared" ca="1" si="36"/>
        <v>0</v>
      </c>
      <c r="S87" s="526">
        <f t="shared" ca="1" si="36"/>
        <v>0</v>
      </c>
      <c r="T87" s="526">
        <f t="shared" ca="1" si="36"/>
        <v>0</v>
      </c>
      <c r="U87" s="526">
        <f t="shared" ca="1" si="36"/>
        <v>0</v>
      </c>
      <c r="V87" s="526">
        <f t="shared" ca="1" si="36"/>
        <v>0</v>
      </c>
      <c r="W87" s="526">
        <f t="shared" ca="1" si="36"/>
        <v>0</v>
      </c>
      <c r="X87" s="526">
        <f t="shared" ca="1" si="36"/>
        <v>0</v>
      </c>
      <c r="Y87" s="526">
        <f t="shared" ca="1" si="36"/>
        <v>0</v>
      </c>
      <c r="Z87" s="526">
        <f t="shared" ca="1" si="36"/>
        <v>0</v>
      </c>
      <c r="AA87" s="526">
        <f t="shared" ca="1" si="36"/>
        <v>0</v>
      </c>
      <c r="AB87" s="526">
        <f t="shared" ca="1" si="36"/>
        <v>0</v>
      </c>
      <c r="AC87" s="526">
        <f t="shared" ca="1" si="36"/>
        <v>0</v>
      </c>
      <c r="AD87" s="526">
        <f t="shared" ca="1" si="36"/>
        <v>0</v>
      </c>
      <c r="AE87" s="526">
        <f t="shared" ca="1" si="36"/>
        <v>0</v>
      </c>
      <c r="AF87" s="526">
        <f t="shared" ca="1" si="36"/>
        <v>0</v>
      </c>
      <c r="AG87" s="526">
        <f t="shared" ca="1" si="36"/>
        <v>0</v>
      </c>
      <c r="AH87" s="526">
        <f t="shared" ca="1" si="36"/>
        <v>0</v>
      </c>
      <c r="AI87" s="526">
        <f t="shared" ca="1" si="36"/>
        <v>0</v>
      </c>
      <c r="AJ87" s="526">
        <f t="shared" ca="1" si="36"/>
        <v>0</v>
      </c>
      <c r="AK87" s="526">
        <f t="shared" ca="1" si="36"/>
        <v>0</v>
      </c>
      <c r="AL87" s="526">
        <f t="shared" ca="1" si="36"/>
        <v>0</v>
      </c>
      <c r="AM87" s="526">
        <f t="shared" ca="1" si="36"/>
        <v>0</v>
      </c>
      <c r="AN87" s="526">
        <f t="shared" ref="AN87:BO87" ca="1" si="37">MAX(AM87+AM89+AM88,0)</f>
        <v>0</v>
      </c>
      <c r="AO87" s="526">
        <f t="shared" ca="1" si="37"/>
        <v>0</v>
      </c>
      <c r="AP87" s="526">
        <f t="shared" ca="1" si="37"/>
        <v>0</v>
      </c>
      <c r="AQ87" s="526">
        <f t="shared" ca="1" si="37"/>
        <v>0</v>
      </c>
      <c r="AR87" s="526">
        <f t="shared" ca="1" si="37"/>
        <v>0</v>
      </c>
      <c r="AS87" s="526">
        <f t="shared" ca="1" si="37"/>
        <v>0</v>
      </c>
      <c r="AT87" s="526">
        <f t="shared" ca="1" si="37"/>
        <v>0</v>
      </c>
      <c r="AU87" s="526">
        <f t="shared" ca="1" si="37"/>
        <v>0</v>
      </c>
      <c r="AV87" s="526">
        <f t="shared" ca="1" si="37"/>
        <v>0</v>
      </c>
      <c r="AW87" s="526">
        <f t="shared" ca="1" si="37"/>
        <v>0</v>
      </c>
      <c r="AX87" s="526">
        <f t="shared" ca="1" si="37"/>
        <v>0</v>
      </c>
      <c r="AY87" s="526">
        <f t="shared" ca="1" si="37"/>
        <v>0</v>
      </c>
      <c r="AZ87" s="526">
        <f t="shared" ca="1" si="37"/>
        <v>0</v>
      </c>
      <c r="BA87" s="526">
        <f t="shared" ca="1" si="37"/>
        <v>0</v>
      </c>
      <c r="BB87" s="526">
        <f t="shared" ca="1" si="37"/>
        <v>0</v>
      </c>
      <c r="BC87" s="526">
        <f t="shared" ca="1" si="37"/>
        <v>0</v>
      </c>
      <c r="BD87" s="526">
        <f t="shared" ca="1" si="37"/>
        <v>0</v>
      </c>
      <c r="BE87" s="526">
        <f t="shared" ca="1" si="37"/>
        <v>0</v>
      </c>
      <c r="BF87" s="526">
        <f t="shared" ca="1" si="37"/>
        <v>0</v>
      </c>
      <c r="BG87" s="526">
        <f t="shared" ca="1" si="37"/>
        <v>0</v>
      </c>
      <c r="BH87" s="526">
        <f t="shared" ca="1" si="37"/>
        <v>0</v>
      </c>
      <c r="BI87" s="526">
        <f t="shared" ca="1" si="37"/>
        <v>0</v>
      </c>
      <c r="BJ87" s="526">
        <f t="shared" ca="1" si="37"/>
        <v>0</v>
      </c>
      <c r="BK87" s="526">
        <f t="shared" ca="1" si="37"/>
        <v>0</v>
      </c>
      <c r="BL87" s="526">
        <f t="shared" ca="1" si="37"/>
        <v>0</v>
      </c>
      <c r="BM87" s="526">
        <f t="shared" ca="1" si="37"/>
        <v>0</v>
      </c>
      <c r="BN87" s="526">
        <f t="shared" ca="1" si="37"/>
        <v>0</v>
      </c>
      <c r="BO87" s="526">
        <f t="shared" ca="1" si="37"/>
        <v>0</v>
      </c>
      <c r="BP87" s="526"/>
      <c r="BQ87" s="526"/>
      <c r="BR87" s="526"/>
      <c r="BS87" s="526"/>
      <c r="BT87" s="526"/>
      <c r="BU87" s="526"/>
      <c r="BV87" s="526"/>
      <c r="BW87" s="526"/>
      <c r="BX87" s="526"/>
      <c r="BY87" s="526"/>
      <c r="BZ87" s="526"/>
      <c r="CA87" s="526"/>
      <c r="CB87" s="526"/>
      <c r="CC87" s="526"/>
      <c r="CD87" s="526"/>
      <c r="CE87" s="526"/>
      <c r="CF87" s="526"/>
      <c r="CG87" s="526"/>
      <c r="CH87" s="526"/>
      <c r="CI87" s="526"/>
      <c r="CJ87" s="526"/>
      <c r="CK87" s="526"/>
      <c r="CL87" s="526"/>
      <c r="CM87" s="526"/>
      <c r="CN87" s="526"/>
      <c r="CO87" s="526"/>
      <c r="CP87" s="526"/>
      <c r="CQ87" s="526"/>
      <c r="CR87" s="526"/>
      <c r="CS87" s="526"/>
      <c r="CT87" s="526"/>
      <c r="CU87" s="526"/>
      <c r="CV87" s="526"/>
      <c r="CW87" s="526"/>
      <c r="CX87" s="526"/>
      <c r="CY87" s="526"/>
      <c r="CZ87" s="526"/>
      <c r="DA87" s="526"/>
      <c r="DB87" s="526"/>
      <c r="DC87" s="526"/>
      <c r="DD87" s="526"/>
      <c r="DE87" s="526"/>
      <c r="DF87" s="526"/>
      <c r="DG87" s="526"/>
      <c r="DH87" s="526"/>
      <c r="DI87" s="526"/>
      <c r="DJ87" s="526"/>
      <c r="DK87" s="526"/>
      <c r="DL87" s="526"/>
      <c r="DM87" s="526"/>
      <c r="DN87" s="526"/>
      <c r="DO87" s="526"/>
      <c r="DP87" s="526"/>
      <c r="DQ87" s="526"/>
      <c r="DR87" s="526"/>
      <c r="DS87" s="526"/>
      <c r="DT87" s="526"/>
      <c r="DU87" s="526"/>
      <c r="DV87" s="526"/>
      <c r="DW87" s="526"/>
      <c r="DX87" s="304"/>
      <c r="DY87" s="304"/>
    </row>
    <row r="88" spans="1:129" ht="11.25" customHeight="1">
      <c r="A88" s="515" t="s">
        <v>1152</v>
      </c>
      <c r="B88" s="842">
        <f>DSRA_in</f>
        <v>0</v>
      </c>
      <c r="C88" s="842"/>
      <c r="D88" s="525"/>
      <c r="E88" s="525"/>
      <c r="F88" s="528"/>
      <c r="G88" s="526">
        <f t="shared" ref="G88:AL88" si="38">$B88*(G$4=0)</f>
        <v>0</v>
      </c>
      <c r="H88" s="526">
        <f t="shared" si="38"/>
        <v>0</v>
      </c>
      <c r="I88" s="526">
        <f t="shared" si="38"/>
        <v>0</v>
      </c>
      <c r="J88" s="526">
        <f t="shared" si="38"/>
        <v>0</v>
      </c>
      <c r="K88" s="526">
        <f t="shared" si="38"/>
        <v>0</v>
      </c>
      <c r="L88" s="526">
        <f t="shared" si="38"/>
        <v>0</v>
      </c>
      <c r="M88" s="526">
        <f t="shared" si="38"/>
        <v>0</v>
      </c>
      <c r="N88" s="526">
        <f t="shared" si="38"/>
        <v>0</v>
      </c>
      <c r="O88" s="526">
        <f t="shared" si="38"/>
        <v>0</v>
      </c>
      <c r="P88" s="526">
        <f t="shared" si="38"/>
        <v>0</v>
      </c>
      <c r="Q88" s="526">
        <f t="shared" si="38"/>
        <v>0</v>
      </c>
      <c r="R88" s="526">
        <f t="shared" si="38"/>
        <v>0</v>
      </c>
      <c r="S88" s="526">
        <f t="shared" si="38"/>
        <v>0</v>
      </c>
      <c r="T88" s="526">
        <f t="shared" si="38"/>
        <v>0</v>
      </c>
      <c r="U88" s="526">
        <f t="shared" si="38"/>
        <v>0</v>
      </c>
      <c r="V88" s="526">
        <f t="shared" si="38"/>
        <v>0</v>
      </c>
      <c r="W88" s="526">
        <f t="shared" si="38"/>
        <v>0</v>
      </c>
      <c r="X88" s="526">
        <f t="shared" si="38"/>
        <v>0</v>
      </c>
      <c r="Y88" s="526">
        <f t="shared" si="38"/>
        <v>0</v>
      </c>
      <c r="Z88" s="526">
        <f t="shared" si="38"/>
        <v>0</v>
      </c>
      <c r="AA88" s="526">
        <f t="shared" si="38"/>
        <v>0</v>
      </c>
      <c r="AB88" s="526">
        <f t="shared" si="38"/>
        <v>0</v>
      </c>
      <c r="AC88" s="526">
        <f t="shared" si="38"/>
        <v>0</v>
      </c>
      <c r="AD88" s="526">
        <f t="shared" si="38"/>
        <v>0</v>
      </c>
      <c r="AE88" s="526">
        <f t="shared" si="38"/>
        <v>0</v>
      </c>
      <c r="AF88" s="526">
        <f t="shared" si="38"/>
        <v>0</v>
      </c>
      <c r="AG88" s="526">
        <f t="shared" si="38"/>
        <v>0</v>
      </c>
      <c r="AH88" s="526">
        <f t="shared" si="38"/>
        <v>0</v>
      </c>
      <c r="AI88" s="526">
        <f t="shared" si="38"/>
        <v>0</v>
      </c>
      <c r="AJ88" s="526">
        <f t="shared" si="38"/>
        <v>0</v>
      </c>
      <c r="AK88" s="526">
        <f t="shared" si="38"/>
        <v>0</v>
      </c>
      <c r="AL88" s="526">
        <f t="shared" si="38"/>
        <v>0</v>
      </c>
      <c r="AM88" s="526">
        <f t="shared" ref="AM88:BO88" si="39">$B88*(AM$4=0)</f>
        <v>0</v>
      </c>
      <c r="AN88" s="526">
        <f t="shared" si="39"/>
        <v>0</v>
      </c>
      <c r="AO88" s="526">
        <f t="shared" si="39"/>
        <v>0</v>
      </c>
      <c r="AP88" s="526">
        <f t="shared" si="39"/>
        <v>0</v>
      </c>
      <c r="AQ88" s="526">
        <f t="shared" si="39"/>
        <v>0</v>
      </c>
      <c r="AR88" s="526">
        <f t="shared" si="39"/>
        <v>0</v>
      </c>
      <c r="AS88" s="526">
        <f t="shared" si="39"/>
        <v>0</v>
      </c>
      <c r="AT88" s="526">
        <f t="shared" si="39"/>
        <v>0</v>
      </c>
      <c r="AU88" s="526">
        <f t="shared" si="39"/>
        <v>0</v>
      </c>
      <c r="AV88" s="526">
        <f t="shared" si="39"/>
        <v>0</v>
      </c>
      <c r="AW88" s="526">
        <f t="shared" si="39"/>
        <v>0</v>
      </c>
      <c r="AX88" s="526">
        <f t="shared" si="39"/>
        <v>0</v>
      </c>
      <c r="AY88" s="526">
        <f t="shared" si="39"/>
        <v>0</v>
      </c>
      <c r="AZ88" s="526">
        <f t="shared" si="39"/>
        <v>0</v>
      </c>
      <c r="BA88" s="526">
        <f t="shared" si="39"/>
        <v>0</v>
      </c>
      <c r="BB88" s="526">
        <f t="shared" si="39"/>
        <v>0</v>
      </c>
      <c r="BC88" s="526">
        <f t="shared" si="39"/>
        <v>0</v>
      </c>
      <c r="BD88" s="526">
        <f t="shared" si="39"/>
        <v>0</v>
      </c>
      <c r="BE88" s="526">
        <f t="shared" si="39"/>
        <v>0</v>
      </c>
      <c r="BF88" s="526">
        <f t="shared" si="39"/>
        <v>0</v>
      </c>
      <c r="BG88" s="526">
        <f t="shared" si="39"/>
        <v>0</v>
      </c>
      <c r="BH88" s="526">
        <f t="shared" si="39"/>
        <v>0</v>
      </c>
      <c r="BI88" s="526">
        <f t="shared" si="39"/>
        <v>0</v>
      </c>
      <c r="BJ88" s="526">
        <f t="shared" si="39"/>
        <v>0</v>
      </c>
      <c r="BK88" s="526">
        <f t="shared" si="39"/>
        <v>0</v>
      </c>
      <c r="BL88" s="526">
        <f t="shared" si="39"/>
        <v>0</v>
      </c>
      <c r="BM88" s="526">
        <f t="shared" si="39"/>
        <v>0</v>
      </c>
      <c r="BN88" s="526">
        <f t="shared" si="39"/>
        <v>0</v>
      </c>
      <c r="BO88" s="526">
        <f t="shared" si="39"/>
        <v>0</v>
      </c>
      <c r="BP88" s="526"/>
      <c r="BQ88" s="526"/>
      <c r="BR88" s="526"/>
      <c r="BS88" s="526"/>
      <c r="BT88" s="526"/>
      <c r="BU88" s="526"/>
      <c r="BV88" s="526"/>
      <c r="BW88" s="526"/>
      <c r="BX88" s="526"/>
      <c r="BY88" s="526"/>
      <c r="BZ88" s="526"/>
      <c r="CA88" s="526"/>
      <c r="CB88" s="526"/>
      <c r="CC88" s="526"/>
      <c r="CD88" s="526"/>
      <c r="CE88" s="526"/>
      <c r="CF88" s="526"/>
      <c r="CG88" s="526"/>
      <c r="CH88" s="526"/>
      <c r="CI88" s="526"/>
      <c r="CJ88" s="526"/>
      <c r="CK88" s="526"/>
      <c r="CL88" s="526"/>
      <c r="CM88" s="526"/>
      <c r="CN88" s="526"/>
      <c r="CO88" s="526"/>
      <c r="CP88" s="526"/>
      <c r="CQ88" s="526"/>
      <c r="CR88" s="526"/>
      <c r="CS88" s="526"/>
      <c r="CT88" s="526"/>
      <c r="CU88" s="526"/>
      <c r="CV88" s="526"/>
      <c r="CW88" s="526"/>
      <c r="CX88" s="526"/>
      <c r="CY88" s="526"/>
      <c r="CZ88" s="526"/>
      <c r="DA88" s="526"/>
      <c r="DB88" s="526"/>
      <c r="DC88" s="526"/>
      <c r="DD88" s="526"/>
      <c r="DE88" s="526"/>
      <c r="DF88" s="526"/>
      <c r="DG88" s="526"/>
      <c r="DH88" s="526"/>
      <c r="DI88" s="526"/>
      <c r="DJ88" s="526"/>
      <c r="DK88" s="526"/>
      <c r="DL88" s="526"/>
      <c r="DM88" s="526"/>
      <c r="DN88" s="526"/>
      <c r="DO88" s="526"/>
      <c r="DP88" s="526"/>
      <c r="DQ88" s="526"/>
      <c r="DR88" s="526"/>
      <c r="DS88" s="526"/>
      <c r="DT88" s="526"/>
      <c r="DU88" s="526"/>
      <c r="DV88" s="526"/>
      <c r="DW88" s="526"/>
      <c r="DX88" s="304"/>
      <c r="DY88" s="304"/>
    </row>
    <row r="89" spans="1:129" ht="11.25" customHeight="1">
      <c r="A89" s="527" t="s">
        <v>370</v>
      </c>
      <c r="B89" s="682"/>
      <c r="C89" s="682"/>
      <c r="D89" s="528"/>
      <c r="E89" s="528"/>
      <c r="F89" s="528"/>
      <c r="G89" s="459">
        <f t="shared" ref="G89:AL89" ca="1" si="40">(IF((G87)&lt;G86,MAX(MIN(G86-G87-G88,SUM(G79:G80)+F$144),0),0)-IF((G87)&gt;=G86,-G86+G87,0))</f>
        <v>0</v>
      </c>
      <c r="H89" s="459">
        <f t="shared" ca="1" si="40"/>
        <v>0</v>
      </c>
      <c r="I89" s="459">
        <f t="shared" ca="1" si="40"/>
        <v>0</v>
      </c>
      <c r="J89" s="459">
        <f t="shared" ca="1" si="40"/>
        <v>0</v>
      </c>
      <c r="K89" s="459">
        <f t="shared" ca="1" si="40"/>
        <v>0</v>
      </c>
      <c r="L89" s="459">
        <f t="shared" ca="1" si="40"/>
        <v>0</v>
      </c>
      <c r="M89" s="459">
        <f t="shared" ca="1" si="40"/>
        <v>0</v>
      </c>
      <c r="N89" s="459">
        <f t="shared" ca="1" si="40"/>
        <v>0</v>
      </c>
      <c r="O89" s="459">
        <f t="shared" ca="1" si="40"/>
        <v>0</v>
      </c>
      <c r="P89" s="459">
        <f t="shared" ca="1" si="40"/>
        <v>0</v>
      </c>
      <c r="Q89" s="459">
        <f t="shared" ca="1" si="40"/>
        <v>0</v>
      </c>
      <c r="R89" s="459">
        <f t="shared" ca="1" si="40"/>
        <v>0</v>
      </c>
      <c r="S89" s="459">
        <f t="shared" ca="1" si="40"/>
        <v>0</v>
      </c>
      <c r="T89" s="459">
        <f t="shared" ca="1" si="40"/>
        <v>0</v>
      </c>
      <c r="U89" s="459">
        <f t="shared" ca="1" si="40"/>
        <v>0</v>
      </c>
      <c r="V89" s="459">
        <f t="shared" ca="1" si="40"/>
        <v>0</v>
      </c>
      <c r="W89" s="459">
        <f t="shared" ca="1" si="40"/>
        <v>0</v>
      </c>
      <c r="X89" s="459">
        <f t="shared" ca="1" si="40"/>
        <v>0</v>
      </c>
      <c r="Y89" s="459">
        <f t="shared" ca="1" si="40"/>
        <v>0</v>
      </c>
      <c r="Z89" s="459">
        <f t="shared" ca="1" si="40"/>
        <v>0</v>
      </c>
      <c r="AA89" s="459">
        <f t="shared" ca="1" si="40"/>
        <v>0</v>
      </c>
      <c r="AB89" s="459">
        <f t="shared" ca="1" si="40"/>
        <v>0</v>
      </c>
      <c r="AC89" s="459">
        <f t="shared" ca="1" si="40"/>
        <v>0</v>
      </c>
      <c r="AD89" s="459">
        <f t="shared" ca="1" si="40"/>
        <v>0</v>
      </c>
      <c r="AE89" s="459">
        <f t="shared" ca="1" si="40"/>
        <v>0</v>
      </c>
      <c r="AF89" s="459">
        <f t="shared" ca="1" si="40"/>
        <v>0</v>
      </c>
      <c r="AG89" s="459">
        <f t="shared" ca="1" si="40"/>
        <v>0</v>
      </c>
      <c r="AH89" s="459">
        <f t="shared" ca="1" si="40"/>
        <v>0</v>
      </c>
      <c r="AI89" s="459">
        <f t="shared" ca="1" si="40"/>
        <v>0</v>
      </c>
      <c r="AJ89" s="459">
        <f t="shared" ca="1" si="40"/>
        <v>0</v>
      </c>
      <c r="AK89" s="459">
        <f t="shared" ca="1" si="40"/>
        <v>0</v>
      </c>
      <c r="AL89" s="459">
        <f t="shared" ca="1" si="40"/>
        <v>0</v>
      </c>
      <c r="AM89" s="459">
        <f t="shared" ref="AM89:BO89" ca="1" si="41">(IF((AM87)&lt;AM86,MAX(MIN(AM86-AM87-AM88,SUM(AM79:AM80)+AL$144),0),0)-IF((AM87)&gt;=AM86,-AM86+AM87,0))</f>
        <v>0</v>
      </c>
      <c r="AN89" s="459">
        <f t="shared" ca="1" si="41"/>
        <v>0</v>
      </c>
      <c r="AO89" s="459">
        <f t="shared" ca="1" si="41"/>
        <v>0</v>
      </c>
      <c r="AP89" s="459">
        <f t="shared" ca="1" si="41"/>
        <v>0</v>
      </c>
      <c r="AQ89" s="459">
        <f t="shared" ca="1" si="41"/>
        <v>0</v>
      </c>
      <c r="AR89" s="459">
        <f t="shared" ca="1" si="41"/>
        <v>0</v>
      </c>
      <c r="AS89" s="459">
        <f t="shared" ca="1" si="41"/>
        <v>0</v>
      </c>
      <c r="AT89" s="459">
        <f t="shared" ca="1" si="41"/>
        <v>0</v>
      </c>
      <c r="AU89" s="459">
        <f t="shared" ca="1" si="41"/>
        <v>0</v>
      </c>
      <c r="AV89" s="459">
        <f t="shared" ca="1" si="41"/>
        <v>0</v>
      </c>
      <c r="AW89" s="459">
        <f t="shared" ca="1" si="41"/>
        <v>0</v>
      </c>
      <c r="AX89" s="459">
        <f t="shared" ca="1" si="41"/>
        <v>0</v>
      </c>
      <c r="AY89" s="459">
        <f t="shared" ca="1" si="41"/>
        <v>0</v>
      </c>
      <c r="AZ89" s="459">
        <f t="shared" ca="1" si="41"/>
        <v>0</v>
      </c>
      <c r="BA89" s="459">
        <f t="shared" ca="1" si="41"/>
        <v>0</v>
      </c>
      <c r="BB89" s="459">
        <f t="shared" ca="1" si="41"/>
        <v>0</v>
      </c>
      <c r="BC89" s="459">
        <f t="shared" ca="1" si="41"/>
        <v>0</v>
      </c>
      <c r="BD89" s="459">
        <f t="shared" ca="1" si="41"/>
        <v>0</v>
      </c>
      <c r="BE89" s="459">
        <f t="shared" ca="1" si="41"/>
        <v>0</v>
      </c>
      <c r="BF89" s="459">
        <f t="shared" ca="1" si="41"/>
        <v>0</v>
      </c>
      <c r="BG89" s="459">
        <f t="shared" ca="1" si="41"/>
        <v>0</v>
      </c>
      <c r="BH89" s="459">
        <f t="shared" ca="1" si="41"/>
        <v>0</v>
      </c>
      <c r="BI89" s="459">
        <f t="shared" ca="1" si="41"/>
        <v>0</v>
      </c>
      <c r="BJ89" s="459">
        <f t="shared" ca="1" si="41"/>
        <v>0</v>
      </c>
      <c r="BK89" s="459">
        <f t="shared" ca="1" si="41"/>
        <v>0</v>
      </c>
      <c r="BL89" s="459">
        <f t="shared" ca="1" si="41"/>
        <v>0</v>
      </c>
      <c r="BM89" s="459">
        <f t="shared" ca="1" si="41"/>
        <v>0</v>
      </c>
      <c r="BN89" s="459">
        <f t="shared" ca="1" si="41"/>
        <v>0</v>
      </c>
      <c r="BO89" s="459">
        <f t="shared" ca="1" si="41"/>
        <v>0</v>
      </c>
      <c r="BP89" s="459"/>
      <c r="BQ89" s="459"/>
      <c r="BR89" s="459"/>
      <c r="BS89" s="459"/>
      <c r="BT89" s="459"/>
      <c r="BU89" s="459"/>
      <c r="BV89" s="459"/>
      <c r="BW89" s="459"/>
      <c r="BX89" s="459"/>
      <c r="BY89" s="459"/>
      <c r="BZ89" s="459"/>
      <c r="CA89" s="459"/>
      <c r="CB89" s="459"/>
      <c r="CC89" s="459"/>
      <c r="CD89" s="459"/>
      <c r="CE89" s="459"/>
      <c r="CF89" s="459"/>
      <c r="CG89" s="459"/>
      <c r="CH89" s="459"/>
      <c r="CI89" s="459"/>
      <c r="CJ89" s="459"/>
      <c r="CK89" s="459"/>
      <c r="CL89" s="459"/>
      <c r="CM89" s="459"/>
      <c r="CN89" s="459"/>
      <c r="CO89" s="459"/>
      <c r="CP89" s="459"/>
      <c r="CQ89" s="459"/>
      <c r="CR89" s="459"/>
      <c r="CS89" s="459"/>
      <c r="CT89" s="459"/>
      <c r="CU89" s="459"/>
      <c r="CV89" s="459"/>
      <c r="CW89" s="459"/>
      <c r="CX89" s="459"/>
      <c r="CY89" s="459"/>
      <c r="CZ89" s="459"/>
      <c r="DA89" s="459"/>
      <c r="DB89" s="459"/>
      <c r="DC89" s="459"/>
      <c r="DD89" s="459"/>
      <c r="DE89" s="459"/>
      <c r="DF89" s="459"/>
      <c r="DG89" s="459"/>
      <c r="DH89" s="459"/>
      <c r="DI89" s="459"/>
      <c r="DJ89" s="459"/>
      <c r="DK89" s="459"/>
      <c r="DL89" s="459"/>
      <c r="DM89" s="459"/>
      <c r="DN89" s="459"/>
      <c r="DO89" s="459"/>
      <c r="DP89" s="459"/>
      <c r="DQ89" s="459"/>
      <c r="DR89" s="459"/>
      <c r="DS89" s="459"/>
      <c r="DT89" s="459"/>
      <c r="DU89" s="459"/>
      <c r="DV89" s="459"/>
      <c r="DW89" s="459"/>
      <c r="DX89" s="304"/>
      <c r="DY89" s="304"/>
    </row>
    <row r="90" spans="1:129" ht="11.25" customHeight="1">
      <c r="A90" s="515" t="s">
        <v>1153</v>
      </c>
      <c r="B90" s="681"/>
      <c r="C90" s="681"/>
      <c r="D90" s="525"/>
      <c r="E90" s="525"/>
      <c r="F90" s="528"/>
      <c r="G90" s="233">
        <f t="shared" ref="G90:AL90" si="42">-MIN(G82,G87)</f>
        <v>0</v>
      </c>
      <c r="H90" s="233">
        <f t="shared" ca="1" si="42"/>
        <v>0</v>
      </c>
      <c r="I90" s="233">
        <f t="shared" ca="1" si="42"/>
        <v>0</v>
      </c>
      <c r="J90" s="233">
        <f t="shared" ca="1" si="42"/>
        <v>0</v>
      </c>
      <c r="K90" s="233">
        <f t="shared" ca="1" si="42"/>
        <v>0</v>
      </c>
      <c r="L90" s="233">
        <f t="shared" ca="1" si="42"/>
        <v>0</v>
      </c>
      <c r="M90" s="233">
        <f t="shared" ca="1" si="42"/>
        <v>0</v>
      </c>
      <c r="N90" s="233">
        <f t="shared" ca="1" si="42"/>
        <v>0</v>
      </c>
      <c r="O90" s="233">
        <f t="shared" ca="1" si="42"/>
        <v>0</v>
      </c>
      <c r="P90" s="233">
        <f t="shared" ca="1" si="42"/>
        <v>0</v>
      </c>
      <c r="Q90" s="233">
        <f t="shared" ca="1" si="42"/>
        <v>0</v>
      </c>
      <c r="R90" s="233">
        <f t="shared" ca="1" si="42"/>
        <v>0</v>
      </c>
      <c r="S90" s="233">
        <f t="shared" ca="1" si="42"/>
        <v>0</v>
      </c>
      <c r="T90" s="233">
        <f t="shared" ca="1" si="42"/>
        <v>0</v>
      </c>
      <c r="U90" s="233">
        <f t="shared" ca="1" si="42"/>
        <v>0</v>
      </c>
      <c r="V90" s="233">
        <f t="shared" ca="1" si="42"/>
        <v>0</v>
      </c>
      <c r="W90" s="233">
        <f t="shared" ca="1" si="42"/>
        <v>0</v>
      </c>
      <c r="X90" s="233">
        <f t="shared" ca="1" si="42"/>
        <v>0</v>
      </c>
      <c r="Y90" s="233">
        <f t="shared" ca="1" si="42"/>
        <v>0</v>
      </c>
      <c r="Z90" s="233">
        <f t="shared" ca="1" si="42"/>
        <v>0</v>
      </c>
      <c r="AA90" s="233">
        <f t="shared" ca="1" si="42"/>
        <v>0</v>
      </c>
      <c r="AB90" s="233">
        <f t="shared" ca="1" si="42"/>
        <v>0</v>
      </c>
      <c r="AC90" s="233">
        <f t="shared" ca="1" si="42"/>
        <v>0</v>
      </c>
      <c r="AD90" s="233">
        <f t="shared" ca="1" si="42"/>
        <v>0</v>
      </c>
      <c r="AE90" s="233">
        <f t="shared" ca="1" si="42"/>
        <v>0</v>
      </c>
      <c r="AF90" s="233">
        <f t="shared" ca="1" si="42"/>
        <v>0</v>
      </c>
      <c r="AG90" s="233">
        <f t="shared" ca="1" si="42"/>
        <v>0</v>
      </c>
      <c r="AH90" s="233">
        <f t="shared" ca="1" si="42"/>
        <v>0</v>
      </c>
      <c r="AI90" s="233">
        <f t="shared" ca="1" si="42"/>
        <v>0</v>
      </c>
      <c r="AJ90" s="233">
        <f t="shared" ca="1" si="42"/>
        <v>0</v>
      </c>
      <c r="AK90" s="233">
        <f t="shared" ca="1" si="42"/>
        <v>0</v>
      </c>
      <c r="AL90" s="233">
        <f t="shared" ca="1" si="42"/>
        <v>0</v>
      </c>
      <c r="AM90" s="233">
        <f t="shared" ref="AM90:BO90" ca="1" si="43">-MIN(AM82,AM87)</f>
        <v>0</v>
      </c>
      <c r="AN90" s="233">
        <f t="shared" ca="1" si="43"/>
        <v>0</v>
      </c>
      <c r="AO90" s="233">
        <f t="shared" ca="1" si="43"/>
        <v>0</v>
      </c>
      <c r="AP90" s="233">
        <f t="shared" ca="1" si="43"/>
        <v>0</v>
      </c>
      <c r="AQ90" s="233">
        <f t="shared" ca="1" si="43"/>
        <v>0</v>
      </c>
      <c r="AR90" s="233">
        <f t="shared" ca="1" si="43"/>
        <v>0</v>
      </c>
      <c r="AS90" s="233">
        <f t="shared" ca="1" si="43"/>
        <v>0</v>
      </c>
      <c r="AT90" s="233">
        <f t="shared" ca="1" si="43"/>
        <v>0</v>
      </c>
      <c r="AU90" s="233">
        <f t="shared" ca="1" si="43"/>
        <v>0</v>
      </c>
      <c r="AV90" s="233">
        <f t="shared" ca="1" si="43"/>
        <v>0</v>
      </c>
      <c r="AW90" s="233">
        <f t="shared" ca="1" si="43"/>
        <v>0</v>
      </c>
      <c r="AX90" s="233">
        <f t="shared" ca="1" si="43"/>
        <v>0</v>
      </c>
      <c r="AY90" s="233">
        <f t="shared" ca="1" si="43"/>
        <v>0</v>
      </c>
      <c r="AZ90" s="233">
        <f t="shared" ca="1" si="43"/>
        <v>0</v>
      </c>
      <c r="BA90" s="233">
        <f t="shared" ca="1" si="43"/>
        <v>0</v>
      </c>
      <c r="BB90" s="233">
        <f t="shared" ca="1" si="43"/>
        <v>0</v>
      </c>
      <c r="BC90" s="233">
        <f t="shared" ca="1" si="43"/>
        <v>0</v>
      </c>
      <c r="BD90" s="233">
        <f t="shared" ca="1" si="43"/>
        <v>0</v>
      </c>
      <c r="BE90" s="233">
        <f t="shared" ca="1" si="43"/>
        <v>0</v>
      </c>
      <c r="BF90" s="233">
        <f t="shared" ca="1" si="43"/>
        <v>0</v>
      </c>
      <c r="BG90" s="233">
        <f t="shared" ca="1" si="43"/>
        <v>0</v>
      </c>
      <c r="BH90" s="233">
        <f t="shared" ca="1" si="43"/>
        <v>0</v>
      </c>
      <c r="BI90" s="233">
        <f t="shared" ca="1" si="43"/>
        <v>0</v>
      </c>
      <c r="BJ90" s="233">
        <f t="shared" ca="1" si="43"/>
        <v>0</v>
      </c>
      <c r="BK90" s="233">
        <f t="shared" ca="1" si="43"/>
        <v>0</v>
      </c>
      <c r="BL90" s="233">
        <f t="shared" ca="1" si="43"/>
        <v>0</v>
      </c>
      <c r="BM90" s="233">
        <f t="shared" ca="1" si="43"/>
        <v>0</v>
      </c>
      <c r="BN90" s="233">
        <f t="shared" ca="1" si="43"/>
        <v>0</v>
      </c>
      <c r="BO90" s="233">
        <f t="shared" ca="1" si="43"/>
        <v>0</v>
      </c>
      <c r="BP90" s="233"/>
      <c r="BQ90" s="233"/>
      <c r="BR90" s="233"/>
      <c r="BS90" s="233"/>
      <c r="BT90" s="233"/>
      <c r="BU90" s="233"/>
      <c r="BV90" s="233"/>
      <c r="BW90" s="233"/>
      <c r="BX90" s="233"/>
      <c r="BY90" s="233"/>
      <c r="BZ90" s="233"/>
      <c r="CA90" s="233"/>
      <c r="CB90" s="233"/>
      <c r="CC90" s="233"/>
      <c r="CD90" s="233"/>
      <c r="CE90" s="233"/>
      <c r="CF90" s="233"/>
      <c r="CG90" s="233"/>
      <c r="CH90" s="233"/>
      <c r="CI90" s="233"/>
      <c r="CJ90" s="233"/>
      <c r="CK90" s="233"/>
      <c r="CL90" s="233"/>
      <c r="CM90" s="233"/>
      <c r="CN90" s="233"/>
      <c r="CO90" s="233"/>
      <c r="CP90" s="233"/>
      <c r="CQ90" s="233"/>
      <c r="CR90" s="233"/>
      <c r="CS90" s="233"/>
      <c r="CT90" s="233"/>
      <c r="CU90" s="233"/>
      <c r="CV90" s="233"/>
      <c r="CW90" s="233"/>
      <c r="CX90" s="233"/>
      <c r="CY90" s="233"/>
      <c r="CZ90" s="233"/>
      <c r="DA90" s="233"/>
      <c r="DB90" s="233"/>
      <c r="DC90" s="233"/>
      <c r="DD90" s="233"/>
      <c r="DE90" s="233"/>
      <c r="DF90" s="233"/>
      <c r="DG90" s="233"/>
      <c r="DH90" s="233"/>
      <c r="DI90" s="233"/>
      <c r="DJ90" s="233"/>
      <c r="DK90" s="233"/>
      <c r="DL90" s="233"/>
      <c r="DM90" s="233"/>
      <c r="DN90" s="233"/>
      <c r="DO90" s="233"/>
      <c r="DP90" s="233"/>
      <c r="DQ90" s="233"/>
      <c r="DR90" s="233"/>
      <c r="DS90" s="233"/>
      <c r="DT90" s="233"/>
      <c r="DU90" s="233"/>
      <c r="DV90" s="233"/>
      <c r="DW90" s="233"/>
      <c r="DX90" s="304"/>
      <c r="DY90" s="304"/>
    </row>
    <row r="91" spans="1:129" ht="11.25" customHeight="1">
      <c r="A91" s="529" t="s">
        <v>1154</v>
      </c>
      <c r="B91" s="683"/>
      <c r="C91" s="683"/>
      <c r="D91" s="530"/>
      <c r="E91" s="530"/>
      <c r="F91" s="937"/>
      <c r="G91" s="531">
        <f t="shared" ref="G91:AL91" ca="1" si="44">SUM(G87:G90)</f>
        <v>0</v>
      </c>
      <c r="H91" s="531">
        <f t="shared" ca="1" si="44"/>
        <v>0</v>
      </c>
      <c r="I91" s="531">
        <f t="shared" ca="1" si="44"/>
        <v>0</v>
      </c>
      <c r="J91" s="531">
        <f t="shared" ca="1" si="44"/>
        <v>0</v>
      </c>
      <c r="K91" s="531">
        <f t="shared" ca="1" si="44"/>
        <v>0</v>
      </c>
      <c r="L91" s="531">
        <f t="shared" ca="1" si="44"/>
        <v>0</v>
      </c>
      <c r="M91" s="531">
        <f t="shared" ca="1" si="44"/>
        <v>0</v>
      </c>
      <c r="N91" s="531">
        <f t="shared" ca="1" si="44"/>
        <v>0</v>
      </c>
      <c r="O91" s="531">
        <f t="shared" ca="1" si="44"/>
        <v>0</v>
      </c>
      <c r="P91" s="531">
        <f t="shared" ca="1" si="44"/>
        <v>0</v>
      </c>
      <c r="Q91" s="531">
        <f t="shared" ca="1" si="44"/>
        <v>0</v>
      </c>
      <c r="R91" s="531">
        <f t="shared" ca="1" si="44"/>
        <v>0</v>
      </c>
      <c r="S91" s="531">
        <f t="shared" ca="1" si="44"/>
        <v>0</v>
      </c>
      <c r="T91" s="531">
        <f t="shared" ca="1" si="44"/>
        <v>0</v>
      </c>
      <c r="U91" s="531">
        <f t="shared" ca="1" si="44"/>
        <v>0</v>
      </c>
      <c r="V91" s="531">
        <f t="shared" ca="1" si="44"/>
        <v>0</v>
      </c>
      <c r="W91" s="531">
        <f t="shared" ca="1" si="44"/>
        <v>0</v>
      </c>
      <c r="X91" s="531">
        <f t="shared" ca="1" si="44"/>
        <v>0</v>
      </c>
      <c r="Y91" s="531">
        <f t="shared" ca="1" si="44"/>
        <v>0</v>
      </c>
      <c r="Z91" s="531">
        <f t="shared" ca="1" si="44"/>
        <v>0</v>
      </c>
      <c r="AA91" s="531">
        <f t="shared" ca="1" si="44"/>
        <v>0</v>
      </c>
      <c r="AB91" s="531">
        <f t="shared" ca="1" si="44"/>
        <v>0</v>
      </c>
      <c r="AC91" s="531">
        <f t="shared" ca="1" si="44"/>
        <v>0</v>
      </c>
      <c r="AD91" s="531">
        <f t="shared" ca="1" si="44"/>
        <v>0</v>
      </c>
      <c r="AE91" s="531">
        <f t="shared" ca="1" si="44"/>
        <v>0</v>
      </c>
      <c r="AF91" s="531">
        <f t="shared" ca="1" si="44"/>
        <v>0</v>
      </c>
      <c r="AG91" s="531">
        <f t="shared" ca="1" si="44"/>
        <v>0</v>
      </c>
      <c r="AH91" s="531">
        <f t="shared" ca="1" si="44"/>
        <v>0</v>
      </c>
      <c r="AI91" s="531">
        <f t="shared" ca="1" si="44"/>
        <v>0</v>
      </c>
      <c r="AJ91" s="531">
        <f t="shared" ca="1" si="44"/>
        <v>0</v>
      </c>
      <c r="AK91" s="531">
        <f t="shared" ca="1" si="44"/>
        <v>0</v>
      </c>
      <c r="AL91" s="531">
        <f t="shared" ca="1" si="44"/>
        <v>0</v>
      </c>
      <c r="AM91" s="531">
        <f t="shared" ref="AM91:BO91" ca="1" si="45">SUM(AM87:AM90)</f>
        <v>0</v>
      </c>
      <c r="AN91" s="531">
        <f t="shared" ca="1" si="45"/>
        <v>0</v>
      </c>
      <c r="AO91" s="531">
        <f t="shared" ca="1" si="45"/>
        <v>0</v>
      </c>
      <c r="AP91" s="531">
        <f t="shared" ca="1" si="45"/>
        <v>0</v>
      </c>
      <c r="AQ91" s="531">
        <f t="shared" ca="1" si="45"/>
        <v>0</v>
      </c>
      <c r="AR91" s="531">
        <f t="shared" ca="1" si="45"/>
        <v>0</v>
      </c>
      <c r="AS91" s="531">
        <f t="shared" ca="1" si="45"/>
        <v>0</v>
      </c>
      <c r="AT91" s="531">
        <f t="shared" ca="1" si="45"/>
        <v>0</v>
      </c>
      <c r="AU91" s="531">
        <f t="shared" ca="1" si="45"/>
        <v>0</v>
      </c>
      <c r="AV91" s="531">
        <f t="shared" ca="1" si="45"/>
        <v>0</v>
      </c>
      <c r="AW91" s="531">
        <f t="shared" ca="1" si="45"/>
        <v>0</v>
      </c>
      <c r="AX91" s="531">
        <f t="shared" ca="1" si="45"/>
        <v>0</v>
      </c>
      <c r="AY91" s="531">
        <f t="shared" ca="1" si="45"/>
        <v>0</v>
      </c>
      <c r="AZ91" s="531">
        <f t="shared" ca="1" si="45"/>
        <v>0</v>
      </c>
      <c r="BA91" s="531">
        <f t="shared" ca="1" si="45"/>
        <v>0</v>
      </c>
      <c r="BB91" s="531">
        <f t="shared" ca="1" si="45"/>
        <v>0</v>
      </c>
      <c r="BC91" s="531">
        <f t="shared" ca="1" si="45"/>
        <v>0</v>
      </c>
      <c r="BD91" s="531">
        <f t="shared" ca="1" si="45"/>
        <v>0</v>
      </c>
      <c r="BE91" s="531">
        <f t="shared" ca="1" si="45"/>
        <v>0</v>
      </c>
      <c r="BF91" s="531">
        <f t="shared" ca="1" si="45"/>
        <v>0</v>
      </c>
      <c r="BG91" s="531">
        <f t="shared" ca="1" si="45"/>
        <v>0</v>
      </c>
      <c r="BH91" s="531">
        <f t="shared" ca="1" si="45"/>
        <v>0</v>
      </c>
      <c r="BI91" s="531">
        <f t="shared" ca="1" si="45"/>
        <v>0</v>
      </c>
      <c r="BJ91" s="531">
        <f t="shared" ca="1" si="45"/>
        <v>0</v>
      </c>
      <c r="BK91" s="531">
        <f t="shared" ca="1" si="45"/>
        <v>0</v>
      </c>
      <c r="BL91" s="531">
        <f t="shared" ca="1" si="45"/>
        <v>0</v>
      </c>
      <c r="BM91" s="531">
        <f t="shared" ca="1" si="45"/>
        <v>0</v>
      </c>
      <c r="BN91" s="531">
        <f t="shared" ca="1" si="45"/>
        <v>0</v>
      </c>
      <c r="BO91" s="531">
        <f t="shared" ca="1" si="45"/>
        <v>0</v>
      </c>
      <c r="BP91" s="531"/>
      <c r="BQ91" s="531"/>
      <c r="BR91" s="531"/>
      <c r="BS91" s="531"/>
      <c r="BT91" s="531"/>
      <c r="BU91" s="531"/>
      <c r="BV91" s="531"/>
      <c r="BW91" s="531"/>
      <c r="BX91" s="531"/>
      <c r="BY91" s="531"/>
      <c r="BZ91" s="531"/>
      <c r="CA91" s="531"/>
      <c r="CB91" s="531"/>
      <c r="CC91" s="531"/>
      <c r="CD91" s="531"/>
      <c r="CE91" s="531"/>
      <c r="CF91" s="531"/>
      <c r="CG91" s="531"/>
      <c r="CH91" s="531"/>
      <c r="CI91" s="531"/>
      <c r="CJ91" s="531"/>
      <c r="CK91" s="531"/>
      <c r="CL91" s="531"/>
      <c r="CM91" s="531"/>
      <c r="CN91" s="531"/>
      <c r="CO91" s="531"/>
      <c r="CP91" s="531"/>
      <c r="CQ91" s="531"/>
      <c r="CR91" s="531"/>
      <c r="CS91" s="531"/>
      <c r="CT91" s="531"/>
      <c r="CU91" s="531"/>
      <c r="CV91" s="531"/>
      <c r="CW91" s="531"/>
      <c r="CX91" s="531"/>
      <c r="CY91" s="531"/>
      <c r="CZ91" s="531"/>
      <c r="DA91" s="531"/>
      <c r="DB91" s="531"/>
      <c r="DC91" s="531"/>
      <c r="DD91" s="531"/>
      <c r="DE91" s="531"/>
      <c r="DF91" s="531"/>
      <c r="DG91" s="531"/>
      <c r="DH91" s="531"/>
      <c r="DI91" s="531"/>
      <c r="DJ91" s="531"/>
      <c r="DK91" s="531"/>
      <c r="DL91" s="531"/>
      <c r="DM91" s="531"/>
      <c r="DN91" s="531"/>
      <c r="DO91" s="531"/>
      <c r="DP91" s="531"/>
      <c r="DQ91" s="531"/>
      <c r="DR91" s="531"/>
      <c r="DS91" s="531"/>
      <c r="DT91" s="531"/>
      <c r="DU91" s="531"/>
      <c r="DV91" s="531"/>
      <c r="DW91" s="531"/>
      <c r="DX91" s="304"/>
      <c r="DY91" s="304"/>
    </row>
    <row r="92" spans="1:129">
      <c r="A92" s="532" t="str">
        <f>A85</f>
        <v>DSRA</v>
      </c>
      <c r="B92" s="673"/>
      <c r="C92" s="673"/>
      <c r="E92" s="396">
        <f ca="1">ABS(SUM(G92:DW92))</f>
        <v>0</v>
      </c>
      <c r="F92" s="934"/>
      <c r="G92" s="994">
        <f t="shared" ref="G92:AL92" ca="1" si="46">-SUM(G88:G90)</f>
        <v>0</v>
      </c>
      <c r="H92" s="994">
        <f t="shared" ca="1" si="46"/>
        <v>0</v>
      </c>
      <c r="I92" s="994">
        <f t="shared" ca="1" si="46"/>
        <v>0</v>
      </c>
      <c r="J92" s="994">
        <f t="shared" ca="1" si="46"/>
        <v>0</v>
      </c>
      <c r="K92" s="994">
        <f t="shared" ca="1" si="46"/>
        <v>0</v>
      </c>
      <c r="L92" s="994">
        <f t="shared" ca="1" si="46"/>
        <v>0</v>
      </c>
      <c r="M92" s="994">
        <f t="shared" ca="1" si="46"/>
        <v>0</v>
      </c>
      <c r="N92" s="994">
        <f t="shared" ca="1" si="46"/>
        <v>0</v>
      </c>
      <c r="O92" s="994">
        <f t="shared" ca="1" si="46"/>
        <v>0</v>
      </c>
      <c r="P92" s="994">
        <f t="shared" ca="1" si="46"/>
        <v>0</v>
      </c>
      <c r="Q92" s="994">
        <f t="shared" ca="1" si="46"/>
        <v>0</v>
      </c>
      <c r="R92" s="994">
        <f t="shared" ca="1" si="46"/>
        <v>0</v>
      </c>
      <c r="S92" s="994">
        <f t="shared" ca="1" si="46"/>
        <v>0</v>
      </c>
      <c r="T92" s="994">
        <f t="shared" ca="1" si="46"/>
        <v>0</v>
      </c>
      <c r="U92" s="994">
        <f t="shared" ca="1" si="46"/>
        <v>0</v>
      </c>
      <c r="V92" s="994">
        <f t="shared" ca="1" si="46"/>
        <v>0</v>
      </c>
      <c r="W92" s="994">
        <f t="shared" ca="1" si="46"/>
        <v>0</v>
      </c>
      <c r="X92" s="994">
        <f t="shared" ca="1" si="46"/>
        <v>0</v>
      </c>
      <c r="Y92" s="994">
        <f t="shared" ca="1" si="46"/>
        <v>0</v>
      </c>
      <c r="Z92" s="994">
        <f t="shared" ca="1" si="46"/>
        <v>0</v>
      </c>
      <c r="AA92" s="994">
        <f t="shared" ca="1" si="46"/>
        <v>0</v>
      </c>
      <c r="AB92" s="994">
        <f t="shared" ca="1" si="46"/>
        <v>0</v>
      </c>
      <c r="AC92" s="994">
        <f t="shared" ca="1" si="46"/>
        <v>0</v>
      </c>
      <c r="AD92" s="994">
        <f t="shared" ca="1" si="46"/>
        <v>0</v>
      </c>
      <c r="AE92" s="994">
        <f t="shared" ca="1" si="46"/>
        <v>0</v>
      </c>
      <c r="AF92" s="994">
        <f t="shared" ca="1" si="46"/>
        <v>0</v>
      </c>
      <c r="AG92" s="994">
        <f t="shared" ca="1" si="46"/>
        <v>0</v>
      </c>
      <c r="AH92" s="994">
        <f t="shared" ca="1" si="46"/>
        <v>0</v>
      </c>
      <c r="AI92" s="994">
        <f t="shared" ca="1" si="46"/>
        <v>0</v>
      </c>
      <c r="AJ92" s="994">
        <f t="shared" ca="1" si="46"/>
        <v>0</v>
      </c>
      <c r="AK92" s="994">
        <f t="shared" ca="1" si="46"/>
        <v>0</v>
      </c>
      <c r="AL92" s="994">
        <f t="shared" ca="1" si="46"/>
        <v>0</v>
      </c>
      <c r="AM92" s="994">
        <f t="shared" ref="AM92:BO92" ca="1" si="47">-SUM(AM88:AM90)</f>
        <v>0</v>
      </c>
      <c r="AN92" s="994">
        <f t="shared" ca="1" si="47"/>
        <v>0</v>
      </c>
      <c r="AO92" s="994">
        <f t="shared" ca="1" si="47"/>
        <v>0</v>
      </c>
      <c r="AP92" s="994">
        <f t="shared" ca="1" si="47"/>
        <v>0</v>
      </c>
      <c r="AQ92" s="994">
        <f t="shared" ca="1" si="47"/>
        <v>0</v>
      </c>
      <c r="AR92" s="994">
        <f t="shared" ca="1" si="47"/>
        <v>0</v>
      </c>
      <c r="AS92" s="994">
        <f t="shared" ca="1" si="47"/>
        <v>0</v>
      </c>
      <c r="AT92" s="994">
        <f t="shared" ca="1" si="47"/>
        <v>0</v>
      </c>
      <c r="AU92" s="994">
        <f t="shared" ca="1" si="47"/>
        <v>0</v>
      </c>
      <c r="AV92" s="994">
        <f t="shared" ca="1" si="47"/>
        <v>0</v>
      </c>
      <c r="AW92" s="994">
        <f t="shared" ca="1" si="47"/>
        <v>0</v>
      </c>
      <c r="AX92" s="994">
        <f t="shared" ca="1" si="47"/>
        <v>0</v>
      </c>
      <c r="AY92" s="994">
        <f t="shared" ca="1" si="47"/>
        <v>0</v>
      </c>
      <c r="AZ92" s="994">
        <f t="shared" ca="1" si="47"/>
        <v>0</v>
      </c>
      <c r="BA92" s="994">
        <f t="shared" ca="1" si="47"/>
        <v>0</v>
      </c>
      <c r="BB92" s="994">
        <f t="shared" ca="1" si="47"/>
        <v>0</v>
      </c>
      <c r="BC92" s="994">
        <f t="shared" ca="1" si="47"/>
        <v>0</v>
      </c>
      <c r="BD92" s="994">
        <f t="shared" ca="1" si="47"/>
        <v>0</v>
      </c>
      <c r="BE92" s="994">
        <f t="shared" ca="1" si="47"/>
        <v>0</v>
      </c>
      <c r="BF92" s="994">
        <f t="shared" ca="1" si="47"/>
        <v>0</v>
      </c>
      <c r="BG92" s="994">
        <f t="shared" ca="1" si="47"/>
        <v>0</v>
      </c>
      <c r="BH92" s="994">
        <f t="shared" ca="1" si="47"/>
        <v>0</v>
      </c>
      <c r="BI92" s="994">
        <f t="shared" ca="1" si="47"/>
        <v>0</v>
      </c>
      <c r="BJ92" s="994">
        <f t="shared" ca="1" si="47"/>
        <v>0</v>
      </c>
      <c r="BK92" s="994">
        <f t="shared" ca="1" si="47"/>
        <v>0</v>
      </c>
      <c r="BL92" s="994">
        <f t="shared" ca="1" si="47"/>
        <v>0</v>
      </c>
      <c r="BM92" s="994">
        <f t="shared" ca="1" si="47"/>
        <v>0</v>
      </c>
      <c r="BN92" s="994">
        <f t="shared" ca="1" si="47"/>
        <v>0</v>
      </c>
      <c r="BO92" s="994">
        <f t="shared" ca="1" si="47"/>
        <v>0</v>
      </c>
      <c r="BP92" s="994"/>
      <c r="BQ92" s="994"/>
      <c r="BR92" s="994"/>
      <c r="BS92" s="994"/>
      <c r="BT92" s="994"/>
      <c r="BU92" s="994"/>
      <c r="BV92" s="994"/>
      <c r="BW92" s="994"/>
      <c r="BX92" s="994"/>
      <c r="BY92" s="994"/>
      <c r="BZ92" s="994"/>
      <c r="CA92" s="994"/>
      <c r="CB92" s="994"/>
      <c r="CC92" s="994"/>
      <c r="CD92" s="994"/>
      <c r="CE92" s="994"/>
      <c r="CF92" s="994"/>
      <c r="CG92" s="994"/>
      <c r="CH92" s="994"/>
      <c r="CI92" s="994"/>
      <c r="CJ92" s="994"/>
      <c r="CK92" s="994"/>
      <c r="CL92" s="994"/>
      <c r="CM92" s="994"/>
      <c r="CN92" s="994"/>
      <c r="CO92" s="994"/>
      <c r="CP92" s="994"/>
      <c r="CQ92" s="994"/>
      <c r="CR92" s="994"/>
      <c r="CS92" s="994"/>
      <c r="CT92" s="994"/>
      <c r="CU92" s="994"/>
      <c r="CV92" s="994"/>
      <c r="CW92" s="994"/>
      <c r="CX92" s="994"/>
      <c r="CY92" s="994"/>
      <c r="CZ92" s="994"/>
      <c r="DA92" s="994"/>
      <c r="DB92" s="994"/>
      <c r="DC92" s="994"/>
      <c r="DD92" s="994"/>
      <c r="DE92" s="994"/>
      <c r="DF92" s="994"/>
      <c r="DG92" s="994"/>
      <c r="DH92" s="994"/>
      <c r="DI92" s="994"/>
      <c r="DJ92" s="994"/>
      <c r="DK92" s="994"/>
      <c r="DL92" s="994"/>
      <c r="DM92" s="994"/>
      <c r="DN92" s="994"/>
      <c r="DO92" s="994"/>
      <c r="DP92" s="994"/>
      <c r="DQ92" s="994"/>
      <c r="DR92" s="994"/>
      <c r="DS92" s="994"/>
      <c r="DT92" s="994"/>
      <c r="DU92" s="994"/>
      <c r="DV92" s="994"/>
      <c r="DW92" s="994"/>
      <c r="DX92" s="304"/>
      <c r="DY92" s="304"/>
    </row>
    <row r="93" spans="1:129">
      <c r="A93" s="532"/>
      <c r="B93" s="684"/>
      <c r="C93" s="684"/>
      <c r="D93" s="396"/>
      <c r="E93" s="396"/>
      <c r="F93" s="533"/>
      <c r="G93" s="526"/>
      <c r="H93" s="526"/>
      <c r="I93" s="526"/>
      <c r="J93" s="526"/>
      <c r="K93" s="526"/>
      <c r="L93" s="526"/>
      <c r="M93" s="526"/>
      <c r="N93" s="526"/>
      <c r="O93" s="526"/>
      <c r="P93" s="526"/>
      <c r="Q93" s="526"/>
      <c r="R93" s="526"/>
      <c r="S93" s="526"/>
      <c r="T93" s="526"/>
      <c r="U93" s="526"/>
      <c r="V93" s="526"/>
      <c r="W93" s="526"/>
      <c r="X93" s="526"/>
      <c r="Y93" s="526"/>
      <c r="Z93" s="526"/>
      <c r="AA93" s="526"/>
      <c r="AB93" s="526"/>
      <c r="AC93" s="526"/>
      <c r="AD93" s="526"/>
      <c r="AE93" s="526"/>
      <c r="AF93" s="526"/>
      <c r="AG93" s="526"/>
      <c r="AH93" s="526"/>
      <c r="AI93" s="526"/>
      <c r="AJ93" s="526"/>
      <c r="AK93" s="526"/>
      <c r="AL93" s="526"/>
      <c r="AM93" s="526"/>
      <c r="AN93" s="526"/>
      <c r="AO93" s="526"/>
      <c r="AP93" s="526"/>
      <c r="AQ93" s="526"/>
      <c r="AR93" s="526"/>
      <c r="AS93" s="526"/>
      <c r="AT93" s="526"/>
      <c r="AU93" s="526"/>
      <c r="AV93" s="526"/>
      <c r="AW93" s="526"/>
      <c r="AX93" s="526"/>
      <c r="AY93" s="526"/>
      <c r="AZ93" s="526"/>
      <c r="BA93" s="526"/>
      <c r="BB93" s="526"/>
      <c r="BC93" s="526"/>
      <c r="BD93" s="526"/>
      <c r="BE93" s="526"/>
      <c r="BF93" s="526"/>
      <c r="BG93" s="526"/>
      <c r="BH93" s="526"/>
      <c r="BI93" s="526"/>
      <c r="BJ93" s="526"/>
      <c r="BK93" s="526"/>
      <c r="BL93" s="526"/>
      <c r="BM93" s="526"/>
      <c r="BN93" s="526"/>
      <c r="BO93" s="526"/>
      <c r="BP93" s="526"/>
      <c r="BQ93" s="526"/>
      <c r="BR93" s="526"/>
      <c r="BS93" s="526"/>
      <c r="BT93" s="526"/>
      <c r="BU93" s="526"/>
      <c r="BV93" s="526"/>
      <c r="BW93" s="526"/>
      <c r="BX93" s="526"/>
      <c r="BY93" s="526"/>
      <c r="BZ93" s="526"/>
      <c r="CA93" s="526"/>
      <c r="CB93" s="526"/>
      <c r="CC93" s="526"/>
      <c r="CD93" s="526"/>
      <c r="CE93" s="526"/>
      <c r="CF93" s="526"/>
      <c r="CG93" s="526"/>
      <c r="CH93" s="526"/>
      <c r="CI93" s="526"/>
      <c r="CJ93" s="526"/>
      <c r="CK93" s="526"/>
      <c r="CL93" s="526"/>
      <c r="CM93" s="526"/>
      <c r="CN93" s="526"/>
      <c r="CO93" s="526"/>
      <c r="CP93" s="526"/>
      <c r="CQ93" s="526"/>
      <c r="CR93" s="526"/>
      <c r="CS93" s="526"/>
      <c r="CT93" s="526"/>
      <c r="CU93" s="526"/>
      <c r="CV93" s="526"/>
      <c r="CW93" s="526"/>
      <c r="CX93" s="526"/>
      <c r="CY93" s="526"/>
      <c r="CZ93" s="526"/>
      <c r="DA93" s="526"/>
      <c r="DB93" s="526"/>
      <c r="DC93" s="526"/>
      <c r="DD93" s="526"/>
      <c r="DE93" s="526"/>
      <c r="DF93" s="526"/>
      <c r="DG93" s="526"/>
      <c r="DH93" s="526"/>
      <c r="DI93" s="526"/>
      <c r="DJ93" s="526"/>
      <c r="DK93" s="526"/>
      <c r="DL93" s="526"/>
      <c r="DM93" s="526"/>
      <c r="DN93" s="526"/>
      <c r="DO93" s="526"/>
      <c r="DP93" s="526"/>
      <c r="DQ93" s="526"/>
      <c r="DR93" s="526"/>
      <c r="DS93" s="526"/>
      <c r="DT93" s="526"/>
      <c r="DU93" s="526"/>
      <c r="DV93" s="526"/>
      <c r="DW93" s="526"/>
      <c r="DX93" s="304"/>
      <c r="DY93" s="304"/>
    </row>
    <row r="94" spans="1:129">
      <c r="A94" s="861" t="s">
        <v>1155</v>
      </c>
      <c r="B94" s="862"/>
      <c r="C94" s="862"/>
      <c r="D94" s="862"/>
      <c r="E94" s="944">
        <f ca="1">ABS(SUMIF(G94:DW94,"&lt;"&amp;-1*precision))</f>
        <v>0</v>
      </c>
      <c r="F94" s="863"/>
      <c r="G94" s="534">
        <f t="shared" ref="G94:AL94" ca="1" si="48">SUM(G79:G80,G92)</f>
        <v>0</v>
      </c>
      <c r="H94" s="534">
        <f t="shared" ca="1" si="48"/>
        <v>335.87001192815342</v>
      </c>
      <c r="I94" s="534">
        <f t="shared" ca="1" si="48"/>
        <v>330.39387042932458</v>
      </c>
      <c r="J94" s="534">
        <f t="shared" ca="1" si="48"/>
        <v>336.07875278384927</v>
      </c>
      <c r="K94" s="534">
        <f t="shared" ca="1" si="48"/>
        <v>340.5415560447218</v>
      </c>
      <c r="L94" s="534">
        <f t="shared" ca="1" si="48"/>
        <v>344.05441161728459</v>
      </c>
      <c r="M94" s="534">
        <f t="shared" ca="1" si="48"/>
        <v>345.51102678698453</v>
      </c>
      <c r="N94" s="534">
        <f t="shared" ca="1" si="48"/>
        <v>349.23262841929591</v>
      </c>
      <c r="O94" s="534">
        <f t="shared" ca="1" si="48"/>
        <v>347.80912291148707</v>
      </c>
      <c r="P94" s="534">
        <f t="shared" ca="1" si="48"/>
        <v>354.48829899669317</v>
      </c>
      <c r="Q94" s="534">
        <f t="shared" ca="1" si="48"/>
        <v>350.09626175264157</v>
      </c>
      <c r="R94" s="534">
        <f t="shared" ca="1" si="48"/>
        <v>358.83941444214724</v>
      </c>
      <c r="S94" s="534">
        <f t="shared" ca="1" si="48"/>
        <v>353.38594088006357</v>
      </c>
      <c r="T94" s="534">
        <f t="shared" ca="1" si="48"/>
        <v>365.23646797405399</v>
      </c>
      <c r="U94" s="534">
        <f t="shared" ca="1" si="48"/>
        <v>354.44024353998338</v>
      </c>
      <c r="V94" s="534">
        <f t="shared" ca="1" si="48"/>
        <v>370.73123830074883</v>
      </c>
      <c r="W94" s="534">
        <f t="shared" ca="1" si="48"/>
        <v>356.43397409897443</v>
      </c>
      <c r="X94" s="534">
        <f t="shared" ca="1" si="48"/>
        <v>376.30800665500556</v>
      </c>
      <c r="Y94" s="534">
        <f t="shared" ca="1" si="48"/>
        <v>358.28810723061906</v>
      </c>
      <c r="Z94" s="534">
        <f t="shared" ca="1" si="48"/>
        <v>380.92432030492228</v>
      </c>
      <c r="AA94" s="534">
        <f t="shared" ca="1" si="48"/>
        <v>361.09801681461613</v>
      </c>
      <c r="AB94" s="534">
        <f t="shared" ca="1" si="48"/>
        <v>362.21186155878786</v>
      </c>
      <c r="AC94" s="534">
        <f ca="1">SUM(AC79:AC80,AC92)</f>
        <v>341.58145701415651</v>
      </c>
      <c r="AD94" s="534">
        <f t="shared" ca="1" si="48"/>
        <v>368.04174225437328</v>
      </c>
      <c r="AE94" s="534">
        <f t="shared" ca="1" si="48"/>
        <v>343.19847993447775</v>
      </c>
      <c r="AF94" s="534">
        <f t="shared" ca="1" si="48"/>
        <v>1303.7935979215406</v>
      </c>
      <c r="AG94" s="534">
        <f t="shared" ca="1" si="48"/>
        <v>1136.394477560847</v>
      </c>
      <c r="AH94" s="534">
        <f t="shared" ca="1" si="48"/>
        <v>1325.9887014375968</v>
      </c>
      <c r="AI94" s="534">
        <f t="shared" ca="1" si="48"/>
        <v>1160.4040485564847</v>
      </c>
      <c r="AJ94" s="534">
        <f t="shared" ca="1" si="48"/>
        <v>2994.5482101550338</v>
      </c>
      <c r="AK94" s="534">
        <f t="shared" ca="1" si="48"/>
        <v>2545.4162284351887</v>
      </c>
      <c r="AL94" s="534">
        <f t="shared" ca="1" si="48"/>
        <v>2866.7009595780269</v>
      </c>
      <c r="AM94" s="534">
        <f t="shared" ref="AM94:BO94" ca="1" si="49">SUM(AM79:AM80,AM92)</f>
        <v>2608.3700359429458</v>
      </c>
      <c r="AN94" s="534">
        <f t="shared" ca="1" si="49"/>
        <v>2922.8141129823598</v>
      </c>
      <c r="AO94" s="534">
        <f t="shared" ca="1" si="49"/>
        <v>2652.4553454942106</v>
      </c>
      <c r="AP94" s="534">
        <f t="shared" ca="1" si="49"/>
        <v>2970.2515213558436</v>
      </c>
      <c r="AQ94" s="534">
        <f t="shared" ca="1" si="49"/>
        <v>2703.7003380574424</v>
      </c>
      <c r="AR94" s="534">
        <f t="shared" ca="1" si="49"/>
        <v>3032.5617059389888</v>
      </c>
      <c r="AS94" s="534">
        <f t="shared" ca="1" si="49"/>
        <v>2738.6607711913121</v>
      </c>
      <c r="AT94" s="534">
        <f t="shared" ca="1" si="49"/>
        <v>3087.0294677969923</v>
      </c>
      <c r="AU94" s="534">
        <f t="shared" ca="1" si="49"/>
        <v>2781.4499186605049</v>
      </c>
      <c r="AV94" s="534">
        <f t="shared" ca="1" si="49"/>
        <v>3143.7134037943556</v>
      </c>
      <c r="AW94" s="534">
        <f t="shared" ca="1" si="49"/>
        <v>2566.5444246410993</v>
      </c>
      <c r="AX94" s="534">
        <f t="shared" ca="1" si="49"/>
        <v>3212.641439658667</v>
      </c>
      <c r="AY94" s="534">
        <f t="shared" ca="1" si="49"/>
        <v>2614.9784998685413</v>
      </c>
      <c r="AZ94" s="534">
        <f t="shared" ca="1" si="49"/>
        <v>3274.1680082495322</v>
      </c>
      <c r="BA94" s="534">
        <f t="shared" ca="1" si="49"/>
        <v>2646.5575378998938</v>
      </c>
      <c r="BB94" s="534">
        <f t="shared" ca="1" si="49"/>
        <v>3325.3898767289238</v>
      </c>
      <c r="BC94" s="534">
        <f t="shared" ca="1" si="49"/>
        <v>2709.9545717793458</v>
      </c>
      <c r="BD94" s="534">
        <f t="shared" ca="1" si="49"/>
        <v>3402.0908817008876</v>
      </c>
      <c r="BE94" s="534">
        <f t="shared" ca="1" si="49"/>
        <v>2747.0462943434081</v>
      </c>
      <c r="BF94" s="534">
        <f t="shared" ca="1" si="49"/>
        <v>3442.6250710426143</v>
      </c>
      <c r="BG94" s="534">
        <f t="shared" ca="1" si="49"/>
        <v>2782.6309188652426</v>
      </c>
      <c r="BH94" s="534">
        <f t="shared" ca="1" si="49"/>
        <v>3486.5071580853587</v>
      </c>
      <c r="BI94" s="534">
        <f t="shared" ca="1" si="49"/>
        <v>2797.7893042305323</v>
      </c>
      <c r="BJ94" s="534">
        <f t="shared" ca="1" si="49"/>
        <v>3517.833692193351</v>
      </c>
      <c r="BK94" s="534">
        <f t="shared" ca="1" si="49"/>
        <v>2800.2482793777217</v>
      </c>
      <c r="BL94" s="534">
        <f t="shared" ca="1" si="49"/>
        <v>3523.7089432490652</v>
      </c>
      <c r="BM94" s="534">
        <f t="shared" ca="1" si="49"/>
        <v>2824.314151323942</v>
      </c>
      <c r="BN94" s="534">
        <f t="shared" ca="1" si="49"/>
        <v>3541.3183097872079</v>
      </c>
      <c r="BO94" s="534">
        <f t="shared" ca="1" si="49"/>
        <v>2855.1297741326198</v>
      </c>
      <c r="BP94" s="534"/>
      <c r="BQ94" s="534"/>
      <c r="BR94" s="534"/>
      <c r="BS94" s="534"/>
      <c r="BT94" s="534"/>
      <c r="BU94" s="534"/>
      <c r="BV94" s="534"/>
      <c r="BW94" s="534"/>
      <c r="BX94" s="534"/>
      <c r="BY94" s="534"/>
      <c r="BZ94" s="534"/>
      <c r="CA94" s="534"/>
      <c r="CB94" s="534"/>
      <c r="CC94" s="534"/>
      <c r="CD94" s="534"/>
      <c r="CE94" s="534"/>
      <c r="CF94" s="534"/>
      <c r="CG94" s="534"/>
      <c r="CH94" s="534"/>
      <c r="CI94" s="534"/>
      <c r="CJ94" s="534"/>
      <c r="CK94" s="534"/>
      <c r="CL94" s="534"/>
      <c r="CM94" s="534"/>
      <c r="CN94" s="534"/>
      <c r="CO94" s="534"/>
      <c r="CP94" s="534"/>
      <c r="CQ94" s="534"/>
      <c r="CR94" s="534"/>
      <c r="CS94" s="534"/>
      <c r="CT94" s="534"/>
      <c r="CU94" s="534"/>
      <c r="CV94" s="534"/>
      <c r="CW94" s="534"/>
      <c r="CX94" s="534"/>
      <c r="CY94" s="534"/>
      <c r="CZ94" s="534"/>
      <c r="DA94" s="534"/>
      <c r="DB94" s="534"/>
      <c r="DC94" s="534"/>
      <c r="DD94" s="534"/>
      <c r="DE94" s="534"/>
      <c r="DF94" s="534"/>
      <c r="DG94" s="534"/>
      <c r="DH94" s="534"/>
      <c r="DI94" s="534"/>
      <c r="DJ94" s="534"/>
      <c r="DK94" s="534"/>
      <c r="DL94" s="534"/>
      <c r="DM94" s="534"/>
      <c r="DN94" s="534"/>
      <c r="DO94" s="534"/>
      <c r="DP94" s="534"/>
      <c r="DQ94" s="534"/>
      <c r="DR94" s="534"/>
      <c r="DS94" s="534"/>
      <c r="DT94" s="534"/>
      <c r="DU94" s="534"/>
      <c r="DV94" s="534"/>
      <c r="DW94" s="534"/>
      <c r="DX94" s="304"/>
      <c r="DY94" s="304"/>
    </row>
    <row r="95" spans="1:129">
      <c r="A95" s="516" t="s">
        <v>1156</v>
      </c>
      <c r="B95" s="679"/>
      <c r="C95" s="679"/>
      <c r="D95" s="504"/>
      <c r="E95" s="504"/>
      <c r="F95" s="415"/>
      <c r="G95" s="1051">
        <f>SUM(DS!G109,DS!G112)*-1</f>
        <v>0</v>
      </c>
      <c r="H95" s="1051">
        <f ca="1">SUM(DS!H109,DS!H112)*-1</f>
        <v>0</v>
      </c>
      <c r="I95" s="1051">
        <f ca="1">SUM(DS!I109,DS!I112)*-1</f>
        <v>0</v>
      </c>
      <c r="J95" s="1051">
        <f ca="1">SUM(DS!J109,DS!J112)*-1</f>
        <v>0</v>
      </c>
      <c r="K95" s="1051">
        <f ca="1">SUM(DS!K109,DS!K112)*-1</f>
        <v>0</v>
      </c>
      <c r="L95" s="1051">
        <f ca="1">SUM(DS!L109,DS!L112)*-1</f>
        <v>0</v>
      </c>
      <c r="M95" s="1051">
        <f ca="1">SUM(DS!M109,DS!M112)*-1</f>
        <v>0</v>
      </c>
      <c r="N95" s="1051">
        <f ca="1">SUM(DS!N109,DS!N112)*-1</f>
        <v>0</v>
      </c>
      <c r="O95" s="1051">
        <f ca="1">SUM(DS!O109,DS!O112)*-1</f>
        <v>0</v>
      </c>
      <c r="P95" s="1051">
        <f ca="1">SUM(DS!P109,DS!P112)*-1</f>
        <v>0</v>
      </c>
      <c r="Q95" s="1051">
        <f ca="1">SUM(DS!Q109,DS!Q112)*-1</f>
        <v>0</v>
      </c>
      <c r="R95" s="1051">
        <f ca="1">SUM(DS!R109,DS!R112)*-1</f>
        <v>0</v>
      </c>
      <c r="S95" s="1051">
        <f ca="1">SUM(DS!S109,DS!S112)*-1</f>
        <v>0</v>
      </c>
      <c r="T95" s="1051">
        <f ca="1">SUM(DS!T109,DS!T112)*-1</f>
        <v>0</v>
      </c>
      <c r="U95" s="1051">
        <f ca="1">SUM(DS!U109,DS!U112)*-1</f>
        <v>0</v>
      </c>
      <c r="V95" s="1051">
        <f ca="1">SUM(DS!V109,DS!V112)*-1</f>
        <v>0</v>
      </c>
      <c r="W95" s="1051">
        <f ca="1">SUM(DS!W109,DS!W112)*-1</f>
        <v>0</v>
      </c>
      <c r="X95" s="1051">
        <f ca="1">SUM(DS!X109,DS!X112)*-1</f>
        <v>0</v>
      </c>
      <c r="Y95" s="1051">
        <f ca="1">SUM(DS!Y109,DS!Y112)*-1</f>
        <v>0</v>
      </c>
      <c r="Z95" s="1051">
        <f ca="1">SUM(DS!Z109,DS!Z112)*-1</f>
        <v>0</v>
      </c>
      <c r="AA95" s="1051">
        <f ca="1">SUM(DS!AA109,DS!AA112)*-1</f>
        <v>0</v>
      </c>
      <c r="AB95" s="1051">
        <f ca="1">SUM(DS!AB109,DS!AB112)*-1</f>
        <v>0</v>
      </c>
      <c r="AC95" s="1051">
        <f ca="1">SUM(DS!AC109,DS!AC112)*-1</f>
        <v>0</v>
      </c>
      <c r="AD95" s="1051">
        <f ca="1">SUM(DS!AD109,DS!AD112)*-1</f>
        <v>0</v>
      </c>
      <c r="AE95" s="1051">
        <f ca="1">SUM(DS!AE109,DS!AE112)*-1</f>
        <v>0</v>
      </c>
      <c r="AF95" s="1051">
        <f ca="1">SUM(DS!AF109,DS!AF112)*-1</f>
        <v>0</v>
      </c>
      <c r="AG95" s="1051">
        <f ca="1">SUM(DS!AG109,DS!AG112)*-1</f>
        <v>0</v>
      </c>
      <c r="AH95" s="1051">
        <f ca="1">SUM(DS!AH109,DS!AH112)*-1</f>
        <v>0</v>
      </c>
      <c r="AI95" s="1051">
        <f ca="1">SUM(DS!AI109,DS!AI112)*-1</f>
        <v>0</v>
      </c>
      <c r="AJ95" s="1051">
        <f ca="1">SUM(DS!AJ109,DS!AJ112)*-1</f>
        <v>0</v>
      </c>
      <c r="AK95" s="1051">
        <f ca="1">SUM(DS!AK109,DS!AK112)*-1</f>
        <v>0</v>
      </c>
      <c r="AL95" s="1051">
        <f ca="1">SUM(DS!AL109,DS!AL112)*-1</f>
        <v>0</v>
      </c>
      <c r="AM95" s="1051">
        <f ca="1">SUM(DS!AM109,DS!AM112)*-1</f>
        <v>0</v>
      </c>
      <c r="AN95" s="1051">
        <f ca="1">SUM(DS!AN109,DS!AN112)*-1</f>
        <v>0</v>
      </c>
      <c r="AO95" s="1051">
        <f ca="1">SUM(DS!AO109,DS!AO112)*-1</f>
        <v>0</v>
      </c>
      <c r="AP95" s="1051">
        <f ca="1">SUM(DS!AP109,DS!AP112)*-1</f>
        <v>0</v>
      </c>
      <c r="AQ95" s="1051">
        <f ca="1">SUM(DS!AQ109,DS!AQ112)*-1</f>
        <v>0</v>
      </c>
      <c r="AR95" s="1051">
        <f ca="1">SUM(DS!AR109,DS!AR112)*-1</f>
        <v>0</v>
      </c>
      <c r="AS95" s="1051">
        <f ca="1">SUM(DS!AS109,DS!AS112)*-1</f>
        <v>0</v>
      </c>
      <c r="AT95" s="1051">
        <f ca="1">SUM(DS!AT109,DS!AT112)*-1</f>
        <v>0</v>
      </c>
      <c r="AU95" s="1051">
        <f ca="1">SUM(DS!AU109,DS!AU112)*-1</f>
        <v>0</v>
      </c>
      <c r="AV95" s="1051">
        <f ca="1">SUM(DS!AV109,DS!AV112)*-1</f>
        <v>0</v>
      </c>
      <c r="AW95" s="1051">
        <f ca="1">SUM(DS!AW109,DS!AW112)*-1</f>
        <v>0</v>
      </c>
      <c r="AX95" s="1051">
        <f ca="1">SUM(DS!AX109,DS!AX112)*-1</f>
        <v>0</v>
      </c>
      <c r="AY95" s="1051">
        <f ca="1">SUM(DS!AY109,DS!AY112)*-1</f>
        <v>0</v>
      </c>
      <c r="AZ95" s="1051">
        <f ca="1">SUM(DS!AZ109,DS!AZ112)*-1</f>
        <v>0</v>
      </c>
      <c r="BA95" s="1051">
        <f ca="1">SUM(DS!BA109,DS!BA112)*-1</f>
        <v>0</v>
      </c>
      <c r="BB95" s="1051">
        <f ca="1">SUM(DS!BB109,DS!BB112)*-1</f>
        <v>0</v>
      </c>
      <c r="BC95" s="1051">
        <f ca="1">SUM(DS!BC109,DS!BC112)*-1</f>
        <v>0</v>
      </c>
      <c r="BD95" s="1051">
        <f ca="1">SUM(DS!BD109,DS!BD112)*-1</f>
        <v>0</v>
      </c>
      <c r="BE95" s="1051">
        <f ca="1">SUM(DS!BE109,DS!BE112)*-1</f>
        <v>0</v>
      </c>
      <c r="BF95" s="1051">
        <f ca="1">SUM(DS!BF109,DS!BF112)*-1</f>
        <v>0</v>
      </c>
      <c r="BG95" s="1051">
        <f ca="1">SUM(DS!BG109,DS!BG112)*-1</f>
        <v>0</v>
      </c>
      <c r="BH95" s="1051">
        <f ca="1">SUM(DS!BH109,DS!BH112)*-1</f>
        <v>0</v>
      </c>
      <c r="BI95" s="1051">
        <f ca="1">SUM(DS!BI109,DS!BI112)*-1</f>
        <v>0</v>
      </c>
      <c r="BJ95" s="1051">
        <f ca="1">SUM(DS!BJ109,DS!BJ112)*-1</f>
        <v>0</v>
      </c>
      <c r="BK95" s="1051">
        <f ca="1">SUM(DS!BK109,DS!BK112)*-1</f>
        <v>0</v>
      </c>
      <c r="BL95" s="1051">
        <f ca="1">SUM(DS!BL109,DS!BL112)*-1</f>
        <v>0</v>
      </c>
      <c r="BM95" s="1051">
        <f ca="1">SUM(DS!BM109,DS!BM112)*-1</f>
        <v>0</v>
      </c>
      <c r="BN95" s="1051">
        <f ca="1">SUM(DS!BN109,DS!BN112)*-1</f>
        <v>0</v>
      </c>
      <c r="BO95" s="1051">
        <f ca="1">SUM(DS!BO109,DS!BO112)*-1</f>
        <v>0</v>
      </c>
      <c r="BP95" s="1051"/>
      <c r="BQ95" s="1051"/>
      <c r="BR95" s="1051"/>
      <c r="BS95" s="1051"/>
      <c r="BT95" s="1051"/>
      <c r="BU95" s="1051"/>
      <c r="BV95" s="1051"/>
      <c r="BW95" s="1051"/>
      <c r="BX95" s="1051"/>
      <c r="BY95" s="1051"/>
      <c r="BZ95" s="1051"/>
      <c r="CA95" s="1051"/>
      <c r="CB95" s="1051"/>
      <c r="CC95" s="1051"/>
      <c r="CD95" s="1051"/>
      <c r="CE95" s="1051"/>
      <c r="CF95" s="1051"/>
      <c r="CG95" s="1051"/>
      <c r="CH95" s="1051"/>
      <c r="CI95" s="1051"/>
      <c r="CJ95" s="1051"/>
      <c r="CK95" s="1051"/>
      <c r="CL95" s="1051"/>
      <c r="CM95" s="1051"/>
      <c r="CN95" s="1051"/>
      <c r="CO95" s="1051"/>
      <c r="CP95" s="1051"/>
      <c r="CQ95" s="1051"/>
      <c r="CR95" s="1051"/>
      <c r="CS95" s="1051"/>
      <c r="CT95" s="1051"/>
      <c r="CU95" s="1051"/>
      <c r="CV95" s="1051"/>
      <c r="CW95" s="1051"/>
      <c r="CX95" s="1051"/>
      <c r="CY95" s="1051"/>
      <c r="CZ95" s="1051"/>
      <c r="DA95" s="1051"/>
      <c r="DB95" s="1051"/>
      <c r="DC95" s="1051"/>
      <c r="DD95" s="1051"/>
      <c r="DE95" s="1051"/>
      <c r="DF95" s="1051"/>
      <c r="DG95" s="1051"/>
      <c r="DH95" s="1051"/>
      <c r="DI95" s="1051"/>
      <c r="DJ95" s="1051"/>
      <c r="DK95" s="1051"/>
      <c r="DL95" s="1051"/>
      <c r="DM95" s="1051"/>
      <c r="DN95" s="1051"/>
      <c r="DO95" s="1051"/>
      <c r="DP95" s="1051"/>
      <c r="DQ95" s="1051"/>
      <c r="DR95" s="1051"/>
      <c r="DS95" s="1051"/>
      <c r="DT95" s="1051"/>
      <c r="DU95" s="1051"/>
      <c r="DV95" s="1051"/>
      <c r="DW95" s="1051"/>
      <c r="DX95" s="304"/>
      <c r="DY95" s="304"/>
    </row>
    <row r="96" spans="1:129">
      <c r="A96" s="995" t="str">
        <f>A81</f>
        <v>paid in cash</v>
      </c>
      <c r="B96" s="679"/>
      <c r="C96" s="679"/>
      <c r="D96" s="504"/>
      <c r="E96" s="504"/>
      <c r="F96" s="415"/>
      <c r="G96" s="517">
        <f t="shared" ref="G96:AL96" ca="1" si="50">MIN(-G95,MAX(G94,0))</f>
        <v>0</v>
      </c>
      <c r="H96" s="517">
        <f t="shared" ca="1" si="50"/>
        <v>0</v>
      </c>
      <c r="I96" s="517">
        <f t="shared" ca="1" si="50"/>
        <v>0</v>
      </c>
      <c r="J96" s="517">
        <f t="shared" ca="1" si="50"/>
        <v>0</v>
      </c>
      <c r="K96" s="517">
        <f t="shared" ca="1" si="50"/>
        <v>0</v>
      </c>
      <c r="L96" s="517">
        <f t="shared" ca="1" si="50"/>
        <v>0</v>
      </c>
      <c r="M96" s="517">
        <f t="shared" ca="1" si="50"/>
        <v>0</v>
      </c>
      <c r="N96" s="517">
        <f t="shared" ca="1" si="50"/>
        <v>0</v>
      </c>
      <c r="O96" s="517">
        <f t="shared" ca="1" si="50"/>
        <v>0</v>
      </c>
      <c r="P96" s="517">
        <f t="shared" ca="1" si="50"/>
        <v>0</v>
      </c>
      <c r="Q96" s="517">
        <f t="shared" ca="1" si="50"/>
        <v>0</v>
      </c>
      <c r="R96" s="517">
        <f t="shared" ca="1" si="50"/>
        <v>0</v>
      </c>
      <c r="S96" s="517">
        <f t="shared" ca="1" si="50"/>
        <v>0</v>
      </c>
      <c r="T96" s="517">
        <f t="shared" ca="1" si="50"/>
        <v>0</v>
      </c>
      <c r="U96" s="517">
        <f t="shared" ca="1" si="50"/>
        <v>0</v>
      </c>
      <c r="V96" s="517">
        <f t="shared" ca="1" si="50"/>
        <v>0</v>
      </c>
      <c r="W96" s="517">
        <f t="shared" ca="1" si="50"/>
        <v>0</v>
      </c>
      <c r="X96" s="517">
        <f t="shared" ca="1" si="50"/>
        <v>0</v>
      </c>
      <c r="Y96" s="517">
        <f t="shared" ca="1" si="50"/>
        <v>0</v>
      </c>
      <c r="Z96" s="517">
        <f t="shared" ca="1" si="50"/>
        <v>0</v>
      </c>
      <c r="AA96" s="517">
        <f t="shared" ca="1" si="50"/>
        <v>0</v>
      </c>
      <c r="AB96" s="517">
        <f t="shared" ca="1" si="50"/>
        <v>0</v>
      </c>
      <c r="AC96" s="517">
        <f t="shared" ca="1" si="50"/>
        <v>0</v>
      </c>
      <c r="AD96" s="517">
        <f t="shared" ca="1" si="50"/>
        <v>0</v>
      </c>
      <c r="AE96" s="517">
        <f t="shared" ca="1" si="50"/>
        <v>0</v>
      </c>
      <c r="AF96" s="517">
        <f t="shared" ca="1" si="50"/>
        <v>0</v>
      </c>
      <c r="AG96" s="517">
        <f t="shared" ca="1" si="50"/>
        <v>0</v>
      </c>
      <c r="AH96" s="517">
        <f t="shared" ca="1" si="50"/>
        <v>0</v>
      </c>
      <c r="AI96" s="517">
        <f t="shared" ca="1" si="50"/>
        <v>0</v>
      </c>
      <c r="AJ96" s="517">
        <f t="shared" ca="1" si="50"/>
        <v>0</v>
      </c>
      <c r="AK96" s="517">
        <f t="shared" ca="1" si="50"/>
        <v>0</v>
      </c>
      <c r="AL96" s="517">
        <f t="shared" ca="1" si="50"/>
        <v>0</v>
      </c>
      <c r="AM96" s="517">
        <f t="shared" ref="AM96:BO96" ca="1" si="51">MIN(-AM95,MAX(AM94,0))</f>
        <v>0</v>
      </c>
      <c r="AN96" s="517">
        <f t="shared" ca="1" si="51"/>
        <v>0</v>
      </c>
      <c r="AO96" s="517">
        <f t="shared" ca="1" si="51"/>
        <v>0</v>
      </c>
      <c r="AP96" s="517">
        <f t="shared" ca="1" si="51"/>
        <v>0</v>
      </c>
      <c r="AQ96" s="517">
        <f t="shared" ca="1" si="51"/>
        <v>0</v>
      </c>
      <c r="AR96" s="517">
        <f t="shared" ca="1" si="51"/>
        <v>0</v>
      </c>
      <c r="AS96" s="517">
        <f t="shared" ca="1" si="51"/>
        <v>0</v>
      </c>
      <c r="AT96" s="517">
        <f t="shared" ca="1" si="51"/>
        <v>0</v>
      </c>
      <c r="AU96" s="517">
        <f t="shared" ca="1" si="51"/>
        <v>0</v>
      </c>
      <c r="AV96" s="517">
        <f t="shared" ca="1" si="51"/>
        <v>0</v>
      </c>
      <c r="AW96" s="517">
        <f t="shared" ca="1" si="51"/>
        <v>0</v>
      </c>
      <c r="AX96" s="517">
        <f t="shared" ca="1" si="51"/>
        <v>0</v>
      </c>
      <c r="AY96" s="517">
        <f t="shared" ca="1" si="51"/>
        <v>0</v>
      </c>
      <c r="AZ96" s="517">
        <f t="shared" ca="1" si="51"/>
        <v>0</v>
      </c>
      <c r="BA96" s="517">
        <f t="shared" ca="1" si="51"/>
        <v>0</v>
      </c>
      <c r="BB96" s="517">
        <f t="shared" ca="1" si="51"/>
        <v>0</v>
      </c>
      <c r="BC96" s="517">
        <f t="shared" ca="1" si="51"/>
        <v>0</v>
      </c>
      <c r="BD96" s="517">
        <f t="shared" ca="1" si="51"/>
        <v>0</v>
      </c>
      <c r="BE96" s="517">
        <f t="shared" ca="1" si="51"/>
        <v>0</v>
      </c>
      <c r="BF96" s="517">
        <f t="shared" ca="1" si="51"/>
        <v>0</v>
      </c>
      <c r="BG96" s="517">
        <f t="shared" ca="1" si="51"/>
        <v>0</v>
      </c>
      <c r="BH96" s="517">
        <f t="shared" ca="1" si="51"/>
        <v>0</v>
      </c>
      <c r="BI96" s="517">
        <f t="shared" ca="1" si="51"/>
        <v>0</v>
      </c>
      <c r="BJ96" s="517">
        <f t="shared" ca="1" si="51"/>
        <v>0</v>
      </c>
      <c r="BK96" s="517">
        <f t="shared" ca="1" si="51"/>
        <v>0</v>
      </c>
      <c r="BL96" s="517">
        <f t="shared" ca="1" si="51"/>
        <v>0</v>
      </c>
      <c r="BM96" s="517">
        <f t="shared" ca="1" si="51"/>
        <v>0</v>
      </c>
      <c r="BN96" s="517">
        <f t="shared" ca="1" si="51"/>
        <v>0</v>
      </c>
      <c r="BO96" s="517">
        <f t="shared" ca="1" si="51"/>
        <v>0</v>
      </c>
      <c r="BP96" s="517"/>
      <c r="BQ96" s="517"/>
      <c r="BR96" s="517"/>
      <c r="BS96" s="517"/>
      <c r="BT96" s="517"/>
      <c r="BU96" s="517"/>
      <c r="BV96" s="517"/>
      <c r="BW96" s="517"/>
      <c r="BX96" s="517"/>
      <c r="BY96" s="517"/>
      <c r="BZ96" s="517"/>
      <c r="CA96" s="517"/>
      <c r="CB96" s="517"/>
      <c r="CC96" s="517"/>
      <c r="CD96" s="517"/>
      <c r="CE96" s="517"/>
      <c r="CF96" s="517"/>
      <c r="CG96" s="517"/>
      <c r="CH96" s="517"/>
      <c r="CI96" s="517"/>
      <c r="CJ96" s="517"/>
      <c r="CK96" s="517"/>
      <c r="CL96" s="517"/>
      <c r="CM96" s="517"/>
      <c r="CN96" s="517"/>
      <c r="CO96" s="517"/>
      <c r="CP96" s="517"/>
      <c r="CQ96" s="517"/>
      <c r="CR96" s="517"/>
      <c r="CS96" s="517"/>
      <c r="CT96" s="517"/>
      <c r="CU96" s="517"/>
      <c r="CV96" s="517"/>
      <c r="CW96" s="517"/>
      <c r="CX96" s="517"/>
      <c r="CY96" s="517"/>
      <c r="CZ96" s="517"/>
      <c r="DA96" s="517"/>
      <c r="DB96" s="517"/>
      <c r="DC96" s="517"/>
      <c r="DD96" s="517"/>
      <c r="DE96" s="517"/>
      <c r="DF96" s="517"/>
      <c r="DG96" s="517"/>
      <c r="DH96" s="517"/>
      <c r="DI96" s="517"/>
      <c r="DJ96" s="517"/>
      <c r="DK96" s="517"/>
      <c r="DL96" s="517"/>
      <c r="DM96" s="517"/>
      <c r="DN96" s="517"/>
      <c r="DO96" s="517"/>
      <c r="DP96" s="517"/>
      <c r="DQ96" s="517"/>
      <c r="DR96" s="517"/>
      <c r="DS96" s="517"/>
      <c r="DT96" s="517"/>
      <c r="DU96" s="517"/>
      <c r="DV96" s="517"/>
      <c r="DW96" s="517"/>
      <c r="DX96" s="304"/>
      <c r="DY96" s="304"/>
    </row>
    <row r="97" spans="1:129">
      <c r="A97" s="995" t="str">
        <f>A82</f>
        <v>paid in DSRA</v>
      </c>
      <c r="B97" s="679"/>
      <c r="C97" s="679"/>
      <c r="D97" s="504"/>
      <c r="E97" s="504"/>
      <c r="F97" s="415"/>
      <c r="G97" s="517">
        <f t="shared" ref="G97:AL97" ca="1" si="52">MIN(-G95-G96,G101)</f>
        <v>0</v>
      </c>
      <c r="H97" s="517">
        <f t="shared" ca="1" si="52"/>
        <v>0</v>
      </c>
      <c r="I97" s="517">
        <f t="shared" ca="1" si="52"/>
        <v>0</v>
      </c>
      <c r="J97" s="517">
        <f t="shared" ca="1" si="52"/>
        <v>0</v>
      </c>
      <c r="K97" s="517">
        <f t="shared" ca="1" si="52"/>
        <v>0</v>
      </c>
      <c r="L97" s="517">
        <f t="shared" ca="1" si="52"/>
        <v>0</v>
      </c>
      <c r="M97" s="517">
        <f t="shared" ca="1" si="52"/>
        <v>0</v>
      </c>
      <c r="N97" s="517">
        <f t="shared" ca="1" si="52"/>
        <v>0</v>
      </c>
      <c r="O97" s="517">
        <f t="shared" ca="1" si="52"/>
        <v>0</v>
      </c>
      <c r="P97" s="517">
        <f t="shared" ca="1" si="52"/>
        <v>0</v>
      </c>
      <c r="Q97" s="517">
        <f t="shared" ca="1" si="52"/>
        <v>0</v>
      </c>
      <c r="R97" s="517">
        <f t="shared" ca="1" si="52"/>
        <v>0</v>
      </c>
      <c r="S97" s="517">
        <f t="shared" ca="1" si="52"/>
        <v>0</v>
      </c>
      <c r="T97" s="517">
        <f t="shared" ca="1" si="52"/>
        <v>0</v>
      </c>
      <c r="U97" s="517">
        <f t="shared" ca="1" si="52"/>
        <v>0</v>
      </c>
      <c r="V97" s="517">
        <f t="shared" ca="1" si="52"/>
        <v>0</v>
      </c>
      <c r="W97" s="517">
        <f t="shared" ca="1" si="52"/>
        <v>0</v>
      </c>
      <c r="X97" s="517">
        <f t="shared" ca="1" si="52"/>
        <v>0</v>
      </c>
      <c r="Y97" s="517">
        <f t="shared" ca="1" si="52"/>
        <v>0</v>
      </c>
      <c r="Z97" s="517">
        <f t="shared" ca="1" si="52"/>
        <v>0</v>
      </c>
      <c r="AA97" s="517">
        <f t="shared" ca="1" si="52"/>
        <v>0</v>
      </c>
      <c r="AB97" s="517">
        <f t="shared" ca="1" si="52"/>
        <v>0</v>
      </c>
      <c r="AC97" s="517">
        <f t="shared" ca="1" si="52"/>
        <v>0</v>
      </c>
      <c r="AD97" s="517">
        <f t="shared" ca="1" si="52"/>
        <v>0</v>
      </c>
      <c r="AE97" s="517">
        <f t="shared" ca="1" si="52"/>
        <v>0</v>
      </c>
      <c r="AF97" s="517">
        <f t="shared" ca="1" si="52"/>
        <v>0</v>
      </c>
      <c r="AG97" s="517">
        <f t="shared" ca="1" si="52"/>
        <v>0</v>
      </c>
      <c r="AH97" s="517">
        <f t="shared" ca="1" si="52"/>
        <v>0</v>
      </c>
      <c r="AI97" s="517">
        <f t="shared" ca="1" si="52"/>
        <v>0</v>
      </c>
      <c r="AJ97" s="517">
        <f t="shared" ca="1" si="52"/>
        <v>0</v>
      </c>
      <c r="AK97" s="517">
        <f t="shared" ca="1" si="52"/>
        <v>0</v>
      </c>
      <c r="AL97" s="517">
        <f t="shared" ca="1" si="52"/>
        <v>0</v>
      </c>
      <c r="AM97" s="517">
        <f t="shared" ref="AM97:BO97" ca="1" si="53">MIN(-AM95-AM96,AM101)</f>
        <v>0</v>
      </c>
      <c r="AN97" s="517">
        <f t="shared" ca="1" si="53"/>
        <v>0</v>
      </c>
      <c r="AO97" s="517">
        <f t="shared" ca="1" si="53"/>
        <v>0</v>
      </c>
      <c r="AP97" s="517">
        <f t="shared" ca="1" si="53"/>
        <v>0</v>
      </c>
      <c r="AQ97" s="517">
        <f t="shared" ca="1" si="53"/>
        <v>0</v>
      </c>
      <c r="AR97" s="517">
        <f t="shared" ca="1" si="53"/>
        <v>0</v>
      </c>
      <c r="AS97" s="517">
        <f t="shared" ca="1" si="53"/>
        <v>0</v>
      </c>
      <c r="AT97" s="517">
        <f t="shared" ca="1" si="53"/>
        <v>0</v>
      </c>
      <c r="AU97" s="517">
        <f t="shared" ca="1" si="53"/>
        <v>0</v>
      </c>
      <c r="AV97" s="517">
        <f t="shared" ca="1" si="53"/>
        <v>0</v>
      </c>
      <c r="AW97" s="517">
        <f t="shared" ca="1" si="53"/>
        <v>0</v>
      </c>
      <c r="AX97" s="517">
        <f t="shared" ca="1" si="53"/>
        <v>0</v>
      </c>
      <c r="AY97" s="517">
        <f t="shared" ca="1" si="53"/>
        <v>0</v>
      </c>
      <c r="AZ97" s="517">
        <f t="shared" ca="1" si="53"/>
        <v>0</v>
      </c>
      <c r="BA97" s="517">
        <f t="shared" ca="1" si="53"/>
        <v>0</v>
      </c>
      <c r="BB97" s="517">
        <f t="shared" ca="1" si="53"/>
        <v>0</v>
      </c>
      <c r="BC97" s="517">
        <f t="shared" ca="1" si="53"/>
        <v>0</v>
      </c>
      <c r="BD97" s="517">
        <f t="shared" ca="1" si="53"/>
        <v>0</v>
      </c>
      <c r="BE97" s="517">
        <f t="shared" ca="1" si="53"/>
        <v>0</v>
      </c>
      <c r="BF97" s="517">
        <f t="shared" ca="1" si="53"/>
        <v>0</v>
      </c>
      <c r="BG97" s="517">
        <f t="shared" ca="1" si="53"/>
        <v>0</v>
      </c>
      <c r="BH97" s="517">
        <f t="shared" ca="1" si="53"/>
        <v>0</v>
      </c>
      <c r="BI97" s="517">
        <f t="shared" ca="1" si="53"/>
        <v>0</v>
      </c>
      <c r="BJ97" s="517">
        <f t="shared" ca="1" si="53"/>
        <v>0</v>
      </c>
      <c r="BK97" s="517">
        <f t="shared" ca="1" si="53"/>
        <v>0</v>
      </c>
      <c r="BL97" s="517">
        <f t="shared" ca="1" si="53"/>
        <v>0</v>
      </c>
      <c r="BM97" s="517">
        <f t="shared" ca="1" si="53"/>
        <v>0</v>
      </c>
      <c r="BN97" s="517">
        <f t="shared" ca="1" si="53"/>
        <v>0</v>
      </c>
      <c r="BO97" s="517">
        <f t="shared" ca="1" si="53"/>
        <v>0</v>
      </c>
      <c r="BP97" s="517"/>
      <c r="BQ97" s="517"/>
      <c r="BR97" s="517"/>
      <c r="BS97" s="517"/>
      <c r="BT97" s="517"/>
      <c r="BU97" s="517"/>
      <c r="BV97" s="517"/>
      <c r="BW97" s="517"/>
      <c r="BX97" s="517"/>
      <c r="BY97" s="517"/>
      <c r="BZ97" s="517"/>
      <c r="CA97" s="517"/>
      <c r="CB97" s="517"/>
      <c r="CC97" s="517"/>
      <c r="CD97" s="517"/>
      <c r="CE97" s="517"/>
      <c r="CF97" s="517"/>
      <c r="CG97" s="517"/>
      <c r="CH97" s="517"/>
      <c r="CI97" s="517"/>
      <c r="CJ97" s="517"/>
      <c r="CK97" s="517"/>
      <c r="CL97" s="517"/>
      <c r="CM97" s="517"/>
      <c r="CN97" s="517"/>
      <c r="CO97" s="517"/>
      <c r="CP97" s="517"/>
      <c r="CQ97" s="517"/>
      <c r="CR97" s="517"/>
      <c r="CS97" s="517"/>
      <c r="CT97" s="517"/>
      <c r="CU97" s="517"/>
      <c r="CV97" s="517"/>
      <c r="CW97" s="517"/>
      <c r="CX97" s="517"/>
      <c r="CY97" s="517"/>
      <c r="CZ97" s="517"/>
      <c r="DA97" s="517"/>
      <c r="DB97" s="517"/>
      <c r="DC97" s="517"/>
      <c r="DD97" s="517"/>
      <c r="DE97" s="517"/>
      <c r="DF97" s="517"/>
      <c r="DG97" s="517"/>
      <c r="DH97" s="517"/>
      <c r="DI97" s="517"/>
      <c r="DJ97" s="517"/>
      <c r="DK97" s="517"/>
      <c r="DL97" s="517"/>
      <c r="DM97" s="517"/>
      <c r="DN97" s="517"/>
      <c r="DO97" s="517"/>
      <c r="DP97" s="517"/>
      <c r="DQ97" s="517"/>
      <c r="DR97" s="517"/>
      <c r="DS97" s="517"/>
      <c r="DT97" s="517"/>
      <c r="DU97" s="517"/>
      <c r="DV97" s="517"/>
      <c r="DW97" s="517"/>
      <c r="DX97" s="304"/>
      <c r="DY97" s="304"/>
    </row>
    <row r="98" spans="1:129">
      <c r="A98" s="516"/>
      <c r="B98" s="679"/>
      <c r="C98" s="679"/>
      <c r="D98" s="504"/>
      <c r="E98" s="504"/>
      <c r="F98" s="504"/>
      <c r="G98" s="505"/>
      <c r="H98" s="505"/>
      <c r="I98" s="505"/>
      <c r="J98" s="505"/>
      <c r="K98" s="505"/>
      <c r="L98" s="505"/>
      <c r="M98" s="505"/>
      <c r="N98" s="505"/>
      <c r="O98" s="505"/>
      <c r="P98" s="505"/>
      <c r="Q98" s="505"/>
      <c r="R98" s="505"/>
      <c r="S98" s="505"/>
      <c r="T98" s="505"/>
      <c r="U98" s="505"/>
      <c r="V98" s="505"/>
      <c r="W98" s="505"/>
      <c r="X98" s="505"/>
      <c r="Y98" s="505"/>
      <c r="Z98" s="505"/>
      <c r="AA98" s="505"/>
      <c r="AB98" s="505"/>
      <c r="AC98" s="505"/>
      <c r="AD98" s="505"/>
      <c r="AE98" s="505"/>
      <c r="AF98" s="505"/>
      <c r="AG98" s="505"/>
      <c r="AH98" s="505"/>
      <c r="AI98" s="505"/>
      <c r="AJ98" s="505"/>
      <c r="AK98" s="505"/>
      <c r="AL98" s="505"/>
      <c r="AM98" s="505"/>
      <c r="AN98" s="505"/>
      <c r="AO98" s="505"/>
      <c r="AP98" s="505"/>
      <c r="AQ98" s="505"/>
      <c r="AR98" s="505"/>
      <c r="AS98" s="505"/>
      <c r="AT98" s="505"/>
      <c r="AU98" s="505"/>
      <c r="AV98" s="505"/>
      <c r="AW98" s="505"/>
      <c r="AX98" s="505"/>
      <c r="AY98" s="505"/>
      <c r="AZ98" s="505"/>
      <c r="BA98" s="505"/>
      <c r="BB98" s="505"/>
      <c r="BC98" s="505"/>
      <c r="BD98" s="505"/>
      <c r="BE98" s="505"/>
      <c r="BF98" s="505"/>
      <c r="BG98" s="505"/>
      <c r="BH98" s="505"/>
      <c r="BI98" s="505"/>
      <c r="BJ98" s="505"/>
      <c r="BK98" s="505"/>
      <c r="BL98" s="505"/>
      <c r="BM98" s="505"/>
      <c r="BN98" s="505"/>
      <c r="BO98" s="505"/>
      <c r="BP98" s="505"/>
      <c r="BQ98" s="505"/>
      <c r="BR98" s="505"/>
      <c r="BS98" s="505"/>
      <c r="BT98" s="505"/>
      <c r="BU98" s="505"/>
      <c r="BV98" s="505"/>
      <c r="BW98" s="505"/>
      <c r="BX98" s="505"/>
      <c r="BY98" s="505"/>
      <c r="BZ98" s="505"/>
      <c r="CA98" s="505"/>
      <c r="CB98" s="505"/>
      <c r="CC98" s="505"/>
      <c r="CD98" s="505"/>
      <c r="CE98" s="505"/>
      <c r="CF98" s="505"/>
      <c r="CG98" s="505"/>
      <c r="CH98" s="505"/>
      <c r="CI98" s="505"/>
      <c r="CJ98" s="505"/>
      <c r="CK98" s="505"/>
      <c r="CL98" s="505"/>
      <c r="CM98" s="505"/>
      <c r="CN98" s="505"/>
      <c r="CO98" s="505"/>
      <c r="CP98" s="505"/>
      <c r="CQ98" s="505"/>
      <c r="CR98" s="505"/>
      <c r="CS98" s="505"/>
      <c r="CT98" s="505"/>
      <c r="CU98" s="505"/>
      <c r="CV98" s="505"/>
      <c r="CW98" s="505"/>
      <c r="CX98" s="505"/>
      <c r="CY98" s="505"/>
      <c r="CZ98" s="505"/>
      <c r="DA98" s="505"/>
      <c r="DB98" s="505"/>
      <c r="DC98" s="505"/>
      <c r="DD98" s="505"/>
      <c r="DE98" s="505"/>
      <c r="DF98" s="505"/>
      <c r="DG98" s="505"/>
      <c r="DH98" s="505"/>
      <c r="DI98" s="505"/>
      <c r="DJ98" s="505"/>
      <c r="DK98" s="505"/>
      <c r="DL98" s="505"/>
      <c r="DM98" s="505"/>
      <c r="DN98" s="505"/>
      <c r="DO98" s="505"/>
      <c r="DP98" s="505"/>
      <c r="DQ98" s="505"/>
      <c r="DR98" s="505"/>
      <c r="DS98" s="505"/>
      <c r="DT98" s="505"/>
      <c r="DU98" s="505"/>
      <c r="DV98" s="505"/>
      <c r="DW98" s="505"/>
      <c r="DX98" s="304"/>
      <c r="DY98" s="304"/>
    </row>
    <row r="99" spans="1:129">
      <c r="A99" s="516" t="str">
        <f>Inputs!A351</f>
        <v>J-DSRA</v>
      </c>
      <c r="B99" s="680"/>
      <c r="C99" s="680"/>
      <c r="D99" s="520"/>
      <c r="E99" s="520"/>
      <c r="F99" s="520"/>
      <c r="G99" s="888"/>
      <c r="H99" s="526"/>
      <c r="I99" s="526"/>
      <c r="J99" s="526"/>
      <c r="K99" s="526"/>
      <c r="L99" s="526"/>
      <c r="M99" s="526"/>
      <c r="N99" s="526"/>
      <c r="O99" s="526"/>
      <c r="P99" s="526"/>
      <c r="Q99" s="526"/>
      <c r="R99" s="526"/>
      <c r="S99" s="526"/>
      <c r="T99" s="526"/>
      <c r="U99" s="526"/>
      <c r="V99" s="526"/>
      <c r="W99" s="526"/>
      <c r="X99" s="526"/>
      <c r="Y99" s="526"/>
      <c r="Z99" s="526"/>
      <c r="AA99" s="526"/>
      <c r="AB99" s="526"/>
      <c r="AC99" s="526"/>
      <c r="AD99" s="526"/>
      <c r="AE99" s="526"/>
      <c r="AF99" s="526"/>
      <c r="AG99" s="526"/>
      <c r="AH99" s="526"/>
      <c r="AI99" s="526"/>
      <c r="AJ99" s="526"/>
      <c r="AK99" s="526"/>
      <c r="AL99" s="526"/>
      <c r="AM99" s="526"/>
      <c r="AN99" s="526"/>
      <c r="AO99" s="526"/>
      <c r="AP99" s="526"/>
      <c r="AQ99" s="526"/>
      <c r="AR99" s="526"/>
      <c r="AS99" s="526"/>
      <c r="AT99" s="526"/>
      <c r="AU99" s="526"/>
      <c r="AV99" s="526"/>
      <c r="AW99" s="526"/>
      <c r="AX99" s="526"/>
      <c r="AY99" s="526"/>
      <c r="AZ99" s="526"/>
      <c r="BA99" s="526"/>
      <c r="BB99" s="526"/>
      <c r="BC99" s="526"/>
      <c r="BD99" s="526"/>
      <c r="BE99" s="526"/>
      <c r="BF99" s="526"/>
      <c r="BG99" s="526"/>
      <c r="BH99" s="526"/>
      <c r="BI99" s="526"/>
      <c r="BJ99" s="526"/>
      <c r="BK99" s="526"/>
      <c r="BL99" s="526"/>
      <c r="BM99" s="526"/>
      <c r="BN99" s="526"/>
      <c r="BO99" s="526"/>
      <c r="BP99" s="526"/>
      <c r="BQ99" s="526"/>
      <c r="BR99" s="526"/>
      <c r="BS99" s="526"/>
      <c r="BT99" s="526"/>
      <c r="BU99" s="526"/>
      <c r="BV99" s="526"/>
      <c r="BW99" s="526"/>
      <c r="BX99" s="526"/>
      <c r="BY99" s="526"/>
      <c r="BZ99" s="526"/>
      <c r="CA99" s="526"/>
      <c r="CB99" s="526"/>
      <c r="CC99" s="526"/>
      <c r="CD99" s="526"/>
      <c r="CE99" s="526"/>
      <c r="CF99" s="526"/>
      <c r="CG99" s="526"/>
      <c r="CH99" s="526"/>
      <c r="CI99" s="526"/>
      <c r="CJ99" s="526"/>
      <c r="CK99" s="526"/>
      <c r="CL99" s="526"/>
      <c r="CM99" s="526"/>
      <c r="CN99" s="526"/>
      <c r="CO99" s="526"/>
      <c r="CP99" s="526"/>
      <c r="CQ99" s="526"/>
      <c r="CR99" s="526"/>
      <c r="CS99" s="526"/>
      <c r="CT99" s="526"/>
      <c r="CU99" s="526"/>
      <c r="CV99" s="526"/>
      <c r="CW99" s="526"/>
      <c r="CX99" s="526"/>
      <c r="CY99" s="526"/>
      <c r="CZ99" s="526"/>
      <c r="DA99" s="526"/>
      <c r="DB99" s="526"/>
      <c r="DC99" s="526"/>
      <c r="DD99" s="526"/>
      <c r="DE99" s="526"/>
      <c r="DF99" s="526"/>
      <c r="DG99" s="526"/>
      <c r="DH99" s="526"/>
      <c r="DI99" s="526"/>
      <c r="DJ99" s="526"/>
      <c r="DK99" s="526"/>
      <c r="DL99" s="526"/>
      <c r="DM99" s="526"/>
      <c r="DN99" s="526"/>
      <c r="DO99" s="526"/>
      <c r="DP99" s="526"/>
      <c r="DQ99" s="526"/>
      <c r="DR99" s="526"/>
      <c r="DS99" s="526"/>
      <c r="DT99" s="526"/>
      <c r="DU99" s="526"/>
      <c r="DV99" s="526"/>
      <c r="DW99" s="526"/>
      <c r="DX99" s="304"/>
      <c r="DY99" s="304"/>
    </row>
    <row r="100" spans="1:129">
      <c r="A100" s="522" t="str">
        <f t="shared" ref="A100:A105" si="54">A86</f>
        <v>Target</v>
      </c>
      <c r="B100" s="1052">
        <f>Inputs!I355</f>
        <v>6</v>
      </c>
      <c r="C100" s="1052"/>
      <c r="D100" s="523"/>
      <c r="E100" s="523"/>
      <c r="F100" s="450"/>
      <c r="G100" s="524">
        <f t="shared" ref="G100:AL100" ca="1" si="55">IF(G14,-H$95*($B$100*$B$4)/monthsinyear*(G$4&gt;0),0)</f>
        <v>0</v>
      </c>
      <c r="H100" s="524">
        <f t="shared" ca="1" si="55"/>
        <v>0</v>
      </c>
      <c r="I100" s="524">
        <f t="shared" ca="1" si="55"/>
        <v>0</v>
      </c>
      <c r="J100" s="524">
        <f t="shared" ca="1" si="55"/>
        <v>0</v>
      </c>
      <c r="K100" s="524">
        <f t="shared" ca="1" si="55"/>
        <v>0</v>
      </c>
      <c r="L100" s="524">
        <f t="shared" ca="1" si="55"/>
        <v>0</v>
      </c>
      <c r="M100" s="524">
        <f t="shared" ca="1" si="55"/>
        <v>0</v>
      </c>
      <c r="N100" s="524">
        <f t="shared" ca="1" si="55"/>
        <v>0</v>
      </c>
      <c r="O100" s="524">
        <f t="shared" ca="1" si="55"/>
        <v>0</v>
      </c>
      <c r="P100" s="524">
        <f t="shared" ca="1" si="55"/>
        <v>0</v>
      </c>
      <c r="Q100" s="524">
        <f t="shared" ca="1" si="55"/>
        <v>0</v>
      </c>
      <c r="R100" s="524">
        <f t="shared" ca="1" si="55"/>
        <v>0</v>
      </c>
      <c r="S100" s="524">
        <f t="shared" ca="1" si="55"/>
        <v>0</v>
      </c>
      <c r="T100" s="524">
        <f t="shared" ca="1" si="55"/>
        <v>0</v>
      </c>
      <c r="U100" s="524">
        <f t="shared" ca="1" si="55"/>
        <v>0</v>
      </c>
      <c r="V100" s="524">
        <f t="shared" ca="1" si="55"/>
        <v>0</v>
      </c>
      <c r="W100" s="524">
        <f t="shared" ca="1" si="55"/>
        <v>0</v>
      </c>
      <c r="X100" s="524">
        <f t="shared" ca="1" si="55"/>
        <v>0</v>
      </c>
      <c r="Y100" s="524">
        <f t="shared" ca="1" si="55"/>
        <v>0</v>
      </c>
      <c r="Z100" s="524">
        <f t="shared" ca="1" si="55"/>
        <v>0</v>
      </c>
      <c r="AA100" s="524">
        <f t="shared" ca="1" si="55"/>
        <v>0</v>
      </c>
      <c r="AB100" s="524">
        <f t="shared" ca="1" si="55"/>
        <v>0</v>
      </c>
      <c r="AC100" s="524">
        <f t="shared" ca="1" si="55"/>
        <v>0</v>
      </c>
      <c r="AD100" s="524">
        <f t="shared" ca="1" si="55"/>
        <v>0</v>
      </c>
      <c r="AE100" s="524">
        <f t="shared" ca="1" si="55"/>
        <v>0</v>
      </c>
      <c r="AF100" s="524">
        <f t="shared" ca="1" si="55"/>
        <v>0</v>
      </c>
      <c r="AG100" s="524">
        <f t="shared" ca="1" si="55"/>
        <v>0</v>
      </c>
      <c r="AH100" s="524">
        <f t="shared" ca="1" si="55"/>
        <v>0</v>
      </c>
      <c r="AI100" s="524">
        <f t="shared" ca="1" si="55"/>
        <v>0</v>
      </c>
      <c r="AJ100" s="524">
        <f t="shared" ca="1" si="55"/>
        <v>0</v>
      </c>
      <c r="AK100" s="524">
        <f t="shared" ca="1" si="55"/>
        <v>0</v>
      </c>
      <c r="AL100" s="524">
        <f t="shared" ca="1" si="55"/>
        <v>0</v>
      </c>
      <c r="AM100" s="524">
        <f t="shared" ref="AM100:BO100" ca="1" si="56">IF(AM14,-AN$95*($B$100*$B$4)/monthsinyear*(AM$4&gt;0),0)</f>
        <v>0</v>
      </c>
      <c r="AN100" s="524">
        <f t="shared" ca="1" si="56"/>
        <v>0</v>
      </c>
      <c r="AO100" s="524">
        <f t="shared" ca="1" si="56"/>
        <v>0</v>
      </c>
      <c r="AP100" s="524">
        <f t="shared" ca="1" si="56"/>
        <v>0</v>
      </c>
      <c r="AQ100" s="524">
        <f t="shared" ca="1" si="56"/>
        <v>0</v>
      </c>
      <c r="AR100" s="524">
        <f t="shared" ca="1" si="56"/>
        <v>0</v>
      </c>
      <c r="AS100" s="524">
        <f t="shared" ca="1" si="56"/>
        <v>0</v>
      </c>
      <c r="AT100" s="524">
        <f t="shared" ca="1" si="56"/>
        <v>0</v>
      </c>
      <c r="AU100" s="524">
        <f t="shared" ca="1" si="56"/>
        <v>0</v>
      </c>
      <c r="AV100" s="524">
        <f t="shared" ca="1" si="56"/>
        <v>0</v>
      </c>
      <c r="AW100" s="524">
        <f t="shared" ca="1" si="56"/>
        <v>0</v>
      </c>
      <c r="AX100" s="524">
        <f t="shared" ca="1" si="56"/>
        <v>0</v>
      </c>
      <c r="AY100" s="524">
        <f t="shared" ca="1" si="56"/>
        <v>0</v>
      </c>
      <c r="AZ100" s="524">
        <f t="shared" ca="1" si="56"/>
        <v>0</v>
      </c>
      <c r="BA100" s="524">
        <f t="shared" ca="1" si="56"/>
        <v>0</v>
      </c>
      <c r="BB100" s="524">
        <f t="shared" ca="1" si="56"/>
        <v>0</v>
      </c>
      <c r="BC100" s="524">
        <f t="shared" ca="1" si="56"/>
        <v>0</v>
      </c>
      <c r="BD100" s="524">
        <f t="shared" ca="1" si="56"/>
        <v>0</v>
      </c>
      <c r="BE100" s="524">
        <f t="shared" ca="1" si="56"/>
        <v>0</v>
      </c>
      <c r="BF100" s="524">
        <f t="shared" ca="1" si="56"/>
        <v>0</v>
      </c>
      <c r="BG100" s="524">
        <f t="shared" ca="1" si="56"/>
        <v>0</v>
      </c>
      <c r="BH100" s="524">
        <f t="shared" ca="1" si="56"/>
        <v>0</v>
      </c>
      <c r="BI100" s="524">
        <f t="shared" ca="1" si="56"/>
        <v>0</v>
      </c>
      <c r="BJ100" s="524">
        <f t="shared" ca="1" si="56"/>
        <v>0</v>
      </c>
      <c r="BK100" s="524">
        <f t="shared" ca="1" si="56"/>
        <v>0</v>
      </c>
      <c r="BL100" s="524">
        <f t="shared" ca="1" si="56"/>
        <v>0</v>
      </c>
      <c r="BM100" s="524">
        <f t="shared" ca="1" si="56"/>
        <v>0</v>
      </c>
      <c r="BN100" s="524">
        <f t="shared" ca="1" si="56"/>
        <v>0</v>
      </c>
      <c r="BO100" s="524">
        <f t="shared" si="56"/>
        <v>0</v>
      </c>
      <c r="BP100" s="524"/>
      <c r="BQ100" s="524"/>
      <c r="BR100" s="524"/>
      <c r="BS100" s="524"/>
      <c r="BT100" s="524"/>
      <c r="BU100" s="524"/>
      <c r="BV100" s="524"/>
      <c r="BW100" s="524"/>
      <c r="BX100" s="524"/>
      <c r="BY100" s="524"/>
      <c r="BZ100" s="524"/>
      <c r="CA100" s="524"/>
      <c r="CB100" s="524"/>
      <c r="CC100" s="524"/>
      <c r="CD100" s="524"/>
      <c r="CE100" s="524"/>
      <c r="CF100" s="524"/>
      <c r="CG100" s="524"/>
      <c r="CH100" s="524"/>
      <c r="CI100" s="524"/>
      <c r="CJ100" s="524"/>
      <c r="CK100" s="524"/>
      <c r="CL100" s="524"/>
      <c r="CM100" s="524"/>
      <c r="CN100" s="524"/>
      <c r="CO100" s="524"/>
      <c r="CP100" s="524"/>
      <c r="CQ100" s="524"/>
      <c r="CR100" s="524"/>
      <c r="CS100" s="524"/>
      <c r="CT100" s="524"/>
      <c r="CU100" s="524"/>
      <c r="CV100" s="524"/>
      <c r="CW100" s="524"/>
      <c r="CX100" s="524"/>
      <c r="CY100" s="524"/>
      <c r="CZ100" s="524"/>
      <c r="DA100" s="524"/>
      <c r="DB100" s="524"/>
      <c r="DC100" s="524"/>
      <c r="DD100" s="524"/>
      <c r="DE100" s="524"/>
      <c r="DF100" s="524"/>
      <c r="DG100" s="524"/>
      <c r="DH100" s="524"/>
      <c r="DI100" s="524"/>
      <c r="DJ100" s="524"/>
      <c r="DK100" s="524"/>
      <c r="DL100" s="524"/>
      <c r="DM100" s="524"/>
      <c r="DN100" s="524"/>
      <c r="DO100" s="524"/>
      <c r="DP100" s="524"/>
      <c r="DQ100" s="524"/>
      <c r="DR100" s="524"/>
      <c r="DS100" s="524"/>
      <c r="DT100" s="524"/>
      <c r="DU100" s="524"/>
      <c r="DV100" s="524"/>
      <c r="DW100" s="524"/>
      <c r="DX100" s="304"/>
      <c r="DY100" s="304"/>
    </row>
    <row r="101" spans="1:129">
      <c r="A101" s="515" t="str">
        <f t="shared" si="54"/>
        <v xml:space="preserve">Beginning </v>
      </c>
      <c r="B101" s="681"/>
      <c r="C101" s="681"/>
      <c r="D101" s="525"/>
      <c r="E101" s="525"/>
      <c r="F101" s="528"/>
      <c r="G101" s="526">
        <f>F105</f>
        <v>0</v>
      </c>
      <c r="H101" s="526">
        <f t="shared" ref="H101:AL101" ca="1" si="57">G105</f>
        <v>0</v>
      </c>
      <c r="I101" s="526">
        <f t="shared" ca="1" si="57"/>
        <v>0</v>
      </c>
      <c r="J101" s="526">
        <f t="shared" ca="1" si="57"/>
        <v>0</v>
      </c>
      <c r="K101" s="526">
        <f t="shared" ca="1" si="57"/>
        <v>0</v>
      </c>
      <c r="L101" s="526">
        <f t="shared" ca="1" si="57"/>
        <v>0</v>
      </c>
      <c r="M101" s="526">
        <f t="shared" ca="1" si="57"/>
        <v>0</v>
      </c>
      <c r="N101" s="526">
        <f t="shared" ca="1" si="57"/>
        <v>0</v>
      </c>
      <c r="O101" s="526">
        <f t="shared" ca="1" si="57"/>
        <v>0</v>
      </c>
      <c r="P101" s="526">
        <f t="shared" ca="1" si="57"/>
        <v>0</v>
      </c>
      <c r="Q101" s="526">
        <f t="shared" ca="1" si="57"/>
        <v>0</v>
      </c>
      <c r="R101" s="526">
        <f t="shared" ca="1" si="57"/>
        <v>0</v>
      </c>
      <c r="S101" s="526">
        <f t="shared" ca="1" si="57"/>
        <v>0</v>
      </c>
      <c r="T101" s="526">
        <f t="shared" ca="1" si="57"/>
        <v>0</v>
      </c>
      <c r="U101" s="526">
        <f t="shared" ca="1" si="57"/>
        <v>0</v>
      </c>
      <c r="V101" s="526">
        <f t="shared" ca="1" si="57"/>
        <v>0</v>
      </c>
      <c r="W101" s="526">
        <f t="shared" ca="1" si="57"/>
        <v>0</v>
      </c>
      <c r="X101" s="526">
        <f t="shared" ca="1" si="57"/>
        <v>0</v>
      </c>
      <c r="Y101" s="526">
        <f t="shared" ca="1" si="57"/>
        <v>0</v>
      </c>
      <c r="Z101" s="526">
        <f t="shared" ca="1" si="57"/>
        <v>0</v>
      </c>
      <c r="AA101" s="526">
        <f t="shared" ca="1" si="57"/>
        <v>0</v>
      </c>
      <c r="AB101" s="526">
        <f t="shared" ca="1" si="57"/>
        <v>0</v>
      </c>
      <c r="AC101" s="526">
        <f t="shared" ca="1" si="57"/>
        <v>0</v>
      </c>
      <c r="AD101" s="526">
        <f t="shared" ca="1" si="57"/>
        <v>0</v>
      </c>
      <c r="AE101" s="526">
        <f t="shared" ca="1" si="57"/>
        <v>0</v>
      </c>
      <c r="AF101" s="526">
        <f t="shared" ca="1" si="57"/>
        <v>0</v>
      </c>
      <c r="AG101" s="526">
        <f t="shared" ca="1" si="57"/>
        <v>0</v>
      </c>
      <c r="AH101" s="526">
        <f t="shared" ca="1" si="57"/>
        <v>0</v>
      </c>
      <c r="AI101" s="526">
        <f t="shared" ca="1" si="57"/>
        <v>0</v>
      </c>
      <c r="AJ101" s="526">
        <f t="shared" ca="1" si="57"/>
        <v>0</v>
      </c>
      <c r="AK101" s="526">
        <f t="shared" ca="1" si="57"/>
        <v>0</v>
      </c>
      <c r="AL101" s="526">
        <f t="shared" ca="1" si="57"/>
        <v>0</v>
      </c>
      <c r="AM101" s="526">
        <f t="shared" ref="AM101:BO101" ca="1" si="58">AL105</f>
        <v>0</v>
      </c>
      <c r="AN101" s="526">
        <f t="shared" ca="1" si="58"/>
        <v>0</v>
      </c>
      <c r="AO101" s="526">
        <f t="shared" ca="1" si="58"/>
        <v>0</v>
      </c>
      <c r="AP101" s="526">
        <f t="shared" ca="1" si="58"/>
        <v>0</v>
      </c>
      <c r="AQ101" s="526">
        <f t="shared" ca="1" si="58"/>
        <v>0</v>
      </c>
      <c r="AR101" s="526">
        <f t="shared" ca="1" si="58"/>
        <v>0</v>
      </c>
      <c r="AS101" s="526">
        <f t="shared" ca="1" si="58"/>
        <v>0</v>
      </c>
      <c r="AT101" s="526">
        <f t="shared" ca="1" si="58"/>
        <v>0</v>
      </c>
      <c r="AU101" s="526">
        <f t="shared" ca="1" si="58"/>
        <v>0</v>
      </c>
      <c r="AV101" s="526">
        <f t="shared" ca="1" si="58"/>
        <v>0</v>
      </c>
      <c r="AW101" s="526">
        <f t="shared" ca="1" si="58"/>
        <v>0</v>
      </c>
      <c r="AX101" s="526">
        <f t="shared" ca="1" si="58"/>
        <v>0</v>
      </c>
      <c r="AY101" s="526">
        <f t="shared" ca="1" si="58"/>
        <v>0</v>
      </c>
      <c r="AZ101" s="526">
        <f t="shared" ca="1" si="58"/>
        <v>0</v>
      </c>
      <c r="BA101" s="526">
        <f t="shared" ca="1" si="58"/>
        <v>0</v>
      </c>
      <c r="BB101" s="526">
        <f t="shared" ca="1" si="58"/>
        <v>0</v>
      </c>
      <c r="BC101" s="526">
        <f t="shared" ca="1" si="58"/>
        <v>0</v>
      </c>
      <c r="BD101" s="526">
        <f t="shared" ca="1" si="58"/>
        <v>0</v>
      </c>
      <c r="BE101" s="526">
        <f t="shared" ca="1" si="58"/>
        <v>0</v>
      </c>
      <c r="BF101" s="526">
        <f t="shared" ca="1" si="58"/>
        <v>0</v>
      </c>
      <c r="BG101" s="526">
        <f t="shared" ca="1" si="58"/>
        <v>0</v>
      </c>
      <c r="BH101" s="526">
        <f t="shared" ca="1" si="58"/>
        <v>0</v>
      </c>
      <c r="BI101" s="526">
        <f t="shared" ca="1" si="58"/>
        <v>0</v>
      </c>
      <c r="BJ101" s="526">
        <f t="shared" ca="1" si="58"/>
        <v>0</v>
      </c>
      <c r="BK101" s="526">
        <f t="shared" ca="1" si="58"/>
        <v>0</v>
      </c>
      <c r="BL101" s="526">
        <f t="shared" ca="1" si="58"/>
        <v>0</v>
      </c>
      <c r="BM101" s="526">
        <f t="shared" ca="1" si="58"/>
        <v>0</v>
      </c>
      <c r="BN101" s="526">
        <f t="shared" ca="1" si="58"/>
        <v>0</v>
      </c>
      <c r="BO101" s="526">
        <f t="shared" ca="1" si="58"/>
        <v>0</v>
      </c>
      <c r="BP101" s="526"/>
      <c r="BQ101" s="526"/>
      <c r="BR101" s="526"/>
      <c r="BS101" s="526"/>
      <c r="BT101" s="526"/>
      <c r="BU101" s="526"/>
      <c r="BV101" s="526"/>
      <c r="BW101" s="526"/>
      <c r="BX101" s="526"/>
      <c r="BY101" s="526"/>
      <c r="BZ101" s="526"/>
      <c r="CA101" s="526"/>
      <c r="CB101" s="526"/>
      <c r="CC101" s="526"/>
      <c r="CD101" s="526"/>
      <c r="CE101" s="526"/>
      <c r="CF101" s="526"/>
      <c r="CG101" s="526"/>
      <c r="CH101" s="526"/>
      <c r="CI101" s="526"/>
      <c r="CJ101" s="526"/>
      <c r="CK101" s="526"/>
      <c r="CL101" s="526"/>
      <c r="CM101" s="526"/>
      <c r="CN101" s="526"/>
      <c r="CO101" s="526"/>
      <c r="CP101" s="526"/>
      <c r="CQ101" s="526"/>
      <c r="CR101" s="526"/>
      <c r="CS101" s="526"/>
      <c r="CT101" s="526"/>
      <c r="CU101" s="526"/>
      <c r="CV101" s="526"/>
      <c r="CW101" s="526"/>
      <c r="CX101" s="526"/>
      <c r="CY101" s="526"/>
      <c r="CZ101" s="526"/>
      <c r="DA101" s="526"/>
      <c r="DB101" s="526"/>
      <c r="DC101" s="526"/>
      <c r="DD101" s="526"/>
      <c r="DE101" s="526"/>
      <c r="DF101" s="526"/>
      <c r="DG101" s="526"/>
      <c r="DH101" s="526"/>
      <c r="DI101" s="526"/>
      <c r="DJ101" s="526"/>
      <c r="DK101" s="526"/>
      <c r="DL101" s="526"/>
      <c r="DM101" s="526"/>
      <c r="DN101" s="526"/>
      <c r="DO101" s="526"/>
      <c r="DP101" s="526"/>
      <c r="DQ101" s="526"/>
      <c r="DR101" s="526"/>
      <c r="DS101" s="526"/>
      <c r="DT101" s="526"/>
      <c r="DU101" s="526"/>
      <c r="DV101" s="526"/>
      <c r="DW101" s="526"/>
      <c r="DX101" s="304"/>
      <c r="DY101" s="304"/>
    </row>
    <row r="102" spans="1:129">
      <c r="A102" s="515" t="str">
        <f t="shared" si="54"/>
        <v>Funding</v>
      </c>
      <c r="B102" s="842">
        <f>JDSRA_in</f>
        <v>0</v>
      </c>
      <c r="C102" s="842"/>
      <c r="D102" s="525"/>
      <c r="E102" s="525"/>
      <c r="F102" s="528"/>
      <c r="G102" s="526">
        <f>$B102*(G$4=0)</f>
        <v>0</v>
      </c>
      <c r="H102" s="526">
        <f t="shared" ref="H102:AL102" si="59">$B102*(H$4=0)</f>
        <v>0</v>
      </c>
      <c r="I102" s="526">
        <f t="shared" si="59"/>
        <v>0</v>
      </c>
      <c r="J102" s="526">
        <f t="shared" si="59"/>
        <v>0</v>
      </c>
      <c r="K102" s="526">
        <f t="shared" si="59"/>
        <v>0</v>
      </c>
      <c r="L102" s="526">
        <f t="shared" si="59"/>
        <v>0</v>
      </c>
      <c r="M102" s="526">
        <f t="shared" si="59"/>
        <v>0</v>
      </c>
      <c r="N102" s="526">
        <f t="shared" si="59"/>
        <v>0</v>
      </c>
      <c r="O102" s="526">
        <f t="shared" si="59"/>
        <v>0</v>
      </c>
      <c r="P102" s="526">
        <f t="shared" si="59"/>
        <v>0</v>
      </c>
      <c r="Q102" s="526">
        <f t="shared" si="59"/>
        <v>0</v>
      </c>
      <c r="R102" s="526">
        <f t="shared" si="59"/>
        <v>0</v>
      </c>
      <c r="S102" s="526">
        <f t="shared" si="59"/>
        <v>0</v>
      </c>
      <c r="T102" s="526">
        <f t="shared" si="59"/>
        <v>0</v>
      </c>
      <c r="U102" s="526">
        <f t="shared" si="59"/>
        <v>0</v>
      </c>
      <c r="V102" s="526">
        <f t="shared" si="59"/>
        <v>0</v>
      </c>
      <c r="W102" s="526">
        <f t="shared" si="59"/>
        <v>0</v>
      </c>
      <c r="X102" s="526">
        <f t="shared" si="59"/>
        <v>0</v>
      </c>
      <c r="Y102" s="526">
        <f t="shared" si="59"/>
        <v>0</v>
      </c>
      <c r="Z102" s="526">
        <f t="shared" si="59"/>
        <v>0</v>
      </c>
      <c r="AA102" s="526">
        <f t="shared" si="59"/>
        <v>0</v>
      </c>
      <c r="AB102" s="526">
        <f t="shared" si="59"/>
        <v>0</v>
      </c>
      <c r="AC102" s="526">
        <f t="shared" si="59"/>
        <v>0</v>
      </c>
      <c r="AD102" s="526">
        <f t="shared" si="59"/>
        <v>0</v>
      </c>
      <c r="AE102" s="526">
        <f t="shared" si="59"/>
        <v>0</v>
      </c>
      <c r="AF102" s="526">
        <f t="shared" si="59"/>
        <v>0</v>
      </c>
      <c r="AG102" s="526">
        <f t="shared" si="59"/>
        <v>0</v>
      </c>
      <c r="AH102" s="526">
        <f t="shared" si="59"/>
        <v>0</v>
      </c>
      <c r="AI102" s="526">
        <f t="shared" si="59"/>
        <v>0</v>
      </c>
      <c r="AJ102" s="526">
        <f t="shared" si="59"/>
        <v>0</v>
      </c>
      <c r="AK102" s="526">
        <f t="shared" si="59"/>
        <v>0</v>
      </c>
      <c r="AL102" s="526">
        <f t="shared" si="59"/>
        <v>0</v>
      </c>
      <c r="AM102" s="526">
        <f t="shared" ref="AM102:BO102" si="60">$B102*(AM$4=0)</f>
        <v>0</v>
      </c>
      <c r="AN102" s="526">
        <f t="shared" si="60"/>
        <v>0</v>
      </c>
      <c r="AO102" s="526">
        <f t="shared" si="60"/>
        <v>0</v>
      </c>
      <c r="AP102" s="526">
        <f t="shared" si="60"/>
        <v>0</v>
      </c>
      <c r="AQ102" s="526">
        <f t="shared" si="60"/>
        <v>0</v>
      </c>
      <c r="AR102" s="526">
        <f t="shared" si="60"/>
        <v>0</v>
      </c>
      <c r="AS102" s="526">
        <f t="shared" si="60"/>
        <v>0</v>
      </c>
      <c r="AT102" s="526">
        <f t="shared" si="60"/>
        <v>0</v>
      </c>
      <c r="AU102" s="526">
        <f t="shared" si="60"/>
        <v>0</v>
      </c>
      <c r="AV102" s="526">
        <f t="shared" si="60"/>
        <v>0</v>
      </c>
      <c r="AW102" s="526">
        <f t="shared" si="60"/>
        <v>0</v>
      </c>
      <c r="AX102" s="526">
        <f t="shared" si="60"/>
        <v>0</v>
      </c>
      <c r="AY102" s="526">
        <f t="shared" si="60"/>
        <v>0</v>
      </c>
      <c r="AZ102" s="526">
        <f t="shared" si="60"/>
        <v>0</v>
      </c>
      <c r="BA102" s="526">
        <f t="shared" si="60"/>
        <v>0</v>
      </c>
      <c r="BB102" s="526">
        <f t="shared" si="60"/>
        <v>0</v>
      </c>
      <c r="BC102" s="526">
        <f t="shared" si="60"/>
        <v>0</v>
      </c>
      <c r="BD102" s="526">
        <f t="shared" si="60"/>
        <v>0</v>
      </c>
      <c r="BE102" s="526">
        <f t="shared" si="60"/>
        <v>0</v>
      </c>
      <c r="BF102" s="526">
        <f t="shared" si="60"/>
        <v>0</v>
      </c>
      <c r="BG102" s="526">
        <f t="shared" si="60"/>
        <v>0</v>
      </c>
      <c r="BH102" s="526">
        <f t="shared" si="60"/>
        <v>0</v>
      </c>
      <c r="BI102" s="526">
        <f t="shared" si="60"/>
        <v>0</v>
      </c>
      <c r="BJ102" s="526">
        <f t="shared" si="60"/>
        <v>0</v>
      </c>
      <c r="BK102" s="526">
        <f t="shared" si="60"/>
        <v>0</v>
      </c>
      <c r="BL102" s="526">
        <f t="shared" si="60"/>
        <v>0</v>
      </c>
      <c r="BM102" s="526">
        <f t="shared" si="60"/>
        <v>0</v>
      </c>
      <c r="BN102" s="526">
        <f t="shared" si="60"/>
        <v>0</v>
      </c>
      <c r="BO102" s="526">
        <f t="shared" si="60"/>
        <v>0</v>
      </c>
      <c r="BP102" s="526"/>
      <c r="BQ102" s="526"/>
      <c r="BR102" s="526"/>
      <c r="BS102" s="526"/>
      <c r="BT102" s="526"/>
      <c r="BU102" s="526"/>
      <c r="BV102" s="526"/>
      <c r="BW102" s="526"/>
      <c r="BX102" s="526"/>
      <c r="BY102" s="526"/>
      <c r="BZ102" s="526"/>
      <c r="CA102" s="526"/>
      <c r="CB102" s="526"/>
      <c r="CC102" s="526"/>
      <c r="CD102" s="526"/>
      <c r="CE102" s="526"/>
      <c r="CF102" s="526"/>
      <c r="CG102" s="526"/>
      <c r="CH102" s="526"/>
      <c r="CI102" s="526"/>
      <c r="CJ102" s="526"/>
      <c r="CK102" s="526"/>
      <c r="CL102" s="526"/>
      <c r="CM102" s="526"/>
      <c r="CN102" s="526"/>
      <c r="CO102" s="526"/>
      <c r="CP102" s="526"/>
      <c r="CQ102" s="526"/>
      <c r="CR102" s="526"/>
      <c r="CS102" s="526"/>
      <c r="CT102" s="526"/>
      <c r="CU102" s="526"/>
      <c r="CV102" s="526"/>
      <c r="CW102" s="526"/>
      <c r="CX102" s="526"/>
      <c r="CY102" s="526"/>
      <c r="CZ102" s="526"/>
      <c r="DA102" s="526"/>
      <c r="DB102" s="526"/>
      <c r="DC102" s="526"/>
      <c r="DD102" s="526"/>
      <c r="DE102" s="526"/>
      <c r="DF102" s="526"/>
      <c r="DG102" s="526"/>
      <c r="DH102" s="526"/>
      <c r="DI102" s="526"/>
      <c r="DJ102" s="526"/>
      <c r="DK102" s="526"/>
      <c r="DL102" s="526"/>
      <c r="DM102" s="526"/>
      <c r="DN102" s="526"/>
      <c r="DO102" s="526"/>
      <c r="DP102" s="526"/>
      <c r="DQ102" s="526"/>
      <c r="DR102" s="526"/>
      <c r="DS102" s="526"/>
      <c r="DT102" s="526"/>
      <c r="DU102" s="526"/>
      <c r="DV102" s="526"/>
      <c r="DW102" s="526"/>
      <c r="DX102" s="304"/>
      <c r="DY102" s="304"/>
    </row>
    <row r="103" spans="1:129">
      <c r="A103" s="515" t="str">
        <f t="shared" si="54"/>
        <v>Operation</v>
      </c>
      <c r="B103" s="681"/>
      <c r="C103" s="681"/>
      <c r="D103" s="525"/>
      <c r="E103" s="525"/>
      <c r="F103" s="528"/>
      <c r="G103" s="233">
        <f t="shared" ref="G103:AL103" ca="1" si="61">(IF(G101&lt;G100,MAX(MIN(G100-G101-G102,G$94+G$95+F$144),0),0)-IF(G101&gt;=G100,-G100+G101,0))</f>
        <v>0</v>
      </c>
      <c r="H103" s="233">
        <f t="shared" ca="1" si="61"/>
        <v>0</v>
      </c>
      <c r="I103" s="233">
        <f t="shared" ca="1" si="61"/>
        <v>0</v>
      </c>
      <c r="J103" s="233">
        <f t="shared" ca="1" si="61"/>
        <v>0</v>
      </c>
      <c r="K103" s="233">
        <f t="shared" ca="1" si="61"/>
        <v>0</v>
      </c>
      <c r="L103" s="233">
        <f t="shared" ca="1" si="61"/>
        <v>0</v>
      </c>
      <c r="M103" s="233">
        <f t="shared" ca="1" si="61"/>
        <v>0</v>
      </c>
      <c r="N103" s="233">
        <f t="shared" ca="1" si="61"/>
        <v>0</v>
      </c>
      <c r="O103" s="233">
        <f t="shared" ca="1" si="61"/>
        <v>0</v>
      </c>
      <c r="P103" s="233">
        <f t="shared" ca="1" si="61"/>
        <v>0</v>
      </c>
      <c r="Q103" s="233">
        <f t="shared" ca="1" si="61"/>
        <v>0</v>
      </c>
      <c r="R103" s="233">
        <f t="shared" ca="1" si="61"/>
        <v>0</v>
      </c>
      <c r="S103" s="233">
        <f t="shared" ca="1" si="61"/>
        <v>0</v>
      </c>
      <c r="T103" s="233">
        <f t="shared" ca="1" si="61"/>
        <v>0</v>
      </c>
      <c r="U103" s="233">
        <f t="shared" ca="1" si="61"/>
        <v>0</v>
      </c>
      <c r="V103" s="233">
        <f t="shared" ca="1" si="61"/>
        <v>0</v>
      </c>
      <c r="W103" s="233">
        <f t="shared" ca="1" si="61"/>
        <v>0</v>
      </c>
      <c r="X103" s="233">
        <f t="shared" ca="1" si="61"/>
        <v>0</v>
      </c>
      <c r="Y103" s="233">
        <f t="shared" ca="1" si="61"/>
        <v>0</v>
      </c>
      <c r="Z103" s="233">
        <f t="shared" ca="1" si="61"/>
        <v>0</v>
      </c>
      <c r="AA103" s="233">
        <f t="shared" ca="1" si="61"/>
        <v>0</v>
      </c>
      <c r="AB103" s="233">
        <f t="shared" ca="1" si="61"/>
        <v>0</v>
      </c>
      <c r="AC103" s="233">
        <f t="shared" ca="1" si="61"/>
        <v>0</v>
      </c>
      <c r="AD103" s="233">
        <f t="shared" ca="1" si="61"/>
        <v>0</v>
      </c>
      <c r="AE103" s="233">
        <f t="shared" ca="1" si="61"/>
        <v>0</v>
      </c>
      <c r="AF103" s="233">
        <f t="shared" ca="1" si="61"/>
        <v>0</v>
      </c>
      <c r="AG103" s="233">
        <f t="shared" ca="1" si="61"/>
        <v>0</v>
      </c>
      <c r="AH103" s="233">
        <f t="shared" ca="1" si="61"/>
        <v>0</v>
      </c>
      <c r="AI103" s="233">
        <f t="shared" ca="1" si="61"/>
        <v>0</v>
      </c>
      <c r="AJ103" s="233">
        <f t="shared" ca="1" si="61"/>
        <v>0</v>
      </c>
      <c r="AK103" s="233">
        <f t="shared" ca="1" si="61"/>
        <v>0</v>
      </c>
      <c r="AL103" s="233">
        <f t="shared" ca="1" si="61"/>
        <v>0</v>
      </c>
      <c r="AM103" s="233">
        <f t="shared" ref="AM103:BO103" ca="1" si="62">(IF(AM101&lt;AM100,MAX(MIN(AM100-AM101-AM102,AM$94+AM$95+AL$144),0),0)-IF(AM101&gt;=AM100,-AM100+AM101,0))</f>
        <v>0</v>
      </c>
      <c r="AN103" s="233">
        <f t="shared" ca="1" si="62"/>
        <v>0</v>
      </c>
      <c r="AO103" s="233">
        <f t="shared" ca="1" si="62"/>
        <v>0</v>
      </c>
      <c r="AP103" s="233">
        <f t="shared" ca="1" si="62"/>
        <v>0</v>
      </c>
      <c r="AQ103" s="233">
        <f t="shared" ca="1" si="62"/>
        <v>0</v>
      </c>
      <c r="AR103" s="233">
        <f t="shared" ca="1" si="62"/>
        <v>0</v>
      </c>
      <c r="AS103" s="233">
        <f t="shared" ca="1" si="62"/>
        <v>0</v>
      </c>
      <c r="AT103" s="233">
        <f t="shared" ca="1" si="62"/>
        <v>0</v>
      </c>
      <c r="AU103" s="233">
        <f t="shared" ca="1" si="62"/>
        <v>0</v>
      </c>
      <c r="AV103" s="233">
        <f t="shared" ca="1" si="62"/>
        <v>0</v>
      </c>
      <c r="AW103" s="233">
        <f t="shared" ca="1" si="62"/>
        <v>0</v>
      </c>
      <c r="AX103" s="233">
        <f t="shared" ca="1" si="62"/>
        <v>0</v>
      </c>
      <c r="AY103" s="233">
        <f t="shared" ca="1" si="62"/>
        <v>0</v>
      </c>
      <c r="AZ103" s="233">
        <f t="shared" ca="1" si="62"/>
        <v>0</v>
      </c>
      <c r="BA103" s="233">
        <f t="shared" ca="1" si="62"/>
        <v>0</v>
      </c>
      <c r="BB103" s="233">
        <f t="shared" ca="1" si="62"/>
        <v>0</v>
      </c>
      <c r="BC103" s="233">
        <f t="shared" ca="1" si="62"/>
        <v>0</v>
      </c>
      <c r="BD103" s="233">
        <f t="shared" ca="1" si="62"/>
        <v>0</v>
      </c>
      <c r="BE103" s="233">
        <f t="shared" ca="1" si="62"/>
        <v>0</v>
      </c>
      <c r="BF103" s="233">
        <f t="shared" ca="1" si="62"/>
        <v>0</v>
      </c>
      <c r="BG103" s="233">
        <f t="shared" ca="1" si="62"/>
        <v>0</v>
      </c>
      <c r="BH103" s="233">
        <f t="shared" ca="1" si="62"/>
        <v>0</v>
      </c>
      <c r="BI103" s="233">
        <f t="shared" ca="1" si="62"/>
        <v>0</v>
      </c>
      <c r="BJ103" s="233">
        <f t="shared" ca="1" si="62"/>
        <v>0</v>
      </c>
      <c r="BK103" s="233">
        <f t="shared" ca="1" si="62"/>
        <v>0</v>
      </c>
      <c r="BL103" s="233">
        <f t="shared" ca="1" si="62"/>
        <v>0</v>
      </c>
      <c r="BM103" s="233">
        <f t="shared" ca="1" si="62"/>
        <v>0</v>
      </c>
      <c r="BN103" s="233">
        <f t="shared" ca="1" si="62"/>
        <v>0</v>
      </c>
      <c r="BO103" s="233">
        <f t="shared" ca="1" si="62"/>
        <v>0</v>
      </c>
      <c r="BP103" s="233"/>
      <c r="BQ103" s="233"/>
      <c r="BR103" s="233"/>
      <c r="BS103" s="233"/>
      <c r="BT103" s="233"/>
      <c r="BU103" s="233"/>
      <c r="BV103" s="233"/>
      <c r="BW103" s="233"/>
      <c r="BX103" s="233"/>
      <c r="BY103" s="233"/>
      <c r="BZ103" s="233"/>
      <c r="CA103" s="233"/>
      <c r="CB103" s="233"/>
      <c r="CC103" s="233"/>
      <c r="CD103" s="233"/>
      <c r="CE103" s="233"/>
      <c r="CF103" s="233"/>
      <c r="CG103" s="233"/>
      <c r="CH103" s="233"/>
      <c r="CI103" s="233"/>
      <c r="CJ103" s="233"/>
      <c r="CK103" s="233"/>
      <c r="CL103" s="233"/>
      <c r="CM103" s="233"/>
      <c r="CN103" s="233"/>
      <c r="CO103" s="233"/>
      <c r="CP103" s="233"/>
      <c r="CQ103" s="233"/>
      <c r="CR103" s="233"/>
      <c r="CS103" s="233"/>
      <c r="CT103" s="233"/>
      <c r="CU103" s="233"/>
      <c r="CV103" s="233"/>
      <c r="CW103" s="233"/>
      <c r="CX103" s="233"/>
      <c r="CY103" s="233"/>
      <c r="CZ103" s="233"/>
      <c r="DA103" s="233"/>
      <c r="DB103" s="233"/>
      <c r="DC103" s="233"/>
      <c r="DD103" s="233"/>
      <c r="DE103" s="233"/>
      <c r="DF103" s="233"/>
      <c r="DG103" s="233"/>
      <c r="DH103" s="233"/>
      <c r="DI103" s="233"/>
      <c r="DJ103" s="233"/>
      <c r="DK103" s="233"/>
      <c r="DL103" s="233"/>
      <c r="DM103" s="233"/>
      <c r="DN103" s="233"/>
      <c r="DO103" s="233"/>
      <c r="DP103" s="233"/>
      <c r="DQ103" s="233"/>
      <c r="DR103" s="233"/>
      <c r="DS103" s="233"/>
      <c r="DT103" s="233"/>
      <c r="DU103" s="233"/>
      <c r="DV103" s="233"/>
      <c r="DW103" s="233"/>
      <c r="DX103" s="304"/>
      <c r="DY103" s="304"/>
    </row>
    <row r="104" spans="1:129">
      <c r="A104" s="527" t="str">
        <f t="shared" si="54"/>
        <v>Shortfall</v>
      </c>
      <c r="B104" s="682"/>
      <c r="C104" s="682"/>
      <c r="D104" s="528"/>
      <c r="E104" s="528"/>
      <c r="F104" s="528"/>
      <c r="G104" s="233">
        <f t="shared" ref="G104:AL104" ca="1" si="63">-MIN(G97,G101)</f>
        <v>0</v>
      </c>
      <c r="H104" s="233">
        <f t="shared" ca="1" si="63"/>
        <v>0</v>
      </c>
      <c r="I104" s="233">
        <f t="shared" ca="1" si="63"/>
        <v>0</v>
      </c>
      <c r="J104" s="233">
        <f t="shared" ca="1" si="63"/>
        <v>0</v>
      </c>
      <c r="K104" s="233">
        <f t="shared" ca="1" si="63"/>
        <v>0</v>
      </c>
      <c r="L104" s="233">
        <f t="shared" ca="1" si="63"/>
        <v>0</v>
      </c>
      <c r="M104" s="233">
        <f t="shared" ca="1" si="63"/>
        <v>0</v>
      </c>
      <c r="N104" s="233">
        <f t="shared" ca="1" si="63"/>
        <v>0</v>
      </c>
      <c r="O104" s="233">
        <f t="shared" ca="1" si="63"/>
        <v>0</v>
      </c>
      <c r="P104" s="233">
        <f t="shared" ca="1" si="63"/>
        <v>0</v>
      </c>
      <c r="Q104" s="233">
        <f t="shared" ca="1" si="63"/>
        <v>0</v>
      </c>
      <c r="R104" s="233">
        <f t="shared" ca="1" si="63"/>
        <v>0</v>
      </c>
      <c r="S104" s="233">
        <f t="shared" ca="1" si="63"/>
        <v>0</v>
      </c>
      <c r="T104" s="233">
        <f t="shared" ca="1" si="63"/>
        <v>0</v>
      </c>
      <c r="U104" s="233">
        <f t="shared" ca="1" si="63"/>
        <v>0</v>
      </c>
      <c r="V104" s="233">
        <f t="shared" ca="1" si="63"/>
        <v>0</v>
      </c>
      <c r="W104" s="233">
        <f t="shared" ca="1" si="63"/>
        <v>0</v>
      </c>
      <c r="X104" s="233">
        <f t="shared" ca="1" si="63"/>
        <v>0</v>
      </c>
      <c r="Y104" s="233">
        <f t="shared" ca="1" si="63"/>
        <v>0</v>
      </c>
      <c r="Z104" s="233">
        <f t="shared" ca="1" si="63"/>
        <v>0</v>
      </c>
      <c r="AA104" s="233">
        <f t="shared" ca="1" si="63"/>
        <v>0</v>
      </c>
      <c r="AB104" s="233">
        <f t="shared" ca="1" si="63"/>
        <v>0</v>
      </c>
      <c r="AC104" s="233">
        <f t="shared" ca="1" si="63"/>
        <v>0</v>
      </c>
      <c r="AD104" s="233">
        <f t="shared" ca="1" si="63"/>
        <v>0</v>
      </c>
      <c r="AE104" s="233">
        <f t="shared" ca="1" si="63"/>
        <v>0</v>
      </c>
      <c r="AF104" s="233">
        <f t="shared" ca="1" si="63"/>
        <v>0</v>
      </c>
      <c r="AG104" s="233">
        <f t="shared" ca="1" si="63"/>
        <v>0</v>
      </c>
      <c r="AH104" s="233">
        <f t="shared" ca="1" si="63"/>
        <v>0</v>
      </c>
      <c r="AI104" s="233">
        <f t="shared" ca="1" si="63"/>
        <v>0</v>
      </c>
      <c r="AJ104" s="233">
        <f t="shared" ca="1" si="63"/>
        <v>0</v>
      </c>
      <c r="AK104" s="233">
        <f t="shared" ca="1" si="63"/>
        <v>0</v>
      </c>
      <c r="AL104" s="233">
        <f t="shared" ca="1" si="63"/>
        <v>0</v>
      </c>
      <c r="AM104" s="233">
        <f t="shared" ref="AM104:BO104" ca="1" si="64">-MIN(AM97,AM101)</f>
        <v>0</v>
      </c>
      <c r="AN104" s="233">
        <f t="shared" ca="1" si="64"/>
        <v>0</v>
      </c>
      <c r="AO104" s="233">
        <f t="shared" ca="1" si="64"/>
        <v>0</v>
      </c>
      <c r="AP104" s="233">
        <f t="shared" ca="1" si="64"/>
        <v>0</v>
      </c>
      <c r="AQ104" s="233">
        <f t="shared" ca="1" si="64"/>
        <v>0</v>
      </c>
      <c r="AR104" s="233">
        <f t="shared" ca="1" si="64"/>
        <v>0</v>
      </c>
      <c r="AS104" s="233">
        <f t="shared" ca="1" si="64"/>
        <v>0</v>
      </c>
      <c r="AT104" s="233">
        <f t="shared" ca="1" si="64"/>
        <v>0</v>
      </c>
      <c r="AU104" s="233">
        <f t="shared" ca="1" si="64"/>
        <v>0</v>
      </c>
      <c r="AV104" s="233">
        <f t="shared" ca="1" si="64"/>
        <v>0</v>
      </c>
      <c r="AW104" s="233">
        <f t="shared" ca="1" si="64"/>
        <v>0</v>
      </c>
      <c r="AX104" s="233">
        <f t="shared" ca="1" si="64"/>
        <v>0</v>
      </c>
      <c r="AY104" s="233">
        <f t="shared" ca="1" si="64"/>
        <v>0</v>
      </c>
      <c r="AZ104" s="233">
        <f t="shared" ca="1" si="64"/>
        <v>0</v>
      </c>
      <c r="BA104" s="233">
        <f t="shared" ca="1" si="64"/>
        <v>0</v>
      </c>
      <c r="BB104" s="233">
        <f t="shared" ca="1" si="64"/>
        <v>0</v>
      </c>
      <c r="BC104" s="233">
        <f t="shared" ca="1" si="64"/>
        <v>0</v>
      </c>
      <c r="BD104" s="233">
        <f t="shared" ca="1" si="64"/>
        <v>0</v>
      </c>
      <c r="BE104" s="233">
        <f t="shared" ca="1" si="64"/>
        <v>0</v>
      </c>
      <c r="BF104" s="233">
        <f t="shared" ca="1" si="64"/>
        <v>0</v>
      </c>
      <c r="BG104" s="233">
        <f t="shared" ca="1" si="64"/>
        <v>0</v>
      </c>
      <c r="BH104" s="233">
        <f t="shared" ca="1" si="64"/>
        <v>0</v>
      </c>
      <c r="BI104" s="233">
        <f t="shared" ca="1" si="64"/>
        <v>0</v>
      </c>
      <c r="BJ104" s="233">
        <f t="shared" ca="1" si="64"/>
        <v>0</v>
      </c>
      <c r="BK104" s="233">
        <f t="shared" ca="1" si="64"/>
        <v>0</v>
      </c>
      <c r="BL104" s="233">
        <f t="shared" ca="1" si="64"/>
        <v>0</v>
      </c>
      <c r="BM104" s="233">
        <f t="shared" ca="1" si="64"/>
        <v>0</v>
      </c>
      <c r="BN104" s="233">
        <f t="shared" ca="1" si="64"/>
        <v>0</v>
      </c>
      <c r="BO104" s="233">
        <f t="shared" ca="1" si="64"/>
        <v>0</v>
      </c>
      <c r="BP104" s="233"/>
      <c r="BQ104" s="233"/>
      <c r="BR104" s="233"/>
      <c r="BS104" s="233"/>
      <c r="BT104" s="233"/>
      <c r="BU104" s="233"/>
      <c r="BV104" s="233"/>
      <c r="BW104" s="233"/>
      <c r="BX104" s="233"/>
      <c r="BY104" s="233"/>
      <c r="BZ104" s="233"/>
      <c r="CA104" s="233"/>
      <c r="CB104" s="233"/>
      <c r="CC104" s="233"/>
      <c r="CD104" s="233"/>
      <c r="CE104" s="233"/>
      <c r="CF104" s="233"/>
      <c r="CG104" s="233"/>
      <c r="CH104" s="233"/>
      <c r="CI104" s="233"/>
      <c r="CJ104" s="233"/>
      <c r="CK104" s="233"/>
      <c r="CL104" s="233"/>
      <c r="CM104" s="233"/>
      <c r="CN104" s="233"/>
      <c r="CO104" s="233"/>
      <c r="CP104" s="233"/>
      <c r="CQ104" s="233"/>
      <c r="CR104" s="233"/>
      <c r="CS104" s="233"/>
      <c r="CT104" s="233"/>
      <c r="CU104" s="233"/>
      <c r="CV104" s="233"/>
      <c r="CW104" s="233"/>
      <c r="CX104" s="233"/>
      <c r="CY104" s="233"/>
      <c r="CZ104" s="233"/>
      <c r="DA104" s="233"/>
      <c r="DB104" s="233"/>
      <c r="DC104" s="233"/>
      <c r="DD104" s="233"/>
      <c r="DE104" s="233"/>
      <c r="DF104" s="233"/>
      <c r="DG104" s="233"/>
      <c r="DH104" s="233"/>
      <c r="DI104" s="233"/>
      <c r="DJ104" s="233"/>
      <c r="DK104" s="233"/>
      <c r="DL104" s="233"/>
      <c r="DM104" s="233"/>
      <c r="DN104" s="233"/>
      <c r="DO104" s="233"/>
      <c r="DP104" s="233"/>
      <c r="DQ104" s="233"/>
      <c r="DR104" s="233"/>
      <c r="DS104" s="233"/>
      <c r="DT104" s="233"/>
      <c r="DU104" s="233"/>
      <c r="DV104" s="233"/>
      <c r="DW104" s="233"/>
      <c r="DX104" s="304"/>
      <c r="DY104" s="304"/>
    </row>
    <row r="105" spans="1:129">
      <c r="A105" s="529" t="str">
        <f t="shared" si="54"/>
        <v>End</v>
      </c>
      <c r="B105" s="683"/>
      <c r="C105" s="683"/>
      <c r="D105" s="530"/>
      <c r="E105" s="530"/>
      <c r="F105" s="957"/>
      <c r="G105" s="531">
        <f t="shared" ref="G105:AL105" ca="1" si="65">SUM(G101:G104)</f>
        <v>0</v>
      </c>
      <c r="H105" s="531">
        <f t="shared" ca="1" si="65"/>
        <v>0</v>
      </c>
      <c r="I105" s="531">
        <f t="shared" ca="1" si="65"/>
        <v>0</v>
      </c>
      <c r="J105" s="531">
        <f t="shared" ca="1" si="65"/>
        <v>0</v>
      </c>
      <c r="K105" s="531">
        <f t="shared" ca="1" si="65"/>
        <v>0</v>
      </c>
      <c r="L105" s="531">
        <f t="shared" ca="1" si="65"/>
        <v>0</v>
      </c>
      <c r="M105" s="531">
        <f t="shared" ca="1" si="65"/>
        <v>0</v>
      </c>
      <c r="N105" s="531">
        <f t="shared" ca="1" si="65"/>
        <v>0</v>
      </c>
      <c r="O105" s="531">
        <f t="shared" ca="1" si="65"/>
        <v>0</v>
      </c>
      <c r="P105" s="531">
        <f t="shared" ca="1" si="65"/>
        <v>0</v>
      </c>
      <c r="Q105" s="531">
        <f t="shared" ca="1" si="65"/>
        <v>0</v>
      </c>
      <c r="R105" s="531">
        <f t="shared" ca="1" si="65"/>
        <v>0</v>
      </c>
      <c r="S105" s="531">
        <f t="shared" ca="1" si="65"/>
        <v>0</v>
      </c>
      <c r="T105" s="531">
        <f t="shared" ca="1" si="65"/>
        <v>0</v>
      </c>
      <c r="U105" s="531">
        <f t="shared" ca="1" si="65"/>
        <v>0</v>
      </c>
      <c r="V105" s="531">
        <f t="shared" ca="1" si="65"/>
        <v>0</v>
      </c>
      <c r="W105" s="531">
        <f t="shared" ca="1" si="65"/>
        <v>0</v>
      </c>
      <c r="X105" s="531">
        <f t="shared" ca="1" si="65"/>
        <v>0</v>
      </c>
      <c r="Y105" s="531">
        <f t="shared" ca="1" si="65"/>
        <v>0</v>
      </c>
      <c r="Z105" s="531">
        <f t="shared" ca="1" si="65"/>
        <v>0</v>
      </c>
      <c r="AA105" s="531">
        <f t="shared" ca="1" si="65"/>
        <v>0</v>
      </c>
      <c r="AB105" s="531">
        <f t="shared" ca="1" si="65"/>
        <v>0</v>
      </c>
      <c r="AC105" s="531">
        <f t="shared" ca="1" si="65"/>
        <v>0</v>
      </c>
      <c r="AD105" s="531">
        <f t="shared" ca="1" si="65"/>
        <v>0</v>
      </c>
      <c r="AE105" s="531">
        <f t="shared" ca="1" si="65"/>
        <v>0</v>
      </c>
      <c r="AF105" s="531">
        <f t="shared" ca="1" si="65"/>
        <v>0</v>
      </c>
      <c r="AG105" s="531">
        <f t="shared" ca="1" si="65"/>
        <v>0</v>
      </c>
      <c r="AH105" s="531">
        <f t="shared" ca="1" si="65"/>
        <v>0</v>
      </c>
      <c r="AI105" s="531">
        <f t="shared" ca="1" si="65"/>
        <v>0</v>
      </c>
      <c r="AJ105" s="531">
        <f t="shared" ca="1" si="65"/>
        <v>0</v>
      </c>
      <c r="AK105" s="531">
        <f t="shared" ca="1" si="65"/>
        <v>0</v>
      </c>
      <c r="AL105" s="531">
        <f t="shared" ca="1" si="65"/>
        <v>0</v>
      </c>
      <c r="AM105" s="531">
        <f t="shared" ref="AM105:BO105" ca="1" si="66">SUM(AM101:AM104)</f>
        <v>0</v>
      </c>
      <c r="AN105" s="531">
        <f t="shared" ca="1" si="66"/>
        <v>0</v>
      </c>
      <c r="AO105" s="531">
        <f t="shared" ca="1" si="66"/>
        <v>0</v>
      </c>
      <c r="AP105" s="531">
        <f t="shared" ca="1" si="66"/>
        <v>0</v>
      </c>
      <c r="AQ105" s="531">
        <f t="shared" ca="1" si="66"/>
        <v>0</v>
      </c>
      <c r="AR105" s="531">
        <f t="shared" ca="1" si="66"/>
        <v>0</v>
      </c>
      <c r="AS105" s="531">
        <f t="shared" ca="1" si="66"/>
        <v>0</v>
      </c>
      <c r="AT105" s="531">
        <f t="shared" ca="1" si="66"/>
        <v>0</v>
      </c>
      <c r="AU105" s="531">
        <f t="shared" ca="1" si="66"/>
        <v>0</v>
      </c>
      <c r="AV105" s="531">
        <f t="shared" ca="1" si="66"/>
        <v>0</v>
      </c>
      <c r="AW105" s="531">
        <f t="shared" ca="1" si="66"/>
        <v>0</v>
      </c>
      <c r="AX105" s="531">
        <f t="shared" ca="1" si="66"/>
        <v>0</v>
      </c>
      <c r="AY105" s="531">
        <f t="shared" ca="1" si="66"/>
        <v>0</v>
      </c>
      <c r="AZ105" s="531">
        <f t="shared" ca="1" si="66"/>
        <v>0</v>
      </c>
      <c r="BA105" s="531">
        <f t="shared" ca="1" si="66"/>
        <v>0</v>
      </c>
      <c r="BB105" s="531">
        <f t="shared" ca="1" si="66"/>
        <v>0</v>
      </c>
      <c r="BC105" s="531">
        <f t="shared" ca="1" si="66"/>
        <v>0</v>
      </c>
      <c r="BD105" s="531">
        <f t="shared" ca="1" si="66"/>
        <v>0</v>
      </c>
      <c r="BE105" s="531">
        <f t="shared" ca="1" si="66"/>
        <v>0</v>
      </c>
      <c r="BF105" s="531">
        <f t="shared" ca="1" si="66"/>
        <v>0</v>
      </c>
      <c r="BG105" s="531">
        <f t="shared" ca="1" si="66"/>
        <v>0</v>
      </c>
      <c r="BH105" s="531">
        <f t="shared" ca="1" si="66"/>
        <v>0</v>
      </c>
      <c r="BI105" s="531">
        <f t="shared" ca="1" si="66"/>
        <v>0</v>
      </c>
      <c r="BJ105" s="531">
        <f t="shared" ca="1" si="66"/>
        <v>0</v>
      </c>
      <c r="BK105" s="531">
        <f t="shared" ca="1" si="66"/>
        <v>0</v>
      </c>
      <c r="BL105" s="531">
        <f t="shared" ca="1" si="66"/>
        <v>0</v>
      </c>
      <c r="BM105" s="531">
        <f t="shared" ca="1" si="66"/>
        <v>0</v>
      </c>
      <c r="BN105" s="531">
        <f t="shared" ca="1" si="66"/>
        <v>0</v>
      </c>
      <c r="BO105" s="531">
        <f t="shared" ca="1" si="66"/>
        <v>0</v>
      </c>
      <c r="BP105" s="531"/>
      <c r="BQ105" s="531"/>
      <c r="BR105" s="531"/>
      <c r="BS105" s="531"/>
      <c r="BT105" s="531"/>
      <c r="BU105" s="531"/>
      <c r="BV105" s="531"/>
      <c r="BW105" s="531"/>
      <c r="BX105" s="531"/>
      <c r="BY105" s="531"/>
      <c r="BZ105" s="531"/>
      <c r="CA105" s="531"/>
      <c r="CB105" s="531"/>
      <c r="CC105" s="531"/>
      <c r="CD105" s="531"/>
      <c r="CE105" s="531"/>
      <c r="CF105" s="531"/>
      <c r="CG105" s="531"/>
      <c r="CH105" s="531"/>
      <c r="CI105" s="531"/>
      <c r="CJ105" s="531"/>
      <c r="CK105" s="531"/>
      <c r="CL105" s="531"/>
      <c r="CM105" s="531"/>
      <c r="CN105" s="531"/>
      <c r="CO105" s="531"/>
      <c r="CP105" s="531"/>
      <c r="CQ105" s="531"/>
      <c r="CR105" s="531"/>
      <c r="CS105" s="531"/>
      <c r="CT105" s="531"/>
      <c r="CU105" s="531"/>
      <c r="CV105" s="531"/>
      <c r="CW105" s="531"/>
      <c r="CX105" s="531"/>
      <c r="CY105" s="531"/>
      <c r="CZ105" s="531"/>
      <c r="DA105" s="531"/>
      <c r="DB105" s="531"/>
      <c r="DC105" s="531"/>
      <c r="DD105" s="531"/>
      <c r="DE105" s="531"/>
      <c r="DF105" s="531"/>
      <c r="DG105" s="531"/>
      <c r="DH105" s="531"/>
      <c r="DI105" s="531"/>
      <c r="DJ105" s="531"/>
      <c r="DK105" s="531"/>
      <c r="DL105" s="531"/>
      <c r="DM105" s="531"/>
      <c r="DN105" s="531"/>
      <c r="DO105" s="531"/>
      <c r="DP105" s="531"/>
      <c r="DQ105" s="531"/>
      <c r="DR105" s="531"/>
      <c r="DS105" s="531"/>
      <c r="DT105" s="531"/>
      <c r="DU105" s="531"/>
      <c r="DV105" s="531"/>
      <c r="DW105" s="531"/>
      <c r="DX105" s="304"/>
      <c r="DY105" s="304"/>
    </row>
    <row r="106" spans="1:129">
      <c r="A106" s="532" t="str">
        <f>A99</f>
        <v>J-DSRA</v>
      </c>
      <c r="B106" s="673"/>
      <c r="C106" s="673"/>
      <c r="E106" s="396">
        <f ca="1">ABS(SUM(G106:DW106))</f>
        <v>0</v>
      </c>
      <c r="F106" s="934"/>
      <c r="G106" s="994">
        <f t="shared" ref="G106:AL106" ca="1" si="67">-SUM(G102:G104)</f>
        <v>0</v>
      </c>
      <c r="H106" s="994">
        <f t="shared" ca="1" si="67"/>
        <v>0</v>
      </c>
      <c r="I106" s="994">
        <f t="shared" ca="1" si="67"/>
        <v>0</v>
      </c>
      <c r="J106" s="994">
        <f t="shared" ca="1" si="67"/>
        <v>0</v>
      </c>
      <c r="K106" s="994">
        <f t="shared" ca="1" si="67"/>
        <v>0</v>
      </c>
      <c r="L106" s="994">
        <f t="shared" ca="1" si="67"/>
        <v>0</v>
      </c>
      <c r="M106" s="994">
        <f t="shared" ca="1" si="67"/>
        <v>0</v>
      </c>
      <c r="N106" s="994">
        <f t="shared" ca="1" si="67"/>
        <v>0</v>
      </c>
      <c r="O106" s="994">
        <f t="shared" ca="1" si="67"/>
        <v>0</v>
      </c>
      <c r="P106" s="994">
        <f t="shared" ca="1" si="67"/>
        <v>0</v>
      </c>
      <c r="Q106" s="994">
        <f t="shared" ca="1" si="67"/>
        <v>0</v>
      </c>
      <c r="R106" s="994">
        <f t="shared" ca="1" si="67"/>
        <v>0</v>
      </c>
      <c r="S106" s="994">
        <f t="shared" ca="1" si="67"/>
        <v>0</v>
      </c>
      <c r="T106" s="994">
        <f t="shared" ca="1" si="67"/>
        <v>0</v>
      </c>
      <c r="U106" s="994">
        <f t="shared" ca="1" si="67"/>
        <v>0</v>
      </c>
      <c r="V106" s="994">
        <f t="shared" ca="1" si="67"/>
        <v>0</v>
      </c>
      <c r="W106" s="994">
        <f t="shared" ca="1" si="67"/>
        <v>0</v>
      </c>
      <c r="X106" s="994">
        <f t="shared" ca="1" si="67"/>
        <v>0</v>
      </c>
      <c r="Y106" s="994">
        <f t="shared" ca="1" si="67"/>
        <v>0</v>
      </c>
      <c r="Z106" s="994">
        <f t="shared" ca="1" si="67"/>
        <v>0</v>
      </c>
      <c r="AA106" s="994">
        <f t="shared" ca="1" si="67"/>
        <v>0</v>
      </c>
      <c r="AB106" s="994">
        <f t="shared" ca="1" si="67"/>
        <v>0</v>
      </c>
      <c r="AC106" s="994">
        <f t="shared" ca="1" si="67"/>
        <v>0</v>
      </c>
      <c r="AD106" s="994">
        <f t="shared" ca="1" si="67"/>
        <v>0</v>
      </c>
      <c r="AE106" s="994">
        <f t="shared" ca="1" si="67"/>
        <v>0</v>
      </c>
      <c r="AF106" s="994">
        <f t="shared" ca="1" si="67"/>
        <v>0</v>
      </c>
      <c r="AG106" s="994">
        <f t="shared" ca="1" si="67"/>
        <v>0</v>
      </c>
      <c r="AH106" s="994">
        <f t="shared" ca="1" si="67"/>
        <v>0</v>
      </c>
      <c r="AI106" s="994">
        <f t="shared" ca="1" si="67"/>
        <v>0</v>
      </c>
      <c r="AJ106" s="994">
        <f t="shared" ca="1" si="67"/>
        <v>0</v>
      </c>
      <c r="AK106" s="994">
        <f t="shared" ca="1" si="67"/>
        <v>0</v>
      </c>
      <c r="AL106" s="994">
        <f t="shared" ca="1" si="67"/>
        <v>0</v>
      </c>
      <c r="AM106" s="994">
        <f t="shared" ref="AM106:BO106" ca="1" si="68">-SUM(AM102:AM104)</f>
        <v>0</v>
      </c>
      <c r="AN106" s="994">
        <f t="shared" ca="1" si="68"/>
        <v>0</v>
      </c>
      <c r="AO106" s="994">
        <f t="shared" ca="1" si="68"/>
        <v>0</v>
      </c>
      <c r="AP106" s="994">
        <f t="shared" ca="1" si="68"/>
        <v>0</v>
      </c>
      <c r="AQ106" s="994">
        <f t="shared" ca="1" si="68"/>
        <v>0</v>
      </c>
      <c r="AR106" s="994">
        <f t="shared" ca="1" si="68"/>
        <v>0</v>
      </c>
      <c r="AS106" s="994">
        <f t="shared" ca="1" si="68"/>
        <v>0</v>
      </c>
      <c r="AT106" s="994">
        <f t="shared" ca="1" si="68"/>
        <v>0</v>
      </c>
      <c r="AU106" s="994">
        <f t="shared" ca="1" si="68"/>
        <v>0</v>
      </c>
      <c r="AV106" s="994">
        <f t="shared" ca="1" si="68"/>
        <v>0</v>
      </c>
      <c r="AW106" s="994">
        <f t="shared" ca="1" si="68"/>
        <v>0</v>
      </c>
      <c r="AX106" s="994">
        <f t="shared" ca="1" si="68"/>
        <v>0</v>
      </c>
      <c r="AY106" s="994">
        <f t="shared" ca="1" si="68"/>
        <v>0</v>
      </c>
      <c r="AZ106" s="994">
        <f t="shared" ca="1" si="68"/>
        <v>0</v>
      </c>
      <c r="BA106" s="994">
        <f t="shared" ca="1" si="68"/>
        <v>0</v>
      </c>
      <c r="BB106" s="994">
        <f t="shared" ca="1" si="68"/>
        <v>0</v>
      </c>
      <c r="BC106" s="994">
        <f t="shared" ca="1" si="68"/>
        <v>0</v>
      </c>
      <c r="BD106" s="994">
        <f t="shared" ca="1" si="68"/>
        <v>0</v>
      </c>
      <c r="BE106" s="994">
        <f t="shared" ca="1" si="68"/>
        <v>0</v>
      </c>
      <c r="BF106" s="994">
        <f t="shared" ca="1" si="68"/>
        <v>0</v>
      </c>
      <c r="BG106" s="994">
        <f t="shared" ca="1" si="68"/>
        <v>0</v>
      </c>
      <c r="BH106" s="994">
        <f t="shared" ca="1" si="68"/>
        <v>0</v>
      </c>
      <c r="BI106" s="994">
        <f t="shared" ca="1" si="68"/>
        <v>0</v>
      </c>
      <c r="BJ106" s="994">
        <f t="shared" ca="1" si="68"/>
        <v>0</v>
      </c>
      <c r="BK106" s="994">
        <f t="shared" ca="1" si="68"/>
        <v>0</v>
      </c>
      <c r="BL106" s="994">
        <f t="shared" ca="1" si="68"/>
        <v>0</v>
      </c>
      <c r="BM106" s="994">
        <f t="shared" ca="1" si="68"/>
        <v>0</v>
      </c>
      <c r="BN106" s="994">
        <f t="shared" ca="1" si="68"/>
        <v>0</v>
      </c>
      <c r="BO106" s="994">
        <f t="shared" ca="1" si="68"/>
        <v>0</v>
      </c>
      <c r="BP106" s="994"/>
      <c r="BQ106" s="994"/>
      <c r="BR106" s="994"/>
      <c r="BS106" s="994"/>
      <c r="BT106" s="994"/>
      <c r="BU106" s="994"/>
      <c r="BV106" s="994"/>
      <c r="BW106" s="994"/>
      <c r="BX106" s="994"/>
      <c r="BY106" s="994"/>
      <c r="BZ106" s="994"/>
      <c r="CA106" s="994"/>
      <c r="CB106" s="994"/>
      <c r="CC106" s="994"/>
      <c r="CD106" s="994"/>
      <c r="CE106" s="994"/>
      <c r="CF106" s="994"/>
      <c r="CG106" s="994"/>
      <c r="CH106" s="994"/>
      <c r="CI106" s="994"/>
      <c r="CJ106" s="994"/>
      <c r="CK106" s="994"/>
      <c r="CL106" s="994"/>
      <c r="CM106" s="994"/>
      <c r="CN106" s="994"/>
      <c r="CO106" s="994"/>
      <c r="CP106" s="994"/>
      <c r="CQ106" s="994"/>
      <c r="CR106" s="994"/>
      <c r="CS106" s="994"/>
      <c r="CT106" s="994"/>
      <c r="CU106" s="994"/>
      <c r="CV106" s="994"/>
      <c r="CW106" s="994"/>
      <c r="CX106" s="994"/>
      <c r="CY106" s="994"/>
      <c r="CZ106" s="994"/>
      <c r="DA106" s="994"/>
      <c r="DB106" s="994"/>
      <c r="DC106" s="994"/>
      <c r="DD106" s="994"/>
      <c r="DE106" s="994"/>
      <c r="DF106" s="994"/>
      <c r="DG106" s="994"/>
      <c r="DH106" s="994"/>
      <c r="DI106" s="994"/>
      <c r="DJ106" s="994"/>
      <c r="DK106" s="994"/>
      <c r="DL106" s="994"/>
      <c r="DM106" s="994"/>
      <c r="DN106" s="994"/>
      <c r="DO106" s="994"/>
      <c r="DP106" s="994"/>
      <c r="DQ106" s="994"/>
      <c r="DR106" s="994"/>
      <c r="DS106" s="994"/>
      <c r="DT106" s="994"/>
      <c r="DU106" s="994"/>
      <c r="DV106" s="994"/>
      <c r="DW106" s="994"/>
      <c r="DX106" s="304"/>
      <c r="DY106" s="304"/>
    </row>
    <row r="107" spans="1:129">
      <c r="A107" s="532"/>
      <c r="B107" s="684"/>
      <c r="C107" s="684"/>
      <c r="D107" s="396"/>
      <c r="E107" s="396"/>
      <c r="F107" s="934"/>
      <c r="G107" s="526"/>
      <c r="H107" s="526"/>
      <c r="I107" s="526"/>
      <c r="J107" s="526"/>
      <c r="K107" s="526"/>
      <c r="L107" s="526"/>
      <c r="M107" s="526"/>
      <c r="N107" s="526"/>
      <c r="O107" s="526"/>
      <c r="P107" s="526"/>
      <c r="Q107" s="526"/>
      <c r="R107" s="526"/>
      <c r="S107" s="526"/>
      <c r="T107" s="526"/>
      <c r="U107" s="526"/>
      <c r="V107" s="526"/>
      <c r="W107" s="526"/>
      <c r="X107" s="526"/>
      <c r="Y107" s="526"/>
      <c r="Z107" s="526"/>
      <c r="AA107" s="526"/>
      <c r="AB107" s="526"/>
      <c r="AC107" s="526"/>
      <c r="AD107" s="526"/>
      <c r="AE107" s="526"/>
      <c r="AF107" s="526"/>
      <c r="AG107" s="526"/>
      <c r="AH107" s="526"/>
      <c r="AI107" s="526"/>
      <c r="AJ107" s="526"/>
      <c r="AK107" s="526"/>
      <c r="AL107" s="526"/>
      <c r="AM107" s="526"/>
      <c r="AN107" s="526"/>
      <c r="AO107" s="526"/>
      <c r="AP107" s="526"/>
      <c r="AQ107" s="526"/>
      <c r="AR107" s="526"/>
      <c r="AS107" s="526"/>
      <c r="AT107" s="526"/>
      <c r="AU107" s="526"/>
      <c r="AV107" s="526"/>
      <c r="AW107" s="526"/>
      <c r="AX107" s="526"/>
      <c r="AY107" s="526"/>
      <c r="AZ107" s="526"/>
      <c r="BA107" s="526"/>
      <c r="BB107" s="526"/>
      <c r="BC107" s="526"/>
      <c r="BD107" s="526"/>
      <c r="BE107" s="526"/>
      <c r="BF107" s="526"/>
      <c r="BG107" s="526"/>
      <c r="BH107" s="526"/>
      <c r="BI107" s="526"/>
      <c r="BJ107" s="526"/>
      <c r="BK107" s="526"/>
      <c r="BL107" s="526"/>
      <c r="BM107" s="526"/>
      <c r="BN107" s="526"/>
      <c r="BO107" s="526"/>
      <c r="BP107" s="526"/>
      <c r="BQ107" s="526"/>
      <c r="BR107" s="526"/>
      <c r="BS107" s="526"/>
      <c r="BT107" s="526"/>
      <c r="BU107" s="526"/>
      <c r="BV107" s="526"/>
      <c r="BW107" s="526"/>
      <c r="BX107" s="526"/>
      <c r="BY107" s="526"/>
      <c r="BZ107" s="526"/>
      <c r="CA107" s="526"/>
      <c r="CB107" s="526"/>
      <c r="CC107" s="526"/>
      <c r="CD107" s="526"/>
      <c r="CE107" s="526"/>
      <c r="CF107" s="526"/>
      <c r="CG107" s="526"/>
      <c r="CH107" s="526"/>
      <c r="CI107" s="526"/>
      <c r="CJ107" s="526"/>
      <c r="CK107" s="526"/>
      <c r="CL107" s="526"/>
      <c r="CM107" s="526"/>
      <c r="CN107" s="526"/>
      <c r="CO107" s="526"/>
      <c r="CP107" s="526"/>
      <c r="CQ107" s="526"/>
      <c r="CR107" s="526"/>
      <c r="CS107" s="526"/>
      <c r="CT107" s="526"/>
      <c r="CU107" s="526"/>
      <c r="CV107" s="526"/>
      <c r="CW107" s="526"/>
      <c r="CX107" s="526"/>
      <c r="CY107" s="526"/>
      <c r="CZ107" s="526"/>
      <c r="DA107" s="526"/>
      <c r="DB107" s="526"/>
      <c r="DC107" s="526"/>
      <c r="DD107" s="526"/>
      <c r="DE107" s="526"/>
      <c r="DF107" s="526"/>
      <c r="DG107" s="526"/>
      <c r="DH107" s="526"/>
      <c r="DI107" s="526"/>
      <c r="DJ107" s="526"/>
      <c r="DK107" s="526"/>
      <c r="DL107" s="526"/>
      <c r="DM107" s="526"/>
      <c r="DN107" s="526"/>
      <c r="DO107" s="526"/>
      <c r="DP107" s="526"/>
      <c r="DQ107" s="526"/>
      <c r="DR107" s="526"/>
      <c r="DS107" s="526"/>
      <c r="DT107" s="526"/>
      <c r="DU107" s="526"/>
      <c r="DV107" s="526"/>
      <c r="DW107" s="526"/>
      <c r="DX107" s="304"/>
      <c r="DY107" s="304"/>
    </row>
    <row r="108" spans="1:129">
      <c r="A108" s="861" t="s">
        <v>1157</v>
      </c>
      <c r="B108" s="862"/>
      <c r="C108" s="862"/>
      <c r="D108" s="864"/>
      <c r="E108" s="944">
        <f ca="1">ABS(SUMIF(G108:DW108,"&lt;"&amp;-1*precision))</f>
        <v>0</v>
      </c>
      <c r="F108" s="863"/>
      <c r="G108" s="458">
        <f t="shared" ref="G108:AL108" ca="1" si="69">SUM(G94,G95,G106)+F110</f>
        <v>0</v>
      </c>
      <c r="H108" s="458">
        <f t="shared" ca="1" si="69"/>
        <v>335.87001192815342</v>
      </c>
      <c r="I108" s="458">
        <f t="shared" ca="1" si="69"/>
        <v>330.39387042932458</v>
      </c>
      <c r="J108" s="458">
        <f t="shared" ca="1" si="69"/>
        <v>336.07875278384927</v>
      </c>
      <c r="K108" s="458">
        <f t="shared" ca="1" si="69"/>
        <v>340.5415560447218</v>
      </c>
      <c r="L108" s="458">
        <f t="shared" ca="1" si="69"/>
        <v>344.05441161728459</v>
      </c>
      <c r="M108" s="458">
        <f t="shared" ca="1" si="69"/>
        <v>345.51102678698453</v>
      </c>
      <c r="N108" s="458">
        <f t="shared" ca="1" si="69"/>
        <v>349.23262841929591</v>
      </c>
      <c r="O108" s="458">
        <f t="shared" ca="1" si="69"/>
        <v>347.80912291148707</v>
      </c>
      <c r="P108" s="458">
        <f t="shared" ca="1" si="69"/>
        <v>354.48829899669317</v>
      </c>
      <c r="Q108" s="458">
        <f t="shared" ca="1" si="69"/>
        <v>350.09626175264157</v>
      </c>
      <c r="R108" s="458">
        <f t="shared" ca="1" si="69"/>
        <v>358.83941444214724</v>
      </c>
      <c r="S108" s="458">
        <f t="shared" ca="1" si="69"/>
        <v>353.38594088006357</v>
      </c>
      <c r="T108" s="458">
        <f t="shared" ca="1" si="69"/>
        <v>365.23646797405399</v>
      </c>
      <c r="U108" s="458">
        <f t="shared" ca="1" si="69"/>
        <v>354.44024353998338</v>
      </c>
      <c r="V108" s="458">
        <f t="shared" ca="1" si="69"/>
        <v>370.73123830074883</v>
      </c>
      <c r="W108" s="458">
        <f t="shared" ca="1" si="69"/>
        <v>356.43397409897443</v>
      </c>
      <c r="X108" s="458">
        <f t="shared" ca="1" si="69"/>
        <v>376.30800665500556</v>
      </c>
      <c r="Y108" s="458">
        <f t="shared" ca="1" si="69"/>
        <v>358.28810723061906</v>
      </c>
      <c r="Z108" s="458">
        <f t="shared" ca="1" si="69"/>
        <v>380.92432030492228</v>
      </c>
      <c r="AA108" s="458">
        <f t="shared" ca="1" si="69"/>
        <v>361.09801681461613</v>
      </c>
      <c r="AB108" s="458">
        <f t="shared" ca="1" si="69"/>
        <v>362.21186155878786</v>
      </c>
      <c r="AC108" s="458">
        <f t="shared" ca="1" si="69"/>
        <v>341.58145701415651</v>
      </c>
      <c r="AD108" s="458">
        <f t="shared" ca="1" si="69"/>
        <v>368.04174225437328</v>
      </c>
      <c r="AE108" s="458">
        <f t="shared" ca="1" si="69"/>
        <v>343.19847993447775</v>
      </c>
      <c r="AF108" s="458">
        <f t="shared" ca="1" si="69"/>
        <v>1303.7935979215406</v>
      </c>
      <c r="AG108" s="458">
        <f t="shared" ca="1" si="69"/>
        <v>1136.394477560847</v>
      </c>
      <c r="AH108" s="458">
        <f t="shared" ca="1" si="69"/>
        <v>1325.9887014375968</v>
      </c>
      <c r="AI108" s="458">
        <f t="shared" ca="1" si="69"/>
        <v>1160.4040485564847</v>
      </c>
      <c r="AJ108" s="458">
        <f t="shared" ca="1" si="69"/>
        <v>2994.5482101550338</v>
      </c>
      <c r="AK108" s="458">
        <f t="shared" ca="1" si="69"/>
        <v>2545.4162284351887</v>
      </c>
      <c r="AL108" s="458">
        <f t="shared" ca="1" si="69"/>
        <v>2866.7009595780269</v>
      </c>
      <c r="AM108" s="458">
        <f t="shared" ref="AM108:BO108" ca="1" si="70">SUM(AM94,AM95,AM106)+AL110</f>
        <v>2608.3700359429458</v>
      </c>
      <c r="AN108" s="458">
        <f t="shared" ca="1" si="70"/>
        <v>2922.8141129823598</v>
      </c>
      <c r="AO108" s="458">
        <f t="shared" ca="1" si="70"/>
        <v>2652.4553454942106</v>
      </c>
      <c r="AP108" s="458">
        <f t="shared" ca="1" si="70"/>
        <v>2970.2515213558436</v>
      </c>
      <c r="AQ108" s="458">
        <f t="shared" ca="1" si="70"/>
        <v>2703.7003380574424</v>
      </c>
      <c r="AR108" s="458">
        <f t="shared" ca="1" si="70"/>
        <v>3032.5617059389888</v>
      </c>
      <c r="AS108" s="458">
        <f t="shared" ca="1" si="70"/>
        <v>2738.6607711913121</v>
      </c>
      <c r="AT108" s="458">
        <f t="shared" ca="1" si="70"/>
        <v>3087.0294677969923</v>
      </c>
      <c r="AU108" s="458">
        <f t="shared" ca="1" si="70"/>
        <v>2781.4499186605049</v>
      </c>
      <c r="AV108" s="458">
        <f t="shared" ca="1" si="70"/>
        <v>3143.7134037943556</v>
      </c>
      <c r="AW108" s="458">
        <f t="shared" ca="1" si="70"/>
        <v>2566.5444246410993</v>
      </c>
      <c r="AX108" s="458">
        <f t="shared" ca="1" si="70"/>
        <v>3212.641439658667</v>
      </c>
      <c r="AY108" s="458">
        <f t="shared" ca="1" si="70"/>
        <v>2614.9784998685413</v>
      </c>
      <c r="AZ108" s="458">
        <f t="shared" ca="1" si="70"/>
        <v>3274.1680082495322</v>
      </c>
      <c r="BA108" s="458">
        <f t="shared" ca="1" si="70"/>
        <v>2646.5575378998938</v>
      </c>
      <c r="BB108" s="458">
        <f t="shared" ca="1" si="70"/>
        <v>3325.3898767289238</v>
      </c>
      <c r="BC108" s="458">
        <f t="shared" ca="1" si="70"/>
        <v>2709.9545717793458</v>
      </c>
      <c r="BD108" s="458">
        <f t="shared" ca="1" si="70"/>
        <v>3402.0908817008876</v>
      </c>
      <c r="BE108" s="458">
        <f t="shared" ca="1" si="70"/>
        <v>2747.0462943434081</v>
      </c>
      <c r="BF108" s="458">
        <f t="shared" ca="1" si="70"/>
        <v>3442.6250710426143</v>
      </c>
      <c r="BG108" s="458">
        <f t="shared" ca="1" si="70"/>
        <v>2782.6309188652426</v>
      </c>
      <c r="BH108" s="458">
        <f t="shared" ca="1" si="70"/>
        <v>3486.5071580853587</v>
      </c>
      <c r="BI108" s="458">
        <f t="shared" ca="1" si="70"/>
        <v>2797.7893042305323</v>
      </c>
      <c r="BJ108" s="458">
        <f t="shared" ca="1" si="70"/>
        <v>3517.833692193351</v>
      </c>
      <c r="BK108" s="458">
        <f t="shared" ca="1" si="70"/>
        <v>2800.2482793777217</v>
      </c>
      <c r="BL108" s="458">
        <f t="shared" ca="1" si="70"/>
        <v>3523.7089432490652</v>
      </c>
      <c r="BM108" s="458">
        <f t="shared" ca="1" si="70"/>
        <v>2824.314151323942</v>
      </c>
      <c r="BN108" s="458">
        <f t="shared" ca="1" si="70"/>
        <v>3541.3183097872079</v>
      </c>
      <c r="BO108" s="458">
        <f t="shared" ca="1" si="70"/>
        <v>2855.1297741326198</v>
      </c>
      <c r="BP108" s="458"/>
      <c r="BQ108" s="458"/>
      <c r="BR108" s="458"/>
      <c r="BS108" s="458"/>
      <c r="BT108" s="458"/>
      <c r="BU108" s="458"/>
      <c r="BV108" s="458"/>
      <c r="BW108" s="458"/>
      <c r="BX108" s="458"/>
      <c r="BY108" s="458"/>
      <c r="BZ108" s="458"/>
      <c r="CA108" s="458"/>
      <c r="CB108" s="458"/>
      <c r="CC108" s="458"/>
      <c r="CD108" s="458"/>
      <c r="CE108" s="458"/>
      <c r="CF108" s="458"/>
      <c r="CG108" s="458"/>
      <c r="CH108" s="458"/>
      <c r="CI108" s="458"/>
      <c r="CJ108" s="458"/>
      <c r="CK108" s="458"/>
      <c r="CL108" s="458"/>
      <c r="CM108" s="458"/>
      <c r="CN108" s="458"/>
      <c r="CO108" s="458"/>
      <c r="CP108" s="458"/>
      <c r="CQ108" s="458"/>
      <c r="CR108" s="458"/>
      <c r="CS108" s="458"/>
      <c r="CT108" s="458"/>
      <c r="CU108" s="458"/>
      <c r="CV108" s="458"/>
      <c r="CW108" s="458"/>
      <c r="CX108" s="458"/>
      <c r="CY108" s="458"/>
      <c r="CZ108" s="458"/>
      <c r="DA108" s="458"/>
      <c r="DB108" s="458"/>
      <c r="DC108" s="458"/>
      <c r="DD108" s="458"/>
      <c r="DE108" s="458"/>
      <c r="DF108" s="458"/>
      <c r="DG108" s="458"/>
      <c r="DH108" s="458"/>
      <c r="DI108" s="458"/>
      <c r="DJ108" s="458"/>
      <c r="DK108" s="458"/>
      <c r="DL108" s="458"/>
      <c r="DM108" s="458"/>
      <c r="DN108" s="458"/>
      <c r="DO108" s="458"/>
      <c r="DP108" s="458"/>
      <c r="DQ108" s="458"/>
      <c r="DR108" s="458"/>
      <c r="DS108" s="458"/>
      <c r="DT108" s="458"/>
      <c r="DU108" s="458"/>
      <c r="DV108" s="458"/>
      <c r="DW108" s="458"/>
      <c r="DX108" s="304"/>
      <c r="DY108" s="304"/>
    </row>
    <row r="109" spans="1:129">
      <c r="A109" s="515" t="s">
        <v>1158</v>
      </c>
      <c r="B109" s="1053">
        <f>Inputs!$D$223</f>
        <v>1.1000000000000001</v>
      </c>
      <c r="C109" s="1053"/>
      <c r="D109" s="514"/>
      <c r="E109" s="514"/>
      <c r="F109" s="616"/>
      <c r="G109" s="233">
        <f t="shared" ref="G109:AL109" ca="1" si="71">IF(AND(OR(G$138&lt;$B$109,G$4=0,G108&lt;0,G91&lt;G86,G105&lt;G100),G$4&lt;=$B$11),0,G108)</f>
        <v>0</v>
      </c>
      <c r="H109" s="233">
        <f t="shared" ca="1" si="71"/>
        <v>335.87001192815342</v>
      </c>
      <c r="I109" s="233">
        <f t="shared" ca="1" si="71"/>
        <v>330.39387042932458</v>
      </c>
      <c r="J109" s="233">
        <f t="shared" ca="1" si="71"/>
        <v>336.07875278384927</v>
      </c>
      <c r="K109" s="233">
        <f t="shared" ca="1" si="71"/>
        <v>340.5415560447218</v>
      </c>
      <c r="L109" s="233">
        <f t="shared" ca="1" si="71"/>
        <v>344.05441161728459</v>
      </c>
      <c r="M109" s="233">
        <f t="shared" ca="1" si="71"/>
        <v>345.51102678698453</v>
      </c>
      <c r="N109" s="233">
        <f t="shared" ca="1" si="71"/>
        <v>349.23262841929591</v>
      </c>
      <c r="O109" s="233">
        <f t="shared" ca="1" si="71"/>
        <v>347.80912291148707</v>
      </c>
      <c r="P109" s="233">
        <f t="shared" ca="1" si="71"/>
        <v>354.48829899669317</v>
      </c>
      <c r="Q109" s="233">
        <f t="shared" ca="1" si="71"/>
        <v>350.09626175264157</v>
      </c>
      <c r="R109" s="233">
        <f t="shared" ca="1" si="71"/>
        <v>358.83941444214724</v>
      </c>
      <c r="S109" s="233">
        <f t="shared" ca="1" si="71"/>
        <v>353.38594088006357</v>
      </c>
      <c r="T109" s="233">
        <f t="shared" ca="1" si="71"/>
        <v>365.23646797405399</v>
      </c>
      <c r="U109" s="233">
        <f t="shared" ca="1" si="71"/>
        <v>354.44024353998338</v>
      </c>
      <c r="V109" s="233">
        <f t="shared" ca="1" si="71"/>
        <v>370.73123830074883</v>
      </c>
      <c r="W109" s="233">
        <f t="shared" ca="1" si="71"/>
        <v>356.43397409897443</v>
      </c>
      <c r="X109" s="233">
        <f t="shared" ca="1" si="71"/>
        <v>376.30800665500556</v>
      </c>
      <c r="Y109" s="233">
        <f t="shared" ca="1" si="71"/>
        <v>358.28810723061906</v>
      </c>
      <c r="Z109" s="233">
        <f t="shared" ca="1" si="71"/>
        <v>380.92432030492228</v>
      </c>
      <c r="AA109" s="233">
        <f t="shared" ca="1" si="71"/>
        <v>361.09801681461613</v>
      </c>
      <c r="AB109" s="233">
        <f t="shared" ca="1" si="71"/>
        <v>362.21186155878786</v>
      </c>
      <c r="AC109" s="233">
        <f t="shared" ca="1" si="71"/>
        <v>341.58145701415651</v>
      </c>
      <c r="AD109" s="233">
        <f t="shared" ca="1" si="71"/>
        <v>368.04174225437328</v>
      </c>
      <c r="AE109" s="233">
        <f t="shared" ca="1" si="71"/>
        <v>343.19847993447775</v>
      </c>
      <c r="AF109" s="233">
        <f t="shared" ca="1" si="71"/>
        <v>1303.7935979215406</v>
      </c>
      <c r="AG109" s="233">
        <f t="shared" ca="1" si="71"/>
        <v>1136.394477560847</v>
      </c>
      <c r="AH109" s="233">
        <f t="shared" ca="1" si="71"/>
        <v>1325.9887014375968</v>
      </c>
      <c r="AI109" s="233">
        <f t="shared" ca="1" si="71"/>
        <v>1160.4040485564847</v>
      </c>
      <c r="AJ109" s="233">
        <f t="shared" ca="1" si="71"/>
        <v>2994.5482101550338</v>
      </c>
      <c r="AK109" s="233">
        <f t="shared" ca="1" si="71"/>
        <v>2545.4162284351887</v>
      </c>
      <c r="AL109" s="233">
        <f t="shared" ca="1" si="71"/>
        <v>2866.7009595780269</v>
      </c>
      <c r="AM109" s="233">
        <f t="shared" ref="AM109:BO109" ca="1" si="72">IF(AND(OR(AM$138&lt;$B$109,AM$4=0,AM108&lt;0,AM91&lt;AM86,AM105&lt;AM100),AM$4&lt;=$B$11),0,AM108)</f>
        <v>2608.3700359429458</v>
      </c>
      <c r="AN109" s="233">
        <f t="shared" ca="1" si="72"/>
        <v>2922.8141129823598</v>
      </c>
      <c r="AO109" s="233">
        <f t="shared" ca="1" si="72"/>
        <v>2652.4553454942106</v>
      </c>
      <c r="AP109" s="233">
        <f t="shared" ca="1" si="72"/>
        <v>2970.2515213558436</v>
      </c>
      <c r="AQ109" s="233">
        <f t="shared" ca="1" si="72"/>
        <v>2703.7003380574424</v>
      </c>
      <c r="AR109" s="233">
        <f t="shared" ca="1" si="72"/>
        <v>3032.5617059389888</v>
      </c>
      <c r="AS109" s="233">
        <f t="shared" ca="1" si="72"/>
        <v>2738.6607711913121</v>
      </c>
      <c r="AT109" s="233">
        <f t="shared" ca="1" si="72"/>
        <v>3087.0294677969923</v>
      </c>
      <c r="AU109" s="233">
        <f t="shared" ca="1" si="72"/>
        <v>2781.4499186605049</v>
      </c>
      <c r="AV109" s="233">
        <f t="shared" ca="1" si="72"/>
        <v>3143.7134037943556</v>
      </c>
      <c r="AW109" s="233">
        <f t="shared" ca="1" si="72"/>
        <v>2566.5444246410993</v>
      </c>
      <c r="AX109" s="233">
        <f t="shared" ca="1" si="72"/>
        <v>3212.641439658667</v>
      </c>
      <c r="AY109" s="233">
        <f t="shared" ca="1" si="72"/>
        <v>2614.9784998685413</v>
      </c>
      <c r="AZ109" s="233">
        <f t="shared" ca="1" si="72"/>
        <v>3274.1680082495322</v>
      </c>
      <c r="BA109" s="233">
        <f t="shared" ca="1" si="72"/>
        <v>2646.5575378998938</v>
      </c>
      <c r="BB109" s="233">
        <f t="shared" ca="1" si="72"/>
        <v>3325.3898767289238</v>
      </c>
      <c r="BC109" s="233">
        <f t="shared" ca="1" si="72"/>
        <v>2709.9545717793458</v>
      </c>
      <c r="BD109" s="233">
        <f t="shared" ca="1" si="72"/>
        <v>3402.0908817008876</v>
      </c>
      <c r="BE109" s="233">
        <f t="shared" ca="1" si="72"/>
        <v>2747.0462943434081</v>
      </c>
      <c r="BF109" s="233">
        <f t="shared" ca="1" si="72"/>
        <v>3442.6250710426143</v>
      </c>
      <c r="BG109" s="233">
        <f t="shared" ca="1" si="72"/>
        <v>2782.6309188652426</v>
      </c>
      <c r="BH109" s="233">
        <f t="shared" ca="1" si="72"/>
        <v>3486.5071580853587</v>
      </c>
      <c r="BI109" s="233">
        <f t="shared" ca="1" si="72"/>
        <v>2797.7893042305323</v>
      </c>
      <c r="BJ109" s="233">
        <f t="shared" ca="1" si="72"/>
        <v>3517.833692193351</v>
      </c>
      <c r="BK109" s="233">
        <f t="shared" ca="1" si="72"/>
        <v>2800.2482793777217</v>
      </c>
      <c r="BL109" s="233">
        <f t="shared" ca="1" si="72"/>
        <v>3523.7089432490652</v>
      </c>
      <c r="BM109" s="233">
        <f t="shared" ca="1" si="72"/>
        <v>2824.314151323942</v>
      </c>
      <c r="BN109" s="233">
        <f t="shared" ca="1" si="72"/>
        <v>3541.3183097872079</v>
      </c>
      <c r="BO109" s="233">
        <f t="shared" ca="1" si="72"/>
        <v>2855.1297741326198</v>
      </c>
      <c r="BP109" s="233"/>
      <c r="BQ109" s="233"/>
      <c r="BR109" s="233"/>
      <c r="BS109" s="233"/>
      <c r="BT109" s="233"/>
      <c r="BU109" s="233"/>
      <c r="BV109" s="233"/>
      <c r="BW109" s="233"/>
      <c r="BX109" s="233"/>
      <c r="BY109" s="233"/>
      <c r="BZ109" s="233"/>
      <c r="CA109" s="233"/>
      <c r="CB109" s="233"/>
      <c r="CC109" s="233"/>
      <c r="CD109" s="233"/>
      <c r="CE109" s="233"/>
      <c r="CF109" s="233"/>
      <c r="CG109" s="233"/>
      <c r="CH109" s="233"/>
      <c r="CI109" s="233"/>
      <c r="CJ109" s="233"/>
      <c r="CK109" s="233"/>
      <c r="CL109" s="233"/>
      <c r="CM109" s="233"/>
      <c r="CN109" s="233"/>
      <c r="CO109" s="233"/>
      <c r="CP109" s="233"/>
      <c r="CQ109" s="233"/>
      <c r="CR109" s="233"/>
      <c r="CS109" s="233"/>
      <c r="CT109" s="233"/>
      <c r="CU109" s="233"/>
      <c r="CV109" s="233"/>
      <c r="CW109" s="233"/>
      <c r="CX109" s="233"/>
      <c r="CY109" s="233"/>
      <c r="CZ109" s="233"/>
      <c r="DA109" s="233"/>
      <c r="DB109" s="233"/>
      <c r="DC109" s="233"/>
      <c r="DD109" s="233"/>
      <c r="DE109" s="233"/>
      <c r="DF109" s="233"/>
      <c r="DG109" s="233"/>
      <c r="DH109" s="233"/>
      <c r="DI109" s="233"/>
      <c r="DJ109" s="233"/>
      <c r="DK109" s="233"/>
      <c r="DL109" s="233"/>
      <c r="DM109" s="233"/>
      <c r="DN109" s="233"/>
      <c r="DO109" s="233"/>
      <c r="DP109" s="233"/>
      <c r="DQ109" s="233"/>
      <c r="DR109" s="233"/>
      <c r="DS109" s="233"/>
      <c r="DT109" s="233"/>
      <c r="DU109" s="233"/>
      <c r="DV109" s="233"/>
      <c r="DW109" s="233"/>
      <c r="DX109" s="304"/>
      <c r="DY109" s="304"/>
    </row>
    <row r="110" spans="1:129">
      <c r="A110" s="515" t="s">
        <v>1159</v>
      </c>
      <c r="B110" s="678"/>
      <c r="C110" s="678"/>
      <c r="D110" s="514"/>
      <c r="E110" s="514"/>
      <c r="F110" s="303"/>
      <c r="G110" s="233">
        <f t="shared" ref="G110:AL110" ca="1" si="73">G108-G109</f>
        <v>0</v>
      </c>
      <c r="H110" s="233">
        <f t="shared" ca="1" si="73"/>
        <v>0</v>
      </c>
      <c r="I110" s="233">
        <f t="shared" ca="1" si="73"/>
        <v>0</v>
      </c>
      <c r="J110" s="233">
        <f t="shared" ca="1" si="73"/>
        <v>0</v>
      </c>
      <c r="K110" s="233">
        <f t="shared" ca="1" si="73"/>
        <v>0</v>
      </c>
      <c r="L110" s="233">
        <f t="shared" ca="1" si="73"/>
        <v>0</v>
      </c>
      <c r="M110" s="233">
        <f t="shared" ca="1" si="73"/>
        <v>0</v>
      </c>
      <c r="N110" s="233">
        <f t="shared" ca="1" si="73"/>
        <v>0</v>
      </c>
      <c r="O110" s="233">
        <f t="shared" ca="1" si="73"/>
        <v>0</v>
      </c>
      <c r="P110" s="233">
        <f t="shared" ca="1" si="73"/>
        <v>0</v>
      </c>
      <c r="Q110" s="233">
        <f t="shared" ca="1" si="73"/>
        <v>0</v>
      </c>
      <c r="R110" s="233">
        <f t="shared" ca="1" si="73"/>
        <v>0</v>
      </c>
      <c r="S110" s="233">
        <f t="shared" ca="1" si="73"/>
        <v>0</v>
      </c>
      <c r="T110" s="233">
        <f t="shared" ca="1" si="73"/>
        <v>0</v>
      </c>
      <c r="U110" s="233">
        <f t="shared" ca="1" si="73"/>
        <v>0</v>
      </c>
      <c r="V110" s="233">
        <f t="shared" ca="1" si="73"/>
        <v>0</v>
      </c>
      <c r="W110" s="233">
        <f t="shared" ca="1" si="73"/>
        <v>0</v>
      </c>
      <c r="X110" s="233">
        <f t="shared" ca="1" si="73"/>
        <v>0</v>
      </c>
      <c r="Y110" s="233">
        <f t="shared" ca="1" si="73"/>
        <v>0</v>
      </c>
      <c r="Z110" s="233">
        <f t="shared" ca="1" si="73"/>
        <v>0</v>
      </c>
      <c r="AA110" s="233">
        <f t="shared" ca="1" si="73"/>
        <v>0</v>
      </c>
      <c r="AB110" s="233">
        <f t="shared" ca="1" si="73"/>
        <v>0</v>
      </c>
      <c r="AC110" s="233">
        <f t="shared" ca="1" si="73"/>
        <v>0</v>
      </c>
      <c r="AD110" s="233">
        <f t="shared" ca="1" si="73"/>
        <v>0</v>
      </c>
      <c r="AE110" s="233">
        <f t="shared" ca="1" si="73"/>
        <v>0</v>
      </c>
      <c r="AF110" s="233">
        <f t="shared" ca="1" si="73"/>
        <v>0</v>
      </c>
      <c r="AG110" s="233">
        <f t="shared" ca="1" si="73"/>
        <v>0</v>
      </c>
      <c r="AH110" s="233">
        <f t="shared" ca="1" si="73"/>
        <v>0</v>
      </c>
      <c r="AI110" s="233">
        <f t="shared" ca="1" si="73"/>
        <v>0</v>
      </c>
      <c r="AJ110" s="233">
        <f t="shared" ca="1" si="73"/>
        <v>0</v>
      </c>
      <c r="AK110" s="233">
        <f t="shared" ca="1" si="73"/>
        <v>0</v>
      </c>
      <c r="AL110" s="233">
        <f t="shared" ca="1" si="73"/>
        <v>0</v>
      </c>
      <c r="AM110" s="233">
        <f t="shared" ref="AM110:BO110" ca="1" si="74">AM108-AM109</f>
        <v>0</v>
      </c>
      <c r="AN110" s="233">
        <f t="shared" ca="1" si="74"/>
        <v>0</v>
      </c>
      <c r="AO110" s="233">
        <f t="shared" ca="1" si="74"/>
        <v>0</v>
      </c>
      <c r="AP110" s="233">
        <f t="shared" ca="1" si="74"/>
        <v>0</v>
      </c>
      <c r="AQ110" s="233">
        <f t="shared" ca="1" si="74"/>
        <v>0</v>
      </c>
      <c r="AR110" s="233">
        <f t="shared" ca="1" si="74"/>
        <v>0</v>
      </c>
      <c r="AS110" s="233">
        <f t="shared" ca="1" si="74"/>
        <v>0</v>
      </c>
      <c r="AT110" s="233">
        <f t="shared" ca="1" si="74"/>
        <v>0</v>
      </c>
      <c r="AU110" s="233">
        <f t="shared" ca="1" si="74"/>
        <v>0</v>
      </c>
      <c r="AV110" s="233">
        <f t="shared" ca="1" si="74"/>
        <v>0</v>
      </c>
      <c r="AW110" s="233">
        <f t="shared" ca="1" si="74"/>
        <v>0</v>
      </c>
      <c r="AX110" s="233">
        <f t="shared" ca="1" si="74"/>
        <v>0</v>
      </c>
      <c r="AY110" s="233">
        <f t="shared" ca="1" si="74"/>
        <v>0</v>
      </c>
      <c r="AZ110" s="233">
        <f t="shared" ca="1" si="74"/>
        <v>0</v>
      </c>
      <c r="BA110" s="233">
        <f t="shared" ca="1" si="74"/>
        <v>0</v>
      </c>
      <c r="BB110" s="233">
        <f t="shared" ca="1" si="74"/>
        <v>0</v>
      </c>
      <c r="BC110" s="233">
        <f t="shared" ca="1" si="74"/>
        <v>0</v>
      </c>
      <c r="BD110" s="233">
        <f t="shared" ca="1" si="74"/>
        <v>0</v>
      </c>
      <c r="BE110" s="233">
        <f t="shared" ca="1" si="74"/>
        <v>0</v>
      </c>
      <c r="BF110" s="233">
        <f t="shared" ca="1" si="74"/>
        <v>0</v>
      </c>
      <c r="BG110" s="233">
        <f t="shared" ca="1" si="74"/>
        <v>0</v>
      </c>
      <c r="BH110" s="233">
        <f t="shared" ca="1" si="74"/>
        <v>0</v>
      </c>
      <c r="BI110" s="233">
        <f t="shared" ca="1" si="74"/>
        <v>0</v>
      </c>
      <c r="BJ110" s="233">
        <f t="shared" ca="1" si="74"/>
        <v>0</v>
      </c>
      <c r="BK110" s="233">
        <f t="shared" ca="1" si="74"/>
        <v>0</v>
      </c>
      <c r="BL110" s="233">
        <f t="shared" ca="1" si="74"/>
        <v>0</v>
      </c>
      <c r="BM110" s="233">
        <f t="shared" ca="1" si="74"/>
        <v>0</v>
      </c>
      <c r="BN110" s="233">
        <f t="shared" ca="1" si="74"/>
        <v>0</v>
      </c>
      <c r="BO110" s="233">
        <f t="shared" ca="1" si="74"/>
        <v>0</v>
      </c>
      <c r="BP110" s="233"/>
      <c r="BQ110" s="233"/>
      <c r="BR110" s="233"/>
      <c r="BS110" s="233"/>
      <c r="BT110" s="233"/>
      <c r="BU110" s="233"/>
      <c r="BV110" s="233"/>
      <c r="BW110" s="233"/>
      <c r="BX110" s="233"/>
      <c r="BY110" s="233"/>
      <c r="BZ110" s="233"/>
      <c r="CA110" s="233"/>
      <c r="CB110" s="233"/>
      <c r="CC110" s="233"/>
      <c r="CD110" s="233"/>
      <c r="CE110" s="233"/>
      <c r="CF110" s="233"/>
      <c r="CG110" s="233"/>
      <c r="CH110" s="233"/>
      <c r="CI110" s="233"/>
      <c r="CJ110" s="233"/>
      <c r="CK110" s="233"/>
      <c r="CL110" s="233"/>
      <c r="CM110" s="233"/>
      <c r="CN110" s="233"/>
      <c r="CO110" s="233"/>
      <c r="CP110" s="233"/>
      <c r="CQ110" s="233"/>
      <c r="CR110" s="233"/>
      <c r="CS110" s="233"/>
      <c r="CT110" s="233"/>
      <c r="CU110" s="233"/>
      <c r="CV110" s="233"/>
      <c r="CW110" s="233"/>
      <c r="CX110" s="233"/>
      <c r="CY110" s="233"/>
      <c r="CZ110" s="233"/>
      <c r="DA110" s="233"/>
      <c r="DB110" s="233"/>
      <c r="DC110" s="233"/>
      <c r="DD110" s="233"/>
      <c r="DE110" s="233"/>
      <c r="DF110" s="233"/>
      <c r="DG110" s="233"/>
      <c r="DH110" s="233"/>
      <c r="DI110" s="233"/>
      <c r="DJ110" s="233"/>
      <c r="DK110" s="233"/>
      <c r="DL110" s="233"/>
      <c r="DM110" s="233"/>
      <c r="DN110" s="233"/>
      <c r="DO110" s="233"/>
      <c r="DP110" s="233"/>
      <c r="DQ110" s="233"/>
      <c r="DR110" s="233"/>
      <c r="DS110" s="233"/>
      <c r="DT110" s="233"/>
      <c r="DU110" s="233"/>
      <c r="DV110" s="233"/>
      <c r="DW110" s="233"/>
      <c r="DX110" s="304"/>
      <c r="DY110" s="304"/>
    </row>
    <row r="111" spans="1:129">
      <c r="A111" s="536"/>
      <c r="B111" s="678"/>
      <c r="C111" s="678"/>
      <c r="D111" s="514"/>
      <c r="E111" s="514"/>
      <c r="F111" s="514"/>
      <c r="G111" s="233"/>
      <c r="H111" s="537"/>
      <c r="I111" s="537"/>
      <c r="J111" s="537"/>
      <c r="K111" s="537"/>
      <c r="L111" s="537"/>
      <c r="M111" s="537"/>
      <c r="N111" s="537"/>
      <c r="O111" s="537"/>
      <c r="P111" s="537"/>
      <c r="Q111" s="537"/>
      <c r="R111" s="537"/>
      <c r="S111" s="537"/>
      <c r="T111" s="537"/>
      <c r="U111" s="537"/>
      <c r="V111" s="537"/>
      <c r="W111" s="537"/>
      <c r="X111" s="537"/>
      <c r="Y111" s="537"/>
      <c r="Z111" s="537"/>
      <c r="AA111" s="537"/>
      <c r="AB111" s="537"/>
      <c r="AC111" s="537"/>
      <c r="AD111" s="537"/>
      <c r="AE111" s="537"/>
      <c r="AF111" s="537"/>
      <c r="AG111" s="537"/>
      <c r="AH111" s="537"/>
      <c r="AI111" s="537"/>
      <c r="AJ111" s="537"/>
      <c r="AK111" s="537"/>
      <c r="AL111" s="537"/>
      <c r="AM111" s="537"/>
      <c r="AN111" s="537"/>
      <c r="AO111" s="537"/>
      <c r="AP111" s="537"/>
      <c r="AQ111" s="537"/>
      <c r="AR111" s="537"/>
      <c r="AS111" s="537"/>
      <c r="AT111" s="537"/>
      <c r="AU111" s="537"/>
      <c r="AV111" s="537"/>
      <c r="AW111" s="537"/>
      <c r="AX111" s="537"/>
      <c r="AY111" s="537"/>
      <c r="AZ111" s="537"/>
      <c r="BA111" s="537"/>
      <c r="BB111" s="537"/>
      <c r="BC111" s="537"/>
      <c r="BD111" s="537"/>
      <c r="BE111" s="537"/>
      <c r="BF111" s="537"/>
      <c r="BG111" s="537"/>
      <c r="BH111" s="537"/>
      <c r="BI111" s="537"/>
      <c r="BJ111" s="537"/>
      <c r="BK111" s="537"/>
      <c r="BL111" s="537"/>
      <c r="BM111" s="537"/>
      <c r="BN111" s="537"/>
      <c r="BO111" s="537"/>
      <c r="BP111" s="537"/>
      <c r="BQ111" s="537"/>
      <c r="BR111" s="537"/>
      <c r="BS111" s="537"/>
      <c r="BT111" s="537"/>
      <c r="BU111" s="537"/>
      <c r="BV111" s="537"/>
      <c r="BW111" s="537"/>
      <c r="BX111" s="537"/>
      <c r="BY111" s="537"/>
      <c r="BZ111" s="537"/>
      <c r="CA111" s="537"/>
      <c r="CB111" s="537"/>
      <c r="CC111" s="537"/>
      <c r="CD111" s="537"/>
      <c r="CE111" s="537"/>
      <c r="CF111" s="537"/>
      <c r="CG111" s="537"/>
      <c r="CH111" s="537"/>
      <c r="CI111" s="537"/>
      <c r="CJ111" s="537"/>
      <c r="CK111" s="537"/>
      <c r="CL111" s="537"/>
      <c r="CM111" s="537"/>
      <c r="CN111" s="537"/>
      <c r="CO111" s="537"/>
      <c r="CP111" s="537"/>
      <c r="CQ111" s="537"/>
      <c r="CR111" s="537"/>
      <c r="CS111" s="537"/>
      <c r="CT111" s="537"/>
      <c r="CU111" s="537"/>
      <c r="CV111" s="537"/>
      <c r="CW111" s="537"/>
      <c r="CX111" s="537"/>
      <c r="CY111" s="537"/>
      <c r="CZ111" s="537"/>
      <c r="DA111" s="537"/>
      <c r="DB111" s="537"/>
      <c r="DC111" s="537"/>
      <c r="DD111" s="537"/>
      <c r="DE111" s="537"/>
      <c r="DF111" s="537"/>
      <c r="DG111" s="537"/>
      <c r="DH111" s="537"/>
      <c r="DI111" s="537"/>
      <c r="DJ111" s="537"/>
      <c r="DK111" s="537"/>
      <c r="DL111" s="537"/>
      <c r="DM111" s="537"/>
      <c r="DN111" s="537"/>
      <c r="DO111" s="537"/>
      <c r="DP111" s="537"/>
      <c r="DQ111" s="537"/>
      <c r="DR111" s="537"/>
      <c r="DS111" s="537"/>
      <c r="DT111" s="537"/>
      <c r="DU111" s="537"/>
      <c r="DV111" s="537"/>
      <c r="DW111" s="537"/>
    </row>
    <row r="112" spans="1:129" s="352" customFormat="1">
      <c r="A112" s="861" t="s">
        <v>1160</v>
      </c>
      <c r="B112" s="862"/>
      <c r="C112" s="862"/>
      <c r="D112" s="864"/>
      <c r="E112" s="864"/>
      <c r="F112" s="863"/>
      <c r="G112" s="458">
        <f t="shared" ref="G112:AL112" ca="1" si="75">G109</f>
        <v>0</v>
      </c>
      <c r="H112" s="538">
        <f t="shared" ca="1" si="75"/>
        <v>335.87001192815342</v>
      </c>
      <c r="I112" s="538">
        <f t="shared" ca="1" si="75"/>
        <v>330.39387042932458</v>
      </c>
      <c r="J112" s="538">
        <f t="shared" ca="1" si="75"/>
        <v>336.07875278384927</v>
      </c>
      <c r="K112" s="538">
        <f t="shared" ca="1" si="75"/>
        <v>340.5415560447218</v>
      </c>
      <c r="L112" s="538">
        <f t="shared" ca="1" si="75"/>
        <v>344.05441161728459</v>
      </c>
      <c r="M112" s="538">
        <f t="shared" ca="1" si="75"/>
        <v>345.51102678698453</v>
      </c>
      <c r="N112" s="538">
        <f t="shared" ca="1" si="75"/>
        <v>349.23262841929591</v>
      </c>
      <c r="O112" s="538">
        <f t="shared" ca="1" si="75"/>
        <v>347.80912291148707</v>
      </c>
      <c r="P112" s="538">
        <f t="shared" ca="1" si="75"/>
        <v>354.48829899669317</v>
      </c>
      <c r="Q112" s="538">
        <f t="shared" ca="1" si="75"/>
        <v>350.09626175264157</v>
      </c>
      <c r="R112" s="538">
        <f t="shared" ca="1" si="75"/>
        <v>358.83941444214724</v>
      </c>
      <c r="S112" s="538">
        <f t="shared" ca="1" si="75"/>
        <v>353.38594088006357</v>
      </c>
      <c r="T112" s="538">
        <f t="shared" ca="1" si="75"/>
        <v>365.23646797405399</v>
      </c>
      <c r="U112" s="538">
        <f t="shared" ca="1" si="75"/>
        <v>354.44024353998338</v>
      </c>
      <c r="V112" s="538">
        <f t="shared" ca="1" si="75"/>
        <v>370.73123830074883</v>
      </c>
      <c r="W112" s="538">
        <f t="shared" ca="1" si="75"/>
        <v>356.43397409897443</v>
      </c>
      <c r="X112" s="538">
        <f ca="1">X109</f>
        <v>376.30800665500556</v>
      </c>
      <c r="Y112" s="538">
        <f t="shared" ca="1" si="75"/>
        <v>358.28810723061906</v>
      </c>
      <c r="Z112" s="538">
        <f t="shared" ca="1" si="75"/>
        <v>380.92432030492228</v>
      </c>
      <c r="AA112" s="538">
        <f t="shared" ca="1" si="75"/>
        <v>361.09801681461613</v>
      </c>
      <c r="AB112" s="538">
        <f t="shared" ca="1" si="75"/>
        <v>362.21186155878786</v>
      </c>
      <c r="AC112" s="538">
        <f t="shared" ca="1" si="75"/>
        <v>341.58145701415651</v>
      </c>
      <c r="AD112" s="538">
        <f t="shared" ca="1" si="75"/>
        <v>368.04174225437328</v>
      </c>
      <c r="AE112" s="538">
        <f t="shared" ca="1" si="75"/>
        <v>343.19847993447775</v>
      </c>
      <c r="AF112" s="538">
        <f t="shared" ca="1" si="75"/>
        <v>1303.7935979215406</v>
      </c>
      <c r="AG112" s="538">
        <f t="shared" ca="1" si="75"/>
        <v>1136.394477560847</v>
      </c>
      <c r="AH112" s="538">
        <f t="shared" ca="1" si="75"/>
        <v>1325.9887014375968</v>
      </c>
      <c r="AI112" s="538">
        <f t="shared" ca="1" si="75"/>
        <v>1160.4040485564847</v>
      </c>
      <c r="AJ112" s="538">
        <f t="shared" ca="1" si="75"/>
        <v>2994.5482101550338</v>
      </c>
      <c r="AK112" s="538">
        <f t="shared" ca="1" si="75"/>
        <v>2545.4162284351887</v>
      </c>
      <c r="AL112" s="538">
        <f t="shared" ca="1" si="75"/>
        <v>2866.7009595780269</v>
      </c>
      <c r="AM112" s="538">
        <f t="shared" ref="AM112:BO112" ca="1" si="76">AM109</f>
        <v>2608.3700359429458</v>
      </c>
      <c r="AN112" s="538">
        <f t="shared" ca="1" si="76"/>
        <v>2922.8141129823598</v>
      </c>
      <c r="AO112" s="538">
        <f t="shared" ca="1" si="76"/>
        <v>2652.4553454942106</v>
      </c>
      <c r="AP112" s="538">
        <f t="shared" ca="1" si="76"/>
        <v>2970.2515213558436</v>
      </c>
      <c r="AQ112" s="538">
        <f t="shared" ca="1" si="76"/>
        <v>2703.7003380574424</v>
      </c>
      <c r="AR112" s="538">
        <f t="shared" ca="1" si="76"/>
        <v>3032.5617059389888</v>
      </c>
      <c r="AS112" s="538">
        <f t="shared" ca="1" si="76"/>
        <v>2738.6607711913121</v>
      </c>
      <c r="AT112" s="538">
        <f t="shared" ca="1" si="76"/>
        <v>3087.0294677969923</v>
      </c>
      <c r="AU112" s="538">
        <f t="shared" ca="1" si="76"/>
        <v>2781.4499186605049</v>
      </c>
      <c r="AV112" s="538">
        <f t="shared" ca="1" si="76"/>
        <v>3143.7134037943556</v>
      </c>
      <c r="AW112" s="538">
        <f t="shared" ca="1" si="76"/>
        <v>2566.5444246410993</v>
      </c>
      <c r="AX112" s="538">
        <f t="shared" ca="1" si="76"/>
        <v>3212.641439658667</v>
      </c>
      <c r="AY112" s="538">
        <f t="shared" ca="1" si="76"/>
        <v>2614.9784998685413</v>
      </c>
      <c r="AZ112" s="538">
        <f t="shared" ca="1" si="76"/>
        <v>3274.1680082495322</v>
      </c>
      <c r="BA112" s="538">
        <f t="shared" ca="1" si="76"/>
        <v>2646.5575378998938</v>
      </c>
      <c r="BB112" s="538">
        <f t="shared" ca="1" si="76"/>
        <v>3325.3898767289238</v>
      </c>
      <c r="BC112" s="538">
        <f t="shared" ca="1" si="76"/>
        <v>2709.9545717793458</v>
      </c>
      <c r="BD112" s="538">
        <f t="shared" ca="1" si="76"/>
        <v>3402.0908817008876</v>
      </c>
      <c r="BE112" s="538">
        <f t="shared" ca="1" si="76"/>
        <v>2747.0462943434081</v>
      </c>
      <c r="BF112" s="538">
        <f t="shared" ca="1" si="76"/>
        <v>3442.6250710426143</v>
      </c>
      <c r="BG112" s="538">
        <f t="shared" ca="1" si="76"/>
        <v>2782.6309188652426</v>
      </c>
      <c r="BH112" s="538">
        <f t="shared" ca="1" si="76"/>
        <v>3486.5071580853587</v>
      </c>
      <c r="BI112" s="538">
        <f t="shared" ca="1" si="76"/>
        <v>2797.7893042305323</v>
      </c>
      <c r="BJ112" s="538">
        <f t="shared" ca="1" si="76"/>
        <v>3517.833692193351</v>
      </c>
      <c r="BK112" s="538">
        <f t="shared" ca="1" si="76"/>
        <v>2800.2482793777217</v>
      </c>
      <c r="BL112" s="538">
        <f t="shared" ca="1" si="76"/>
        <v>3523.7089432490652</v>
      </c>
      <c r="BM112" s="538">
        <f t="shared" ca="1" si="76"/>
        <v>2824.314151323942</v>
      </c>
      <c r="BN112" s="538">
        <f t="shared" ca="1" si="76"/>
        <v>3541.3183097872079</v>
      </c>
      <c r="BO112" s="538">
        <f t="shared" ca="1" si="76"/>
        <v>2855.1297741326198</v>
      </c>
      <c r="BP112" s="538"/>
      <c r="BQ112" s="538"/>
      <c r="BR112" s="538"/>
      <c r="BS112" s="538"/>
      <c r="BT112" s="538"/>
      <c r="BU112" s="538"/>
      <c r="BV112" s="538"/>
      <c r="BW112" s="538"/>
      <c r="BX112" s="538"/>
      <c r="BY112" s="538"/>
      <c r="BZ112" s="538"/>
      <c r="CA112" s="538"/>
      <c r="CB112" s="538"/>
      <c r="CC112" s="538"/>
      <c r="CD112" s="538"/>
      <c r="CE112" s="538"/>
      <c r="CF112" s="538"/>
      <c r="CG112" s="538"/>
      <c r="CH112" s="538"/>
      <c r="CI112" s="538"/>
      <c r="CJ112" s="538"/>
      <c r="CK112" s="538"/>
      <c r="CL112" s="538"/>
      <c r="CM112" s="538"/>
      <c r="CN112" s="538"/>
      <c r="CO112" s="538"/>
      <c r="CP112" s="538"/>
      <c r="CQ112" s="538"/>
      <c r="CR112" s="538"/>
      <c r="CS112" s="538"/>
      <c r="CT112" s="538"/>
      <c r="CU112" s="538"/>
      <c r="CV112" s="538"/>
      <c r="CW112" s="538"/>
      <c r="CX112" s="538"/>
      <c r="CY112" s="538"/>
      <c r="CZ112" s="538"/>
      <c r="DA112" s="538"/>
      <c r="DB112" s="538"/>
      <c r="DC112" s="538"/>
      <c r="DD112" s="538"/>
      <c r="DE112" s="538"/>
      <c r="DF112" s="538"/>
      <c r="DG112" s="538"/>
      <c r="DH112" s="538"/>
      <c r="DI112" s="538"/>
      <c r="DJ112" s="538"/>
      <c r="DK112" s="538"/>
      <c r="DL112" s="538"/>
      <c r="DM112" s="538"/>
      <c r="DN112" s="538"/>
      <c r="DO112" s="538"/>
      <c r="DP112" s="538"/>
      <c r="DQ112" s="538"/>
      <c r="DR112" s="538"/>
      <c r="DS112" s="538"/>
      <c r="DT112" s="538"/>
      <c r="DU112" s="538"/>
      <c r="DV112" s="538"/>
      <c r="DW112" s="538"/>
      <c r="DX112" s="357"/>
      <c r="DY112" s="357"/>
    </row>
    <row r="113" spans="1:129">
      <c r="A113" s="539" t="s">
        <v>1161</v>
      </c>
      <c r="B113" s="673"/>
      <c r="C113" s="673"/>
      <c r="G113" s="810">
        <f ca="1">-DS!G126*G6</f>
        <v>0</v>
      </c>
      <c r="H113" s="810">
        <f ca="1">-DS!H126*H6</f>
        <v>0</v>
      </c>
      <c r="I113" s="810">
        <f ca="1">-DS!I126*I6</f>
        <v>0</v>
      </c>
      <c r="J113" s="810">
        <f ca="1">-DS!J126*J6</f>
        <v>0</v>
      </c>
      <c r="K113" s="810">
        <f ca="1">-DS!K126*K6</f>
        <v>0</v>
      </c>
      <c r="L113" s="810">
        <f ca="1">-DS!L126*L6</f>
        <v>0</v>
      </c>
      <c r="M113" s="810">
        <f ca="1">-DS!M126*M6</f>
        <v>0</v>
      </c>
      <c r="N113" s="810">
        <f ca="1">-DS!N126*N6</f>
        <v>0</v>
      </c>
      <c r="O113" s="810">
        <f ca="1">-DS!O126*O6</f>
        <v>0</v>
      </c>
      <c r="P113" s="810">
        <f ca="1">-DS!P126*P6</f>
        <v>0</v>
      </c>
      <c r="Q113" s="810">
        <f ca="1">-DS!Q126*Q6</f>
        <v>0</v>
      </c>
      <c r="R113" s="810">
        <f ca="1">-DS!R126*R6</f>
        <v>0</v>
      </c>
      <c r="S113" s="810">
        <f ca="1">-DS!S126*S6</f>
        <v>0</v>
      </c>
      <c r="T113" s="810">
        <f ca="1">-DS!T126*T6</f>
        <v>0</v>
      </c>
      <c r="U113" s="810">
        <f ca="1">-DS!U126*U6</f>
        <v>0</v>
      </c>
      <c r="V113" s="810">
        <f ca="1">-DS!V126*V6</f>
        <v>0</v>
      </c>
      <c r="W113" s="810">
        <f ca="1">-DS!W126*W6</f>
        <v>0</v>
      </c>
      <c r="X113" s="810">
        <f ca="1">-DS!X126*X6</f>
        <v>0</v>
      </c>
      <c r="Y113" s="1163">
        <f ca="1">-DS!Y126*Y6</f>
        <v>0</v>
      </c>
      <c r="Z113" s="810">
        <f ca="1">-DS!Z126*Z6</f>
        <v>0</v>
      </c>
      <c r="AA113" s="810">
        <f ca="1">-DS!AA126*AA6</f>
        <v>0</v>
      </c>
      <c r="AB113" s="810">
        <f ca="1">-DS!AB126*AB6</f>
        <v>0</v>
      </c>
      <c r="AC113" s="810">
        <f ca="1">-DS!AC126*AC6</f>
        <v>0</v>
      </c>
      <c r="AD113" s="810">
        <f ca="1">-DS!AD126*AD6</f>
        <v>0</v>
      </c>
      <c r="AE113" s="810">
        <f ca="1">-DS!AE126*AE6</f>
        <v>0</v>
      </c>
      <c r="AF113" s="810">
        <f ca="1">-DS!AF126*AF6</f>
        <v>0</v>
      </c>
      <c r="AG113" s="810">
        <f ca="1">-DS!AG126*AG6</f>
        <v>0</v>
      </c>
      <c r="AH113" s="810">
        <f ca="1">-DS!AH126*AH6</f>
        <v>0</v>
      </c>
      <c r="AI113" s="810">
        <f ca="1">-DS!AI126*AI6</f>
        <v>0</v>
      </c>
      <c r="AJ113" s="810">
        <f ca="1">-DS!AJ126*AJ6</f>
        <v>0</v>
      </c>
      <c r="AK113" s="810">
        <f ca="1">-DS!AK126*AK6</f>
        <v>0</v>
      </c>
      <c r="AL113" s="810">
        <f ca="1">-DS!AL126*AL6</f>
        <v>0</v>
      </c>
      <c r="AM113" s="810">
        <f ca="1">-DS!AM126*AM6</f>
        <v>0</v>
      </c>
      <c r="AN113" s="810">
        <f ca="1">-DS!AN126*AN6</f>
        <v>0</v>
      </c>
      <c r="AO113" s="810">
        <f ca="1">-DS!AO126*AO6</f>
        <v>0</v>
      </c>
      <c r="AP113" s="810">
        <f ca="1">-DS!AP126*AP6</f>
        <v>0</v>
      </c>
      <c r="AQ113" s="810">
        <f ca="1">-DS!AQ126*AQ6</f>
        <v>0</v>
      </c>
      <c r="AR113" s="810">
        <f ca="1">-DS!AR126*AR6</f>
        <v>0</v>
      </c>
      <c r="AS113" s="810">
        <f ca="1">-DS!AS126*AS6</f>
        <v>0</v>
      </c>
      <c r="AT113" s="810">
        <f ca="1">-DS!AT126*AT6</f>
        <v>0</v>
      </c>
      <c r="AU113" s="810">
        <f ca="1">-DS!AU126*AU6</f>
        <v>0</v>
      </c>
      <c r="AV113" s="810">
        <f ca="1">-DS!AV126*AV6</f>
        <v>0</v>
      </c>
      <c r="AW113" s="810">
        <f ca="1">-DS!AW126*AW6</f>
        <v>0</v>
      </c>
      <c r="AX113" s="810">
        <f ca="1">-DS!AX126*AX6</f>
        <v>0</v>
      </c>
      <c r="AY113" s="810">
        <f ca="1">-DS!AY126*AY6</f>
        <v>0</v>
      </c>
      <c r="AZ113" s="810">
        <f ca="1">-DS!AZ126*AZ6</f>
        <v>0</v>
      </c>
      <c r="BA113" s="810">
        <f ca="1">-DS!BA126*BA6</f>
        <v>0</v>
      </c>
      <c r="BB113" s="810">
        <f ca="1">-DS!BB126*BB6</f>
        <v>0</v>
      </c>
      <c r="BC113" s="810">
        <f ca="1">-DS!BC126*BC6</f>
        <v>0</v>
      </c>
      <c r="BD113" s="810">
        <f ca="1">-DS!BD126*BD6</f>
        <v>0</v>
      </c>
      <c r="BE113" s="810">
        <f ca="1">-DS!BE126*BE6</f>
        <v>0</v>
      </c>
      <c r="BF113" s="810">
        <f ca="1">-DS!BF126*BF6</f>
        <v>0</v>
      </c>
      <c r="BG113" s="810">
        <f ca="1">-DS!BG126*BG6</f>
        <v>0</v>
      </c>
      <c r="BH113" s="810">
        <f ca="1">-DS!BH126*BH6</f>
        <v>0</v>
      </c>
      <c r="BI113" s="810">
        <f ca="1">-DS!BI126*BI6</f>
        <v>0</v>
      </c>
      <c r="BJ113" s="810">
        <f ca="1">-DS!BJ126*BJ6</f>
        <v>0</v>
      </c>
      <c r="BK113" s="810">
        <f ca="1">-DS!BK126*BK6</f>
        <v>0</v>
      </c>
      <c r="BL113" s="810">
        <f ca="1">-DS!BL126*BL6</f>
        <v>0</v>
      </c>
      <c r="BM113" s="810">
        <f ca="1">-DS!BM126*BM6</f>
        <v>0</v>
      </c>
      <c r="BN113" s="810">
        <f ca="1">-DS!BN126*BN6</f>
        <v>0</v>
      </c>
      <c r="BO113" s="810">
        <f ca="1">-DS!BO126*BO6</f>
        <v>0</v>
      </c>
      <c r="BP113" s="810"/>
      <c r="BQ113" s="810"/>
      <c r="BR113" s="810"/>
      <c r="BS113" s="810"/>
      <c r="BT113" s="810"/>
      <c r="BU113" s="810"/>
      <c r="BV113" s="810"/>
      <c r="BW113" s="810"/>
      <c r="BX113" s="810"/>
      <c r="BY113" s="810"/>
      <c r="BZ113" s="810"/>
      <c r="CA113" s="810"/>
      <c r="CB113" s="810"/>
      <c r="CC113" s="810"/>
      <c r="CD113" s="810"/>
      <c r="CE113" s="810"/>
      <c r="CF113" s="810"/>
      <c r="CG113" s="810"/>
      <c r="CH113" s="810"/>
      <c r="CI113" s="810"/>
      <c r="CJ113" s="810"/>
      <c r="CK113" s="810"/>
      <c r="CL113" s="810"/>
      <c r="CM113" s="810"/>
      <c r="CN113" s="810"/>
      <c r="CO113" s="810"/>
      <c r="CP113" s="810"/>
      <c r="CQ113" s="810"/>
      <c r="CR113" s="810"/>
      <c r="CS113" s="810"/>
      <c r="CT113" s="810"/>
      <c r="CU113" s="810"/>
      <c r="CV113" s="810"/>
      <c r="CW113" s="810"/>
      <c r="CX113" s="810"/>
      <c r="CY113" s="810"/>
      <c r="CZ113" s="810"/>
      <c r="DA113" s="810"/>
      <c r="DB113" s="810"/>
      <c r="DC113" s="810"/>
      <c r="DD113" s="810"/>
      <c r="DE113" s="810"/>
      <c r="DF113" s="810"/>
      <c r="DG113" s="810"/>
      <c r="DH113" s="810"/>
      <c r="DI113" s="810"/>
      <c r="DJ113" s="810"/>
      <c r="DK113" s="810"/>
      <c r="DL113" s="810"/>
      <c r="DM113" s="810"/>
      <c r="DN113" s="810"/>
      <c r="DO113" s="810"/>
      <c r="DP113" s="810"/>
      <c r="DQ113" s="810"/>
      <c r="DR113" s="810"/>
      <c r="DS113" s="810"/>
      <c r="DT113" s="810"/>
      <c r="DU113" s="810"/>
      <c r="DV113" s="810"/>
      <c r="DW113" s="810"/>
      <c r="DX113" s="304"/>
      <c r="DY113" s="304"/>
    </row>
    <row r="114" spans="1:129" s="344" customFormat="1">
      <c r="A114" s="540" t="s">
        <v>26</v>
      </c>
      <c r="B114" s="686"/>
      <c r="C114" s="686"/>
      <c r="D114" s="541"/>
      <c r="E114" s="541"/>
      <c r="F114" s="541"/>
      <c r="G114" s="978">
        <f ca="1">-DS!G131</f>
        <v>0</v>
      </c>
      <c r="H114" s="978">
        <f ca="1">-DS!H131</f>
        <v>-335.87001192815342</v>
      </c>
      <c r="I114" s="978">
        <f ca="1">-DS!I131</f>
        <v>-330.39387042932458</v>
      </c>
      <c r="J114" s="978">
        <f ca="1">-DS!J131</f>
        <v>-336.07875278384927</v>
      </c>
      <c r="K114" s="978">
        <f ca="1">-DS!K131</f>
        <v>-340.5415560447218</v>
      </c>
      <c r="L114" s="978">
        <f ca="1">-DS!L131</f>
        <v>-344.05441161728459</v>
      </c>
      <c r="M114" s="978">
        <f ca="1">-DS!M131</f>
        <v>-345.51102678698453</v>
      </c>
      <c r="N114" s="978">
        <f ca="1">-DS!N131</f>
        <v>-349.23262841929591</v>
      </c>
      <c r="O114" s="978">
        <f ca="1">-DS!O131</f>
        <v>-347.80912291148707</v>
      </c>
      <c r="P114" s="978">
        <f ca="1">-DS!P131</f>
        <v>-354.48829899669317</v>
      </c>
      <c r="Q114" s="978">
        <f ca="1">-DS!Q131</f>
        <v>-350.09626175264157</v>
      </c>
      <c r="R114" s="978">
        <f ca="1">-DS!R131</f>
        <v>-358.83941444214724</v>
      </c>
      <c r="S114" s="978">
        <f ca="1">-DS!S131</f>
        <v>-353.38594088006357</v>
      </c>
      <c r="T114" s="978">
        <f ca="1">-DS!T131</f>
        <v>-365.23646797405399</v>
      </c>
      <c r="U114" s="978">
        <f ca="1">-DS!U131</f>
        <v>-354.44024353998338</v>
      </c>
      <c r="V114" s="978">
        <f ca="1">-DS!V131</f>
        <v>-370.73123830074883</v>
      </c>
      <c r="W114" s="978">
        <f ca="1">-DS!W131</f>
        <v>-356.43397409897443</v>
      </c>
      <c r="X114" s="978">
        <f ca="1">-DS!X131</f>
        <v>-376.30800665500556</v>
      </c>
      <c r="Y114" s="978">
        <f ca="1">-DS!Y131</f>
        <v>-358.28810723061906</v>
      </c>
      <c r="Z114" s="978">
        <f ca="1">-DS!Z131</f>
        <v>-380.92432030492228</v>
      </c>
      <c r="AA114" s="978">
        <f ca="1">-DS!AA131</f>
        <v>-361.09801681461613</v>
      </c>
      <c r="AB114" s="978">
        <f ca="1">-DS!AB131</f>
        <v>-362.21186155878786</v>
      </c>
      <c r="AC114" s="978">
        <f ca="1">-DS!AC131</f>
        <v>-341.58145701415651</v>
      </c>
      <c r="AD114" s="978">
        <f ca="1">-DS!AD131</f>
        <v>-368.04174225437328</v>
      </c>
      <c r="AE114" s="978">
        <f ca="1">-DS!AE131</f>
        <v>-343.19847993447775</v>
      </c>
      <c r="AF114" s="978">
        <f ca="1">-DS!AF131</f>
        <v>-1303.7935979215406</v>
      </c>
      <c r="AG114" s="978">
        <f ca="1">-DS!AG131</f>
        <v>-1136.394477560847</v>
      </c>
      <c r="AH114" s="978">
        <f ca="1">-DS!AH131</f>
        <v>-1325.9887014375968</v>
      </c>
      <c r="AI114" s="978">
        <f ca="1">-DS!AI131</f>
        <v>-1160.4040485564847</v>
      </c>
      <c r="AJ114" s="978">
        <f ca="1">-DS!AJ131</f>
        <v>-2994.5482101550338</v>
      </c>
      <c r="AK114" s="978">
        <f ca="1">-DS!AK131</f>
        <v>-2545.4162284351887</v>
      </c>
      <c r="AL114" s="978">
        <f ca="1">-DS!AL131</f>
        <v>-2866.7009595780269</v>
      </c>
      <c r="AM114" s="978">
        <f ca="1">-DS!AM131</f>
        <v>-2608.3700359429458</v>
      </c>
      <c r="AN114" s="978">
        <f ca="1">-DS!AN131</f>
        <v>-2922.8141129823598</v>
      </c>
      <c r="AO114" s="978">
        <f ca="1">-DS!AO131</f>
        <v>-2652.4553454942106</v>
      </c>
      <c r="AP114" s="978">
        <f ca="1">-DS!AP131</f>
        <v>-2970.2515213558436</v>
      </c>
      <c r="AQ114" s="978">
        <f ca="1">-DS!AQ131</f>
        <v>-2703.7003380574424</v>
      </c>
      <c r="AR114" s="978">
        <f ca="1">-DS!AR131</f>
        <v>-3032.5617059389888</v>
      </c>
      <c r="AS114" s="978">
        <f ca="1">-DS!AS131</f>
        <v>-2738.6607711913121</v>
      </c>
      <c r="AT114" s="978">
        <f ca="1">-DS!AT131</f>
        <v>-3087.0294677969923</v>
      </c>
      <c r="AU114" s="978">
        <f ca="1">-DS!AU131</f>
        <v>-2191.8002684190119</v>
      </c>
      <c r="AV114" s="978">
        <f ca="1">-DS!AV131</f>
        <v>0</v>
      </c>
      <c r="AW114" s="978">
        <f ca="1">-DS!AW131</f>
        <v>0</v>
      </c>
      <c r="AX114" s="978">
        <f ca="1">-DS!AX131</f>
        <v>0</v>
      </c>
      <c r="AY114" s="978">
        <f ca="1">-DS!AY131</f>
        <v>0</v>
      </c>
      <c r="AZ114" s="978">
        <f ca="1">-DS!AZ131</f>
        <v>0</v>
      </c>
      <c r="BA114" s="978">
        <f ca="1">-DS!BA131</f>
        <v>0</v>
      </c>
      <c r="BB114" s="978">
        <f ca="1">-DS!BB131</f>
        <v>0</v>
      </c>
      <c r="BC114" s="978">
        <f ca="1">-DS!BC131</f>
        <v>0</v>
      </c>
      <c r="BD114" s="978">
        <f ca="1">-DS!BD131</f>
        <v>0</v>
      </c>
      <c r="BE114" s="978">
        <f ca="1">-DS!BE131</f>
        <v>0</v>
      </c>
      <c r="BF114" s="978">
        <f ca="1">-DS!BF131</f>
        <v>0</v>
      </c>
      <c r="BG114" s="978">
        <f ca="1">-DS!BG131</f>
        <v>0</v>
      </c>
      <c r="BH114" s="978">
        <f ca="1">-DS!BH131</f>
        <v>0</v>
      </c>
      <c r="BI114" s="978">
        <f ca="1">-DS!BI131</f>
        <v>0</v>
      </c>
      <c r="BJ114" s="978">
        <f ca="1">-DS!BJ131</f>
        <v>0</v>
      </c>
      <c r="BK114" s="978">
        <f ca="1">-DS!BK131</f>
        <v>0</v>
      </c>
      <c r="BL114" s="978">
        <f ca="1">-DS!BL131</f>
        <v>0</v>
      </c>
      <c r="BM114" s="978">
        <f ca="1">-DS!BM131</f>
        <v>0</v>
      </c>
      <c r="BN114" s="978">
        <f ca="1">-DS!BN131</f>
        <v>0</v>
      </c>
      <c r="BO114" s="978">
        <f ca="1">-DS!BO131</f>
        <v>0</v>
      </c>
      <c r="BP114" s="978"/>
      <c r="BQ114" s="978"/>
      <c r="BR114" s="978"/>
      <c r="BS114" s="978"/>
      <c r="BT114" s="978"/>
      <c r="BU114" s="978"/>
      <c r="BV114" s="978"/>
      <c r="BW114" s="978"/>
      <c r="BX114" s="978"/>
      <c r="BY114" s="978"/>
      <c r="BZ114" s="978"/>
      <c r="CA114" s="978"/>
      <c r="CB114" s="978"/>
      <c r="CC114" s="978"/>
      <c r="CD114" s="978"/>
      <c r="CE114" s="978"/>
      <c r="CF114" s="978"/>
      <c r="CG114" s="978"/>
      <c r="CH114" s="978"/>
      <c r="CI114" s="978"/>
      <c r="CJ114" s="978"/>
      <c r="CK114" s="978"/>
      <c r="CL114" s="978"/>
      <c r="CM114" s="978"/>
      <c r="CN114" s="978"/>
      <c r="CO114" s="978"/>
      <c r="CP114" s="978"/>
      <c r="CQ114" s="978"/>
      <c r="CR114" s="978"/>
      <c r="CS114" s="978"/>
      <c r="CT114" s="978"/>
      <c r="CU114" s="978"/>
      <c r="CV114" s="978"/>
      <c r="CW114" s="978"/>
      <c r="CX114" s="978"/>
      <c r="CY114" s="978"/>
      <c r="CZ114" s="978"/>
      <c r="DA114" s="978"/>
      <c r="DB114" s="978"/>
      <c r="DC114" s="978"/>
      <c r="DD114" s="978"/>
      <c r="DE114" s="978"/>
      <c r="DF114" s="978"/>
      <c r="DG114" s="978"/>
      <c r="DH114" s="978"/>
      <c r="DI114" s="978"/>
      <c r="DJ114" s="978"/>
      <c r="DK114" s="978"/>
      <c r="DL114" s="978"/>
      <c r="DM114" s="978"/>
      <c r="DN114" s="978"/>
      <c r="DO114" s="978"/>
      <c r="DP114" s="978"/>
      <c r="DQ114" s="978"/>
      <c r="DR114" s="978"/>
      <c r="DS114" s="978"/>
      <c r="DT114" s="978"/>
      <c r="DU114" s="978"/>
      <c r="DV114" s="978"/>
      <c r="DW114" s="978"/>
    </row>
    <row r="115" spans="1:129">
      <c r="A115" s="542"/>
      <c r="B115" s="686"/>
      <c r="C115" s="686"/>
      <c r="D115" s="541"/>
      <c r="E115" s="541"/>
      <c r="F115" s="541"/>
      <c r="G115" s="473"/>
      <c r="H115" s="473"/>
      <c r="I115" s="473"/>
      <c r="J115" s="473"/>
      <c r="K115" s="473"/>
      <c r="L115" s="473"/>
      <c r="M115" s="473"/>
      <c r="N115" s="473"/>
      <c r="O115" s="473"/>
      <c r="P115" s="473"/>
      <c r="Q115" s="473"/>
      <c r="R115" s="473"/>
      <c r="S115" s="473"/>
      <c r="T115" s="473"/>
      <c r="U115" s="473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3"/>
      <c r="AH115" s="473"/>
      <c r="AI115" s="473"/>
      <c r="AJ115" s="473"/>
      <c r="AK115" s="473"/>
      <c r="AL115" s="473"/>
      <c r="AM115" s="473"/>
      <c r="AN115" s="473"/>
      <c r="AO115" s="473"/>
      <c r="AP115" s="473"/>
      <c r="AQ115" s="473"/>
      <c r="AR115" s="473"/>
      <c r="AS115" s="473"/>
      <c r="AT115" s="473"/>
      <c r="AU115" s="473"/>
      <c r="AV115" s="473"/>
      <c r="AW115" s="473"/>
      <c r="AX115" s="473"/>
      <c r="AY115" s="473"/>
      <c r="AZ115" s="473"/>
      <c r="BA115" s="473"/>
      <c r="BB115" s="473"/>
      <c r="BC115" s="473"/>
      <c r="BD115" s="473"/>
      <c r="BE115" s="473"/>
      <c r="BF115" s="473"/>
      <c r="BG115" s="473"/>
      <c r="BH115" s="473"/>
      <c r="BI115" s="473"/>
      <c r="BJ115" s="473"/>
      <c r="BK115" s="473"/>
      <c r="BL115" s="473"/>
      <c r="BM115" s="473"/>
      <c r="BN115" s="473"/>
      <c r="BO115" s="473"/>
      <c r="BP115" s="473"/>
      <c r="BQ115" s="473"/>
      <c r="BR115" s="473"/>
      <c r="BS115" s="473"/>
      <c r="BT115" s="473"/>
      <c r="BU115" s="473"/>
      <c r="BV115" s="473"/>
      <c r="BW115" s="473"/>
      <c r="BX115" s="473"/>
      <c r="BY115" s="473"/>
      <c r="BZ115" s="473"/>
      <c r="CA115" s="473"/>
      <c r="CB115" s="473"/>
      <c r="CC115" s="473"/>
      <c r="CD115" s="473"/>
      <c r="CE115" s="473"/>
      <c r="CF115" s="473"/>
      <c r="CG115" s="473"/>
      <c r="CH115" s="473"/>
      <c r="CI115" s="473"/>
      <c r="CJ115" s="473"/>
      <c r="CK115" s="473"/>
      <c r="CL115" s="473"/>
      <c r="CM115" s="473"/>
      <c r="CN115" s="473"/>
      <c r="CO115" s="473"/>
      <c r="CP115" s="473"/>
      <c r="CQ115" s="473"/>
      <c r="CR115" s="473"/>
      <c r="CS115" s="473"/>
      <c r="CT115" s="473"/>
      <c r="CU115" s="473"/>
      <c r="CV115" s="473"/>
      <c r="CW115" s="473"/>
      <c r="CX115" s="473"/>
      <c r="CY115" s="473"/>
      <c r="CZ115" s="473"/>
      <c r="DA115" s="473"/>
      <c r="DB115" s="473"/>
      <c r="DC115" s="473"/>
      <c r="DD115" s="473"/>
      <c r="DE115" s="473"/>
      <c r="DF115" s="473"/>
      <c r="DG115" s="473"/>
      <c r="DH115" s="473"/>
      <c r="DI115" s="473"/>
      <c r="DJ115" s="473"/>
      <c r="DK115" s="473"/>
      <c r="DL115" s="473"/>
      <c r="DM115" s="473"/>
      <c r="DN115" s="473"/>
      <c r="DO115" s="473"/>
      <c r="DP115" s="473"/>
      <c r="DQ115" s="473"/>
      <c r="DR115" s="473"/>
      <c r="DS115" s="473"/>
      <c r="DT115" s="473"/>
      <c r="DU115" s="473"/>
      <c r="DV115" s="473"/>
      <c r="DW115" s="473"/>
      <c r="DX115" s="304"/>
      <c r="DY115" s="304"/>
    </row>
    <row r="116" spans="1:129" collapsed="1">
      <c r="A116" s="861" t="s">
        <v>1162</v>
      </c>
      <c r="B116" s="862"/>
      <c r="C116" s="862"/>
      <c r="D116" s="864"/>
      <c r="E116" s="864"/>
      <c r="F116" s="863"/>
      <c r="G116" s="458">
        <f t="shared" ref="G116:AL116" ca="1" si="77">G112+SUM(G113:G114)</f>
        <v>0</v>
      </c>
      <c r="H116" s="458">
        <f t="shared" ca="1" si="77"/>
        <v>0</v>
      </c>
      <c r="I116" s="458">
        <f t="shared" ca="1" si="77"/>
        <v>0</v>
      </c>
      <c r="J116" s="458">
        <f t="shared" ca="1" si="77"/>
        <v>0</v>
      </c>
      <c r="K116" s="458">
        <f t="shared" ca="1" si="77"/>
        <v>0</v>
      </c>
      <c r="L116" s="458">
        <f t="shared" ca="1" si="77"/>
        <v>0</v>
      </c>
      <c r="M116" s="458">
        <f t="shared" ca="1" si="77"/>
        <v>0</v>
      </c>
      <c r="N116" s="458">
        <f t="shared" ca="1" si="77"/>
        <v>0</v>
      </c>
      <c r="O116" s="458">
        <f t="shared" ca="1" si="77"/>
        <v>0</v>
      </c>
      <c r="P116" s="458">
        <f t="shared" ca="1" si="77"/>
        <v>0</v>
      </c>
      <c r="Q116" s="458">
        <f t="shared" ca="1" si="77"/>
        <v>0</v>
      </c>
      <c r="R116" s="458">
        <f t="shared" ca="1" si="77"/>
        <v>0</v>
      </c>
      <c r="S116" s="458">
        <f t="shared" ca="1" si="77"/>
        <v>0</v>
      </c>
      <c r="T116" s="458">
        <f t="shared" ca="1" si="77"/>
        <v>0</v>
      </c>
      <c r="U116" s="458">
        <f t="shared" ca="1" si="77"/>
        <v>0</v>
      </c>
      <c r="V116" s="458">
        <f t="shared" ca="1" si="77"/>
        <v>0</v>
      </c>
      <c r="W116" s="458">
        <f t="shared" ca="1" si="77"/>
        <v>0</v>
      </c>
      <c r="X116" s="458">
        <f t="shared" ca="1" si="77"/>
        <v>0</v>
      </c>
      <c r="Y116" s="458">
        <f t="shared" ca="1" si="77"/>
        <v>0</v>
      </c>
      <c r="Z116" s="458">
        <f t="shared" ca="1" si="77"/>
        <v>0</v>
      </c>
      <c r="AA116" s="458">
        <f t="shared" ca="1" si="77"/>
        <v>0</v>
      </c>
      <c r="AB116" s="458">
        <f t="shared" ca="1" si="77"/>
        <v>0</v>
      </c>
      <c r="AC116" s="458">
        <f t="shared" ca="1" si="77"/>
        <v>0</v>
      </c>
      <c r="AD116" s="458">
        <f t="shared" ca="1" si="77"/>
        <v>0</v>
      </c>
      <c r="AE116" s="458">
        <f t="shared" ca="1" si="77"/>
        <v>0</v>
      </c>
      <c r="AF116" s="458">
        <f t="shared" ca="1" si="77"/>
        <v>0</v>
      </c>
      <c r="AG116" s="458">
        <f t="shared" ca="1" si="77"/>
        <v>0</v>
      </c>
      <c r="AH116" s="458">
        <f t="shared" ca="1" si="77"/>
        <v>0</v>
      </c>
      <c r="AI116" s="458">
        <f t="shared" ca="1" si="77"/>
        <v>0</v>
      </c>
      <c r="AJ116" s="458">
        <f t="shared" ca="1" si="77"/>
        <v>0</v>
      </c>
      <c r="AK116" s="458">
        <f t="shared" ca="1" si="77"/>
        <v>0</v>
      </c>
      <c r="AL116" s="458">
        <f t="shared" ca="1" si="77"/>
        <v>0</v>
      </c>
      <c r="AM116" s="458">
        <f t="shared" ref="AM116:BO116" ca="1" si="78">AM112+SUM(AM113:AM114)</f>
        <v>0</v>
      </c>
      <c r="AN116" s="458">
        <f t="shared" ca="1" si="78"/>
        <v>0</v>
      </c>
      <c r="AO116" s="458">
        <f t="shared" ca="1" si="78"/>
        <v>0</v>
      </c>
      <c r="AP116" s="458">
        <f t="shared" ca="1" si="78"/>
        <v>0</v>
      </c>
      <c r="AQ116" s="458">
        <f t="shared" ca="1" si="78"/>
        <v>0</v>
      </c>
      <c r="AR116" s="458">
        <f t="shared" ca="1" si="78"/>
        <v>0</v>
      </c>
      <c r="AS116" s="458">
        <f t="shared" ca="1" si="78"/>
        <v>0</v>
      </c>
      <c r="AT116" s="458">
        <f t="shared" ca="1" si="78"/>
        <v>0</v>
      </c>
      <c r="AU116" s="458">
        <f t="shared" ca="1" si="78"/>
        <v>589.64965024149296</v>
      </c>
      <c r="AV116" s="458">
        <f t="shared" ca="1" si="78"/>
        <v>3143.7134037943556</v>
      </c>
      <c r="AW116" s="458">
        <f t="shared" ca="1" si="78"/>
        <v>2566.5444246410993</v>
      </c>
      <c r="AX116" s="458">
        <f t="shared" ca="1" si="78"/>
        <v>3212.641439658667</v>
      </c>
      <c r="AY116" s="458">
        <f t="shared" ca="1" si="78"/>
        <v>2614.9784998685413</v>
      </c>
      <c r="AZ116" s="458">
        <f t="shared" ca="1" si="78"/>
        <v>3274.1680082495322</v>
      </c>
      <c r="BA116" s="458">
        <f t="shared" ca="1" si="78"/>
        <v>2646.5575378998938</v>
      </c>
      <c r="BB116" s="458">
        <f t="shared" ca="1" si="78"/>
        <v>3325.3898767289238</v>
      </c>
      <c r="BC116" s="458">
        <f t="shared" ca="1" si="78"/>
        <v>2709.9545717793458</v>
      </c>
      <c r="BD116" s="458">
        <f t="shared" ca="1" si="78"/>
        <v>3402.0908817008876</v>
      </c>
      <c r="BE116" s="458">
        <f t="shared" ca="1" si="78"/>
        <v>2747.0462943434081</v>
      </c>
      <c r="BF116" s="458">
        <f t="shared" ca="1" si="78"/>
        <v>3442.6250710426143</v>
      </c>
      <c r="BG116" s="458">
        <f t="shared" ca="1" si="78"/>
        <v>2782.6309188652426</v>
      </c>
      <c r="BH116" s="458">
        <f t="shared" ca="1" si="78"/>
        <v>3486.5071580853587</v>
      </c>
      <c r="BI116" s="458">
        <f t="shared" ca="1" si="78"/>
        <v>2797.7893042305323</v>
      </c>
      <c r="BJ116" s="458">
        <f t="shared" ca="1" si="78"/>
        <v>3517.833692193351</v>
      </c>
      <c r="BK116" s="458">
        <f t="shared" ca="1" si="78"/>
        <v>2800.2482793777217</v>
      </c>
      <c r="BL116" s="458">
        <f t="shared" ca="1" si="78"/>
        <v>3523.7089432490652</v>
      </c>
      <c r="BM116" s="458">
        <f t="shared" ca="1" si="78"/>
        <v>2824.314151323942</v>
      </c>
      <c r="BN116" s="458">
        <f t="shared" ca="1" si="78"/>
        <v>3541.3183097872079</v>
      </c>
      <c r="BO116" s="458">
        <f t="shared" ca="1" si="78"/>
        <v>2855.1297741326198</v>
      </c>
      <c r="BP116" s="458"/>
      <c r="BQ116" s="458"/>
      <c r="BR116" s="458"/>
      <c r="BS116" s="458"/>
      <c r="BT116" s="458"/>
      <c r="BU116" s="458"/>
      <c r="BV116" s="458"/>
      <c r="BW116" s="458"/>
      <c r="BX116" s="458"/>
      <c r="BY116" s="458"/>
      <c r="BZ116" s="458"/>
      <c r="CA116" s="458"/>
      <c r="CB116" s="458"/>
      <c r="CC116" s="458"/>
      <c r="CD116" s="458"/>
      <c r="CE116" s="458"/>
      <c r="CF116" s="458"/>
      <c r="CG116" s="458"/>
      <c r="CH116" s="458"/>
      <c r="CI116" s="458"/>
      <c r="CJ116" s="458"/>
      <c r="CK116" s="458"/>
      <c r="CL116" s="458"/>
      <c r="CM116" s="458"/>
      <c r="CN116" s="458"/>
      <c r="CO116" s="458"/>
      <c r="CP116" s="458"/>
      <c r="CQ116" s="458"/>
      <c r="CR116" s="458"/>
      <c r="CS116" s="458"/>
      <c r="CT116" s="458"/>
      <c r="CU116" s="458"/>
      <c r="CV116" s="458"/>
      <c r="CW116" s="458"/>
      <c r="CX116" s="458"/>
      <c r="CY116" s="458"/>
      <c r="CZ116" s="458"/>
      <c r="DA116" s="458"/>
      <c r="DB116" s="458"/>
      <c r="DC116" s="458"/>
      <c r="DD116" s="458"/>
      <c r="DE116" s="458"/>
      <c r="DF116" s="458"/>
      <c r="DG116" s="458"/>
      <c r="DH116" s="458"/>
      <c r="DI116" s="458"/>
      <c r="DJ116" s="458"/>
      <c r="DK116" s="458"/>
      <c r="DL116" s="458"/>
      <c r="DM116" s="458"/>
      <c r="DN116" s="458"/>
      <c r="DO116" s="458"/>
      <c r="DP116" s="458"/>
      <c r="DQ116" s="458"/>
      <c r="DR116" s="458"/>
      <c r="DS116" s="458"/>
      <c r="DT116" s="458"/>
      <c r="DU116" s="458"/>
      <c r="DV116" s="458"/>
      <c r="DW116" s="458"/>
    </row>
    <row r="117" spans="1:129">
      <c r="A117" s="515" t="s">
        <v>11</v>
      </c>
      <c r="B117" s="676"/>
      <c r="C117" s="676"/>
      <c r="D117" s="494"/>
      <c r="E117" s="494"/>
      <c r="G117" s="811">
        <f ca="1">'P&amp;L'!G46</f>
        <v>-1169.6619115852516</v>
      </c>
      <c r="H117" s="811">
        <f ca="1">'P&amp;L'!H46</f>
        <v>-855.96553199374398</v>
      </c>
      <c r="I117" s="811">
        <f ca="1">'P&amp;L'!I46</f>
        <v>-825.95155396783957</v>
      </c>
      <c r="J117" s="811">
        <f ca="1">'P&amp;L'!J46</f>
        <v>-793.87016393409021</v>
      </c>
      <c r="K117" s="811">
        <f ca="1">'P&amp;L'!K46</f>
        <v>-705.94772833340357</v>
      </c>
      <c r="L117" s="811">
        <f ca="1">'P&amp;L'!L46</f>
        <v>-691.33108790663846</v>
      </c>
      <c r="M117" s="811">
        <f ca="1">'P&amp;L'!M46</f>
        <v>-606.26298673263091</v>
      </c>
      <c r="N117" s="811">
        <f ca="1">'P&amp;L'!N46</f>
        <v>-608.02704683917227</v>
      </c>
      <c r="O117" s="811">
        <f ca="1">'P&amp;L'!O46</f>
        <v>-543.61957440505967</v>
      </c>
      <c r="P117" s="811">
        <f ca="1">'P&amp;L'!P46</f>
        <v>-523.33246123634649</v>
      </c>
      <c r="Q117" s="811">
        <f ca="1">'P&amp;L'!Q46</f>
        <v>-480.15871893328335</v>
      </c>
      <c r="R117" s="811">
        <f ca="1">'P&amp;L'!R46</f>
        <v>-438.66459254056872</v>
      </c>
      <c r="S117" s="811">
        <f ca="1">'P&amp;L'!S46</f>
        <v>-419.4990901201088</v>
      </c>
      <c r="T117" s="811">
        <f ca="1">'P&amp;L'!T46</f>
        <v>-342.82813377690945</v>
      </c>
      <c r="U117" s="811">
        <f ca="1">'P&amp;L'!U46</f>
        <v>-345.44092274647141</v>
      </c>
      <c r="V117" s="811">
        <f ca="1">'P&amp;L'!V46</f>
        <v>-244.7017912915494</v>
      </c>
      <c r="W117" s="811">
        <f ca="1">'P&amp;L'!W46</f>
        <v>-272.39198015801321</v>
      </c>
      <c r="X117" s="811">
        <f ca="1">'P&amp;L'!X46</f>
        <v>-140.7806156401175</v>
      </c>
      <c r="Y117" s="811">
        <f ca="1">'P&amp;L'!Y46</f>
        <v>-195.19142547036265</v>
      </c>
      <c r="Z117" s="811">
        <f ca="1">'P&amp;L'!Z46</f>
        <v>-34.868242233661931</v>
      </c>
      <c r="AA117" s="811">
        <f ca="1">'P&amp;L'!AA46</f>
        <v>-117.42083818454526</v>
      </c>
      <c r="AB117" s="811">
        <f ca="1">'P&amp;L'!AB46</f>
        <v>-110.62397458206283</v>
      </c>
      <c r="AC117" s="811">
        <f ca="1">'P&amp;L'!AC46</f>
        <v>-187.29260164976168</v>
      </c>
      <c r="AD117" s="811">
        <f ca="1">'P&amp;L'!AD46</f>
        <v>0.79523165133696239</v>
      </c>
      <c r="AE117" s="811">
        <f ca="1">'P&amp;L'!AE46</f>
        <v>-106.43882329561231</v>
      </c>
      <c r="AF117" s="811">
        <f ca="1">'P&amp;L'!AF46</f>
        <v>316.93345222264702</v>
      </c>
      <c r="AG117" s="811">
        <f ca="1">'P&amp;L'!AG46</f>
        <v>116.16752173193368</v>
      </c>
      <c r="AH117" s="811">
        <f ca="1">'P&amp;L'!AH46</f>
        <v>420.51812686496987</v>
      </c>
      <c r="AI117" s="811">
        <f ca="1">'P&amp;L'!AI46</f>
        <v>181.39736124424962</v>
      </c>
      <c r="AJ117" s="811">
        <f ca="1">'P&amp;L'!AJ46</f>
        <v>525.25697678817255</v>
      </c>
      <c r="AK117" s="811">
        <f ca="1">'P&amp;L'!AK46</f>
        <v>193.44012712474165</v>
      </c>
      <c r="AL117" s="811">
        <f ca="1">'P&amp;L'!AL46</f>
        <v>539.76038786061554</v>
      </c>
      <c r="AM117" s="811">
        <f ca="1">'P&amp;L'!AM46</f>
        <v>396.99902977930441</v>
      </c>
      <c r="AN117" s="811">
        <f ca="1">'P&amp;L'!AN46</f>
        <v>747.01838718306124</v>
      </c>
      <c r="AO117" s="811">
        <f ca="1">'P&amp;L'!AO46</f>
        <v>597.98704746539431</v>
      </c>
      <c r="AP117" s="811">
        <f ca="1">'P&amp;L'!AP46</f>
        <v>965.93650649606184</v>
      </c>
      <c r="AQ117" s="811">
        <f ca="1">'P&amp;L'!AQ46</f>
        <v>816.07646241119733</v>
      </c>
      <c r="AR117" s="811">
        <f ca="1">'P&amp;L'!AR46</f>
        <v>1209.6077641540537</v>
      </c>
      <c r="AS117" s="811">
        <f ca="1">'P&amp;L'!AS46</f>
        <v>1049.6328929028214</v>
      </c>
      <c r="AT117" s="811">
        <f ca="1">'P&amp;L'!AT46</f>
        <v>1468.5544098595326</v>
      </c>
      <c r="AU117" s="811">
        <f ca="1">'P&amp;L'!AU46</f>
        <v>1303.8397620585758</v>
      </c>
      <c r="AV117" s="811">
        <f ca="1">'P&amp;L'!AV46</f>
        <v>3143.7134037943556</v>
      </c>
      <c r="AW117" s="811">
        <f ca="1">'P&amp;L'!AW46</f>
        <v>2566.5444246410993</v>
      </c>
      <c r="AX117" s="811">
        <f ca="1">'P&amp;L'!AX46</f>
        <v>3212.641439658667</v>
      </c>
      <c r="AY117" s="811">
        <f ca="1">'P&amp;L'!AY46</f>
        <v>2614.9784998685413</v>
      </c>
      <c r="AZ117" s="811">
        <f ca="1">'P&amp;L'!AZ46</f>
        <v>3274.1680082495322</v>
      </c>
      <c r="BA117" s="811">
        <f ca="1">'P&amp;L'!BA46</f>
        <v>2646.5575378998938</v>
      </c>
      <c r="BB117" s="811">
        <f ca="1">'P&amp;L'!BB46</f>
        <v>3325.3898767289238</v>
      </c>
      <c r="BC117" s="811">
        <f ca="1">'P&amp;L'!BC46</f>
        <v>2709.9545717793458</v>
      </c>
      <c r="BD117" s="811">
        <f ca="1">'P&amp;L'!BD46</f>
        <v>3402.0908817008876</v>
      </c>
      <c r="BE117" s="811">
        <f ca="1">'P&amp;L'!BE46</f>
        <v>2747.0462943434081</v>
      </c>
      <c r="BF117" s="811">
        <f ca="1">'P&amp;L'!BF46</f>
        <v>3442.6250710426143</v>
      </c>
      <c r="BG117" s="811">
        <f ca="1">'P&amp;L'!BG46</f>
        <v>2782.6309188652426</v>
      </c>
      <c r="BH117" s="811">
        <f ca="1">'P&amp;L'!BH46</f>
        <v>3486.5071580853587</v>
      </c>
      <c r="BI117" s="811">
        <f ca="1">'P&amp;L'!BI46</f>
        <v>2797.7893042305323</v>
      </c>
      <c r="BJ117" s="811">
        <f ca="1">'P&amp;L'!BJ46</f>
        <v>3517.833692193351</v>
      </c>
      <c r="BK117" s="811">
        <f ca="1">'P&amp;L'!BK46</f>
        <v>2800.2482793777217</v>
      </c>
      <c r="BL117" s="811">
        <f ca="1">'P&amp;L'!BL46</f>
        <v>3523.7089432490652</v>
      </c>
      <c r="BM117" s="811">
        <f ca="1">'P&amp;L'!BM46</f>
        <v>2824.314151323942</v>
      </c>
      <c r="BN117" s="811">
        <f ca="1">'P&amp;L'!BN46</f>
        <v>3541.3183097872079</v>
      </c>
      <c r="BO117" s="811">
        <f ca="1">'P&amp;L'!BO46</f>
        <v>2855.1297741326198</v>
      </c>
      <c r="BP117" s="811"/>
      <c r="BQ117" s="811"/>
      <c r="BR117" s="811"/>
      <c r="BS117" s="811"/>
      <c r="BT117" s="811"/>
      <c r="BU117" s="811"/>
      <c r="BV117" s="811"/>
      <c r="BW117" s="811"/>
      <c r="BX117" s="811"/>
      <c r="BY117" s="811"/>
      <c r="BZ117" s="811"/>
      <c r="CA117" s="811"/>
      <c r="CB117" s="811"/>
      <c r="CC117" s="811"/>
      <c r="CD117" s="811"/>
      <c r="CE117" s="811"/>
      <c r="CF117" s="811"/>
      <c r="CG117" s="811"/>
      <c r="CH117" s="811"/>
      <c r="CI117" s="811"/>
      <c r="CJ117" s="811"/>
      <c r="CK117" s="811"/>
      <c r="CL117" s="811"/>
      <c r="CM117" s="811"/>
      <c r="CN117" s="811"/>
      <c r="CO117" s="811"/>
      <c r="CP117" s="811"/>
      <c r="CQ117" s="811"/>
      <c r="CR117" s="811"/>
      <c r="CS117" s="811"/>
      <c r="CT117" s="811"/>
      <c r="CU117" s="811"/>
      <c r="CV117" s="811"/>
      <c r="CW117" s="811"/>
      <c r="CX117" s="811"/>
      <c r="CY117" s="811"/>
      <c r="CZ117" s="811"/>
      <c r="DA117" s="811"/>
      <c r="DB117" s="811"/>
      <c r="DC117" s="811"/>
      <c r="DD117" s="811"/>
      <c r="DE117" s="811"/>
      <c r="DF117" s="811"/>
      <c r="DG117" s="811"/>
      <c r="DH117" s="811"/>
      <c r="DI117" s="811"/>
      <c r="DJ117" s="811"/>
      <c r="DK117" s="811"/>
      <c r="DL117" s="811"/>
      <c r="DM117" s="811"/>
      <c r="DN117" s="811"/>
      <c r="DO117" s="811"/>
      <c r="DP117" s="811"/>
      <c r="DQ117" s="811"/>
      <c r="DR117" s="811"/>
      <c r="DS117" s="811"/>
      <c r="DT117" s="811"/>
      <c r="DU117" s="811"/>
      <c r="DV117" s="811"/>
      <c r="DW117" s="811"/>
    </row>
    <row r="118" spans="1:129">
      <c r="A118" s="515" t="s">
        <v>223</v>
      </c>
      <c r="B118" s="685"/>
      <c r="C118" s="685"/>
      <c r="D118" s="412"/>
      <c r="E118" s="412"/>
      <c r="F118" s="396"/>
      <c r="G118" s="233">
        <f t="shared" ref="G118:AL118" ca="1" si="79">F144+G112+SUM(G113,G114)</f>
        <v>0</v>
      </c>
      <c r="H118" s="233">
        <f t="shared" ca="1" si="79"/>
        <v>0</v>
      </c>
      <c r="I118" s="233">
        <f t="shared" ca="1" si="79"/>
        <v>0</v>
      </c>
      <c r="J118" s="233">
        <f t="shared" ca="1" si="79"/>
        <v>0</v>
      </c>
      <c r="K118" s="233">
        <f t="shared" ca="1" si="79"/>
        <v>0</v>
      </c>
      <c r="L118" s="233">
        <f t="shared" ca="1" si="79"/>
        <v>0</v>
      </c>
      <c r="M118" s="233">
        <f t="shared" ca="1" si="79"/>
        <v>0</v>
      </c>
      <c r="N118" s="233">
        <f t="shared" ca="1" si="79"/>
        <v>0</v>
      </c>
      <c r="O118" s="233">
        <f t="shared" ca="1" si="79"/>
        <v>0</v>
      </c>
      <c r="P118" s="233">
        <f t="shared" ca="1" si="79"/>
        <v>0</v>
      </c>
      <c r="Q118" s="233">
        <f t="shared" ca="1" si="79"/>
        <v>0</v>
      </c>
      <c r="R118" s="233">
        <f t="shared" ca="1" si="79"/>
        <v>0</v>
      </c>
      <c r="S118" s="233">
        <f t="shared" ca="1" si="79"/>
        <v>0</v>
      </c>
      <c r="T118" s="233">
        <f t="shared" ca="1" si="79"/>
        <v>0</v>
      </c>
      <c r="U118" s="233">
        <f t="shared" ca="1" si="79"/>
        <v>0</v>
      </c>
      <c r="V118" s="233">
        <f t="shared" ca="1" si="79"/>
        <v>0</v>
      </c>
      <c r="W118" s="233">
        <f t="shared" ca="1" si="79"/>
        <v>0</v>
      </c>
      <c r="X118" s="233">
        <f t="shared" ca="1" si="79"/>
        <v>0</v>
      </c>
      <c r="Y118" s="233">
        <f t="shared" ca="1" si="79"/>
        <v>0</v>
      </c>
      <c r="Z118" s="233">
        <f t="shared" ca="1" si="79"/>
        <v>0</v>
      </c>
      <c r="AA118" s="233">
        <f t="shared" ca="1" si="79"/>
        <v>0</v>
      </c>
      <c r="AB118" s="233">
        <f t="shared" ca="1" si="79"/>
        <v>0</v>
      </c>
      <c r="AC118" s="233">
        <f t="shared" ca="1" si="79"/>
        <v>0</v>
      </c>
      <c r="AD118" s="233">
        <f t="shared" ca="1" si="79"/>
        <v>0</v>
      </c>
      <c r="AE118" s="233">
        <f t="shared" ca="1" si="79"/>
        <v>0</v>
      </c>
      <c r="AF118" s="233">
        <f t="shared" ca="1" si="79"/>
        <v>0</v>
      </c>
      <c r="AG118" s="233">
        <f t="shared" ca="1" si="79"/>
        <v>0</v>
      </c>
      <c r="AH118" s="233">
        <f t="shared" ca="1" si="79"/>
        <v>0</v>
      </c>
      <c r="AI118" s="233">
        <f t="shared" ca="1" si="79"/>
        <v>0</v>
      </c>
      <c r="AJ118" s="233">
        <f t="shared" ca="1" si="79"/>
        <v>0</v>
      </c>
      <c r="AK118" s="233">
        <f t="shared" ca="1" si="79"/>
        <v>0</v>
      </c>
      <c r="AL118" s="233">
        <f t="shared" ca="1" si="79"/>
        <v>0</v>
      </c>
      <c r="AM118" s="233">
        <f t="shared" ref="AM118:BO118" ca="1" si="80">AL144+AM112+SUM(AM113,AM114)</f>
        <v>0</v>
      </c>
      <c r="AN118" s="233">
        <f t="shared" ca="1" si="80"/>
        <v>0</v>
      </c>
      <c r="AO118" s="233">
        <f t="shared" ca="1" si="80"/>
        <v>0</v>
      </c>
      <c r="AP118" s="233">
        <f t="shared" ca="1" si="80"/>
        <v>0</v>
      </c>
      <c r="AQ118" s="233">
        <f t="shared" ca="1" si="80"/>
        <v>0</v>
      </c>
      <c r="AR118" s="233">
        <f t="shared" ca="1" si="80"/>
        <v>0</v>
      </c>
      <c r="AS118" s="233">
        <f t="shared" ca="1" si="80"/>
        <v>0</v>
      </c>
      <c r="AT118" s="233">
        <f t="shared" ca="1" si="80"/>
        <v>0</v>
      </c>
      <c r="AU118" s="233">
        <f t="shared" ca="1" si="80"/>
        <v>589.64965024149296</v>
      </c>
      <c r="AV118" s="233">
        <f t="shared" ca="1" si="80"/>
        <v>3693.7134037943833</v>
      </c>
      <c r="AW118" s="233">
        <f t="shared" ca="1" si="80"/>
        <v>3116.5444246411271</v>
      </c>
      <c r="AX118" s="233">
        <f t="shared" ca="1" si="80"/>
        <v>3762.6414396586947</v>
      </c>
      <c r="AY118" s="233">
        <f t="shared" ca="1" si="80"/>
        <v>3164.9784998685691</v>
      </c>
      <c r="AZ118" s="233">
        <f t="shared" ca="1" si="80"/>
        <v>3824.16800824956</v>
      </c>
      <c r="BA118" s="233">
        <f t="shared" ca="1" si="80"/>
        <v>3196.5575378999215</v>
      </c>
      <c r="BB118" s="233">
        <f t="shared" ca="1" si="80"/>
        <v>3875.3898767289515</v>
      </c>
      <c r="BC118" s="233">
        <f t="shared" ca="1" si="80"/>
        <v>3259.9545717793735</v>
      </c>
      <c r="BD118" s="233">
        <f t="shared" ca="1" si="80"/>
        <v>3952.0908817009154</v>
      </c>
      <c r="BE118" s="233">
        <f t="shared" ca="1" si="80"/>
        <v>3297.0462943434359</v>
      </c>
      <c r="BF118" s="233">
        <f t="shared" ca="1" si="80"/>
        <v>3992.625071042642</v>
      </c>
      <c r="BG118" s="233">
        <f t="shared" ca="1" si="80"/>
        <v>3332.6309188652704</v>
      </c>
      <c r="BH118" s="233">
        <f t="shared" ca="1" si="80"/>
        <v>4036.5071580853864</v>
      </c>
      <c r="BI118" s="233">
        <f t="shared" ca="1" si="80"/>
        <v>3347.78930423056</v>
      </c>
      <c r="BJ118" s="233">
        <f t="shared" ca="1" si="80"/>
        <v>4067.8336921933787</v>
      </c>
      <c r="BK118" s="233">
        <f t="shared" ca="1" si="80"/>
        <v>3350.2482793777494</v>
      </c>
      <c r="BL118" s="233">
        <f t="shared" ca="1" si="80"/>
        <v>4073.708943249093</v>
      </c>
      <c r="BM118" s="233">
        <f t="shared" ca="1" si="80"/>
        <v>3374.3141513239698</v>
      </c>
      <c r="BN118" s="233">
        <f t="shared" ca="1" si="80"/>
        <v>4091.3183097872356</v>
      </c>
      <c r="BO118" s="233">
        <f t="shared" ca="1" si="80"/>
        <v>3405.1297741326475</v>
      </c>
      <c r="BP118" s="233"/>
      <c r="BQ118" s="233"/>
      <c r="BR118" s="233"/>
      <c r="BS118" s="233"/>
      <c r="BT118" s="233"/>
      <c r="BU118" s="233"/>
      <c r="BV118" s="233"/>
      <c r="BW118" s="233"/>
      <c r="BX118" s="233"/>
      <c r="BY118" s="233"/>
      <c r="BZ118" s="233"/>
      <c r="CA118" s="233"/>
      <c r="CB118" s="233"/>
      <c r="CC118" s="233"/>
      <c r="CD118" s="233"/>
      <c r="CE118" s="233"/>
      <c r="CF118" s="233"/>
      <c r="CG118" s="233"/>
      <c r="CH118" s="233"/>
      <c r="CI118" s="233"/>
      <c r="CJ118" s="233"/>
      <c r="CK118" s="233"/>
      <c r="CL118" s="233"/>
      <c r="CM118" s="233"/>
      <c r="CN118" s="233"/>
      <c r="CO118" s="233"/>
      <c r="CP118" s="233"/>
      <c r="CQ118" s="233"/>
      <c r="CR118" s="233"/>
      <c r="CS118" s="233"/>
      <c r="CT118" s="233"/>
      <c r="CU118" s="233"/>
      <c r="CV118" s="233"/>
      <c r="CW118" s="233"/>
      <c r="CX118" s="233"/>
      <c r="CY118" s="233"/>
      <c r="CZ118" s="233"/>
      <c r="DA118" s="233"/>
      <c r="DB118" s="233"/>
      <c r="DC118" s="233"/>
      <c r="DD118" s="233"/>
      <c r="DE118" s="233"/>
      <c r="DF118" s="233"/>
      <c r="DG118" s="233"/>
      <c r="DH118" s="233"/>
      <c r="DI118" s="233"/>
      <c r="DJ118" s="233"/>
      <c r="DK118" s="233"/>
      <c r="DL118" s="233"/>
      <c r="DM118" s="233"/>
      <c r="DN118" s="233"/>
      <c r="DO118" s="233"/>
      <c r="DP118" s="233"/>
      <c r="DQ118" s="233"/>
      <c r="DR118" s="233"/>
      <c r="DS118" s="233"/>
      <c r="DT118" s="233"/>
      <c r="DU118" s="233"/>
      <c r="DV118" s="233"/>
      <c r="DW118" s="233"/>
    </row>
    <row r="119" spans="1:129">
      <c r="A119" s="515"/>
      <c r="B119" s="676"/>
      <c r="C119" s="676"/>
      <c r="D119" s="494"/>
      <c r="E119" s="494"/>
      <c r="G119" s="505"/>
      <c r="H119" s="505"/>
      <c r="I119" s="505"/>
      <c r="J119" s="505"/>
      <c r="K119" s="505"/>
      <c r="L119" s="505"/>
      <c r="M119" s="505"/>
      <c r="N119" s="505"/>
      <c r="O119" s="505"/>
      <c r="P119" s="505"/>
      <c r="Q119" s="505"/>
      <c r="R119" s="505"/>
      <c r="S119" s="505"/>
      <c r="T119" s="505"/>
      <c r="U119" s="505"/>
      <c r="V119" s="505"/>
      <c r="W119" s="505"/>
      <c r="X119" s="505"/>
      <c r="Y119" s="505"/>
      <c r="Z119" s="505"/>
      <c r="AA119" s="505"/>
      <c r="AB119" s="505"/>
      <c r="AC119" s="505"/>
      <c r="AD119" s="505"/>
      <c r="AE119" s="505"/>
      <c r="AF119" s="505"/>
      <c r="AG119" s="505"/>
      <c r="AH119" s="505"/>
      <c r="AI119" s="505"/>
      <c r="AJ119" s="505"/>
      <c r="AK119" s="505"/>
      <c r="AL119" s="505"/>
      <c r="AM119" s="505"/>
      <c r="AN119" s="505"/>
      <c r="AO119" s="505"/>
      <c r="AP119" s="505"/>
      <c r="AQ119" s="505"/>
      <c r="AR119" s="505"/>
      <c r="AS119" s="505"/>
      <c r="AT119" s="505"/>
      <c r="AU119" s="505"/>
      <c r="AV119" s="505"/>
      <c r="AW119" s="505"/>
      <c r="AX119" s="505"/>
      <c r="AY119" s="505"/>
      <c r="AZ119" s="505"/>
      <c r="BA119" s="505"/>
      <c r="BB119" s="505"/>
      <c r="BC119" s="505"/>
      <c r="BD119" s="505"/>
      <c r="BE119" s="505"/>
      <c r="BF119" s="505"/>
      <c r="BG119" s="505"/>
      <c r="BH119" s="505"/>
      <c r="BI119" s="505"/>
      <c r="BJ119" s="505"/>
      <c r="BK119" s="505"/>
      <c r="BL119" s="505"/>
      <c r="BM119" s="505"/>
      <c r="BN119" s="505"/>
      <c r="BO119" s="505"/>
      <c r="BP119" s="505"/>
      <c r="BQ119" s="505"/>
      <c r="BR119" s="505"/>
      <c r="BS119" s="505"/>
      <c r="BT119" s="505"/>
      <c r="BU119" s="505"/>
      <c r="BV119" s="505"/>
      <c r="BW119" s="505"/>
      <c r="BX119" s="505"/>
      <c r="BY119" s="505"/>
      <c r="BZ119" s="505"/>
      <c r="CA119" s="505"/>
      <c r="CB119" s="505"/>
      <c r="CC119" s="505"/>
      <c r="CD119" s="505"/>
      <c r="CE119" s="505"/>
      <c r="CF119" s="505"/>
      <c r="CG119" s="505"/>
      <c r="CH119" s="505"/>
      <c r="CI119" s="505"/>
      <c r="CJ119" s="505"/>
      <c r="CK119" s="505"/>
      <c r="CL119" s="505"/>
      <c r="CM119" s="505"/>
      <c r="CN119" s="505"/>
      <c r="CO119" s="505"/>
      <c r="CP119" s="505"/>
      <c r="CQ119" s="505"/>
      <c r="CR119" s="505"/>
      <c r="CS119" s="505"/>
      <c r="CT119" s="505"/>
      <c r="CU119" s="505"/>
      <c r="CV119" s="505"/>
      <c r="CW119" s="505"/>
      <c r="CX119" s="505"/>
      <c r="CY119" s="505"/>
      <c r="CZ119" s="505"/>
      <c r="DA119" s="505"/>
      <c r="DB119" s="505"/>
      <c r="DC119" s="505"/>
      <c r="DD119" s="505"/>
      <c r="DE119" s="505"/>
      <c r="DF119" s="505"/>
      <c r="DG119" s="505"/>
      <c r="DH119" s="505"/>
      <c r="DI119" s="505"/>
      <c r="DJ119" s="505"/>
      <c r="DK119" s="505"/>
      <c r="DL119" s="505"/>
      <c r="DM119" s="505"/>
      <c r="DN119" s="505"/>
      <c r="DO119" s="505"/>
      <c r="DP119" s="505"/>
      <c r="DQ119" s="505"/>
      <c r="DR119" s="505"/>
      <c r="DS119" s="505"/>
      <c r="DT119" s="505"/>
      <c r="DU119" s="505"/>
      <c r="DV119" s="505"/>
      <c r="DW119" s="505"/>
    </row>
    <row r="120" spans="1:129">
      <c r="A120" s="516" t="s">
        <v>17</v>
      </c>
      <c r="B120" s="676"/>
      <c r="C120" s="676"/>
      <c r="D120" s="494"/>
      <c r="E120" s="494"/>
      <c r="G120" s="505" t="b">
        <f t="shared" ref="G120:AL120" ca="1" si="81">+IF(G4&gt;0,IF((G117+F154)&gt;=0,TRUE,FALSE),TRUE)</f>
        <v>1</v>
      </c>
      <c r="H120" s="505" t="b">
        <f t="shared" ca="1" si="81"/>
        <v>0</v>
      </c>
      <c r="I120" s="505" t="b">
        <f t="shared" ca="1" si="81"/>
        <v>0</v>
      </c>
      <c r="J120" s="505" t="b">
        <f t="shared" ca="1" si="81"/>
        <v>0</v>
      </c>
      <c r="K120" s="505" t="b">
        <f t="shared" ca="1" si="81"/>
        <v>0</v>
      </c>
      <c r="L120" s="505" t="b">
        <f t="shared" ca="1" si="81"/>
        <v>0</v>
      </c>
      <c r="M120" s="505" t="b">
        <f t="shared" ca="1" si="81"/>
        <v>0</v>
      </c>
      <c r="N120" s="505" t="b">
        <f t="shared" ca="1" si="81"/>
        <v>0</v>
      </c>
      <c r="O120" s="505" t="b">
        <f t="shared" ca="1" si="81"/>
        <v>0</v>
      </c>
      <c r="P120" s="505" t="b">
        <f t="shared" ca="1" si="81"/>
        <v>0</v>
      </c>
      <c r="Q120" s="505" t="b">
        <f t="shared" ca="1" si="81"/>
        <v>0</v>
      </c>
      <c r="R120" s="505" t="b">
        <f t="shared" ca="1" si="81"/>
        <v>0</v>
      </c>
      <c r="S120" s="505" t="b">
        <f t="shared" ca="1" si="81"/>
        <v>0</v>
      </c>
      <c r="T120" s="505" t="b">
        <f t="shared" ca="1" si="81"/>
        <v>0</v>
      </c>
      <c r="U120" s="505" t="b">
        <f t="shared" ca="1" si="81"/>
        <v>0</v>
      </c>
      <c r="V120" s="505" t="b">
        <f t="shared" ca="1" si="81"/>
        <v>0</v>
      </c>
      <c r="W120" s="505" t="b">
        <f t="shared" ca="1" si="81"/>
        <v>0</v>
      </c>
      <c r="X120" s="505" t="b">
        <f t="shared" ca="1" si="81"/>
        <v>0</v>
      </c>
      <c r="Y120" s="505" t="b">
        <f t="shared" ca="1" si="81"/>
        <v>0</v>
      </c>
      <c r="Z120" s="505" t="b">
        <f t="shared" ca="1" si="81"/>
        <v>0</v>
      </c>
      <c r="AA120" s="505" t="b">
        <f t="shared" ca="1" si="81"/>
        <v>0</v>
      </c>
      <c r="AB120" s="505" t="b">
        <f t="shared" ca="1" si="81"/>
        <v>0</v>
      </c>
      <c r="AC120" s="505" t="b">
        <f t="shared" ca="1" si="81"/>
        <v>0</v>
      </c>
      <c r="AD120" s="505" t="b">
        <f t="shared" ca="1" si="81"/>
        <v>0</v>
      </c>
      <c r="AE120" s="505" t="b">
        <f t="shared" ca="1" si="81"/>
        <v>0</v>
      </c>
      <c r="AF120" s="505" t="b">
        <f t="shared" ca="1" si="81"/>
        <v>0</v>
      </c>
      <c r="AG120" s="505" t="b">
        <f t="shared" ca="1" si="81"/>
        <v>0</v>
      </c>
      <c r="AH120" s="505" t="b">
        <f t="shared" ca="1" si="81"/>
        <v>0</v>
      </c>
      <c r="AI120" s="505" t="b">
        <f t="shared" ca="1" si="81"/>
        <v>0</v>
      </c>
      <c r="AJ120" s="505" t="b">
        <f t="shared" ca="1" si="81"/>
        <v>0</v>
      </c>
      <c r="AK120" s="505" t="b">
        <f t="shared" ca="1" si="81"/>
        <v>0</v>
      </c>
      <c r="AL120" s="505" t="b">
        <f t="shared" ca="1" si="81"/>
        <v>0</v>
      </c>
      <c r="AM120" s="505" t="b">
        <f t="shared" ref="AM120:BO120" ca="1" si="82">+IF(AM4&gt;0,IF((AM117+AL154)&gt;=0,TRUE,FALSE),TRUE)</f>
        <v>0</v>
      </c>
      <c r="AN120" s="505" t="b">
        <f t="shared" ca="1" si="82"/>
        <v>0</v>
      </c>
      <c r="AO120" s="505" t="b">
        <f t="shared" ca="1" si="82"/>
        <v>0</v>
      </c>
      <c r="AP120" s="505" t="b">
        <f t="shared" ca="1" si="82"/>
        <v>0</v>
      </c>
      <c r="AQ120" s="505" t="b">
        <f t="shared" ca="1" si="82"/>
        <v>0</v>
      </c>
      <c r="AR120" s="505" t="b">
        <f t="shared" ca="1" si="82"/>
        <v>0</v>
      </c>
      <c r="AS120" s="505" t="b">
        <f t="shared" ca="1" si="82"/>
        <v>0</v>
      </c>
      <c r="AT120" s="505" t="b">
        <f t="shared" ca="1" si="82"/>
        <v>0</v>
      </c>
      <c r="AU120" s="505" t="b">
        <f t="shared" ca="1" si="82"/>
        <v>1</v>
      </c>
      <c r="AV120" s="505" t="b">
        <f t="shared" ca="1" si="82"/>
        <v>1</v>
      </c>
      <c r="AW120" s="505" t="b">
        <f t="shared" ca="1" si="82"/>
        <v>1</v>
      </c>
      <c r="AX120" s="505" t="b">
        <f t="shared" ca="1" si="82"/>
        <v>1</v>
      </c>
      <c r="AY120" s="505" t="b">
        <f t="shared" ca="1" si="82"/>
        <v>1</v>
      </c>
      <c r="AZ120" s="505" t="b">
        <f t="shared" ca="1" si="82"/>
        <v>1</v>
      </c>
      <c r="BA120" s="505" t="b">
        <f t="shared" ca="1" si="82"/>
        <v>1</v>
      </c>
      <c r="BB120" s="505" t="b">
        <f t="shared" ca="1" si="82"/>
        <v>1</v>
      </c>
      <c r="BC120" s="505" t="b">
        <f t="shared" ca="1" si="82"/>
        <v>1</v>
      </c>
      <c r="BD120" s="505" t="b">
        <f t="shared" ca="1" si="82"/>
        <v>1</v>
      </c>
      <c r="BE120" s="505" t="b">
        <f t="shared" ca="1" si="82"/>
        <v>1</v>
      </c>
      <c r="BF120" s="505" t="b">
        <f t="shared" ca="1" si="82"/>
        <v>1</v>
      </c>
      <c r="BG120" s="505" t="b">
        <f t="shared" ca="1" si="82"/>
        <v>1</v>
      </c>
      <c r="BH120" s="505" t="b">
        <f t="shared" ca="1" si="82"/>
        <v>1</v>
      </c>
      <c r="BI120" s="505" t="b">
        <f t="shared" ca="1" si="82"/>
        <v>1</v>
      </c>
      <c r="BJ120" s="505" t="b">
        <f t="shared" ca="1" si="82"/>
        <v>1</v>
      </c>
      <c r="BK120" s="505" t="b">
        <f t="shared" ca="1" si="82"/>
        <v>1</v>
      </c>
      <c r="BL120" s="505" t="b">
        <f t="shared" ca="1" si="82"/>
        <v>1</v>
      </c>
      <c r="BM120" s="505" t="b">
        <f t="shared" ca="1" si="82"/>
        <v>1</v>
      </c>
      <c r="BN120" s="505" t="b">
        <f t="shared" ca="1" si="82"/>
        <v>1</v>
      </c>
      <c r="BO120" s="505" t="b">
        <f t="shared" ca="1" si="82"/>
        <v>1</v>
      </c>
      <c r="BP120" s="505"/>
      <c r="BQ120" s="505"/>
      <c r="BR120" s="505"/>
      <c r="BS120" s="505"/>
      <c r="BT120" s="505"/>
      <c r="BU120" s="505"/>
      <c r="BV120" s="505"/>
      <c r="BW120" s="505"/>
      <c r="BX120" s="505"/>
      <c r="BY120" s="505"/>
      <c r="BZ120" s="505"/>
      <c r="CA120" s="505"/>
      <c r="CB120" s="505"/>
      <c r="CC120" s="505"/>
      <c r="CD120" s="505"/>
      <c r="CE120" s="505"/>
      <c r="CF120" s="505"/>
      <c r="CG120" s="505"/>
      <c r="CH120" s="505"/>
      <c r="CI120" s="505"/>
      <c r="CJ120" s="505"/>
      <c r="CK120" s="505"/>
      <c r="CL120" s="505"/>
      <c r="CM120" s="505"/>
      <c r="CN120" s="505"/>
      <c r="CO120" s="505"/>
      <c r="CP120" s="505"/>
      <c r="CQ120" s="505"/>
      <c r="CR120" s="505"/>
      <c r="CS120" s="505"/>
      <c r="CT120" s="505"/>
      <c r="CU120" s="505"/>
      <c r="CV120" s="505"/>
      <c r="CW120" s="505"/>
      <c r="CX120" s="505"/>
      <c r="CY120" s="505"/>
      <c r="CZ120" s="505"/>
      <c r="DA120" s="505"/>
      <c r="DB120" s="505"/>
      <c r="DC120" s="505"/>
      <c r="DD120" s="505"/>
      <c r="DE120" s="505"/>
      <c r="DF120" s="505"/>
      <c r="DG120" s="505"/>
      <c r="DH120" s="505"/>
      <c r="DI120" s="505"/>
      <c r="DJ120" s="505"/>
      <c r="DK120" s="505"/>
      <c r="DL120" s="505"/>
      <c r="DM120" s="505"/>
      <c r="DN120" s="505"/>
      <c r="DO120" s="505"/>
      <c r="DP120" s="505"/>
      <c r="DQ120" s="505"/>
      <c r="DR120" s="505"/>
      <c r="DS120" s="505"/>
      <c r="DT120" s="505"/>
      <c r="DU120" s="505"/>
      <c r="DV120" s="505"/>
      <c r="DW120" s="505"/>
    </row>
    <row r="121" spans="1:129" s="481" customFormat="1">
      <c r="A121" s="543" t="s">
        <v>223</v>
      </c>
      <c r="B121" s="687"/>
      <c r="C121" s="687"/>
      <c r="F121" s="304"/>
      <c r="G121" s="544" t="b">
        <f t="shared" ref="G121:AK121" ca="1" si="83">G118&gt;=-precision</f>
        <v>1</v>
      </c>
      <c r="H121" s="544" t="b">
        <f t="shared" ca="1" si="83"/>
        <v>1</v>
      </c>
      <c r="I121" s="544" t="b">
        <f t="shared" ca="1" si="83"/>
        <v>1</v>
      </c>
      <c r="J121" s="544" t="b">
        <f t="shared" ca="1" si="83"/>
        <v>1</v>
      </c>
      <c r="K121" s="544" t="b">
        <f t="shared" ca="1" si="83"/>
        <v>1</v>
      </c>
      <c r="L121" s="544" t="b">
        <f t="shared" ca="1" si="83"/>
        <v>1</v>
      </c>
      <c r="M121" s="544" t="b">
        <f t="shared" ca="1" si="83"/>
        <v>1</v>
      </c>
      <c r="N121" s="544" t="b">
        <f t="shared" ca="1" si="83"/>
        <v>1</v>
      </c>
      <c r="O121" s="544" t="b">
        <f t="shared" ca="1" si="83"/>
        <v>1</v>
      </c>
      <c r="P121" s="544" t="b">
        <f t="shared" ca="1" si="83"/>
        <v>1</v>
      </c>
      <c r="Q121" s="544" t="b">
        <f t="shared" ca="1" si="83"/>
        <v>1</v>
      </c>
      <c r="R121" s="544" t="b">
        <f t="shared" ca="1" si="83"/>
        <v>1</v>
      </c>
      <c r="S121" s="544" t="b">
        <f t="shared" ca="1" si="83"/>
        <v>1</v>
      </c>
      <c r="T121" s="544" t="b">
        <f t="shared" ca="1" si="83"/>
        <v>1</v>
      </c>
      <c r="U121" s="544" t="b">
        <f t="shared" ca="1" si="83"/>
        <v>1</v>
      </c>
      <c r="V121" s="544" t="b">
        <f t="shared" ca="1" si="83"/>
        <v>1</v>
      </c>
      <c r="W121" s="544" t="b">
        <f t="shared" ca="1" si="83"/>
        <v>1</v>
      </c>
      <c r="X121" s="544" t="b">
        <f ca="1">X118&gt;=-precision</f>
        <v>1</v>
      </c>
      <c r="Y121" s="544" t="b">
        <f t="shared" ca="1" si="83"/>
        <v>1</v>
      </c>
      <c r="Z121" s="544" t="b">
        <f t="shared" ca="1" si="83"/>
        <v>1</v>
      </c>
      <c r="AA121" s="544" t="b">
        <f t="shared" ca="1" si="83"/>
        <v>1</v>
      </c>
      <c r="AB121" s="544" t="b">
        <f t="shared" ca="1" si="83"/>
        <v>1</v>
      </c>
      <c r="AC121" s="544" t="b">
        <f t="shared" ca="1" si="83"/>
        <v>1</v>
      </c>
      <c r="AD121" s="544" t="b">
        <f t="shared" ca="1" si="83"/>
        <v>1</v>
      </c>
      <c r="AE121" s="544" t="b">
        <f t="shared" ca="1" si="83"/>
        <v>1</v>
      </c>
      <c r="AF121" s="544" t="b">
        <f t="shared" ca="1" si="83"/>
        <v>1</v>
      </c>
      <c r="AG121" s="544" t="b">
        <f t="shared" ca="1" si="83"/>
        <v>1</v>
      </c>
      <c r="AH121" s="544" t="b">
        <f t="shared" ca="1" si="83"/>
        <v>1</v>
      </c>
      <c r="AI121" s="544" t="b">
        <f t="shared" ca="1" si="83"/>
        <v>1</v>
      </c>
      <c r="AJ121" s="544" t="b">
        <f t="shared" ca="1" si="83"/>
        <v>1</v>
      </c>
      <c r="AK121" s="544" t="b">
        <f t="shared" ca="1" si="83"/>
        <v>1</v>
      </c>
      <c r="AL121" s="544" t="b">
        <f ca="1">AL118&gt;=-precision</f>
        <v>1</v>
      </c>
      <c r="AM121" s="544" t="b">
        <f t="shared" ref="AM121:BO121" ca="1" si="84">AM118&gt;=-precision</f>
        <v>1</v>
      </c>
      <c r="AN121" s="544" t="b">
        <f t="shared" ca="1" si="84"/>
        <v>1</v>
      </c>
      <c r="AO121" s="544" t="b">
        <f t="shared" ca="1" si="84"/>
        <v>1</v>
      </c>
      <c r="AP121" s="544" t="b">
        <f t="shared" ca="1" si="84"/>
        <v>1</v>
      </c>
      <c r="AQ121" s="544" t="b">
        <f t="shared" ca="1" si="84"/>
        <v>1</v>
      </c>
      <c r="AR121" s="544" t="b">
        <f t="shared" ca="1" si="84"/>
        <v>1</v>
      </c>
      <c r="AS121" s="544" t="b">
        <f t="shared" ca="1" si="84"/>
        <v>1</v>
      </c>
      <c r="AT121" s="544" t="b">
        <f t="shared" ca="1" si="84"/>
        <v>1</v>
      </c>
      <c r="AU121" s="544" t="b">
        <f t="shared" ca="1" si="84"/>
        <v>1</v>
      </c>
      <c r="AV121" s="544" t="b">
        <f t="shared" ca="1" si="84"/>
        <v>1</v>
      </c>
      <c r="AW121" s="544" t="b">
        <f t="shared" ca="1" si="84"/>
        <v>1</v>
      </c>
      <c r="AX121" s="544" t="b">
        <f t="shared" ca="1" si="84"/>
        <v>1</v>
      </c>
      <c r="AY121" s="544" t="b">
        <f t="shared" ca="1" si="84"/>
        <v>1</v>
      </c>
      <c r="AZ121" s="544" t="b">
        <f t="shared" ca="1" si="84"/>
        <v>1</v>
      </c>
      <c r="BA121" s="544" t="b">
        <f t="shared" ca="1" si="84"/>
        <v>1</v>
      </c>
      <c r="BB121" s="544" t="b">
        <f t="shared" ca="1" si="84"/>
        <v>1</v>
      </c>
      <c r="BC121" s="544" t="b">
        <f t="shared" ca="1" si="84"/>
        <v>1</v>
      </c>
      <c r="BD121" s="544" t="b">
        <f t="shared" ca="1" si="84"/>
        <v>1</v>
      </c>
      <c r="BE121" s="544" t="b">
        <f t="shared" ca="1" si="84"/>
        <v>1</v>
      </c>
      <c r="BF121" s="544" t="b">
        <f t="shared" ca="1" si="84"/>
        <v>1</v>
      </c>
      <c r="BG121" s="544" t="b">
        <f t="shared" ca="1" si="84"/>
        <v>1</v>
      </c>
      <c r="BH121" s="544" t="b">
        <f t="shared" ca="1" si="84"/>
        <v>1</v>
      </c>
      <c r="BI121" s="544" t="b">
        <f t="shared" ca="1" si="84"/>
        <v>1</v>
      </c>
      <c r="BJ121" s="544" t="b">
        <f t="shared" ca="1" si="84"/>
        <v>1</v>
      </c>
      <c r="BK121" s="544" t="b">
        <f t="shared" ca="1" si="84"/>
        <v>1</v>
      </c>
      <c r="BL121" s="544" t="b">
        <f t="shared" ca="1" si="84"/>
        <v>1</v>
      </c>
      <c r="BM121" s="544" t="b">
        <f t="shared" ca="1" si="84"/>
        <v>1</v>
      </c>
      <c r="BN121" s="544" t="b">
        <f t="shared" ca="1" si="84"/>
        <v>1</v>
      </c>
      <c r="BO121" s="544" t="b">
        <f t="shared" ca="1" si="84"/>
        <v>1</v>
      </c>
      <c r="BP121" s="544"/>
      <c r="BQ121" s="544"/>
      <c r="BR121" s="544"/>
      <c r="BS121" s="544"/>
      <c r="BT121" s="544"/>
      <c r="BU121" s="544"/>
      <c r="BV121" s="544"/>
      <c r="BW121" s="544"/>
      <c r="BX121" s="544"/>
      <c r="BY121" s="544"/>
      <c r="BZ121" s="544"/>
      <c r="CA121" s="544"/>
      <c r="CB121" s="544"/>
      <c r="CC121" s="544"/>
      <c r="CD121" s="544"/>
      <c r="CE121" s="544"/>
      <c r="CF121" s="544"/>
      <c r="CG121" s="544"/>
      <c r="CH121" s="544"/>
      <c r="CI121" s="544"/>
      <c r="CJ121" s="544"/>
      <c r="CK121" s="544"/>
      <c r="CL121" s="544"/>
      <c r="CM121" s="544"/>
      <c r="CN121" s="544"/>
      <c r="CO121" s="544"/>
      <c r="CP121" s="544"/>
      <c r="CQ121" s="544"/>
      <c r="CR121" s="544"/>
      <c r="CS121" s="544"/>
      <c r="CT121" s="544"/>
      <c r="CU121" s="544"/>
      <c r="CV121" s="544"/>
      <c r="CW121" s="544"/>
      <c r="CX121" s="544"/>
      <c r="CY121" s="544"/>
      <c r="CZ121" s="544"/>
      <c r="DA121" s="544"/>
      <c r="DB121" s="544"/>
      <c r="DC121" s="544"/>
      <c r="DD121" s="544"/>
      <c r="DE121" s="544"/>
      <c r="DF121" s="544"/>
      <c r="DG121" s="544"/>
      <c r="DH121" s="544"/>
      <c r="DI121" s="544"/>
      <c r="DJ121" s="544"/>
      <c r="DK121" s="544"/>
      <c r="DL121" s="544"/>
      <c r="DM121" s="544"/>
      <c r="DN121" s="544"/>
      <c r="DO121" s="544"/>
      <c r="DP121" s="544"/>
      <c r="DQ121" s="544"/>
      <c r="DR121" s="544"/>
      <c r="DS121" s="544"/>
      <c r="DT121" s="544"/>
      <c r="DU121" s="544"/>
      <c r="DV121" s="544"/>
      <c r="DW121" s="544"/>
    </row>
    <row r="122" spans="1:129" s="481" customFormat="1">
      <c r="A122" s="545"/>
      <c r="B122" s="687"/>
      <c r="C122" s="687"/>
      <c r="F122" s="304"/>
      <c r="G122" s="544"/>
      <c r="H122" s="544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  <c r="AC122" s="544"/>
      <c r="AD122" s="544"/>
      <c r="AE122" s="544"/>
      <c r="AF122" s="544"/>
      <c r="AG122" s="544"/>
      <c r="AH122" s="544"/>
      <c r="AI122" s="544"/>
      <c r="AJ122" s="544"/>
      <c r="AK122" s="544"/>
      <c r="AL122" s="544"/>
      <c r="AM122" s="544"/>
      <c r="AN122" s="544"/>
      <c r="AO122" s="544"/>
      <c r="AP122" s="544"/>
      <c r="AQ122" s="544"/>
      <c r="AR122" s="544"/>
      <c r="AS122" s="544"/>
      <c r="AT122" s="544"/>
      <c r="AU122" s="544"/>
      <c r="AV122" s="544"/>
      <c r="AW122" s="544"/>
      <c r="AX122" s="544"/>
      <c r="AY122" s="544"/>
      <c r="AZ122" s="544"/>
      <c r="BA122" s="544"/>
      <c r="BB122" s="544"/>
      <c r="BC122" s="544"/>
      <c r="BD122" s="544"/>
      <c r="BE122" s="544"/>
      <c r="BF122" s="544"/>
      <c r="BG122" s="544"/>
      <c r="BH122" s="544"/>
      <c r="BI122" s="544"/>
      <c r="BJ122" s="544"/>
      <c r="BK122" s="544"/>
      <c r="BL122" s="544"/>
      <c r="BM122" s="544"/>
      <c r="BN122" s="544"/>
      <c r="BO122" s="544"/>
      <c r="BP122" s="544"/>
      <c r="BQ122" s="544"/>
      <c r="BR122" s="544"/>
      <c r="BS122" s="544"/>
      <c r="BT122" s="544"/>
      <c r="BU122" s="544"/>
      <c r="BV122" s="544"/>
      <c r="BW122" s="544"/>
      <c r="BX122" s="544"/>
      <c r="BY122" s="544"/>
      <c r="BZ122" s="544"/>
      <c r="CA122" s="544"/>
      <c r="CB122" s="544"/>
      <c r="CC122" s="544"/>
      <c r="CD122" s="544"/>
      <c r="CE122" s="544"/>
      <c r="CF122" s="544"/>
      <c r="CG122" s="544"/>
      <c r="CH122" s="544"/>
      <c r="CI122" s="544"/>
      <c r="CJ122" s="544"/>
      <c r="CK122" s="544"/>
      <c r="CL122" s="544"/>
      <c r="CM122" s="544"/>
      <c r="CN122" s="544"/>
      <c r="CO122" s="544"/>
      <c r="CP122" s="544"/>
      <c r="CQ122" s="544"/>
      <c r="CR122" s="544"/>
      <c r="CS122" s="544"/>
      <c r="CT122" s="544"/>
      <c r="CU122" s="544"/>
      <c r="CV122" s="544"/>
      <c r="CW122" s="544"/>
      <c r="CX122" s="544"/>
      <c r="CY122" s="544"/>
      <c r="CZ122" s="544"/>
      <c r="DA122" s="544"/>
      <c r="DB122" s="544"/>
      <c r="DC122" s="544"/>
      <c r="DD122" s="544"/>
      <c r="DE122" s="544"/>
      <c r="DF122" s="544"/>
      <c r="DG122" s="544"/>
      <c r="DH122" s="544"/>
      <c r="DI122" s="544"/>
      <c r="DJ122" s="544"/>
      <c r="DK122" s="544"/>
      <c r="DL122" s="544"/>
      <c r="DM122" s="544"/>
      <c r="DN122" s="544"/>
      <c r="DO122" s="544"/>
      <c r="DP122" s="544"/>
      <c r="DQ122" s="544"/>
      <c r="DR122" s="544"/>
      <c r="DS122" s="544"/>
      <c r="DT122" s="544"/>
      <c r="DU122" s="544"/>
      <c r="DV122" s="544"/>
      <c r="DW122" s="544"/>
    </row>
    <row r="123" spans="1:129" s="481" customFormat="1">
      <c r="A123" s="546" t="s">
        <v>389</v>
      </c>
      <c r="B123" s="843">
        <f>Inputs!D320</f>
        <v>1</v>
      </c>
      <c r="C123" s="843"/>
      <c r="D123" s="387"/>
      <c r="E123" s="387"/>
      <c r="F123" s="396"/>
      <c r="G123" s="547">
        <f t="shared" ref="G123:AL123" ca="1" si="85">MAX(0,MIN(F154+G117-G153,G118))</f>
        <v>0</v>
      </c>
      <c r="H123" s="547">
        <f t="shared" ca="1" si="85"/>
        <v>0</v>
      </c>
      <c r="I123" s="547">
        <f t="shared" ca="1" si="85"/>
        <v>0</v>
      </c>
      <c r="J123" s="547">
        <f t="shared" ca="1" si="85"/>
        <v>0</v>
      </c>
      <c r="K123" s="547">
        <f t="shared" ca="1" si="85"/>
        <v>0</v>
      </c>
      <c r="L123" s="547">
        <f t="shared" ca="1" si="85"/>
        <v>0</v>
      </c>
      <c r="M123" s="547">
        <f t="shared" ca="1" si="85"/>
        <v>0</v>
      </c>
      <c r="N123" s="547">
        <f t="shared" ca="1" si="85"/>
        <v>0</v>
      </c>
      <c r="O123" s="547">
        <f t="shared" ca="1" si="85"/>
        <v>0</v>
      </c>
      <c r="P123" s="547">
        <f t="shared" ca="1" si="85"/>
        <v>0</v>
      </c>
      <c r="Q123" s="547">
        <f t="shared" ca="1" si="85"/>
        <v>0</v>
      </c>
      <c r="R123" s="547">
        <f t="shared" ca="1" si="85"/>
        <v>0</v>
      </c>
      <c r="S123" s="547">
        <f t="shared" ca="1" si="85"/>
        <v>0</v>
      </c>
      <c r="T123" s="547">
        <f t="shared" ca="1" si="85"/>
        <v>0</v>
      </c>
      <c r="U123" s="547">
        <f t="shared" ca="1" si="85"/>
        <v>0</v>
      </c>
      <c r="V123" s="547">
        <f t="shared" ca="1" si="85"/>
        <v>0</v>
      </c>
      <c r="W123" s="547">
        <f t="shared" ca="1" si="85"/>
        <v>0</v>
      </c>
      <c r="X123" s="547">
        <f t="shared" ca="1" si="85"/>
        <v>0</v>
      </c>
      <c r="Y123" s="547">
        <f t="shared" ca="1" si="85"/>
        <v>0</v>
      </c>
      <c r="Z123" s="547">
        <f t="shared" ca="1" si="85"/>
        <v>0</v>
      </c>
      <c r="AA123" s="547">
        <f t="shared" ca="1" si="85"/>
        <v>0</v>
      </c>
      <c r="AB123" s="547">
        <f t="shared" ca="1" si="85"/>
        <v>0</v>
      </c>
      <c r="AC123" s="547">
        <f t="shared" ca="1" si="85"/>
        <v>0</v>
      </c>
      <c r="AD123" s="547">
        <f t="shared" ca="1" si="85"/>
        <v>0</v>
      </c>
      <c r="AE123" s="547">
        <f t="shared" ca="1" si="85"/>
        <v>0</v>
      </c>
      <c r="AF123" s="547">
        <f t="shared" ca="1" si="85"/>
        <v>0</v>
      </c>
      <c r="AG123" s="547">
        <f t="shared" ca="1" si="85"/>
        <v>0</v>
      </c>
      <c r="AH123" s="547">
        <f t="shared" ca="1" si="85"/>
        <v>0</v>
      </c>
      <c r="AI123" s="547">
        <f t="shared" ca="1" si="85"/>
        <v>0</v>
      </c>
      <c r="AJ123" s="547">
        <f t="shared" ca="1" si="85"/>
        <v>0</v>
      </c>
      <c r="AK123" s="547">
        <f t="shared" ca="1" si="85"/>
        <v>0</v>
      </c>
      <c r="AL123" s="547">
        <f t="shared" ca="1" si="85"/>
        <v>0</v>
      </c>
      <c r="AM123" s="547">
        <f t="shared" ref="AM123:BO123" ca="1" si="86">MAX(0,MIN(AL154+AM117-AM153,AM118))</f>
        <v>0</v>
      </c>
      <c r="AN123" s="547">
        <f t="shared" ca="1" si="86"/>
        <v>0</v>
      </c>
      <c r="AO123" s="547">
        <f t="shared" ca="1" si="86"/>
        <v>0</v>
      </c>
      <c r="AP123" s="547">
        <f t="shared" ca="1" si="86"/>
        <v>0</v>
      </c>
      <c r="AQ123" s="547">
        <f t="shared" ca="1" si="86"/>
        <v>0</v>
      </c>
      <c r="AR123" s="547">
        <f t="shared" ca="1" si="86"/>
        <v>0</v>
      </c>
      <c r="AS123" s="547">
        <f t="shared" ca="1" si="86"/>
        <v>0</v>
      </c>
      <c r="AT123" s="547">
        <f t="shared" ca="1" si="86"/>
        <v>0</v>
      </c>
      <c r="AU123" s="547">
        <f t="shared" ca="1" si="86"/>
        <v>39.649650241465224</v>
      </c>
      <c r="AV123" s="547">
        <f t="shared" ca="1" si="86"/>
        <v>3143.7134037943556</v>
      </c>
      <c r="AW123" s="547">
        <f t="shared" ca="1" si="86"/>
        <v>2566.5444246410993</v>
      </c>
      <c r="AX123" s="547">
        <f t="shared" ca="1" si="86"/>
        <v>3212.641439658667</v>
      </c>
      <c r="AY123" s="547">
        <f t="shared" ca="1" si="86"/>
        <v>2614.9784998685413</v>
      </c>
      <c r="AZ123" s="547">
        <f t="shared" ca="1" si="86"/>
        <v>3274.1680082495322</v>
      </c>
      <c r="BA123" s="547">
        <f t="shared" ca="1" si="86"/>
        <v>2646.5575378998938</v>
      </c>
      <c r="BB123" s="547">
        <f t="shared" ca="1" si="86"/>
        <v>3325.3898767289238</v>
      </c>
      <c r="BC123" s="547">
        <f t="shared" ca="1" si="86"/>
        <v>2709.9545717793458</v>
      </c>
      <c r="BD123" s="547">
        <f t="shared" ca="1" si="86"/>
        <v>3402.0908817008876</v>
      </c>
      <c r="BE123" s="547">
        <f t="shared" ca="1" si="86"/>
        <v>2747.0462943434081</v>
      </c>
      <c r="BF123" s="547">
        <f t="shared" ca="1" si="86"/>
        <v>3442.6250710426143</v>
      </c>
      <c r="BG123" s="547">
        <f t="shared" ca="1" si="86"/>
        <v>2782.6309188652426</v>
      </c>
      <c r="BH123" s="547">
        <f t="shared" ca="1" si="86"/>
        <v>3486.5071580853587</v>
      </c>
      <c r="BI123" s="547">
        <f t="shared" ca="1" si="86"/>
        <v>2797.7893042305323</v>
      </c>
      <c r="BJ123" s="547">
        <f t="shared" ca="1" si="86"/>
        <v>3517.833692193351</v>
      </c>
      <c r="BK123" s="547">
        <f t="shared" ca="1" si="86"/>
        <v>2800.2482793777217</v>
      </c>
      <c r="BL123" s="547">
        <f t="shared" ca="1" si="86"/>
        <v>3523.7089432490652</v>
      </c>
      <c r="BM123" s="547">
        <f t="shared" ca="1" si="86"/>
        <v>2824.314151323942</v>
      </c>
      <c r="BN123" s="547">
        <f t="shared" ca="1" si="86"/>
        <v>3541.3183097872079</v>
      </c>
      <c r="BO123" s="547">
        <f t="shared" ca="1" si="86"/>
        <v>2855.1297741326198</v>
      </c>
      <c r="BP123" s="547"/>
      <c r="BQ123" s="547"/>
      <c r="BR123" s="547"/>
      <c r="BS123" s="547"/>
      <c r="BT123" s="547"/>
      <c r="BU123" s="547"/>
      <c r="BV123" s="547"/>
      <c r="BW123" s="547"/>
      <c r="BX123" s="547"/>
      <c r="BY123" s="547"/>
      <c r="BZ123" s="547"/>
      <c r="CA123" s="547"/>
      <c r="CB123" s="547"/>
      <c r="CC123" s="547"/>
      <c r="CD123" s="547"/>
      <c r="CE123" s="547"/>
      <c r="CF123" s="547"/>
      <c r="CG123" s="547"/>
      <c r="CH123" s="547"/>
      <c r="CI123" s="547"/>
      <c r="CJ123" s="547"/>
      <c r="CK123" s="547"/>
      <c r="CL123" s="547"/>
      <c r="CM123" s="547"/>
      <c r="CN123" s="547"/>
      <c r="CO123" s="547"/>
      <c r="CP123" s="547"/>
      <c r="CQ123" s="547"/>
      <c r="CR123" s="547"/>
      <c r="CS123" s="547"/>
      <c r="CT123" s="547"/>
      <c r="CU123" s="547"/>
      <c r="CV123" s="547"/>
      <c r="CW123" s="547"/>
      <c r="CX123" s="547"/>
      <c r="CY123" s="547"/>
      <c r="CZ123" s="547"/>
      <c r="DA123" s="547"/>
      <c r="DB123" s="547"/>
      <c r="DC123" s="547"/>
      <c r="DD123" s="547"/>
      <c r="DE123" s="547"/>
      <c r="DF123" s="547"/>
      <c r="DG123" s="547"/>
      <c r="DH123" s="547"/>
      <c r="DI123" s="547"/>
      <c r="DJ123" s="547"/>
      <c r="DK123" s="547"/>
      <c r="DL123" s="547"/>
      <c r="DM123" s="547"/>
      <c r="DN123" s="547"/>
      <c r="DO123" s="547"/>
      <c r="DP123" s="547"/>
      <c r="DQ123" s="547"/>
      <c r="DR123" s="547"/>
      <c r="DS123" s="547"/>
      <c r="DT123" s="547"/>
      <c r="DU123" s="547"/>
      <c r="DV123" s="547"/>
      <c r="DW123" s="547"/>
    </row>
    <row r="124" spans="1:129" s="481" customFormat="1">
      <c r="A124" s="545"/>
      <c r="B124" s="687"/>
      <c r="C124" s="687"/>
      <c r="F124" s="304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  <c r="AA124" s="547"/>
      <c r="AB124" s="547"/>
      <c r="AC124" s="547"/>
      <c r="AD124" s="547"/>
      <c r="AE124" s="547"/>
      <c r="AF124" s="547"/>
      <c r="AG124" s="547"/>
      <c r="AH124" s="547"/>
      <c r="AI124" s="547"/>
      <c r="AJ124" s="547"/>
      <c r="AK124" s="547"/>
      <c r="AL124" s="547"/>
      <c r="AM124" s="547"/>
      <c r="AN124" s="547"/>
      <c r="AO124" s="547"/>
      <c r="AP124" s="547"/>
      <c r="AQ124" s="547"/>
      <c r="AR124" s="547"/>
      <c r="AS124" s="547"/>
      <c r="AT124" s="547"/>
      <c r="AU124" s="547"/>
      <c r="AV124" s="547"/>
      <c r="AW124" s="547"/>
      <c r="AX124" s="547"/>
      <c r="AY124" s="547"/>
      <c r="AZ124" s="547"/>
      <c r="BA124" s="547"/>
      <c r="BB124" s="547"/>
      <c r="BC124" s="547"/>
      <c r="BD124" s="547"/>
      <c r="BE124" s="547"/>
      <c r="BF124" s="547"/>
      <c r="BG124" s="547"/>
      <c r="BH124" s="547"/>
      <c r="BI124" s="547"/>
      <c r="BJ124" s="547"/>
      <c r="BK124" s="547"/>
      <c r="BL124" s="547"/>
      <c r="BM124" s="547"/>
      <c r="BN124" s="547"/>
      <c r="BO124" s="547"/>
      <c r="BP124" s="547"/>
      <c r="BQ124" s="547"/>
      <c r="BR124" s="547"/>
      <c r="BS124" s="547"/>
      <c r="BT124" s="547"/>
      <c r="BU124" s="547"/>
      <c r="BV124" s="547"/>
      <c r="BW124" s="547"/>
      <c r="BX124" s="547"/>
      <c r="BY124" s="547"/>
      <c r="BZ124" s="547"/>
      <c r="CA124" s="547"/>
      <c r="CB124" s="547"/>
      <c r="CC124" s="547"/>
      <c r="CD124" s="547"/>
      <c r="CE124" s="547"/>
      <c r="CF124" s="547"/>
      <c r="CG124" s="547"/>
      <c r="CH124" s="547"/>
      <c r="CI124" s="547"/>
      <c r="CJ124" s="547"/>
      <c r="CK124" s="547"/>
      <c r="CL124" s="547"/>
      <c r="CM124" s="547"/>
      <c r="CN124" s="547"/>
      <c r="CO124" s="547"/>
      <c r="CP124" s="547"/>
      <c r="CQ124" s="547"/>
      <c r="CR124" s="547"/>
      <c r="CS124" s="547"/>
      <c r="CT124" s="547"/>
      <c r="CU124" s="547"/>
      <c r="CV124" s="547"/>
      <c r="CW124" s="547"/>
      <c r="CX124" s="547"/>
      <c r="CY124" s="547"/>
      <c r="CZ124" s="547"/>
      <c r="DA124" s="547"/>
      <c r="DB124" s="547"/>
      <c r="DC124" s="547"/>
      <c r="DD124" s="547"/>
      <c r="DE124" s="547"/>
      <c r="DF124" s="547"/>
      <c r="DG124" s="547"/>
      <c r="DH124" s="547"/>
      <c r="DI124" s="547"/>
      <c r="DJ124" s="547"/>
      <c r="DK124" s="547"/>
      <c r="DL124" s="547"/>
      <c r="DM124" s="547"/>
      <c r="DN124" s="547"/>
      <c r="DO124" s="547"/>
      <c r="DP124" s="547"/>
      <c r="DQ124" s="547"/>
      <c r="DR124" s="547"/>
      <c r="DS124" s="547"/>
      <c r="DT124" s="547"/>
      <c r="DU124" s="547"/>
      <c r="DV124" s="547"/>
      <c r="DW124" s="547"/>
    </row>
    <row r="125" spans="1:129" s="481" customFormat="1">
      <c r="A125" s="546" t="s">
        <v>1163</v>
      </c>
      <c r="B125" s="688"/>
      <c r="C125" s="688"/>
      <c r="D125" s="548"/>
      <c r="E125" s="548"/>
      <c r="F125" s="331"/>
      <c r="G125" s="549">
        <f t="shared" ref="G125:AN125" ca="1" si="87">IF(AND(G120:G121),G123*$B$123,0)</f>
        <v>0</v>
      </c>
      <c r="H125" s="549">
        <f t="shared" ca="1" si="87"/>
        <v>0</v>
      </c>
      <c r="I125" s="549">
        <f t="shared" ca="1" si="87"/>
        <v>0</v>
      </c>
      <c r="J125" s="549">
        <f t="shared" ca="1" si="87"/>
        <v>0</v>
      </c>
      <c r="K125" s="549">
        <f t="shared" ca="1" si="87"/>
        <v>0</v>
      </c>
      <c r="L125" s="549">
        <f t="shared" ca="1" si="87"/>
        <v>0</v>
      </c>
      <c r="M125" s="549">
        <f t="shared" ca="1" si="87"/>
        <v>0</v>
      </c>
      <c r="N125" s="549">
        <f t="shared" ca="1" si="87"/>
        <v>0</v>
      </c>
      <c r="O125" s="549">
        <f t="shared" ca="1" si="87"/>
        <v>0</v>
      </c>
      <c r="P125" s="549">
        <f t="shared" ca="1" si="87"/>
        <v>0</v>
      </c>
      <c r="Q125" s="549">
        <f t="shared" ca="1" si="87"/>
        <v>0</v>
      </c>
      <c r="R125" s="549">
        <f t="shared" ca="1" si="87"/>
        <v>0</v>
      </c>
      <c r="S125" s="549">
        <f t="shared" ca="1" si="87"/>
        <v>0</v>
      </c>
      <c r="T125" s="549">
        <f t="shared" ca="1" si="87"/>
        <v>0</v>
      </c>
      <c r="U125" s="549">
        <f t="shared" ca="1" si="87"/>
        <v>0</v>
      </c>
      <c r="V125" s="549">
        <f t="shared" ca="1" si="87"/>
        <v>0</v>
      </c>
      <c r="W125" s="549">
        <f t="shared" ca="1" si="87"/>
        <v>0</v>
      </c>
      <c r="X125" s="549">
        <f t="shared" ca="1" si="87"/>
        <v>0</v>
      </c>
      <c r="Y125" s="549">
        <f t="shared" ca="1" si="87"/>
        <v>0</v>
      </c>
      <c r="Z125" s="549">
        <f t="shared" ca="1" si="87"/>
        <v>0</v>
      </c>
      <c r="AA125" s="549">
        <f t="shared" ca="1" si="87"/>
        <v>0</v>
      </c>
      <c r="AB125" s="549">
        <f t="shared" ca="1" si="87"/>
        <v>0</v>
      </c>
      <c r="AC125" s="549">
        <f t="shared" ca="1" si="87"/>
        <v>0</v>
      </c>
      <c r="AD125" s="549">
        <f t="shared" ca="1" si="87"/>
        <v>0</v>
      </c>
      <c r="AE125" s="549">
        <f t="shared" ca="1" si="87"/>
        <v>0</v>
      </c>
      <c r="AF125" s="549">
        <f t="shared" ca="1" si="87"/>
        <v>0</v>
      </c>
      <c r="AG125" s="549">
        <f t="shared" ca="1" si="87"/>
        <v>0</v>
      </c>
      <c r="AH125" s="549">
        <f t="shared" ca="1" si="87"/>
        <v>0</v>
      </c>
      <c r="AI125" s="549">
        <f t="shared" ca="1" si="87"/>
        <v>0</v>
      </c>
      <c r="AJ125" s="549">
        <f t="shared" ca="1" si="87"/>
        <v>0</v>
      </c>
      <c r="AK125" s="549">
        <f t="shared" ca="1" si="87"/>
        <v>0</v>
      </c>
      <c r="AL125" s="549">
        <f t="shared" ca="1" si="87"/>
        <v>0</v>
      </c>
      <c r="AM125" s="549">
        <f t="shared" ca="1" si="87"/>
        <v>0</v>
      </c>
      <c r="AN125" s="549">
        <f t="shared" ca="1" si="87"/>
        <v>0</v>
      </c>
      <c r="AO125" s="549">
        <f ca="1">IF(AND(AO120:AO121),AO123*$B$123,0)</f>
        <v>0</v>
      </c>
      <c r="AP125" s="549">
        <f ca="1">IF(AND(AP120:AP121),AP123*$B$123,0)</f>
        <v>0</v>
      </c>
      <c r="AQ125" s="549">
        <f t="shared" ref="AQ125:BO125" ca="1" si="88">IF(AND(AQ120:AQ121),AQ123*$B$123,0)</f>
        <v>0</v>
      </c>
      <c r="AR125" s="549">
        <f t="shared" ca="1" si="88"/>
        <v>0</v>
      </c>
      <c r="AS125" s="549">
        <f t="shared" ca="1" si="88"/>
        <v>0</v>
      </c>
      <c r="AT125" s="549">
        <f t="shared" ca="1" si="88"/>
        <v>0</v>
      </c>
      <c r="AU125" s="549">
        <f t="shared" ca="1" si="88"/>
        <v>39.649650241465224</v>
      </c>
      <c r="AV125" s="549">
        <f t="shared" ca="1" si="88"/>
        <v>3143.7134037943556</v>
      </c>
      <c r="AW125" s="549">
        <f t="shared" ca="1" si="88"/>
        <v>2566.5444246410993</v>
      </c>
      <c r="AX125" s="549">
        <f t="shared" ca="1" si="88"/>
        <v>3212.641439658667</v>
      </c>
      <c r="AY125" s="549">
        <f t="shared" ca="1" si="88"/>
        <v>2614.9784998685413</v>
      </c>
      <c r="AZ125" s="549">
        <f t="shared" ca="1" si="88"/>
        <v>3274.1680082495322</v>
      </c>
      <c r="BA125" s="549">
        <f t="shared" ca="1" si="88"/>
        <v>2646.5575378998938</v>
      </c>
      <c r="BB125" s="549">
        <f t="shared" ca="1" si="88"/>
        <v>3325.3898767289238</v>
      </c>
      <c r="BC125" s="549">
        <f t="shared" ca="1" si="88"/>
        <v>2709.9545717793458</v>
      </c>
      <c r="BD125" s="549">
        <f t="shared" ca="1" si="88"/>
        <v>3402.0908817008876</v>
      </c>
      <c r="BE125" s="549">
        <f t="shared" ca="1" si="88"/>
        <v>2747.0462943434081</v>
      </c>
      <c r="BF125" s="549">
        <f t="shared" ca="1" si="88"/>
        <v>3442.6250710426143</v>
      </c>
      <c r="BG125" s="549">
        <f t="shared" ca="1" si="88"/>
        <v>2782.6309188652426</v>
      </c>
      <c r="BH125" s="549">
        <f t="shared" ca="1" si="88"/>
        <v>3486.5071580853587</v>
      </c>
      <c r="BI125" s="549">
        <f t="shared" ca="1" si="88"/>
        <v>2797.7893042305323</v>
      </c>
      <c r="BJ125" s="549">
        <f t="shared" ca="1" si="88"/>
        <v>3517.833692193351</v>
      </c>
      <c r="BK125" s="549">
        <f t="shared" ca="1" si="88"/>
        <v>2800.2482793777217</v>
      </c>
      <c r="BL125" s="549">
        <f t="shared" ca="1" si="88"/>
        <v>3523.7089432490652</v>
      </c>
      <c r="BM125" s="549">
        <f t="shared" ca="1" si="88"/>
        <v>2824.314151323942</v>
      </c>
      <c r="BN125" s="549">
        <f t="shared" ca="1" si="88"/>
        <v>3541.3183097872079</v>
      </c>
      <c r="BO125" s="549">
        <f t="shared" ca="1" si="88"/>
        <v>2855.1297741326198</v>
      </c>
      <c r="BP125" s="549"/>
      <c r="BQ125" s="549"/>
      <c r="BR125" s="549"/>
      <c r="BS125" s="549"/>
      <c r="BT125" s="549"/>
      <c r="BU125" s="549"/>
      <c r="BV125" s="549"/>
      <c r="BW125" s="549"/>
      <c r="BX125" s="549"/>
      <c r="BY125" s="549"/>
      <c r="BZ125" s="549"/>
      <c r="CA125" s="549"/>
      <c r="CB125" s="549"/>
      <c r="CC125" s="549"/>
      <c r="CD125" s="549"/>
      <c r="CE125" s="549"/>
      <c r="CF125" s="549"/>
      <c r="CG125" s="549"/>
      <c r="CH125" s="549"/>
      <c r="CI125" s="549"/>
      <c r="CJ125" s="549"/>
      <c r="CK125" s="549"/>
      <c r="CL125" s="549"/>
      <c r="CM125" s="549"/>
      <c r="CN125" s="549"/>
      <c r="CO125" s="549"/>
      <c r="CP125" s="549"/>
      <c r="CQ125" s="549"/>
      <c r="CR125" s="549"/>
      <c r="CS125" s="549"/>
      <c r="CT125" s="549"/>
      <c r="CU125" s="549"/>
      <c r="CV125" s="549"/>
      <c r="CW125" s="549"/>
      <c r="CX125" s="549"/>
      <c r="CY125" s="549"/>
      <c r="CZ125" s="549"/>
      <c r="DA125" s="549"/>
      <c r="DB125" s="549"/>
      <c r="DC125" s="549"/>
      <c r="DD125" s="549"/>
      <c r="DE125" s="549"/>
      <c r="DF125" s="549"/>
      <c r="DG125" s="549"/>
      <c r="DH125" s="549"/>
      <c r="DI125" s="549"/>
      <c r="DJ125" s="549"/>
      <c r="DK125" s="549"/>
      <c r="DL125" s="549"/>
      <c r="DM125" s="549"/>
      <c r="DN125" s="549"/>
      <c r="DO125" s="549"/>
      <c r="DP125" s="549"/>
      <c r="DQ125" s="549"/>
      <c r="DR125" s="549"/>
      <c r="DS125" s="549"/>
      <c r="DT125" s="549"/>
      <c r="DU125" s="549"/>
      <c r="DV125" s="549"/>
      <c r="DW125" s="549"/>
    </row>
    <row r="126" spans="1:129" s="481" customFormat="1">
      <c r="A126" s="546"/>
      <c r="B126" s="502">
        <f ca="1">SUM(G126:DW126)</f>
        <v>0</v>
      </c>
      <c r="C126" s="688"/>
      <c r="D126" s="548"/>
      <c r="E126" s="548"/>
      <c r="F126" s="331"/>
      <c r="G126" s="1122">
        <f t="shared" ref="G126:AL126" ca="1" si="89">IF(AND(G125&gt;0,G77=0,MOD(G5,2)=0),1,0)</f>
        <v>0</v>
      </c>
      <c r="H126" s="1122">
        <f t="shared" ca="1" si="89"/>
        <v>0</v>
      </c>
      <c r="I126" s="1122">
        <f t="shared" ca="1" si="89"/>
        <v>0</v>
      </c>
      <c r="J126" s="1122">
        <f t="shared" ca="1" si="89"/>
        <v>0</v>
      </c>
      <c r="K126" s="1122">
        <f t="shared" ca="1" si="89"/>
        <v>0</v>
      </c>
      <c r="L126" s="1122">
        <f t="shared" ca="1" si="89"/>
        <v>0</v>
      </c>
      <c r="M126" s="1122">
        <f t="shared" ca="1" si="89"/>
        <v>0</v>
      </c>
      <c r="N126" s="1122">
        <f t="shared" ca="1" si="89"/>
        <v>0</v>
      </c>
      <c r="O126" s="1122">
        <f t="shared" ca="1" si="89"/>
        <v>0</v>
      </c>
      <c r="P126" s="1122">
        <f t="shared" ca="1" si="89"/>
        <v>0</v>
      </c>
      <c r="Q126" s="1122">
        <f t="shared" ca="1" si="89"/>
        <v>0</v>
      </c>
      <c r="R126" s="1122">
        <f t="shared" ca="1" si="89"/>
        <v>0</v>
      </c>
      <c r="S126" s="1122">
        <f t="shared" ca="1" si="89"/>
        <v>0</v>
      </c>
      <c r="T126" s="1122">
        <f t="shared" ca="1" si="89"/>
        <v>0</v>
      </c>
      <c r="U126" s="1122">
        <f t="shared" ca="1" si="89"/>
        <v>0</v>
      </c>
      <c r="V126" s="1122">
        <f t="shared" ca="1" si="89"/>
        <v>0</v>
      </c>
      <c r="W126" s="1122">
        <f t="shared" ca="1" si="89"/>
        <v>0</v>
      </c>
      <c r="X126" s="1122">
        <f t="shared" ca="1" si="89"/>
        <v>0</v>
      </c>
      <c r="Y126" s="1122">
        <f t="shared" ca="1" si="89"/>
        <v>0</v>
      </c>
      <c r="Z126" s="1122">
        <f t="shared" ca="1" si="89"/>
        <v>0</v>
      </c>
      <c r="AA126" s="1122">
        <f t="shared" ca="1" si="89"/>
        <v>0</v>
      </c>
      <c r="AB126" s="1122">
        <f t="shared" ca="1" si="89"/>
        <v>0</v>
      </c>
      <c r="AC126" s="1122">
        <f t="shared" ca="1" si="89"/>
        <v>0</v>
      </c>
      <c r="AD126" s="1122">
        <f t="shared" ca="1" si="89"/>
        <v>0</v>
      </c>
      <c r="AE126" s="1122">
        <f t="shared" ca="1" si="89"/>
        <v>0</v>
      </c>
      <c r="AF126" s="1122">
        <f t="shared" ca="1" si="89"/>
        <v>0</v>
      </c>
      <c r="AG126" s="1122">
        <f t="shared" ca="1" si="89"/>
        <v>0</v>
      </c>
      <c r="AH126" s="1122">
        <f t="shared" ca="1" si="89"/>
        <v>0</v>
      </c>
      <c r="AI126" s="1122">
        <f t="shared" ca="1" si="89"/>
        <v>0</v>
      </c>
      <c r="AJ126" s="1122">
        <f t="shared" ca="1" si="89"/>
        <v>0</v>
      </c>
      <c r="AK126" s="1122">
        <f t="shared" ca="1" si="89"/>
        <v>0</v>
      </c>
      <c r="AL126" s="1122">
        <f t="shared" ca="1" si="89"/>
        <v>0</v>
      </c>
      <c r="AM126" s="1122">
        <f t="shared" ref="AM126:BO126" ca="1" si="90">IF(AND(AM125&gt;0,AM77=0,MOD(AM5,2)=0),1,0)</f>
        <v>0</v>
      </c>
      <c r="AN126" s="1122">
        <f t="shared" ca="1" si="90"/>
        <v>0</v>
      </c>
      <c r="AO126" s="1122">
        <f t="shared" ca="1" si="90"/>
        <v>0</v>
      </c>
      <c r="AP126" s="1122">
        <f t="shared" ca="1" si="90"/>
        <v>0</v>
      </c>
      <c r="AQ126" s="1122">
        <f t="shared" ca="1" si="90"/>
        <v>0</v>
      </c>
      <c r="AR126" s="1122">
        <f t="shared" ca="1" si="90"/>
        <v>0</v>
      </c>
      <c r="AS126" s="1122">
        <f t="shared" ca="1" si="90"/>
        <v>0</v>
      </c>
      <c r="AT126" s="1122">
        <f t="shared" ca="1" si="90"/>
        <v>0</v>
      </c>
      <c r="AU126" s="1122">
        <f t="shared" ca="1" si="90"/>
        <v>0</v>
      </c>
      <c r="AV126" s="1122">
        <f t="shared" ca="1" si="90"/>
        <v>0</v>
      </c>
      <c r="AW126" s="1122">
        <f t="shared" ca="1" si="90"/>
        <v>0</v>
      </c>
      <c r="AX126" s="1122">
        <f t="shared" ca="1" si="90"/>
        <v>0</v>
      </c>
      <c r="AY126" s="1122">
        <f t="shared" ca="1" si="90"/>
        <v>0</v>
      </c>
      <c r="AZ126" s="1122">
        <f t="shared" ca="1" si="90"/>
        <v>0</v>
      </c>
      <c r="BA126" s="1122">
        <f t="shared" ca="1" si="90"/>
        <v>0</v>
      </c>
      <c r="BB126" s="1122">
        <f t="shared" ca="1" si="90"/>
        <v>0</v>
      </c>
      <c r="BC126" s="1122">
        <f t="shared" ca="1" si="90"/>
        <v>0</v>
      </c>
      <c r="BD126" s="1122">
        <f t="shared" ca="1" si="90"/>
        <v>0</v>
      </c>
      <c r="BE126" s="1122">
        <f t="shared" ca="1" si="90"/>
        <v>0</v>
      </c>
      <c r="BF126" s="1122">
        <f t="shared" ca="1" si="90"/>
        <v>0</v>
      </c>
      <c r="BG126" s="1122">
        <f t="shared" ca="1" si="90"/>
        <v>0</v>
      </c>
      <c r="BH126" s="1122">
        <f t="shared" ca="1" si="90"/>
        <v>0</v>
      </c>
      <c r="BI126" s="1122">
        <f t="shared" ca="1" si="90"/>
        <v>0</v>
      </c>
      <c r="BJ126" s="1122">
        <f t="shared" ca="1" si="90"/>
        <v>0</v>
      </c>
      <c r="BK126" s="1122">
        <f t="shared" ca="1" si="90"/>
        <v>0</v>
      </c>
      <c r="BL126" s="1122">
        <f t="shared" ca="1" si="90"/>
        <v>0</v>
      </c>
      <c r="BM126" s="1122">
        <f t="shared" ca="1" si="90"/>
        <v>0</v>
      </c>
      <c r="BN126" s="1122">
        <f t="shared" ca="1" si="90"/>
        <v>0</v>
      </c>
      <c r="BO126" s="1122">
        <f t="shared" ca="1" si="90"/>
        <v>0</v>
      </c>
      <c r="BP126" s="1122"/>
      <c r="BQ126" s="1122"/>
      <c r="BR126" s="1122"/>
      <c r="BS126" s="1122"/>
      <c r="BT126" s="1122"/>
      <c r="BU126" s="1122"/>
      <c r="BV126" s="1122"/>
      <c r="BW126" s="1122"/>
      <c r="BX126" s="1122"/>
      <c r="BY126" s="1122"/>
      <c r="BZ126" s="1122"/>
      <c r="CA126" s="1122"/>
      <c r="CB126" s="1122"/>
      <c r="CC126" s="1122"/>
      <c r="CD126" s="1122"/>
      <c r="CE126" s="1122"/>
      <c r="CF126" s="1122"/>
      <c r="CG126" s="1122"/>
      <c r="CH126" s="1122"/>
      <c r="CI126" s="1122"/>
      <c r="CJ126" s="1122"/>
      <c r="CK126" s="1122"/>
      <c r="CL126" s="1122"/>
      <c r="CM126" s="1122"/>
      <c r="CN126" s="1122"/>
      <c r="CO126" s="1122"/>
      <c r="CP126" s="1122"/>
      <c r="CQ126" s="1122"/>
      <c r="CR126" s="1122"/>
      <c r="CS126" s="1122"/>
      <c r="CT126" s="1122"/>
      <c r="CU126" s="1122"/>
      <c r="CV126" s="1122"/>
      <c r="CW126" s="1122"/>
      <c r="CX126" s="1122"/>
      <c r="CY126" s="1122"/>
      <c r="CZ126" s="1122"/>
      <c r="DA126" s="1122"/>
      <c r="DB126" s="1122"/>
      <c r="DC126" s="1122"/>
      <c r="DD126" s="1122"/>
      <c r="DE126" s="1122"/>
      <c r="DF126" s="1122"/>
      <c r="DG126" s="1122"/>
      <c r="DH126" s="1122"/>
      <c r="DI126" s="1122"/>
      <c r="DJ126" s="1122"/>
      <c r="DK126" s="1122"/>
      <c r="DL126" s="1122"/>
      <c r="DM126" s="1122"/>
      <c r="DN126" s="1122"/>
      <c r="DO126" s="1122"/>
      <c r="DP126" s="1122"/>
      <c r="DQ126" s="1122"/>
      <c r="DR126" s="1122"/>
      <c r="DS126" s="1122"/>
      <c r="DT126" s="1122"/>
      <c r="DU126" s="1122"/>
      <c r="DV126" s="1122"/>
      <c r="DW126" s="1122"/>
    </row>
    <row r="127" spans="1:129" s="481" customFormat="1">
      <c r="A127" s="546"/>
      <c r="B127" s="688"/>
      <c r="C127" s="688"/>
      <c r="D127" s="548"/>
      <c r="E127" s="548"/>
      <c r="F127" s="331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  <c r="AA127" s="547"/>
      <c r="AB127" s="547"/>
      <c r="AC127" s="547"/>
      <c r="AD127" s="547"/>
      <c r="AE127" s="547"/>
      <c r="AF127" s="547"/>
      <c r="AG127" s="547"/>
      <c r="AH127" s="547"/>
      <c r="AI127" s="547"/>
      <c r="AJ127" s="547"/>
      <c r="AK127" s="547"/>
      <c r="AL127" s="547"/>
      <c r="AM127" s="547"/>
      <c r="AN127" s="547"/>
      <c r="AO127" s="547"/>
      <c r="AP127" s="547"/>
      <c r="AQ127" s="547"/>
      <c r="AR127" s="547"/>
      <c r="AS127" s="547"/>
      <c r="AT127" s="547"/>
      <c r="AU127" s="547"/>
      <c r="AV127" s="547"/>
      <c r="AW127" s="547"/>
      <c r="AX127" s="547"/>
      <c r="AY127" s="547"/>
      <c r="AZ127" s="547"/>
      <c r="BA127" s="547"/>
      <c r="BB127" s="547"/>
      <c r="BC127" s="547"/>
      <c r="BD127" s="547"/>
      <c r="BE127" s="547"/>
      <c r="BF127" s="547"/>
      <c r="BG127" s="547"/>
      <c r="BH127" s="547"/>
      <c r="BI127" s="547"/>
      <c r="BJ127" s="547"/>
      <c r="BK127" s="547"/>
      <c r="BL127" s="547"/>
      <c r="BM127" s="547"/>
      <c r="BN127" s="547"/>
      <c r="BO127" s="547"/>
      <c r="BP127" s="547"/>
      <c r="BQ127" s="547"/>
      <c r="BR127" s="547"/>
      <c r="BS127" s="547"/>
      <c r="BT127" s="547"/>
      <c r="BU127" s="547"/>
      <c r="BV127" s="547"/>
      <c r="BW127" s="547"/>
      <c r="BX127" s="547"/>
      <c r="BY127" s="547"/>
      <c r="BZ127" s="547"/>
      <c r="CA127" s="547"/>
      <c r="CB127" s="547"/>
      <c r="CC127" s="547"/>
      <c r="CD127" s="547"/>
      <c r="CE127" s="547"/>
      <c r="CF127" s="547"/>
      <c r="CG127" s="547"/>
      <c r="CH127" s="547"/>
      <c r="CI127" s="547"/>
      <c r="CJ127" s="547"/>
      <c r="CK127" s="547"/>
      <c r="CL127" s="547"/>
      <c r="CM127" s="547"/>
      <c r="CN127" s="547"/>
      <c r="CO127" s="547"/>
      <c r="CP127" s="547"/>
      <c r="CQ127" s="547"/>
      <c r="CR127" s="547"/>
      <c r="CS127" s="547"/>
      <c r="CT127" s="547"/>
      <c r="CU127" s="547"/>
      <c r="CV127" s="547"/>
      <c r="CW127" s="547"/>
      <c r="CX127" s="547"/>
      <c r="CY127" s="547"/>
      <c r="CZ127" s="547"/>
      <c r="DA127" s="547"/>
      <c r="DB127" s="547"/>
      <c r="DC127" s="547"/>
      <c r="DD127" s="547"/>
      <c r="DE127" s="547"/>
      <c r="DF127" s="547"/>
      <c r="DG127" s="547"/>
      <c r="DH127" s="547"/>
      <c r="DI127" s="547"/>
      <c r="DJ127" s="547"/>
      <c r="DK127" s="547"/>
      <c r="DL127" s="547"/>
      <c r="DM127" s="547"/>
      <c r="DN127" s="547"/>
      <c r="DO127" s="547"/>
      <c r="DP127" s="547"/>
      <c r="DQ127" s="547"/>
      <c r="DR127" s="547"/>
      <c r="DS127" s="547"/>
      <c r="DT127" s="547"/>
      <c r="DU127" s="547"/>
      <c r="DV127" s="547"/>
      <c r="DW127" s="547"/>
    </row>
    <row r="128" spans="1:129" s="481" customFormat="1">
      <c r="A128" s="993" t="str">
        <f>Inputs!A420</f>
        <v>Withholding Tax</v>
      </c>
      <c r="B128" s="986">
        <f>(Inputs!$C$315*Inputs!$D$426+Inputs!$C$317*Inputs!$D$427+Inputs!$C$318*Inputs!$D$428)</f>
        <v>0.05</v>
      </c>
      <c r="C128" s="986"/>
      <c r="D128" s="387"/>
      <c r="E128" s="387"/>
      <c r="F128" s="396"/>
      <c r="G128" s="990">
        <f ca="1">G125*$B$128</f>
        <v>0</v>
      </c>
      <c r="H128" s="990">
        <f ca="1">H125*$B$128</f>
        <v>0</v>
      </c>
      <c r="I128" s="990">
        <f t="shared" ref="I128:AL128" ca="1" si="91">I125*$B$128</f>
        <v>0</v>
      </c>
      <c r="J128" s="990">
        <f t="shared" ca="1" si="91"/>
        <v>0</v>
      </c>
      <c r="K128" s="990">
        <f t="shared" ca="1" si="91"/>
        <v>0</v>
      </c>
      <c r="L128" s="990">
        <f t="shared" ca="1" si="91"/>
        <v>0</v>
      </c>
      <c r="M128" s="990">
        <f ca="1">M125*$B$128</f>
        <v>0</v>
      </c>
      <c r="N128" s="990">
        <f t="shared" ca="1" si="91"/>
        <v>0</v>
      </c>
      <c r="O128" s="990">
        <f t="shared" ca="1" si="91"/>
        <v>0</v>
      </c>
      <c r="P128" s="990">
        <f t="shared" ca="1" si="91"/>
        <v>0</v>
      </c>
      <c r="Q128" s="990">
        <f t="shared" ca="1" si="91"/>
        <v>0</v>
      </c>
      <c r="R128" s="990">
        <f t="shared" ca="1" si="91"/>
        <v>0</v>
      </c>
      <c r="S128" s="990">
        <f t="shared" ca="1" si="91"/>
        <v>0</v>
      </c>
      <c r="T128" s="990">
        <f t="shared" ca="1" si="91"/>
        <v>0</v>
      </c>
      <c r="U128" s="990">
        <f t="shared" ca="1" si="91"/>
        <v>0</v>
      </c>
      <c r="V128" s="990">
        <f t="shared" ca="1" si="91"/>
        <v>0</v>
      </c>
      <c r="W128" s="990">
        <f t="shared" ca="1" si="91"/>
        <v>0</v>
      </c>
      <c r="X128" s="990">
        <f t="shared" ca="1" si="91"/>
        <v>0</v>
      </c>
      <c r="Y128" s="990">
        <f t="shared" ca="1" si="91"/>
        <v>0</v>
      </c>
      <c r="Z128" s="990">
        <f t="shared" ca="1" si="91"/>
        <v>0</v>
      </c>
      <c r="AA128" s="990">
        <f t="shared" ca="1" si="91"/>
        <v>0</v>
      </c>
      <c r="AB128" s="990">
        <f t="shared" ca="1" si="91"/>
        <v>0</v>
      </c>
      <c r="AC128" s="990">
        <f t="shared" ca="1" si="91"/>
        <v>0</v>
      </c>
      <c r="AD128" s="990">
        <f t="shared" ca="1" si="91"/>
        <v>0</v>
      </c>
      <c r="AE128" s="990">
        <f t="shared" ca="1" si="91"/>
        <v>0</v>
      </c>
      <c r="AF128" s="990">
        <f t="shared" ca="1" si="91"/>
        <v>0</v>
      </c>
      <c r="AG128" s="990">
        <f t="shared" ca="1" si="91"/>
        <v>0</v>
      </c>
      <c r="AH128" s="990">
        <f ca="1">AH125*$B$128</f>
        <v>0</v>
      </c>
      <c r="AI128" s="990">
        <f t="shared" ca="1" si="91"/>
        <v>0</v>
      </c>
      <c r="AJ128" s="990">
        <f t="shared" ca="1" si="91"/>
        <v>0</v>
      </c>
      <c r="AK128" s="990">
        <f t="shared" ca="1" si="91"/>
        <v>0</v>
      </c>
      <c r="AL128" s="990">
        <f t="shared" ca="1" si="91"/>
        <v>0</v>
      </c>
      <c r="AM128" s="990">
        <f t="shared" ref="AM128:BO128" ca="1" si="92">AM125*$B$128</f>
        <v>0</v>
      </c>
      <c r="AN128" s="990">
        <f t="shared" ca="1" si="92"/>
        <v>0</v>
      </c>
      <c r="AO128" s="990">
        <f t="shared" ca="1" si="92"/>
        <v>0</v>
      </c>
      <c r="AP128" s="990">
        <f t="shared" ca="1" si="92"/>
        <v>0</v>
      </c>
      <c r="AQ128" s="990">
        <f t="shared" ca="1" si="92"/>
        <v>0</v>
      </c>
      <c r="AR128" s="990">
        <f t="shared" ca="1" si="92"/>
        <v>0</v>
      </c>
      <c r="AS128" s="990">
        <f t="shared" ca="1" si="92"/>
        <v>0</v>
      </c>
      <c r="AT128" s="990">
        <f t="shared" ca="1" si="92"/>
        <v>0</v>
      </c>
      <c r="AU128" s="990">
        <f t="shared" ca="1" si="92"/>
        <v>1.9824825120732612</v>
      </c>
      <c r="AV128" s="990">
        <f t="shared" ca="1" si="92"/>
        <v>157.1856701897178</v>
      </c>
      <c r="AW128" s="990">
        <f t="shared" ca="1" si="92"/>
        <v>128.32722123205497</v>
      </c>
      <c r="AX128" s="990">
        <f t="shared" ca="1" si="92"/>
        <v>160.63207198293335</v>
      </c>
      <c r="AY128" s="990">
        <f t="shared" ca="1" si="92"/>
        <v>130.74892499342707</v>
      </c>
      <c r="AZ128" s="990">
        <f t="shared" ca="1" si="92"/>
        <v>163.70840041247664</v>
      </c>
      <c r="BA128" s="990">
        <f t="shared" ca="1" si="92"/>
        <v>132.32787689499469</v>
      </c>
      <c r="BB128" s="990">
        <f t="shared" ca="1" si="92"/>
        <v>166.2694938364462</v>
      </c>
      <c r="BC128" s="990">
        <f t="shared" ca="1" si="92"/>
        <v>135.49772858896731</v>
      </c>
      <c r="BD128" s="990">
        <f t="shared" ca="1" si="92"/>
        <v>170.10454408504438</v>
      </c>
      <c r="BE128" s="990">
        <f t="shared" ca="1" si="92"/>
        <v>137.3523147171704</v>
      </c>
      <c r="BF128" s="990">
        <f t="shared" ca="1" si="92"/>
        <v>172.13125355213072</v>
      </c>
      <c r="BG128" s="990">
        <f t="shared" ca="1" si="92"/>
        <v>139.13154594326213</v>
      </c>
      <c r="BH128" s="990">
        <f t="shared" ca="1" si="92"/>
        <v>174.32535790426795</v>
      </c>
      <c r="BI128" s="990">
        <f t="shared" ca="1" si="92"/>
        <v>139.88946521152661</v>
      </c>
      <c r="BJ128" s="990">
        <f t="shared" ca="1" si="92"/>
        <v>175.89168460966755</v>
      </c>
      <c r="BK128" s="990">
        <f t="shared" ca="1" si="92"/>
        <v>140.01241396888608</v>
      </c>
      <c r="BL128" s="990">
        <f t="shared" ca="1" si="92"/>
        <v>176.18544716245327</v>
      </c>
      <c r="BM128" s="990">
        <f t="shared" ca="1" si="92"/>
        <v>141.2157075661971</v>
      </c>
      <c r="BN128" s="990">
        <f t="shared" ca="1" si="92"/>
        <v>177.06591548936041</v>
      </c>
      <c r="BO128" s="990">
        <f t="shared" ca="1" si="92"/>
        <v>142.75648870663099</v>
      </c>
      <c r="BP128" s="990"/>
      <c r="BQ128" s="990"/>
      <c r="BR128" s="990"/>
      <c r="BS128" s="990"/>
      <c r="BT128" s="990"/>
      <c r="BU128" s="990"/>
      <c r="BV128" s="990"/>
      <c r="BW128" s="990"/>
      <c r="BX128" s="990"/>
      <c r="BY128" s="990"/>
      <c r="BZ128" s="990"/>
      <c r="CA128" s="990"/>
      <c r="CB128" s="990"/>
      <c r="CC128" s="990"/>
      <c r="CD128" s="990"/>
      <c r="CE128" s="990"/>
      <c r="CF128" s="990"/>
      <c r="CG128" s="990"/>
      <c r="CH128" s="990"/>
      <c r="CI128" s="990"/>
      <c r="CJ128" s="990"/>
      <c r="CK128" s="990"/>
      <c r="CL128" s="990"/>
      <c r="CM128" s="990"/>
      <c r="CN128" s="990"/>
      <c r="CO128" s="990"/>
      <c r="CP128" s="990"/>
      <c r="CQ128" s="990"/>
      <c r="CR128" s="990"/>
      <c r="CS128" s="990"/>
      <c r="CT128" s="990"/>
      <c r="CU128" s="990"/>
      <c r="CV128" s="990"/>
      <c r="CW128" s="990"/>
      <c r="CX128" s="990"/>
      <c r="CY128" s="990"/>
      <c r="CZ128" s="990"/>
      <c r="DA128" s="990"/>
      <c r="DB128" s="990"/>
      <c r="DC128" s="990"/>
      <c r="DD128" s="990"/>
      <c r="DE128" s="990"/>
      <c r="DF128" s="990"/>
      <c r="DG128" s="990"/>
      <c r="DH128" s="990"/>
      <c r="DI128" s="990"/>
      <c r="DJ128" s="990"/>
      <c r="DK128" s="990"/>
      <c r="DL128" s="990"/>
      <c r="DM128" s="990"/>
      <c r="DN128" s="990"/>
      <c r="DO128" s="990"/>
      <c r="DP128" s="990"/>
      <c r="DQ128" s="990"/>
      <c r="DR128" s="990"/>
      <c r="DS128" s="990"/>
      <c r="DT128" s="990"/>
      <c r="DU128" s="990"/>
      <c r="DV128" s="990"/>
      <c r="DW128" s="990"/>
    </row>
    <row r="129" spans="1:146" s="482" customFormat="1">
      <c r="A129" s="993" t="s">
        <v>1164</v>
      </c>
      <c r="B129" s="986"/>
      <c r="D129" s="548"/>
      <c r="E129" s="548"/>
      <c r="F129" s="331"/>
      <c r="G129" s="547">
        <f ca="1">G125-G128</f>
        <v>0</v>
      </c>
      <c r="H129" s="547">
        <f ca="1">H125-H128</f>
        <v>0</v>
      </c>
      <c r="I129" s="547">
        <f t="shared" ref="I129:AL129" ca="1" si="93">I125-I128</f>
        <v>0</v>
      </c>
      <c r="J129" s="547">
        <f t="shared" ca="1" si="93"/>
        <v>0</v>
      </c>
      <c r="K129" s="547">
        <f t="shared" ca="1" si="93"/>
        <v>0</v>
      </c>
      <c r="L129" s="547">
        <f t="shared" ca="1" si="93"/>
        <v>0</v>
      </c>
      <c r="M129" s="547">
        <f t="shared" ca="1" si="93"/>
        <v>0</v>
      </c>
      <c r="N129" s="547">
        <f t="shared" ca="1" si="93"/>
        <v>0</v>
      </c>
      <c r="O129" s="547">
        <f t="shared" ca="1" si="93"/>
        <v>0</v>
      </c>
      <c r="P129" s="547">
        <f t="shared" ca="1" si="93"/>
        <v>0</v>
      </c>
      <c r="Q129" s="547">
        <f t="shared" ca="1" si="93"/>
        <v>0</v>
      </c>
      <c r="R129" s="547">
        <f t="shared" ca="1" si="93"/>
        <v>0</v>
      </c>
      <c r="S129" s="547">
        <f t="shared" ca="1" si="93"/>
        <v>0</v>
      </c>
      <c r="T129" s="547">
        <f t="shared" ca="1" si="93"/>
        <v>0</v>
      </c>
      <c r="U129" s="547">
        <f t="shared" ca="1" si="93"/>
        <v>0</v>
      </c>
      <c r="V129" s="547">
        <f t="shared" ca="1" si="93"/>
        <v>0</v>
      </c>
      <c r="W129" s="547">
        <f t="shared" ca="1" si="93"/>
        <v>0</v>
      </c>
      <c r="X129" s="547">
        <f t="shared" ca="1" si="93"/>
        <v>0</v>
      </c>
      <c r="Y129" s="547">
        <f t="shared" ca="1" si="93"/>
        <v>0</v>
      </c>
      <c r="Z129" s="547">
        <f t="shared" ca="1" si="93"/>
        <v>0</v>
      </c>
      <c r="AA129" s="547">
        <f t="shared" ca="1" si="93"/>
        <v>0</v>
      </c>
      <c r="AB129" s="547">
        <f t="shared" ca="1" si="93"/>
        <v>0</v>
      </c>
      <c r="AC129" s="547">
        <f t="shared" ca="1" si="93"/>
        <v>0</v>
      </c>
      <c r="AD129" s="547">
        <f t="shared" ca="1" si="93"/>
        <v>0</v>
      </c>
      <c r="AE129" s="547">
        <f t="shared" ca="1" si="93"/>
        <v>0</v>
      </c>
      <c r="AF129" s="547">
        <f t="shared" ca="1" si="93"/>
        <v>0</v>
      </c>
      <c r="AG129" s="547">
        <f t="shared" ca="1" si="93"/>
        <v>0</v>
      </c>
      <c r="AH129" s="547">
        <f t="shared" ca="1" si="93"/>
        <v>0</v>
      </c>
      <c r="AI129" s="547">
        <f t="shared" ca="1" si="93"/>
        <v>0</v>
      </c>
      <c r="AJ129" s="547">
        <f t="shared" ca="1" si="93"/>
        <v>0</v>
      </c>
      <c r="AK129" s="547">
        <f t="shared" ca="1" si="93"/>
        <v>0</v>
      </c>
      <c r="AL129" s="547">
        <f t="shared" ca="1" si="93"/>
        <v>0</v>
      </c>
      <c r="AM129" s="547">
        <f t="shared" ref="AM129:BO129" ca="1" si="94">AM125-AM128</f>
        <v>0</v>
      </c>
      <c r="AN129" s="547">
        <f t="shared" ca="1" si="94"/>
        <v>0</v>
      </c>
      <c r="AO129" s="547">
        <f t="shared" ca="1" si="94"/>
        <v>0</v>
      </c>
      <c r="AP129" s="547">
        <f t="shared" ca="1" si="94"/>
        <v>0</v>
      </c>
      <c r="AQ129" s="547">
        <f t="shared" ca="1" si="94"/>
        <v>0</v>
      </c>
      <c r="AR129" s="547">
        <f t="shared" ca="1" si="94"/>
        <v>0</v>
      </c>
      <c r="AS129" s="547">
        <f t="shared" ca="1" si="94"/>
        <v>0</v>
      </c>
      <c r="AT129" s="547">
        <f t="shared" ca="1" si="94"/>
        <v>0</v>
      </c>
      <c r="AU129" s="547">
        <f t="shared" ca="1" si="94"/>
        <v>37.667167729391963</v>
      </c>
      <c r="AV129" s="547">
        <f t="shared" ca="1" si="94"/>
        <v>2986.5277336046379</v>
      </c>
      <c r="AW129" s="547">
        <f t="shared" ca="1" si="94"/>
        <v>2438.2172034090445</v>
      </c>
      <c r="AX129" s="547">
        <f t="shared" ca="1" si="94"/>
        <v>3052.0093676757338</v>
      </c>
      <c r="AY129" s="547">
        <f t="shared" ca="1" si="94"/>
        <v>2484.2295748751144</v>
      </c>
      <c r="AZ129" s="547">
        <f t="shared" ca="1" si="94"/>
        <v>3110.4596078370555</v>
      </c>
      <c r="BA129" s="547">
        <f t="shared" ca="1" si="94"/>
        <v>2514.2296610048988</v>
      </c>
      <c r="BB129" s="547">
        <f t="shared" ca="1" si="94"/>
        <v>3159.1203828924777</v>
      </c>
      <c r="BC129" s="547">
        <f t="shared" ca="1" si="94"/>
        <v>2574.4568431903785</v>
      </c>
      <c r="BD129" s="547">
        <f t="shared" ca="1" si="94"/>
        <v>3231.9863376158432</v>
      </c>
      <c r="BE129" s="547">
        <f t="shared" ca="1" si="94"/>
        <v>2609.6939796262377</v>
      </c>
      <c r="BF129" s="547">
        <f t="shared" ca="1" si="94"/>
        <v>3270.4938174904837</v>
      </c>
      <c r="BG129" s="547">
        <f t="shared" ca="1" si="94"/>
        <v>2643.4993729219805</v>
      </c>
      <c r="BH129" s="547">
        <f t="shared" ca="1" si="94"/>
        <v>3312.1818001810907</v>
      </c>
      <c r="BI129" s="547">
        <f t="shared" ca="1" si="94"/>
        <v>2657.8998390190054</v>
      </c>
      <c r="BJ129" s="547">
        <f t="shared" ca="1" si="94"/>
        <v>3341.9420075836833</v>
      </c>
      <c r="BK129" s="547">
        <f t="shared" ca="1" si="94"/>
        <v>2660.2358654088357</v>
      </c>
      <c r="BL129" s="547">
        <f t="shared" ca="1" si="94"/>
        <v>3347.5234960866119</v>
      </c>
      <c r="BM129" s="547">
        <f t="shared" ca="1" si="94"/>
        <v>2683.0984437577449</v>
      </c>
      <c r="BN129" s="547">
        <f t="shared" ca="1" si="94"/>
        <v>3364.2523942978473</v>
      </c>
      <c r="BO129" s="547">
        <f t="shared" ca="1" si="94"/>
        <v>2712.3732854259888</v>
      </c>
      <c r="BP129" s="547"/>
      <c r="BQ129" s="547"/>
      <c r="BR129" s="547"/>
      <c r="BS129" s="547"/>
      <c r="BT129" s="547"/>
      <c r="BU129" s="547"/>
      <c r="BV129" s="547"/>
      <c r="BW129" s="547"/>
      <c r="BX129" s="547"/>
      <c r="BY129" s="547"/>
      <c r="BZ129" s="547"/>
      <c r="CA129" s="547"/>
      <c r="CB129" s="547"/>
      <c r="CC129" s="547"/>
      <c r="CD129" s="547"/>
      <c r="CE129" s="547"/>
      <c r="CF129" s="547"/>
      <c r="CG129" s="547"/>
      <c r="CH129" s="547"/>
      <c r="CI129" s="547"/>
      <c r="CJ129" s="547"/>
      <c r="CK129" s="547"/>
      <c r="CL129" s="547"/>
      <c r="CM129" s="547"/>
      <c r="CN129" s="547"/>
      <c r="CO129" s="547"/>
      <c r="CP129" s="547"/>
      <c r="CQ129" s="547"/>
      <c r="CR129" s="547"/>
      <c r="CS129" s="547"/>
      <c r="CT129" s="547"/>
      <c r="CU129" s="547"/>
      <c r="CV129" s="547"/>
      <c r="CW129" s="547"/>
      <c r="CX129" s="547"/>
      <c r="CY129" s="547"/>
      <c r="CZ129" s="547"/>
      <c r="DA129" s="547"/>
      <c r="DB129" s="547"/>
      <c r="DC129" s="547"/>
      <c r="DD129" s="547"/>
      <c r="DE129" s="547"/>
      <c r="DF129" s="547"/>
      <c r="DG129" s="547"/>
      <c r="DH129" s="547"/>
      <c r="DI129" s="547"/>
      <c r="DJ129" s="547"/>
      <c r="DK129" s="547"/>
      <c r="DL129" s="547"/>
      <c r="DM129" s="547"/>
      <c r="DN129" s="547"/>
      <c r="DO129" s="547"/>
      <c r="DP129" s="547"/>
      <c r="DQ129" s="547"/>
      <c r="DR129" s="547"/>
      <c r="DS129" s="547"/>
      <c r="DT129" s="547"/>
      <c r="DU129" s="547"/>
      <c r="DV129" s="547"/>
      <c r="DW129" s="547"/>
    </row>
    <row r="130" spans="1:146" s="482" customFormat="1" ht="15">
      <c r="A130" s="546" t="s">
        <v>1165</v>
      </c>
      <c r="B130" s="1149"/>
      <c r="C130" s="1149"/>
      <c r="D130" s="548"/>
      <c r="E130" s="548"/>
      <c r="F130" s="331"/>
      <c r="G130" s="549">
        <f t="shared" ref="G130:AL130" ca="1" si="95">G129+G128</f>
        <v>0</v>
      </c>
      <c r="H130" s="549">
        <f ca="1">H129+H128</f>
        <v>0</v>
      </c>
      <c r="I130" s="549">
        <f t="shared" ca="1" si="95"/>
        <v>0</v>
      </c>
      <c r="J130" s="549">
        <f t="shared" ca="1" si="95"/>
        <v>0</v>
      </c>
      <c r="K130" s="549">
        <f t="shared" ca="1" si="95"/>
        <v>0</v>
      </c>
      <c r="L130" s="549">
        <f t="shared" ca="1" si="95"/>
        <v>0</v>
      </c>
      <c r="M130" s="549">
        <f t="shared" ca="1" si="95"/>
        <v>0</v>
      </c>
      <c r="N130" s="549">
        <f t="shared" ca="1" si="95"/>
        <v>0</v>
      </c>
      <c r="O130" s="549">
        <f t="shared" ca="1" si="95"/>
        <v>0</v>
      </c>
      <c r="P130" s="549">
        <f t="shared" ca="1" si="95"/>
        <v>0</v>
      </c>
      <c r="Q130" s="549">
        <f t="shared" ca="1" si="95"/>
        <v>0</v>
      </c>
      <c r="R130" s="549">
        <f t="shared" ca="1" si="95"/>
        <v>0</v>
      </c>
      <c r="S130" s="549">
        <f t="shared" ca="1" si="95"/>
        <v>0</v>
      </c>
      <c r="T130" s="549">
        <f t="shared" ca="1" si="95"/>
        <v>0</v>
      </c>
      <c r="U130" s="549">
        <f t="shared" ca="1" si="95"/>
        <v>0</v>
      </c>
      <c r="V130" s="549">
        <f t="shared" ca="1" si="95"/>
        <v>0</v>
      </c>
      <c r="W130" s="549">
        <f t="shared" ca="1" si="95"/>
        <v>0</v>
      </c>
      <c r="X130" s="549">
        <f t="shared" ca="1" si="95"/>
        <v>0</v>
      </c>
      <c r="Y130" s="549">
        <f t="shared" ca="1" si="95"/>
        <v>0</v>
      </c>
      <c r="Z130" s="549">
        <f t="shared" ca="1" si="95"/>
        <v>0</v>
      </c>
      <c r="AA130" s="549">
        <f t="shared" ca="1" si="95"/>
        <v>0</v>
      </c>
      <c r="AB130" s="549">
        <f t="shared" ca="1" si="95"/>
        <v>0</v>
      </c>
      <c r="AC130" s="549">
        <f t="shared" ca="1" si="95"/>
        <v>0</v>
      </c>
      <c r="AD130" s="549">
        <f t="shared" ca="1" si="95"/>
        <v>0</v>
      </c>
      <c r="AE130" s="549">
        <f t="shared" ca="1" si="95"/>
        <v>0</v>
      </c>
      <c r="AF130" s="549">
        <f t="shared" ca="1" si="95"/>
        <v>0</v>
      </c>
      <c r="AG130" s="549">
        <f t="shared" ca="1" si="95"/>
        <v>0</v>
      </c>
      <c r="AH130" s="549">
        <f t="shared" ca="1" si="95"/>
        <v>0</v>
      </c>
      <c r="AI130" s="549">
        <f t="shared" ca="1" si="95"/>
        <v>0</v>
      </c>
      <c r="AJ130" s="549">
        <f t="shared" ca="1" si="95"/>
        <v>0</v>
      </c>
      <c r="AK130" s="549">
        <f t="shared" ca="1" si="95"/>
        <v>0</v>
      </c>
      <c r="AL130" s="549">
        <f t="shared" ca="1" si="95"/>
        <v>0</v>
      </c>
      <c r="AM130" s="549">
        <f t="shared" ref="AM130:BO130" ca="1" si="96">AM129+AM128</f>
        <v>0</v>
      </c>
      <c r="AN130" s="549">
        <f t="shared" ca="1" si="96"/>
        <v>0</v>
      </c>
      <c r="AO130" s="549">
        <f t="shared" ca="1" si="96"/>
        <v>0</v>
      </c>
      <c r="AP130" s="549">
        <f ca="1">AP129+AP128</f>
        <v>0</v>
      </c>
      <c r="AQ130" s="549">
        <f t="shared" ca="1" si="96"/>
        <v>0</v>
      </c>
      <c r="AR130" s="549">
        <f t="shared" ca="1" si="96"/>
        <v>0</v>
      </c>
      <c r="AS130" s="549">
        <f t="shared" ca="1" si="96"/>
        <v>0</v>
      </c>
      <c r="AT130" s="549">
        <f t="shared" ca="1" si="96"/>
        <v>0</v>
      </c>
      <c r="AU130" s="549">
        <f t="shared" ca="1" si="96"/>
        <v>39.649650241465224</v>
      </c>
      <c r="AV130" s="549">
        <f t="shared" ca="1" si="96"/>
        <v>3143.7134037943556</v>
      </c>
      <c r="AW130" s="549">
        <f t="shared" ca="1" si="96"/>
        <v>2566.5444246410993</v>
      </c>
      <c r="AX130" s="549">
        <f t="shared" ca="1" si="96"/>
        <v>3212.641439658667</v>
      </c>
      <c r="AY130" s="549">
        <f t="shared" ca="1" si="96"/>
        <v>2614.9784998685413</v>
      </c>
      <c r="AZ130" s="549">
        <f t="shared" ca="1" si="96"/>
        <v>3274.1680082495322</v>
      </c>
      <c r="BA130" s="549">
        <f t="shared" ca="1" si="96"/>
        <v>2646.5575378998938</v>
      </c>
      <c r="BB130" s="549">
        <f t="shared" ca="1" si="96"/>
        <v>3325.3898767289238</v>
      </c>
      <c r="BC130" s="549">
        <f t="shared" ca="1" si="96"/>
        <v>2709.9545717793458</v>
      </c>
      <c r="BD130" s="549">
        <f t="shared" ca="1" si="96"/>
        <v>3402.0908817008876</v>
      </c>
      <c r="BE130" s="549">
        <f t="shared" ca="1" si="96"/>
        <v>2747.0462943434081</v>
      </c>
      <c r="BF130" s="549">
        <f t="shared" ca="1" si="96"/>
        <v>3442.6250710426143</v>
      </c>
      <c r="BG130" s="549">
        <f t="shared" ca="1" si="96"/>
        <v>2782.6309188652426</v>
      </c>
      <c r="BH130" s="549">
        <f t="shared" ca="1" si="96"/>
        <v>3486.5071580853587</v>
      </c>
      <c r="BI130" s="549">
        <f t="shared" ca="1" si="96"/>
        <v>2797.7893042305323</v>
      </c>
      <c r="BJ130" s="549">
        <f t="shared" ca="1" si="96"/>
        <v>3517.833692193351</v>
      </c>
      <c r="BK130" s="549">
        <f t="shared" ca="1" si="96"/>
        <v>2800.2482793777217</v>
      </c>
      <c r="BL130" s="549">
        <f t="shared" ca="1" si="96"/>
        <v>3523.7089432490652</v>
      </c>
      <c r="BM130" s="549">
        <f t="shared" ca="1" si="96"/>
        <v>2824.314151323942</v>
      </c>
      <c r="BN130" s="549">
        <f t="shared" ca="1" si="96"/>
        <v>3541.3183097872079</v>
      </c>
      <c r="BO130" s="549">
        <f t="shared" ca="1" si="96"/>
        <v>2855.1297741326198</v>
      </c>
      <c r="BP130" s="549"/>
      <c r="BQ130" s="549"/>
      <c r="BR130" s="549"/>
      <c r="BS130" s="549"/>
      <c r="BT130" s="549"/>
      <c r="BU130" s="549"/>
      <c r="BV130" s="549"/>
      <c r="BW130" s="549"/>
      <c r="BX130" s="549"/>
      <c r="BY130" s="549"/>
      <c r="BZ130" s="549"/>
      <c r="CA130" s="549"/>
      <c r="CB130" s="549"/>
      <c r="CC130" s="549"/>
      <c r="CD130" s="549"/>
      <c r="CE130" s="549"/>
      <c r="CF130" s="549"/>
      <c r="CG130" s="549"/>
      <c r="CH130" s="549"/>
      <c r="CI130" s="549"/>
      <c r="CJ130" s="549"/>
      <c r="CK130" s="549"/>
      <c r="CL130" s="549"/>
      <c r="CM130" s="549"/>
      <c r="CN130" s="549"/>
      <c r="CO130" s="549"/>
      <c r="CP130" s="549"/>
      <c r="CQ130" s="549"/>
      <c r="CR130" s="549"/>
      <c r="CS130" s="549"/>
      <c r="CT130" s="549"/>
      <c r="CU130" s="549"/>
      <c r="CV130" s="549"/>
      <c r="CW130" s="549"/>
      <c r="CX130" s="549"/>
      <c r="CY130" s="549"/>
      <c r="CZ130" s="549"/>
      <c r="DA130" s="549"/>
      <c r="DB130" s="549"/>
      <c r="DC130" s="549"/>
      <c r="DD130" s="549"/>
      <c r="DE130" s="549"/>
      <c r="DF130" s="549"/>
      <c r="DG130" s="549"/>
      <c r="DH130" s="549"/>
      <c r="DI130" s="549"/>
      <c r="DJ130" s="549"/>
      <c r="DK130" s="549"/>
      <c r="DL130" s="549"/>
      <c r="DM130" s="549"/>
      <c r="DN130" s="549"/>
      <c r="DO130" s="549"/>
      <c r="DP130" s="549"/>
      <c r="DQ130" s="549"/>
      <c r="DR130" s="549"/>
      <c r="DS130" s="549"/>
      <c r="DT130" s="549"/>
      <c r="DU130" s="549"/>
      <c r="DV130" s="549"/>
      <c r="DW130" s="549"/>
    </row>
    <row r="131" spans="1:146" s="481" customFormat="1">
      <c r="B131" s="548"/>
      <c r="C131" s="548"/>
      <c r="D131" s="548"/>
      <c r="E131" s="548"/>
      <c r="F131" s="331"/>
      <c r="G131" s="550"/>
      <c r="H131" s="550"/>
      <c r="I131" s="550"/>
      <c r="J131" s="550"/>
      <c r="K131" s="550"/>
      <c r="L131" s="550"/>
      <c r="M131" s="550"/>
      <c r="N131" s="550"/>
      <c r="O131" s="550"/>
      <c r="P131" s="550"/>
      <c r="Q131" s="550"/>
      <c r="R131" s="550"/>
      <c r="S131" s="550"/>
      <c r="T131" s="550"/>
      <c r="U131" s="550"/>
      <c r="V131" s="550"/>
      <c r="W131" s="550"/>
      <c r="X131" s="550"/>
      <c r="Y131" s="550"/>
      <c r="Z131" s="550"/>
      <c r="AA131" s="550"/>
      <c r="AB131" s="550"/>
      <c r="AC131" s="550"/>
      <c r="AD131" s="550"/>
      <c r="AE131" s="550"/>
      <c r="AF131" s="550"/>
      <c r="AG131" s="550"/>
      <c r="AH131" s="550"/>
      <c r="AI131" s="550"/>
      <c r="AJ131" s="550"/>
      <c r="AK131" s="550"/>
      <c r="AL131" s="550"/>
      <c r="AM131" s="550"/>
      <c r="AN131" s="550"/>
      <c r="AO131" s="550"/>
      <c r="AP131" s="550"/>
      <c r="AQ131" s="550"/>
      <c r="AR131" s="550"/>
      <c r="AS131" s="550"/>
      <c r="AT131" s="550"/>
      <c r="AU131" s="550"/>
      <c r="AV131" s="550"/>
      <c r="AW131" s="550"/>
      <c r="AX131" s="550"/>
      <c r="AY131" s="550"/>
      <c r="AZ131" s="550"/>
      <c r="BA131" s="550"/>
      <c r="BB131" s="550"/>
      <c r="BC131" s="550"/>
      <c r="BD131" s="550"/>
      <c r="BE131" s="550"/>
      <c r="BF131" s="550"/>
      <c r="BG131" s="550"/>
      <c r="BH131" s="550"/>
      <c r="BI131" s="550"/>
      <c r="BJ131" s="550"/>
      <c r="BK131" s="550"/>
      <c r="BL131" s="550"/>
      <c r="BM131" s="550"/>
      <c r="BN131" s="550"/>
      <c r="BO131" s="550"/>
      <c r="BP131" s="550"/>
      <c r="BQ131" s="550"/>
      <c r="BR131" s="550"/>
      <c r="BS131" s="550"/>
      <c r="BT131" s="550"/>
      <c r="BU131" s="550"/>
      <c r="BV131" s="550"/>
      <c r="BW131" s="550"/>
      <c r="BX131" s="550"/>
      <c r="BY131" s="550"/>
      <c r="BZ131" s="550"/>
      <c r="CA131" s="550"/>
      <c r="CB131" s="550"/>
      <c r="CC131" s="550"/>
      <c r="CD131" s="550"/>
      <c r="CE131" s="550"/>
      <c r="CF131" s="550"/>
      <c r="CG131" s="550"/>
      <c r="CH131" s="550"/>
      <c r="CI131" s="550"/>
      <c r="CJ131" s="550"/>
      <c r="CK131" s="550"/>
      <c r="CL131" s="550"/>
      <c r="CM131" s="550"/>
      <c r="CN131" s="550"/>
      <c r="CO131" s="550"/>
      <c r="CP131" s="550"/>
      <c r="CQ131" s="550"/>
      <c r="CR131" s="550"/>
      <c r="CS131" s="550"/>
      <c r="CT131" s="550"/>
      <c r="CU131" s="550"/>
      <c r="CV131" s="550"/>
      <c r="CW131" s="550"/>
      <c r="CX131" s="550"/>
      <c r="CY131" s="550"/>
      <c r="CZ131" s="550"/>
      <c r="DA131" s="550"/>
      <c r="DB131" s="550"/>
      <c r="DC131" s="550"/>
      <c r="DD131" s="550"/>
      <c r="DE131" s="550"/>
      <c r="DF131" s="550"/>
      <c r="DG131" s="550"/>
      <c r="DH131" s="550"/>
      <c r="DI131" s="550"/>
      <c r="DJ131" s="550"/>
      <c r="DK131" s="550"/>
      <c r="DL131" s="550"/>
      <c r="DM131" s="550"/>
      <c r="DN131" s="550"/>
      <c r="DO131" s="550"/>
      <c r="DP131" s="550"/>
      <c r="DQ131" s="550"/>
      <c r="DR131" s="550"/>
      <c r="DS131" s="550"/>
      <c r="DT131" s="550"/>
      <c r="DU131" s="550"/>
      <c r="DV131" s="550"/>
      <c r="DW131" s="550"/>
    </row>
    <row r="132" spans="1:146" s="481" customFormat="1">
      <c r="A132" s="551" t="s">
        <v>1166</v>
      </c>
      <c r="B132" s="552"/>
      <c r="C132" s="552"/>
      <c r="D132" s="552"/>
      <c r="E132" s="552"/>
      <c r="F132" s="942"/>
      <c r="G132" s="480">
        <f ca="1">G116-G130</f>
        <v>0</v>
      </c>
      <c r="H132" s="480">
        <f t="shared" ref="H132:BO132" ca="1" si="97">H116-H130</f>
        <v>0</v>
      </c>
      <c r="I132" s="480">
        <f t="shared" ca="1" si="97"/>
        <v>0</v>
      </c>
      <c r="J132" s="480">
        <f t="shared" ca="1" si="97"/>
        <v>0</v>
      </c>
      <c r="K132" s="480">
        <f t="shared" ca="1" si="97"/>
        <v>0</v>
      </c>
      <c r="L132" s="480">
        <f t="shared" ca="1" si="97"/>
        <v>0</v>
      </c>
      <c r="M132" s="480">
        <f t="shared" ca="1" si="97"/>
        <v>0</v>
      </c>
      <c r="N132" s="480">
        <f t="shared" ca="1" si="97"/>
        <v>0</v>
      </c>
      <c r="O132" s="480">
        <f t="shared" ca="1" si="97"/>
        <v>0</v>
      </c>
      <c r="P132" s="480">
        <f t="shared" ca="1" si="97"/>
        <v>0</v>
      </c>
      <c r="Q132" s="480">
        <f t="shared" ca="1" si="97"/>
        <v>0</v>
      </c>
      <c r="R132" s="480">
        <f t="shared" ca="1" si="97"/>
        <v>0</v>
      </c>
      <c r="S132" s="480">
        <f t="shared" ca="1" si="97"/>
        <v>0</v>
      </c>
      <c r="T132" s="480">
        <f t="shared" ca="1" si="97"/>
        <v>0</v>
      </c>
      <c r="U132" s="480">
        <f t="shared" ca="1" si="97"/>
        <v>0</v>
      </c>
      <c r="V132" s="480">
        <f t="shared" ca="1" si="97"/>
        <v>0</v>
      </c>
      <c r="W132" s="480">
        <f t="shared" ca="1" si="97"/>
        <v>0</v>
      </c>
      <c r="X132" s="480">
        <f t="shared" ca="1" si="97"/>
        <v>0</v>
      </c>
      <c r="Y132" s="480">
        <f t="shared" ca="1" si="97"/>
        <v>0</v>
      </c>
      <c r="Z132" s="480">
        <f t="shared" ca="1" si="97"/>
        <v>0</v>
      </c>
      <c r="AA132" s="480">
        <f t="shared" ca="1" si="97"/>
        <v>0</v>
      </c>
      <c r="AB132" s="480">
        <f t="shared" ca="1" si="97"/>
        <v>0</v>
      </c>
      <c r="AC132" s="480">
        <f t="shared" ca="1" si="97"/>
        <v>0</v>
      </c>
      <c r="AD132" s="480">
        <f t="shared" ca="1" si="97"/>
        <v>0</v>
      </c>
      <c r="AE132" s="480">
        <f t="shared" ca="1" si="97"/>
        <v>0</v>
      </c>
      <c r="AF132" s="480">
        <f t="shared" ca="1" si="97"/>
        <v>0</v>
      </c>
      <c r="AG132" s="480">
        <f t="shared" ca="1" si="97"/>
        <v>0</v>
      </c>
      <c r="AH132" s="480">
        <f t="shared" ca="1" si="97"/>
        <v>0</v>
      </c>
      <c r="AI132" s="480">
        <f t="shared" ca="1" si="97"/>
        <v>0</v>
      </c>
      <c r="AJ132" s="480">
        <f t="shared" ca="1" si="97"/>
        <v>0</v>
      </c>
      <c r="AK132" s="480">
        <f t="shared" ca="1" si="97"/>
        <v>0</v>
      </c>
      <c r="AL132" s="480">
        <f t="shared" ca="1" si="97"/>
        <v>0</v>
      </c>
      <c r="AM132" s="480">
        <f t="shared" ca="1" si="97"/>
        <v>0</v>
      </c>
      <c r="AN132" s="480">
        <f t="shared" ca="1" si="97"/>
        <v>0</v>
      </c>
      <c r="AO132" s="480">
        <f t="shared" ca="1" si="97"/>
        <v>0</v>
      </c>
      <c r="AP132" s="480">
        <f t="shared" ca="1" si="97"/>
        <v>0</v>
      </c>
      <c r="AQ132" s="480">
        <f t="shared" ca="1" si="97"/>
        <v>0</v>
      </c>
      <c r="AR132" s="480">
        <f t="shared" ca="1" si="97"/>
        <v>0</v>
      </c>
      <c r="AS132" s="480">
        <f t="shared" ca="1" si="97"/>
        <v>0</v>
      </c>
      <c r="AT132" s="480">
        <f t="shared" ca="1" si="97"/>
        <v>0</v>
      </c>
      <c r="AU132" s="480">
        <f t="shared" ca="1" si="97"/>
        <v>550.00000000002774</v>
      </c>
      <c r="AV132" s="480">
        <f t="shared" ca="1" si="97"/>
        <v>0</v>
      </c>
      <c r="AW132" s="480">
        <f t="shared" ca="1" si="97"/>
        <v>0</v>
      </c>
      <c r="AX132" s="480">
        <f ca="1">AX116-AX130</f>
        <v>0</v>
      </c>
      <c r="AY132" s="480">
        <f ca="1">AY116-AY130</f>
        <v>0</v>
      </c>
      <c r="AZ132" s="480">
        <f ca="1">AZ116-AZ130</f>
        <v>0</v>
      </c>
      <c r="BA132" s="480">
        <f t="shared" ca="1" si="97"/>
        <v>0</v>
      </c>
      <c r="BB132" s="480">
        <f t="shared" ca="1" si="97"/>
        <v>0</v>
      </c>
      <c r="BC132" s="480">
        <f t="shared" ca="1" si="97"/>
        <v>0</v>
      </c>
      <c r="BD132" s="480">
        <f t="shared" ca="1" si="97"/>
        <v>0</v>
      </c>
      <c r="BE132" s="480">
        <f t="shared" ca="1" si="97"/>
        <v>0</v>
      </c>
      <c r="BF132" s="480">
        <f t="shared" ca="1" si="97"/>
        <v>0</v>
      </c>
      <c r="BG132" s="480">
        <f t="shared" ca="1" si="97"/>
        <v>0</v>
      </c>
      <c r="BH132" s="480">
        <f t="shared" ca="1" si="97"/>
        <v>0</v>
      </c>
      <c r="BI132" s="480">
        <f t="shared" ca="1" si="97"/>
        <v>0</v>
      </c>
      <c r="BJ132" s="480">
        <f t="shared" ca="1" si="97"/>
        <v>0</v>
      </c>
      <c r="BK132" s="480">
        <f t="shared" ca="1" si="97"/>
        <v>0</v>
      </c>
      <c r="BL132" s="480">
        <f t="shared" ca="1" si="97"/>
        <v>0</v>
      </c>
      <c r="BM132" s="480">
        <f t="shared" ca="1" si="97"/>
        <v>0</v>
      </c>
      <c r="BN132" s="480">
        <f t="shared" ca="1" si="97"/>
        <v>0</v>
      </c>
      <c r="BO132" s="480">
        <f t="shared" ca="1" si="97"/>
        <v>0</v>
      </c>
      <c r="BP132" s="480"/>
      <c r="BQ132" s="480"/>
      <c r="BR132" s="480"/>
      <c r="BS132" s="480"/>
      <c r="BT132" s="480"/>
      <c r="BU132" s="480"/>
      <c r="BV132" s="480"/>
      <c r="BW132" s="480"/>
      <c r="BX132" s="480"/>
      <c r="BY132" s="480"/>
      <c r="BZ132" s="480"/>
      <c r="CA132" s="480"/>
      <c r="CB132" s="480"/>
      <c r="CC132" s="480"/>
      <c r="CD132" s="480"/>
      <c r="CE132" s="480"/>
      <c r="CF132" s="480"/>
      <c r="CG132" s="480"/>
      <c r="CH132" s="480"/>
      <c r="CI132" s="480"/>
      <c r="CJ132" s="480"/>
      <c r="CK132" s="480"/>
      <c r="CL132" s="480"/>
      <c r="CM132" s="480"/>
      <c r="CN132" s="480"/>
      <c r="CO132" s="480"/>
      <c r="CP132" s="480"/>
      <c r="CQ132" s="480"/>
      <c r="CR132" s="480"/>
      <c r="CS132" s="480"/>
      <c r="CT132" s="480"/>
      <c r="CU132" s="480"/>
      <c r="CV132" s="480"/>
      <c r="CW132" s="480"/>
      <c r="CX132" s="480"/>
      <c r="CY132" s="480"/>
      <c r="CZ132" s="480"/>
      <c r="DA132" s="480"/>
      <c r="DB132" s="480"/>
      <c r="DC132" s="480"/>
      <c r="DD132" s="480"/>
      <c r="DE132" s="480"/>
      <c r="DF132" s="480"/>
      <c r="DG132" s="480"/>
      <c r="DH132" s="480"/>
      <c r="DI132" s="480"/>
      <c r="DJ132" s="480"/>
      <c r="DK132" s="480"/>
      <c r="DL132" s="480"/>
      <c r="DM132" s="480"/>
      <c r="DN132" s="480"/>
      <c r="DO132" s="480"/>
      <c r="DP132" s="480"/>
      <c r="DQ132" s="480"/>
      <c r="DR132" s="480"/>
      <c r="DS132" s="480"/>
      <c r="DT132" s="480"/>
      <c r="DU132" s="480"/>
      <c r="DV132" s="480"/>
      <c r="DW132" s="480"/>
    </row>
    <row r="133" spans="1:146" s="481" customFormat="1">
      <c r="A133" s="553"/>
      <c r="B133" s="554"/>
      <c r="C133" s="554"/>
      <c r="D133" s="554"/>
      <c r="E133" s="554"/>
      <c r="F133" s="541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54"/>
      <c r="AB133" s="554"/>
      <c r="AC133" s="554"/>
      <c r="AD133" s="554"/>
      <c r="AE133" s="554"/>
      <c r="AF133" s="554"/>
      <c r="AG133" s="554"/>
      <c r="AH133" s="554"/>
      <c r="AI133" s="554"/>
      <c r="AJ133" s="554"/>
      <c r="AK133" s="554"/>
      <c r="AL133" s="554"/>
      <c r="AM133" s="554"/>
      <c r="AN133" s="554"/>
      <c r="AO133" s="554"/>
      <c r="AP133" s="554"/>
      <c r="AQ133" s="554"/>
      <c r="AR133" s="554"/>
      <c r="AS133" s="554"/>
      <c r="AT133" s="554"/>
      <c r="AU133" s="554"/>
      <c r="AV133" s="554"/>
      <c r="AW133" s="554"/>
      <c r="AX133" s="554"/>
      <c r="AY133" s="554"/>
      <c r="AZ133" s="554"/>
      <c r="BA133" s="554"/>
      <c r="BB133" s="554"/>
      <c r="BC133" s="554"/>
      <c r="BD133" s="554"/>
      <c r="BE133" s="554"/>
      <c r="BF133" s="554"/>
      <c r="BG133" s="554"/>
      <c r="BH133" s="554"/>
      <c r="BI133" s="554"/>
      <c r="BJ133" s="554"/>
      <c r="BK133" s="554"/>
      <c r="BL133" s="554"/>
      <c r="BM133" s="554"/>
      <c r="BN133" s="554"/>
      <c r="BO133" s="554"/>
      <c r="BP133" s="554"/>
      <c r="BQ133" s="554"/>
      <c r="BR133" s="554"/>
      <c r="BS133" s="554"/>
      <c r="BT133" s="554"/>
      <c r="BU133" s="554"/>
      <c r="BV133" s="554"/>
      <c r="BW133" s="554"/>
      <c r="BX133" s="554"/>
      <c r="BY133" s="554"/>
      <c r="BZ133" s="554"/>
      <c r="CA133" s="554"/>
      <c r="CB133" s="554"/>
      <c r="CC133" s="554"/>
      <c r="CD133" s="554"/>
      <c r="CE133" s="554"/>
      <c r="CF133" s="554"/>
      <c r="CG133" s="554"/>
      <c r="CH133" s="554"/>
      <c r="CI133" s="554"/>
      <c r="CJ133" s="554"/>
      <c r="CK133" s="554"/>
      <c r="CL133" s="554"/>
      <c r="CM133" s="554"/>
      <c r="CN133" s="554"/>
      <c r="CO133" s="554"/>
      <c r="CP133" s="554"/>
      <c r="CQ133" s="554"/>
      <c r="CR133" s="554"/>
      <c r="CS133" s="554"/>
      <c r="CT133" s="554"/>
      <c r="CU133" s="554"/>
      <c r="CV133" s="554"/>
      <c r="CW133" s="554"/>
      <c r="CX133" s="554"/>
      <c r="CY133" s="554"/>
      <c r="CZ133" s="554"/>
      <c r="DA133" s="554"/>
      <c r="DB133" s="554"/>
      <c r="DC133" s="554"/>
      <c r="DD133" s="554"/>
      <c r="DE133" s="554"/>
      <c r="DF133" s="554"/>
      <c r="DG133" s="554"/>
      <c r="DH133" s="554"/>
      <c r="DI133" s="554"/>
      <c r="DJ133" s="554"/>
      <c r="DK133" s="554"/>
      <c r="DL133" s="554"/>
      <c r="DM133" s="554"/>
      <c r="DN133" s="554"/>
      <c r="DO133" s="554"/>
      <c r="DP133" s="554"/>
      <c r="DQ133" s="554"/>
      <c r="DR133" s="554"/>
      <c r="DS133" s="554"/>
      <c r="DT133" s="554"/>
      <c r="DU133" s="554"/>
      <c r="DV133" s="554"/>
      <c r="DW133" s="554"/>
    </row>
    <row r="134" spans="1:146" s="481" customFormat="1">
      <c r="A134" s="555"/>
      <c r="B134" s="554"/>
      <c r="C134" s="554"/>
      <c r="D134" s="554"/>
      <c r="E134" s="554"/>
      <c r="F134" s="541"/>
      <c r="G134" s="556">
        <f>Flags!G31</f>
        <v>47298</v>
      </c>
      <c r="H134" s="556">
        <f>Flags!H31</f>
        <v>47848</v>
      </c>
      <c r="I134" s="556">
        <f>Flags!I31</f>
        <v>48029</v>
      </c>
      <c r="J134" s="556">
        <f>Flags!J31</f>
        <v>48213</v>
      </c>
      <c r="K134" s="556">
        <f>Flags!K31</f>
        <v>48395</v>
      </c>
      <c r="L134" s="556">
        <f>Flags!L31</f>
        <v>48579</v>
      </c>
      <c r="M134" s="556">
        <f>Flags!M31</f>
        <v>48760</v>
      </c>
      <c r="N134" s="556">
        <f>Flags!N31</f>
        <v>48944</v>
      </c>
      <c r="O134" s="556">
        <f>Flags!O31</f>
        <v>49125</v>
      </c>
      <c r="P134" s="556">
        <f>Flags!P31</f>
        <v>49309</v>
      </c>
      <c r="Q134" s="556">
        <f>Flags!Q31</f>
        <v>49490</v>
      </c>
      <c r="R134" s="556">
        <f>Flags!R31</f>
        <v>49674</v>
      </c>
      <c r="S134" s="556">
        <f>Flags!S31</f>
        <v>49856</v>
      </c>
      <c r="T134" s="556">
        <f>Flags!T31</f>
        <v>50040</v>
      </c>
      <c r="U134" s="556">
        <f>Flags!U31</f>
        <v>50221</v>
      </c>
      <c r="V134" s="556">
        <f>Flags!V31</f>
        <v>50405</v>
      </c>
      <c r="W134" s="556">
        <f>Flags!W31</f>
        <v>50586</v>
      </c>
      <c r="X134" s="556">
        <f>Flags!X31</f>
        <v>50770</v>
      </c>
      <c r="Y134" s="556">
        <f>Flags!Y31</f>
        <v>50951</v>
      </c>
      <c r="Z134" s="556">
        <f>Flags!Z31</f>
        <v>51135</v>
      </c>
      <c r="AA134" s="556">
        <f>Flags!AA31</f>
        <v>51317</v>
      </c>
      <c r="AB134" s="556">
        <f>Flags!AB31</f>
        <v>51501</v>
      </c>
      <c r="AC134" s="556">
        <f>Flags!AC31</f>
        <v>51682</v>
      </c>
      <c r="AD134" s="556">
        <f>Flags!AD31</f>
        <v>51866</v>
      </c>
      <c r="AE134" s="556">
        <f>Flags!AE31</f>
        <v>52047</v>
      </c>
      <c r="AF134" s="556">
        <f>Flags!AF31</f>
        <v>52231</v>
      </c>
      <c r="AG134" s="556">
        <f>Flags!AG31</f>
        <v>52412</v>
      </c>
      <c r="AH134" s="556">
        <f>Flags!AH31</f>
        <v>52596</v>
      </c>
      <c r="AI134" s="556">
        <f>Flags!AI31</f>
        <v>52778</v>
      </c>
      <c r="AJ134" s="556">
        <f>Flags!AJ31</f>
        <v>52962</v>
      </c>
      <c r="AK134" s="556">
        <f>Flags!AK31</f>
        <v>53143</v>
      </c>
      <c r="AL134" s="556">
        <f>Flags!AL31</f>
        <v>53327</v>
      </c>
      <c r="AM134" s="556">
        <f>Flags!AM31</f>
        <v>53508</v>
      </c>
      <c r="AN134" s="556">
        <f>Flags!AN31</f>
        <v>53692</v>
      </c>
      <c r="AO134" s="556">
        <f>Flags!AO31</f>
        <v>53873</v>
      </c>
      <c r="AP134" s="556">
        <f>Flags!AP31</f>
        <v>54057</v>
      </c>
      <c r="AQ134" s="556">
        <f>Flags!AQ31</f>
        <v>54239</v>
      </c>
      <c r="AR134" s="556">
        <f>Flags!AR31</f>
        <v>54423</v>
      </c>
      <c r="AS134" s="556">
        <f>Flags!AS31</f>
        <v>54604</v>
      </c>
      <c r="AT134" s="556">
        <f>Flags!AT31</f>
        <v>54788</v>
      </c>
      <c r="AU134" s="556">
        <f>Flags!AU31</f>
        <v>54969</v>
      </c>
      <c r="AV134" s="556">
        <f>Flags!AV31</f>
        <v>55153</v>
      </c>
      <c r="AW134" s="556">
        <f>Flags!AW31</f>
        <v>55334</v>
      </c>
      <c r="AX134" s="556">
        <f>Flags!AX31</f>
        <v>55518</v>
      </c>
      <c r="AY134" s="556">
        <f>Flags!AY31</f>
        <v>55700</v>
      </c>
      <c r="AZ134" s="556">
        <f>Flags!AZ31</f>
        <v>55884</v>
      </c>
      <c r="BA134" s="556">
        <f>Flags!BA31</f>
        <v>56065</v>
      </c>
      <c r="BB134" s="556">
        <f>Flags!BB31</f>
        <v>56249</v>
      </c>
      <c r="BC134" s="556">
        <f>Flags!BC31</f>
        <v>56430</v>
      </c>
      <c r="BD134" s="556">
        <f>Flags!BD31</f>
        <v>56614</v>
      </c>
      <c r="BE134" s="556">
        <f>Flags!BE31</f>
        <v>56795</v>
      </c>
      <c r="BF134" s="556">
        <f>Flags!BF31</f>
        <v>56979</v>
      </c>
      <c r="BG134" s="556">
        <f>Flags!BG31</f>
        <v>57161</v>
      </c>
      <c r="BH134" s="556">
        <f>Flags!BH31</f>
        <v>57345</v>
      </c>
      <c r="BI134" s="556">
        <f>Flags!BI31</f>
        <v>57526</v>
      </c>
      <c r="BJ134" s="556">
        <f>Flags!BJ31</f>
        <v>57710</v>
      </c>
      <c r="BK134" s="556">
        <f>Flags!BK31</f>
        <v>57891</v>
      </c>
      <c r="BL134" s="556">
        <f>Flags!BL31</f>
        <v>58075</v>
      </c>
      <c r="BM134" s="556">
        <f>Flags!BM31</f>
        <v>58256</v>
      </c>
      <c r="BN134" s="556">
        <f>Flags!BN31</f>
        <v>58440</v>
      </c>
      <c r="BO134" s="556">
        <f>Flags!BO31</f>
        <v>58622</v>
      </c>
      <c r="BP134" s="556"/>
      <c r="BQ134" s="556"/>
      <c r="BR134" s="556"/>
      <c r="BS134" s="556"/>
      <c r="BT134" s="556"/>
      <c r="BU134" s="556"/>
      <c r="BV134" s="556"/>
      <c r="BW134" s="556"/>
      <c r="BX134" s="556"/>
      <c r="BY134" s="556"/>
      <c r="BZ134" s="556"/>
      <c r="CA134" s="556"/>
      <c r="CB134" s="556"/>
      <c r="CC134" s="556"/>
      <c r="CD134" s="556"/>
      <c r="CE134" s="556"/>
      <c r="CF134" s="556"/>
      <c r="CG134" s="556"/>
      <c r="CH134" s="556"/>
      <c r="CI134" s="556"/>
      <c r="CJ134" s="556"/>
      <c r="CK134" s="556"/>
      <c r="CL134" s="556"/>
      <c r="CM134" s="556"/>
      <c r="CN134" s="556"/>
      <c r="CO134" s="556"/>
      <c r="CP134" s="556"/>
      <c r="CQ134" s="556"/>
      <c r="CR134" s="556"/>
      <c r="CS134" s="556"/>
      <c r="CT134" s="556"/>
      <c r="CU134" s="556"/>
      <c r="CV134" s="556"/>
      <c r="CW134" s="556"/>
      <c r="CX134" s="556"/>
      <c r="CY134" s="556"/>
      <c r="CZ134" s="556"/>
      <c r="DA134" s="556"/>
      <c r="DB134" s="556"/>
      <c r="DC134" s="556"/>
      <c r="DD134" s="556"/>
      <c r="DE134" s="556"/>
      <c r="DF134" s="556"/>
      <c r="DG134" s="556"/>
      <c r="DH134" s="556"/>
      <c r="DI134" s="556"/>
      <c r="DJ134" s="556"/>
      <c r="DK134" s="556"/>
      <c r="DL134" s="556"/>
      <c r="DM134" s="556"/>
      <c r="DN134" s="556"/>
      <c r="DO134" s="556"/>
      <c r="DP134" s="556"/>
      <c r="DQ134" s="556"/>
      <c r="DR134" s="556"/>
      <c r="DS134" s="556"/>
      <c r="DT134" s="556"/>
      <c r="DU134" s="556"/>
      <c r="DV134" s="556"/>
      <c r="DW134" s="556"/>
    </row>
    <row r="135" spans="1:146" s="481" customFormat="1">
      <c r="A135" s="557" t="s">
        <v>33</v>
      </c>
      <c r="B135" s="842"/>
      <c r="C135" s="842"/>
      <c r="D135" s="319"/>
      <c r="E135" s="319"/>
      <c r="F135" s="624"/>
      <c r="G135" s="1040">
        <f t="shared" ref="G135:AL135" si="98">IF(G4=0,-$B$135,G23+G49+G73+G76+G77)*G8</f>
        <v>0</v>
      </c>
      <c r="H135" s="1040">
        <f t="shared" ca="1" si="98"/>
        <v>2575.0034247825092</v>
      </c>
      <c r="I135" s="1040">
        <f t="shared" ca="1" si="98"/>
        <v>2533.0196732914906</v>
      </c>
      <c r="J135" s="1040">
        <f t="shared" ca="1" si="98"/>
        <v>2576.6037713428454</v>
      </c>
      <c r="K135" s="1040">
        <f t="shared" ca="1" si="98"/>
        <v>2610.8185963428691</v>
      </c>
      <c r="L135" s="1040">
        <f t="shared" ca="1" si="98"/>
        <v>2637.7504890658502</v>
      </c>
      <c r="M135" s="1040">
        <f t="shared" ca="1" si="98"/>
        <v>2648.8765041975066</v>
      </c>
      <c r="N135" s="1040">
        <f t="shared" ca="1" si="98"/>
        <v>2677.4501512146035</v>
      </c>
      <c r="O135" s="1040">
        <f t="shared" ca="1" si="98"/>
        <v>2666.4995224653298</v>
      </c>
      <c r="P135" s="1040">
        <f t="shared" ca="1" si="98"/>
        <v>2717.7436256413152</v>
      </c>
      <c r="Q135" s="1040">
        <f t="shared" ca="1" si="98"/>
        <v>2684.0381741747533</v>
      </c>
      <c r="R135" s="1040">
        <f t="shared" ca="1" si="98"/>
        <v>2751.1021773897965</v>
      </c>
      <c r="S135" s="1040">
        <f t="shared" ca="1" si="98"/>
        <v>2709.262597095757</v>
      </c>
      <c r="T135" s="1040">
        <f t="shared" ca="1" si="98"/>
        <v>2800.1462544677497</v>
      </c>
      <c r="U135" s="1040">
        <f t="shared" ca="1" si="98"/>
        <v>2717.3488695410761</v>
      </c>
      <c r="V135" s="1040">
        <f t="shared" ca="1" si="98"/>
        <v>2842.2728269724084</v>
      </c>
      <c r="W135" s="1040">
        <f t="shared" ca="1" si="98"/>
        <v>2732.6369828387387</v>
      </c>
      <c r="X135" s="1040">
        <f t="shared" ca="1" si="98"/>
        <v>2885.0280510217112</v>
      </c>
      <c r="Y135" s="1040">
        <f t="shared" ca="1" si="98"/>
        <v>2746.8544013598657</v>
      </c>
      <c r="Z135" s="1040">
        <f t="shared" ca="1" si="98"/>
        <v>2920.4197890044052</v>
      </c>
      <c r="AA135" s="1040">
        <f t="shared" ca="1" si="98"/>
        <v>2768.3989189396939</v>
      </c>
      <c r="AB135" s="1040">
        <f t="shared" ca="1" si="98"/>
        <v>2776.9576052840412</v>
      </c>
      <c r="AC135" s="1040">
        <f t="shared" ca="1" si="98"/>
        <v>2618.7732842489913</v>
      </c>
      <c r="AD135" s="1040">
        <f t="shared" ca="1" si="98"/>
        <v>2821.6533572835297</v>
      </c>
      <c r="AE135" s="1040">
        <f t="shared" ca="1" si="98"/>
        <v>2631.171117666127</v>
      </c>
      <c r="AF135" s="1040">
        <f t="shared" ca="1" si="98"/>
        <v>2992.5247732037515</v>
      </c>
      <c r="AG135" s="1040">
        <f t="shared" ca="1" si="98"/>
        <v>2694.7971679399302</v>
      </c>
      <c r="AH135" s="1040">
        <f t="shared" ca="1" si="98"/>
        <v>2991.7390288891047</v>
      </c>
      <c r="AI135" s="1040">
        <f t="shared" ca="1" si="98"/>
        <v>2667.8429553653973</v>
      </c>
      <c r="AJ135" s="1040">
        <f t="shared" ca="1" si="98"/>
        <v>2994.5482101550338</v>
      </c>
      <c r="AK135" s="1040">
        <f t="shared" ca="1" si="98"/>
        <v>2545.4162284351887</v>
      </c>
      <c r="AL135" s="1040">
        <f t="shared" ca="1" si="98"/>
        <v>2866.7009595780269</v>
      </c>
      <c r="AM135" s="1040">
        <f t="shared" ref="AM135:BO135" ca="1" si="99">IF(AM4=0,-$B$135,AM23+AM49+AM73+AM76+AM77)*AM8</f>
        <v>2608.3700359429458</v>
      </c>
      <c r="AN135" s="1040">
        <f t="shared" ca="1" si="99"/>
        <v>2922.8141129823598</v>
      </c>
      <c r="AO135" s="1040">
        <f t="shared" ca="1" si="99"/>
        <v>2652.4553454942106</v>
      </c>
      <c r="AP135" s="1040">
        <f t="shared" ca="1" si="99"/>
        <v>2970.2515213558436</v>
      </c>
      <c r="AQ135" s="1040">
        <f t="shared" ca="1" si="99"/>
        <v>2703.7003380574424</v>
      </c>
      <c r="AR135" s="1040">
        <f t="shared" ca="1" si="99"/>
        <v>3032.5617059389888</v>
      </c>
      <c r="AS135" s="1040">
        <f t="shared" ca="1" si="99"/>
        <v>2738.6607711913121</v>
      </c>
      <c r="AT135" s="1040">
        <f t="shared" ca="1" si="99"/>
        <v>3087.0294677969923</v>
      </c>
      <c r="AU135" s="1040">
        <f t="shared" ca="1" si="99"/>
        <v>2781.4499186605049</v>
      </c>
      <c r="AV135" s="1040">
        <f t="shared" ca="1" si="99"/>
        <v>3143.7134037943556</v>
      </c>
      <c r="AW135" s="1040">
        <f t="shared" ca="1" si="99"/>
        <v>2566.5444246410993</v>
      </c>
      <c r="AX135" s="1040">
        <f t="shared" ca="1" si="99"/>
        <v>3212.641439658667</v>
      </c>
      <c r="AY135" s="1040">
        <f t="shared" ca="1" si="99"/>
        <v>2614.9784998685413</v>
      </c>
      <c r="AZ135" s="1040">
        <f t="shared" ca="1" si="99"/>
        <v>3274.1680082495322</v>
      </c>
      <c r="BA135" s="1040">
        <f t="shared" ca="1" si="99"/>
        <v>2646.5575378998938</v>
      </c>
      <c r="BB135" s="1040">
        <f t="shared" ca="1" si="99"/>
        <v>3325.3898767289238</v>
      </c>
      <c r="BC135" s="1040">
        <f t="shared" ca="1" si="99"/>
        <v>2709.9545717793458</v>
      </c>
      <c r="BD135" s="1040">
        <f t="shared" ca="1" si="99"/>
        <v>3402.0908817008876</v>
      </c>
      <c r="BE135" s="1040">
        <f t="shared" ca="1" si="99"/>
        <v>2747.0462943434081</v>
      </c>
      <c r="BF135" s="1040">
        <f t="shared" ca="1" si="99"/>
        <v>3442.6250710426143</v>
      </c>
      <c r="BG135" s="1040">
        <f t="shared" ca="1" si="99"/>
        <v>2782.6309188652426</v>
      </c>
      <c r="BH135" s="1040">
        <f t="shared" ca="1" si="99"/>
        <v>3486.5071580853587</v>
      </c>
      <c r="BI135" s="1040">
        <f t="shared" ca="1" si="99"/>
        <v>2797.7893042305323</v>
      </c>
      <c r="BJ135" s="1040">
        <f t="shared" ca="1" si="99"/>
        <v>3517.833692193351</v>
      </c>
      <c r="BK135" s="1040">
        <f t="shared" ca="1" si="99"/>
        <v>2800.2482793777217</v>
      </c>
      <c r="BL135" s="1040">
        <f t="shared" ca="1" si="99"/>
        <v>3523.7089432490652</v>
      </c>
      <c r="BM135" s="1040">
        <f t="shared" ca="1" si="99"/>
        <v>2824.314151323942</v>
      </c>
      <c r="BN135" s="1040">
        <f t="shared" ca="1" si="99"/>
        <v>3541.3183097872079</v>
      </c>
      <c r="BO135" s="1040">
        <f t="shared" ca="1" si="99"/>
        <v>2855.1297741326198</v>
      </c>
      <c r="BP135" s="1040"/>
      <c r="BQ135" s="1040"/>
      <c r="BR135" s="1040"/>
      <c r="BS135" s="1040"/>
      <c r="BT135" s="1040"/>
      <c r="BU135" s="1040"/>
      <c r="BV135" s="1040"/>
      <c r="BW135" s="1040"/>
      <c r="BX135" s="1040"/>
      <c r="BY135" s="1040"/>
      <c r="BZ135" s="1040"/>
      <c r="CA135" s="1040"/>
      <c r="CB135" s="1040"/>
      <c r="CC135" s="1040"/>
      <c r="CD135" s="1040"/>
      <c r="CE135" s="1040"/>
      <c r="CF135" s="1040"/>
      <c r="CG135" s="1040"/>
      <c r="CH135" s="1040"/>
      <c r="CI135" s="1040"/>
      <c r="CJ135" s="1040"/>
      <c r="CK135" s="1040"/>
      <c r="CL135" s="1040"/>
      <c r="CM135" s="1040"/>
      <c r="CN135" s="1040"/>
      <c r="CO135" s="1040"/>
      <c r="CP135" s="1040"/>
      <c r="CQ135" s="1040"/>
      <c r="CR135" s="1040"/>
      <c r="CS135" s="1040"/>
      <c r="CT135" s="1040"/>
      <c r="CU135" s="1040"/>
      <c r="CV135" s="1040"/>
      <c r="CW135" s="1040"/>
      <c r="CX135" s="1040"/>
      <c r="CY135" s="1040"/>
      <c r="CZ135" s="1040"/>
      <c r="DA135" s="1040"/>
      <c r="DB135" s="1040"/>
      <c r="DC135" s="1040"/>
      <c r="DD135" s="1040"/>
      <c r="DE135" s="1040"/>
      <c r="DF135" s="1040"/>
      <c r="DG135" s="1040"/>
      <c r="DH135" s="1040"/>
      <c r="DI135" s="1040"/>
      <c r="DJ135" s="1040"/>
      <c r="DK135" s="1040"/>
      <c r="DL135" s="1040"/>
      <c r="DM135" s="1040"/>
      <c r="DN135" s="1040"/>
      <c r="DO135" s="1040"/>
      <c r="DP135" s="1040"/>
      <c r="DQ135" s="1040"/>
      <c r="DR135" s="1040"/>
      <c r="DS135" s="1040"/>
      <c r="DT135" s="1040"/>
      <c r="DU135" s="1040"/>
      <c r="DV135" s="1040"/>
      <c r="DW135" s="1040"/>
    </row>
    <row r="136" spans="1:146" s="481" customFormat="1">
      <c r="A136" s="557" t="str">
        <f>"Unlevered "&amp;A135</f>
        <v>Unlevered Project IRR</v>
      </c>
      <c r="B136" s="842">
        <f>CapEx!C117-CapEx!C57</f>
        <v>55644.085499999994</v>
      </c>
      <c r="C136" s="842">
        <f ca="1">XNPV(Inputs!D462,CF!G136:BO136,CF!G134:BO134)</f>
        <v>12735.138266483433</v>
      </c>
      <c r="D136" s="319">
        <f ca="1">XIRR(G136:BO136,G$134:BO$134)</f>
        <v>8.2801672816276553E-2</v>
      </c>
      <c r="E136" s="319"/>
      <c r="F136" s="624"/>
      <c r="G136" s="1055">
        <f ca="1">IF(G4=0,-$B$136,G23+G49+G73-$B$147*('P&amp;L'!G16+'P&amp;L'!G13-Dep!G31))*G8</f>
        <v>-55644.085499999994</v>
      </c>
      <c r="H136" s="1055">
        <f ca="1">IF(H4=0,-$B$136,H23+H49+H73-$B$147*('P&amp;L'!H16+'P&amp;L'!H13-Dep!H31))*H8</f>
        <v>2458.6514621946694</v>
      </c>
      <c r="I136" s="1055">
        <f ca="1">IF(I4=0,-$B$136,I23+I49+I73-$B$147*('P&amp;L'!I16+'P&amp;L'!I13-Dep!I31))*I8</f>
        <v>2418.5647535719304</v>
      </c>
      <c r="J136" s="1055">
        <f ca="1">IF(J4=0,-$B$136,J23+J49+J73-$B$147*('P&amp;L'!J16+'P&amp;L'!J13-Dep!J31))*J8</f>
        <v>2459.7061227877957</v>
      </c>
      <c r="K136" s="1055">
        <f ca="1">IF(K4=0,-$B$136,K23+K49+K73-$B$147*('P&amp;L'!K16+'P&amp;L'!K13-Dep!K31))*K8</f>
        <v>2488.9694356293471</v>
      </c>
      <c r="L136" s="1055">
        <f ca="1">IF(L4=0,-$B$136,L23+L49+L73-$B$147*('P&amp;L'!L16+'P&amp;L'!L13-Dep!L31))*L8</f>
        <v>2515.1238200496759</v>
      </c>
      <c r="M136" s="1055">
        <f ca="1">IF(M4=0,-$B$136,M23+M49+M73-$B$147*('P&amp;L'!M16+'P&amp;L'!M13-Dep!M31))*M8</f>
        <v>2530.8495455733037</v>
      </c>
      <c r="N136" s="1055">
        <f ca="1">IF(N4=0,-$B$136,N23+N49+N73-$B$147*('P&amp;L'!N16+'P&amp;L'!N13-Dep!N31))*N8</f>
        <v>2550.8535159835542</v>
      </c>
      <c r="O136" s="1055">
        <f ca="1">IF(O4=0,-$B$136,O23+O49+O73-$B$147*('P&amp;L'!O16+'P&amp;L'!O13-Dep!O31))*O8</f>
        <v>2566.8998843284098</v>
      </c>
      <c r="P136" s="1055">
        <f ca="1">IF(P4=0,-$B$136,P23+P49+P73-$B$147*('P&amp;L'!P16+'P&amp;L'!P13-Dep!P31))*P8</f>
        <v>2587.1176429675947</v>
      </c>
      <c r="Q136" s="1055">
        <f ca="1">IF(Q4=0,-$B$136,Q23+Q49+Q73-$B$147*('P&amp;L'!Q16+'P&amp;L'!Q13-Dep!Q31))*Q8</f>
        <v>2603.4903194039521</v>
      </c>
      <c r="R136" s="1055">
        <f ca="1">IF(R4=0,-$B$136,R23+R49+R73-$B$147*('P&amp;L'!R16+'P&amp;L'!R13-Dep!R31))*R8</f>
        <v>2616.7546882300517</v>
      </c>
      <c r="S136" s="1055">
        <f ca="1">IF(S4=0,-$B$136,S23+S49+S73-$B$147*('P&amp;L'!S16+'P&amp;L'!S13-Dep!S31))*S8</f>
        <v>2647.963047864368</v>
      </c>
      <c r="T136" s="1055">
        <f ca="1">IF(T4=0,-$B$136,T23+T49+T73-$B$147*('P&amp;L'!T16+'P&amp;L'!T13-Dep!T31))*T8</f>
        <v>2661.2800089113857</v>
      </c>
      <c r="U136" s="1055">
        <f ca="1">IF(U4=0,-$B$136,U23+U49+U73-$B$147*('P&amp;L'!U16+'P&amp;L'!U13-Dep!U31))*U8</f>
        <v>2678.3227141482466</v>
      </c>
      <c r="V136" s="1055">
        <f ca="1">IF(V4=0,-$B$136,V23+V49+V73-$B$147*('P&amp;L'!V16+'P&amp;L'!V13-Dep!V31))*V8</f>
        <v>2699.1939241655787</v>
      </c>
      <c r="W136" s="1055">
        <f ca="1">IF(W4=0,-$B$136,W23+W49+W73-$B$147*('P&amp;L'!W16+'P&amp;L'!W13-Dep!W31))*W8</f>
        <v>2716.5805633321093</v>
      </c>
      <c r="X136" s="1055">
        <f ca="1">IF(X4=0,-$B$136,X23+X49+X73-$B$147*('P&amp;L'!X16+'P&amp;L'!X13-Dep!X31))*X8</f>
        <v>2737.6736258099509</v>
      </c>
      <c r="Y136" s="1055">
        <f ca="1">IF(Y4=0,-$B$136,Y23+Y49+Y73-$B$147*('P&amp;L'!Y16+'P&amp;L'!Y13-Dep!Y31))*Y8</f>
        <v>2755.4102906898675</v>
      </c>
      <c r="Z136" s="1055">
        <f ca="1">IF(Z4=0,-$B$136,Z23+Z49+Z73-$B$147*('P&amp;L'!Z16+'P&amp;L'!Z13-Dep!Z31))*Z8</f>
        <v>2769.1405386831998</v>
      </c>
      <c r="AA136" s="1055">
        <f ca="1">IF(AA4=0,-$B$136,AA23+AA49+AA73-$B$147*('P&amp;L'!AA16+'P&amp;L'!AA13-Dep!AA31))*AA8</f>
        <v>2802.5828051364065</v>
      </c>
      <c r="AB136" s="1055">
        <f ca="1">IF(AB4=0,-$B$136,AB23+AB49+AB73-$B$147*('P&amp;L'!AB16+'P&amp;L'!AB13-Dep!AB31))*AB8</f>
        <v>2640.4102246460479</v>
      </c>
      <c r="AC136" s="1055">
        <f ca="1">IF(AC4=0,-$B$136,AC23+AC49+AC73-$B$147*('P&amp;L'!AC16+'P&amp;L'!AC13-Dep!AC31))*AC8</f>
        <v>2661.7344590817952</v>
      </c>
      <c r="AD136" s="1055">
        <f ca="1">IF(AD4=0,-$B$136,AD23+AD49+AD73-$B$147*('P&amp;L'!AD16+'P&amp;L'!AD13-Dep!AD31))*AD8</f>
        <v>2680.6364014455876</v>
      </c>
      <c r="AE136" s="1055">
        <f ca="1">IF(AE4=0,-$B$136,AE23+AE49+AE73-$B$147*('P&amp;L'!AE16+'P&amp;L'!AE13-Dep!AE31))*AE8</f>
        <v>2702.3296147692618</v>
      </c>
      <c r="AF136" s="1055">
        <f ca="1">IF(AF4=0,-$B$136,AF23+AF49+AF73-$B$147*('P&amp;L'!AF16+'P&amp;L'!AF13-Dep!AF31))*AF8</f>
        <v>2834.4206757737875</v>
      </c>
      <c r="AG136" s="1055">
        <f ca="1">IF(AG4=0,-$B$136,AG23+AG49+AG73-$B$147*('P&amp;L'!AG16+'P&amp;L'!AG13-Dep!AG31))*AG8</f>
        <v>2820.7605611133713</v>
      </c>
      <c r="AH136" s="1055">
        <f ca="1">IF(AH4=0,-$B$136,AH23+AH49+AH73-$B$147*('P&amp;L'!AH16+'P&amp;L'!AH13-Dep!AH31))*AH8</f>
        <v>2833.3278545794292</v>
      </c>
      <c r="AI136" s="1055">
        <f ca="1">IF(AI4=0,-$B$136,AI23+AI49+AI73-$B$147*('P&amp;L'!AI16+'P&amp;L'!AI13-Dep!AI31))*AI8</f>
        <v>2811.7473999416525</v>
      </c>
      <c r="AJ136" s="1055">
        <f ca="1">IF(AJ4=0,-$B$136,AJ23+AJ49+AJ73-$B$147*('P&amp;L'!AJ16+'P&amp;L'!AJ13-Dep!AJ31))*AJ8</f>
        <v>2836.2417690299412</v>
      </c>
      <c r="AK136" s="1055">
        <f ca="1">IF(AK4=0,-$B$136,AK23+AK49+AK73-$B$147*('P&amp;L'!AK16+'P&amp;L'!AK13-Dep!AK31))*AK8</f>
        <v>2702.6123217039544</v>
      </c>
      <c r="AL136" s="1055">
        <f ca="1">IF(AL4=0,-$B$136,AL23+AL49+AL73-$B$147*('P&amp;L'!AL16+'P&amp;L'!AL13-Dep!AL31))*AL8</f>
        <v>2721.1792435106354</v>
      </c>
      <c r="AM136" s="1055">
        <f ca="1">IF(AM4=0,-$B$136,AM23+AM49+AM73-$B$147*('P&amp;L'!AM16+'P&amp;L'!AM13-Dep!AM31))*AM8</f>
        <v>2752.7814041540105</v>
      </c>
      <c r="AN136" s="1055">
        <f ca="1">IF(AN4=0,-$B$136,AN23+AN49+AN73-$B$147*('P&amp;L'!AN16+'P&amp;L'!AN13-Dep!AN31))*AN8</f>
        <v>2771.6810815745348</v>
      </c>
      <c r="AO136" s="1055">
        <f ca="1">IF(AO4=0,-$B$136,AO23+AO49+AO73-$B$147*('P&amp;L'!AO16+'P&amp;L'!AO13-Dep!AO31))*AO8</f>
        <v>2802.4780290457084</v>
      </c>
      <c r="AP136" s="1055">
        <f ca="1">IF(AP4=0,-$B$136,AP23+AP49+AP73-$B$147*('P&amp;L'!AP16+'P&amp;L'!AP13-Dep!AP31))*AP8</f>
        <v>2813.9890977994942</v>
      </c>
      <c r="AQ136" s="1055">
        <f ca="1">IF(AQ4=0,-$B$136,AQ23+AQ49+AQ73-$B$147*('P&amp;L'!AQ16+'P&amp;L'!AQ13-Dep!AQ31))*AQ8</f>
        <v>2858.8524137574645</v>
      </c>
      <c r="AR136" s="1055">
        <f ca="1">IF(AR4=0,-$B$136,AR23+AR49+AR73-$B$147*('P&amp;L'!AR16+'P&amp;L'!AR13-Dep!AR31))*AR8</f>
        <v>2870.453915235501</v>
      </c>
      <c r="AS136" s="1055">
        <f ca="1">IF(AS4=0,-$B$136,AS23+AS49+AS73-$B$147*('P&amp;L'!AS16+'P&amp;L'!AS13-Dep!AS31))*AS8</f>
        <v>2899.658214038473</v>
      </c>
      <c r="AT136" s="1055">
        <f ca="1">IF(AT4=0,-$B$136,AT23+AT49+AT73-$B$147*('P&amp;L'!AT16+'P&amp;L'!AT13-Dep!AT31))*AT8</f>
        <v>2919.4749009077041</v>
      </c>
      <c r="AU136" s="1055">
        <f ca="1">IF(AU4=0,-$B$136,AU23+AU49+AU73-$B$147*('P&amp;L'!AU16+'P&amp;L'!AU13-Dep!AU31))*AU8</f>
        <v>2947.8941376934658</v>
      </c>
      <c r="AV136" s="1055">
        <f ca="1">IF(AV4=0,-$B$136,AV23+AV49+AV73-$B$147*('P&amp;L'!AV16+'P&amp;L'!AV13-Dep!AV31))*AV8</f>
        <v>2826.8467209491664</v>
      </c>
      <c r="AW136" s="1055">
        <f ca="1">IF(AW4=0,-$B$136,AW23+AW49+AW73-$B$147*('P&amp;L'!AW16+'P&amp;L'!AW13-Dep!AW31))*AW8</f>
        <v>2878.4611074862878</v>
      </c>
      <c r="AX136" s="1055">
        <f ca="1">IF(AX4=0,-$B$136,AX23+AX49+AX73-$B$147*('P&amp;L'!AX16+'P&amp;L'!AX13-Dep!AX31))*AX8</f>
        <v>2888.8887711026364</v>
      </c>
      <c r="AY136" s="1055">
        <f ca="1">IF(AY4=0,-$B$136,AY23+AY49+AY73-$B$147*('P&amp;L'!AY16+'P&amp;L'!AY13-Dep!AY31))*AY8</f>
        <v>2933.7811684245721</v>
      </c>
      <c r="AZ136" s="1055">
        <f ca="1">IF(AZ4=0,-$B$136,AZ23+AZ49+AZ73-$B$147*('P&amp;L'!AZ16+'P&amp;L'!AZ13-Dep!AZ31))*AZ8</f>
        <v>2944.2558649588254</v>
      </c>
      <c r="BA136" s="1055">
        <f ca="1">IF(BA4=0,-$B$136,BA23+BA49+BA73-$B$147*('P&amp;L'!BA16+'P&amp;L'!BA13-Dep!BA31))*BA8</f>
        <v>2971.5196811906003</v>
      </c>
      <c r="BB136" s="1055">
        <f ca="1">IF(BB4=0,-$B$136,BB23+BB49+BB73-$B$147*('P&amp;L'!BB16+'P&amp;L'!BB13-Dep!BB31))*BB8</f>
        <v>2990.3555465902778</v>
      </c>
      <c r="BC136" s="1055">
        <f ca="1">IF(BC4=0,-$B$136,BC23+BC49+BC73-$B$147*('P&amp;L'!BC16+'P&amp;L'!BC13-Dep!BC31))*BC8</f>
        <v>3040.0389019179911</v>
      </c>
      <c r="BD136" s="1055">
        <f ca="1">IF(BD4=0,-$B$136,BD23+BD49+BD73-$B$147*('P&amp;L'!BD16+'P&amp;L'!BD13-Dep!BD31))*BD8</f>
        <v>3059.3864510650455</v>
      </c>
      <c r="BE136" s="1055">
        <f ca="1">IF(BE4=0,-$B$136,BE23+BE49+BE73-$B$147*('P&amp;L'!BE16+'P&amp;L'!BE13-Dep!BE31))*BE8</f>
        <v>3084.8007249792504</v>
      </c>
      <c r="BF136" s="1055">
        <f ca="1">IF(BF4=0,-$B$136,BF23+BF49+BF73-$B$147*('P&amp;L'!BF16+'P&amp;L'!BF13-Dep!BF31))*BF8</f>
        <v>3095.8740393481889</v>
      </c>
      <c r="BG136" s="1055">
        <f ca="1">IF(BG4=0,-$B$136,BG23+BG49+BG73-$B$147*('P&amp;L'!BG16+'P&amp;L'!BG13-Dep!BG31))*BG8</f>
        <v>3124.4319505596682</v>
      </c>
      <c r="BH136" s="1055">
        <f ca="1">IF(BH4=0,-$B$136,BH23+BH49+BH73-$B$147*('P&amp;L'!BH16+'P&amp;L'!BH13-Dep!BH31))*BH8</f>
        <v>3135.3610998110694</v>
      </c>
      <c r="BI136" s="1055">
        <f ca="1">IF(BI4=0,-$B$136,BI23+BI49+BI73-$B$147*('P&amp;L'!BI16+'P&amp;L'!BI13-Dep!BI31))*BI8</f>
        <v>3143.9853625048208</v>
      </c>
      <c r="BJ136" s="1055">
        <f ca="1">IF(BJ4=0,-$B$136,BJ23+BJ49+BJ73-$B$147*('P&amp;L'!BJ16+'P&amp;L'!BJ13-Dep!BJ31))*BJ8</f>
        <v>3163.5549805082624</v>
      </c>
      <c r="BK136" s="1055">
        <f ca="1">IF(BK4=0,-$B$136,BK23+BK49+BK73-$B$147*('P&amp;L'!BK16+'P&amp;L'!BK13-Dep!BK31))*BK8</f>
        <v>3149.5769910628096</v>
      </c>
      <c r="BL136" s="1055">
        <f ca="1">IF(BL4=0,-$B$136,BL23+BL49+BL73-$B$147*('P&amp;L'!BL16+'P&amp;L'!BL13-Dep!BL31))*BL8</f>
        <v>3168.8427064584052</v>
      </c>
      <c r="BM136" s="1055">
        <f ca="1">IF(BM4=0,-$B$136,BM23+BM49+BM73-$B$147*('P&amp;L'!BM16+'P&amp;L'!BM13-Dep!BM31))*BM8</f>
        <v>3174.2303881146017</v>
      </c>
      <c r="BN136" s="1055">
        <f ca="1">IF(BN4=0,-$B$136,BN23+BN49+BN73-$B$147*('P&amp;L'!BN16+'P&amp;L'!BN13-Dep!BN31))*BN8</f>
        <v>3184.697954218323</v>
      </c>
      <c r="BO136" s="1055">
        <f ca="1">IF(BO4=0,-$B$136,BO23+BO49+BO73-$B$147*('P&amp;L'!BO16+'P&amp;L'!BO13-Dep!BO31))*BO8</f>
        <v>3206.8001297015044</v>
      </c>
      <c r="BP136" s="1055"/>
      <c r="BQ136" s="1055"/>
      <c r="BR136" s="1055"/>
      <c r="BS136" s="1055"/>
      <c r="BT136" s="1055"/>
      <c r="BU136" s="1055"/>
      <c r="BV136" s="1055"/>
      <c r="BW136" s="1055"/>
      <c r="BX136" s="1055"/>
      <c r="BY136" s="1055"/>
      <c r="BZ136" s="1055"/>
      <c r="CA136" s="1055"/>
      <c r="CB136" s="1055"/>
      <c r="CC136" s="1055"/>
      <c r="CD136" s="1055"/>
      <c r="CE136" s="1055"/>
      <c r="CF136" s="1055"/>
      <c r="CG136" s="1055"/>
      <c r="CH136" s="1055"/>
      <c r="CI136" s="1055"/>
      <c r="CJ136" s="1055"/>
      <c r="CK136" s="1055"/>
      <c r="CL136" s="1055"/>
      <c r="CM136" s="1055"/>
      <c r="CN136" s="1055"/>
      <c r="CO136" s="1055"/>
      <c r="CP136" s="1055"/>
      <c r="CQ136" s="1055"/>
      <c r="CR136" s="1055"/>
      <c r="CS136" s="1055"/>
      <c r="CT136" s="1055"/>
      <c r="CU136" s="1055"/>
      <c r="CV136" s="1055"/>
      <c r="CW136" s="1055"/>
      <c r="CX136" s="1055"/>
      <c r="CY136" s="1055"/>
      <c r="CZ136" s="1055"/>
      <c r="DA136" s="1055"/>
      <c r="DB136" s="1055"/>
      <c r="DC136" s="1055"/>
      <c r="DD136" s="1055"/>
      <c r="DE136" s="1055"/>
      <c r="DF136" s="1055"/>
      <c r="DG136" s="1055"/>
      <c r="DH136" s="1055"/>
      <c r="DI136" s="1055"/>
      <c r="DJ136" s="1055"/>
      <c r="DK136" s="1055"/>
      <c r="DL136" s="1055"/>
      <c r="DM136" s="1055"/>
      <c r="DN136" s="1055"/>
      <c r="DO136" s="1055"/>
      <c r="DP136" s="1055"/>
      <c r="DQ136" s="1055"/>
      <c r="DR136" s="1055"/>
      <c r="DS136" s="1055"/>
      <c r="DT136" s="1055"/>
      <c r="DU136" s="1055"/>
      <c r="DV136" s="1055"/>
      <c r="DW136" s="1055"/>
    </row>
    <row r="137" spans="1:146" s="481" customFormat="1">
      <c r="A137" s="557"/>
      <c r="B137" s="395"/>
      <c r="C137" s="395"/>
      <c r="D137" s="395"/>
      <c r="E137" s="395"/>
      <c r="F137" s="625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58"/>
      <c r="AB137" s="558"/>
      <c r="AC137" s="558"/>
      <c r="AD137" s="558"/>
      <c r="AE137" s="558"/>
      <c r="AF137" s="558"/>
      <c r="AG137" s="558"/>
      <c r="AH137" s="558"/>
      <c r="AI137" s="558"/>
      <c r="AJ137" s="558"/>
      <c r="AK137" s="558"/>
      <c r="AL137" s="558"/>
      <c r="AM137" s="558"/>
      <c r="AN137" s="558"/>
      <c r="AO137" s="558"/>
      <c r="AP137" s="558"/>
      <c r="AQ137" s="558"/>
      <c r="AR137" s="558"/>
      <c r="AS137" s="558"/>
      <c r="AT137" s="558"/>
      <c r="AU137" s="558"/>
      <c r="AV137" s="558"/>
      <c r="AW137" s="558"/>
      <c r="AX137" s="558"/>
      <c r="AY137" s="558"/>
      <c r="AZ137" s="558"/>
      <c r="BA137" s="558"/>
      <c r="BB137" s="558"/>
      <c r="BC137" s="558"/>
      <c r="BD137" s="558"/>
      <c r="BE137" s="558"/>
      <c r="BF137" s="558"/>
      <c r="BG137" s="558"/>
      <c r="BH137" s="558"/>
      <c r="BI137" s="558"/>
      <c r="BJ137" s="558"/>
      <c r="BK137" s="558"/>
      <c r="BL137" s="558"/>
      <c r="BM137" s="558"/>
      <c r="BN137" s="558"/>
      <c r="BO137" s="558"/>
      <c r="BP137" s="558"/>
      <c r="BQ137" s="558"/>
      <c r="BR137" s="558"/>
      <c r="BS137" s="558"/>
      <c r="BT137" s="558"/>
      <c r="BU137" s="558"/>
      <c r="BV137" s="558"/>
      <c r="BW137" s="558"/>
      <c r="BX137" s="558"/>
      <c r="BY137" s="558"/>
      <c r="BZ137" s="558"/>
      <c r="CA137" s="558"/>
      <c r="CB137" s="558"/>
      <c r="CC137" s="558"/>
      <c r="CD137" s="558"/>
      <c r="CE137" s="558"/>
      <c r="CF137" s="558"/>
      <c r="CG137" s="558"/>
      <c r="CH137" s="558"/>
      <c r="CI137" s="558"/>
      <c r="CJ137" s="558"/>
      <c r="CK137" s="558"/>
      <c r="CL137" s="558"/>
      <c r="CM137" s="558"/>
      <c r="CN137" s="558"/>
      <c r="CO137" s="558"/>
      <c r="CP137" s="558"/>
      <c r="CQ137" s="558"/>
      <c r="CR137" s="558"/>
      <c r="CS137" s="558"/>
      <c r="CT137" s="558"/>
      <c r="CU137" s="558"/>
      <c r="CV137" s="558"/>
      <c r="CW137" s="558"/>
      <c r="CX137" s="558"/>
      <c r="CY137" s="558"/>
      <c r="CZ137" s="558"/>
      <c r="DA137" s="558"/>
      <c r="DB137" s="558"/>
      <c r="DC137" s="558"/>
      <c r="DD137" s="558"/>
      <c r="DE137" s="558"/>
      <c r="DF137" s="558"/>
      <c r="DG137" s="558"/>
      <c r="DH137" s="558"/>
      <c r="DI137" s="558"/>
      <c r="DJ137" s="558"/>
      <c r="DK137" s="558"/>
      <c r="DL137" s="558"/>
      <c r="DM137" s="558"/>
      <c r="DN137" s="558"/>
      <c r="DO137" s="558"/>
      <c r="DP137" s="558"/>
      <c r="DQ137" s="558"/>
      <c r="DR137" s="558"/>
      <c r="DS137" s="558"/>
      <c r="DT137" s="558"/>
      <c r="DU137" s="558"/>
      <c r="DV137" s="558"/>
      <c r="DW137" s="558"/>
    </row>
    <row r="138" spans="1:146">
      <c r="A138" s="559" t="s">
        <v>1167</v>
      </c>
      <c r="D138" s="560">
        <f ca="1">SUMIF(G138:DW138,"&lt;10")/COUNTIF(G138:DW138,"&lt;10")</f>
        <v>1.2373928571428565</v>
      </c>
      <c r="E138" s="560"/>
      <c r="G138" s="561">
        <f t="shared" ref="G138:AL138" si="100">IF(G$80=0,10,ROUND(-G$141/G$80,3))</f>
        <v>10</v>
      </c>
      <c r="H138" s="561">
        <f t="shared" ca="1" si="100"/>
        <v>1.1499999999999999</v>
      </c>
      <c r="I138" s="561">
        <f t="shared" ca="1" si="100"/>
        <v>1.1499999999999999</v>
      </c>
      <c r="J138" s="561">
        <f t="shared" ca="1" si="100"/>
        <v>1.1499999999999999</v>
      </c>
      <c r="K138" s="561">
        <f t="shared" ca="1" si="100"/>
        <v>1.1499999999999999</v>
      </c>
      <c r="L138" s="561">
        <f t="shared" ca="1" si="100"/>
        <v>1.1499999999999999</v>
      </c>
      <c r="M138" s="561">
        <f t="shared" ca="1" si="100"/>
        <v>1.1499999999999999</v>
      </c>
      <c r="N138" s="561">
        <f t="shared" ca="1" si="100"/>
        <v>1.1499999999999999</v>
      </c>
      <c r="O138" s="561">
        <f t="shared" ca="1" si="100"/>
        <v>1.1499999999999999</v>
      </c>
      <c r="P138" s="561">
        <f t="shared" ca="1" si="100"/>
        <v>1.1499999999999999</v>
      </c>
      <c r="Q138" s="561">
        <f t="shared" ca="1" si="100"/>
        <v>1.1499999999999999</v>
      </c>
      <c r="R138" s="561">
        <f t="shared" ca="1" si="100"/>
        <v>1.1499999999999999</v>
      </c>
      <c r="S138" s="561">
        <f t="shared" ca="1" si="100"/>
        <v>1.1499999999999999</v>
      </c>
      <c r="T138" s="561">
        <f t="shared" ca="1" si="100"/>
        <v>1.1499999999999999</v>
      </c>
      <c r="U138" s="561">
        <f t="shared" ca="1" si="100"/>
        <v>1.1499999999999999</v>
      </c>
      <c r="V138" s="561">
        <f t="shared" ca="1" si="100"/>
        <v>1.1499999999999999</v>
      </c>
      <c r="W138" s="561">
        <f t="shared" ca="1" si="100"/>
        <v>1.1499999999999999</v>
      </c>
      <c r="X138" s="561">
        <f t="shared" ca="1" si="100"/>
        <v>1.1499999999999999</v>
      </c>
      <c r="Y138" s="561">
        <f t="shared" ca="1" si="100"/>
        <v>1.1499999999999999</v>
      </c>
      <c r="Z138" s="561">
        <f t="shared" ca="1" si="100"/>
        <v>1.1499999999999999</v>
      </c>
      <c r="AA138" s="561">
        <f t="shared" ca="1" si="100"/>
        <v>1.1499999999999999</v>
      </c>
      <c r="AB138" s="561">
        <f t="shared" ca="1" si="100"/>
        <v>1.1499999999999999</v>
      </c>
      <c r="AC138" s="561">
        <f t="shared" ca="1" si="100"/>
        <v>1.1499999999999999</v>
      </c>
      <c r="AD138" s="561">
        <f t="shared" ca="1" si="100"/>
        <v>1.1499999999999999</v>
      </c>
      <c r="AE138" s="561">
        <f t="shared" ca="1" si="100"/>
        <v>1.1499999999999999</v>
      </c>
      <c r="AF138" s="561">
        <f t="shared" ca="1" si="100"/>
        <v>1.772</v>
      </c>
      <c r="AG138" s="561">
        <f t="shared" ca="1" si="100"/>
        <v>1.7290000000000001</v>
      </c>
      <c r="AH138" s="561">
        <f t="shared" ca="1" si="100"/>
        <v>1.796</v>
      </c>
      <c r="AI138" s="561">
        <f t="shared" ca="1" si="100"/>
        <v>1.75</v>
      </c>
      <c r="AJ138" s="561">
        <f t="shared" ca="1" si="100"/>
        <v>10</v>
      </c>
      <c r="AK138" s="561">
        <f t="shared" ca="1" si="100"/>
        <v>10</v>
      </c>
      <c r="AL138" s="561">
        <f t="shared" ca="1" si="100"/>
        <v>10</v>
      </c>
      <c r="AM138" s="561">
        <f t="shared" ref="AM138:BO138" ca="1" si="101">IF(AM$80=0,10,ROUND(-AM$141/AM$80,3))</f>
        <v>10</v>
      </c>
      <c r="AN138" s="561">
        <f t="shared" ca="1" si="101"/>
        <v>10</v>
      </c>
      <c r="AO138" s="561">
        <f t="shared" ca="1" si="101"/>
        <v>10</v>
      </c>
      <c r="AP138" s="561">
        <f t="shared" ca="1" si="101"/>
        <v>10</v>
      </c>
      <c r="AQ138" s="561">
        <f t="shared" ca="1" si="101"/>
        <v>10</v>
      </c>
      <c r="AR138" s="561">
        <f t="shared" ca="1" si="101"/>
        <v>10</v>
      </c>
      <c r="AS138" s="561">
        <f t="shared" ca="1" si="101"/>
        <v>10</v>
      </c>
      <c r="AT138" s="561">
        <f t="shared" ca="1" si="101"/>
        <v>10</v>
      </c>
      <c r="AU138" s="561">
        <f t="shared" ca="1" si="101"/>
        <v>10</v>
      </c>
      <c r="AV138" s="561">
        <f t="shared" ca="1" si="101"/>
        <v>10</v>
      </c>
      <c r="AW138" s="561">
        <f t="shared" ca="1" si="101"/>
        <v>10</v>
      </c>
      <c r="AX138" s="561">
        <f t="shared" ca="1" si="101"/>
        <v>10</v>
      </c>
      <c r="AY138" s="561">
        <f t="shared" ca="1" si="101"/>
        <v>10</v>
      </c>
      <c r="AZ138" s="561">
        <f t="shared" ca="1" si="101"/>
        <v>10</v>
      </c>
      <c r="BA138" s="561">
        <f t="shared" ca="1" si="101"/>
        <v>10</v>
      </c>
      <c r="BB138" s="561">
        <f t="shared" ca="1" si="101"/>
        <v>10</v>
      </c>
      <c r="BC138" s="561">
        <f t="shared" ca="1" si="101"/>
        <v>10</v>
      </c>
      <c r="BD138" s="561">
        <f t="shared" ca="1" si="101"/>
        <v>10</v>
      </c>
      <c r="BE138" s="561">
        <f t="shared" ca="1" si="101"/>
        <v>10</v>
      </c>
      <c r="BF138" s="561">
        <f t="shared" ca="1" si="101"/>
        <v>10</v>
      </c>
      <c r="BG138" s="561">
        <f t="shared" ca="1" si="101"/>
        <v>10</v>
      </c>
      <c r="BH138" s="561">
        <f t="shared" ca="1" si="101"/>
        <v>10</v>
      </c>
      <c r="BI138" s="561">
        <f t="shared" ca="1" si="101"/>
        <v>10</v>
      </c>
      <c r="BJ138" s="561">
        <f t="shared" ca="1" si="101"/>
        <v>10</v>
      </c>
      <c r="BK138" s="561">
        <f t="shared" ca="1" si="101"/>
        <v>10</v>
      </c>
      <c r="BL138" s="561">
        <f t="shared" ca="1" si="101"/>
        <v>10</v>
      </c>
      <c r="BM138" s="561">
        <f t="shared" ca="1" si="101"/>
        <v>10</v>
      </c>
      <c r="BN138" s="561">
        <f t="shared" ca="1" si="101"/>
        <v>10</v>
      </c>
      <c r="BO138" s="561">
        <f t="shared" ca="1" si="101"/>
        <v>10</v>
      </c>
      <c r="BP138" s="561"/>
      <c r="BQ138" s="561"/>
      <c r="BR138" s="561"/>
      <c r="BS138" s="561"/>
      <c r="BT138" s="561"/>
      <c r="BU138" s="561"/>
      <c r="BV138" s="561"/>
      <c r="BW138" s="561"/>
      <c r="BX138" s="561"/>
      <c r="BY138" s="561"/>
      <c r="BZ138" s="561"/>
      <c r="CA138" s="561"/>
      <c r="CB138" s="561"/>
      <c r="CC138" s="561"/>
      <c r="CD138" s="561"/>
      <c r="CE138" s="561"/>
      <c r="CF138" s="561"/>
      <c r="CG138" s="561"/>
      <c r="CH138" s="561"/>
      <c r="CI138" s="561"/>
      <c r="CJ138" s="561"/>
      <c r="CK138" s="561"/>
      <c r="CL138" s="561"/>
      <c r="CM138" s="561"/>
      <c r="CN138" s="561"/>
      <c r="CO138" s="561"/>
      <c r="CP138" s="561"/>
      <c r="CQ138" s="561"/>
      <c r="CR138" s="561"/>
      <c r="CS138" s="561"/>
      <c r="CT138" s="561"/>
      <c r="CU138" s="561"/>
      <c r="CV138" s="561"/>
      <c r="CW138" s="561"/>
      <c r="CX138" s="561"/>
      <c r="CY138" s="561"/>
      <c r="CZ138" s="561"/>
      <c r="DA138" s="561"/>
      <c r="DB138" s="561"/>
      <c r="DC138" s="561"/>
      <c r="DD138" s="561"/>
      <c r="DE138" s="561"/>
      <c r="DF138" s="561"/>
      <c r="DG138" s="561"/>
      <c r="DH138" s="561"/>
      <c r="DI138" s="561"/>
      <c r="DJ138" s="561"/>
      <c r="DK138" s="561"/>
      <c r="DL138" s="561"/>
      <c r="DM138" s="561"/>
      <c r="DN138" s="561"/>
      <c r="DO138" s="561"/>
      <c r="DP138" s="561"/>
      <c r="DQ138" s="561"/>
      <c r="DR138" s="561"/>
      <c r="DS138" s="561"/>
      <c r="DT138" s="561"/>
      <c r="DU138" s="561"/>
      <c r="DV138" s="561"/>
      <c r="DW138" s="561"/>
      <c r="DX138" s="352"/>
      <c r="DY138" s="352"/>
      <c r="DZ138" s="352"/>
      <c r="EA138" s="352"/>
      <c r="EB138" s="352"/>
      <c r="EC138" s="352"/>
      <c r="ED138" s="352"/>
      <c r="EE138" s="352"/>
      <c r="EF138" s="352"/>
      <c r="EG138" s="352"/>
      <c r="EH138" s="352"/>
      <c r="EI138" s="352"/>
      <c r="EJ138" s="352"/>
      <c r="EK138" s="352"/>
      <c r="EL138" s="352"/>
      <c r="EM138" s="352"/>
      <c r="EN138" s="352"/>
      <c r="EO138" s="352"/>
      <c r="EP138" s="352"/>
    </row>
    <row r="139" spans="1:146">
      <c r="A139" s="389" t="s">
        <v>1168</v>
      </c>
      <c r="D139" s="560">
        <f ca="1">IFERROR(SUMIF(G139:DW139,"&gt;0,01")/COUNTIF(G139:DW139,"&gt;0,01"),0)</f>
        <v>0</v>
      </c>
      <c r="E139" s="560"/>
      <c r="G139" s="561">
        <f t="shared" ref="G139:AL139" si="102">IF(G$95=0,precision,ROUND(-G$142/SUM(G$80,G$95),3))</f>
        <v>0.01</v>
      </c>
      <c r="H139" s="561">
        <f t="shared" ca="1" si="102"/>
        <v>0.01</v>
      </c>
      <c r="I139" s="561">
        <f t="shared" ca="1" si="102"/>
        <v>0.01</v>
      </c>
      <c r="J139" s="561">
        <f t="shared" ca="1" si="102"/>
        <v>0.01</v>
      </c>
      <c r="K139" s="561">
        <f t="shared" ca="1" si="102"/>
        <v>0.01</v>
      </c>
      <c r="L139" s="561">
        <f t="shared" ca="1" si="102"/>
        <v>0.01</v>
      </c>
      <c r="M139" s="561">
        <f t="shared" ca="1" si="102"/>
        <v>0.01</v>
      </c>
      <c r="N139" s="561">
        <f t="shared" ca="1" si="102"/>
        <v>0.01</v>
      </c>
      <c r="O139" s="561">
        <f t="shared" ca="1" si="102"/>
        <v>0.01</v>
      </c>
      <c r="P139" s="561">
        <f t="shared" ca="1" si="102"/>
        <v>0.01</v>
      </c>
      <c r="Q139" s="561">
        <f t="shared" ca="1" si="102"/>
        <v>0.01</v>
      </c>
      <c r="R139" s="561">
        <f t="shared" ca="1" si="102"/>
        <v>0.01</v>
      </c>
      <c r="S139" s="561">
        <f t="shared" ca="1" si="102"/>
        <v>0.01</v>
      </c>
      <c r="T139" s="561">
        <f t="shared" ca="1" si="102"/>
        <v>0.01</v>
      </c>
      <c r="U139" s="561">
        <f t="shared" ca="1" si="102"/>
        <v>0.01</v>
      </c>
      <c r="V139" s="561">
        <f t="shared" ca="1" si="102"/>
        <v>0.01</v>
      </c>
      <c r="W139" s="561">
        <f t="shared" ca="1" si="102"/>
        <v>0.01</v>
      </c>
      <c r="X139" s="561">
        <f t="shared" ca="1" si="102"/>
        <v>0.01</v>
      </c>
      <c r="Y139" s="561">
        <f t="shared" ca="1" si="102"/>
        <v>0.01</v>
      </c>
      <c r="Z139" s="561">
        <f t="shared" ca="1" si="102"/>
        <v>0.01</v>
      </c>
      <c r="AA139" s="561">
        <f t="shared" ca="1" si="102"/>
        <v>0.01</v>
      </c>
      <c r="AB139" s="561">
        <f t="shared" ca="1" si="102"/>
        <v>0.01</v>
      </c>
      <c r="AC139" s="561">
        <f t="shared" ca="1" si="102"/>
        <v>0.01</v>
      </c>
      <c r="AD139" s="561">
        <f t="shared" ca="1" si="102"/>
        <v>0.01</v>
      </c>
      <c r="AE139" s="561">
        <f t="shared" ca="1" si="102"/>
        <v>0.01</v>
      </c>
      <c r="AF139" s="561">
        <f t="shared" ca="1" si="102"/>
        <v>0.01</v>
      </c>
      <c r="AG139" s="561">
        <f t="shared" ca="1" si="102"/>
        <v>0.01</v>
      </c>
      <c r="AH139" s="561">
        <f t="shared" ca="1" si="102"/>
        <v>0.01</v>
      </c>
      <c r="AI139" s="561">
        <f t="shared" ca="1" si="102"/>
        <v>0.01</v>
      </c>
      <c r="AJ139" s="561">
        <f t="shared" ca="1" si="102"/>
        <v>0.01</v>
      </c>
      <c r="AK139" s="561">
        <f t="shared" ca="1" si="102"/>
        <v>0.01</v>
      </c>
      <c r="AL139" s="561">
        <f t="shared" ca="1" si="102"/>
        <v>0.01</v>
      </c>
      <c r="AM139" s="561">
        <f t="shared" ref="AM139:BO139" ca="1" si="103">IF(AM$95=0,precision,ROUND(-AM$142/SUM(AM$80,AM$95),3))</f>
        <v>0.01</v>
      </c>
      <c r="AN139" s="561">
        <f t="shared" ca="1" si="103"/>
        <v>0.01</v>
      </c>
      <c r="AO139" s="561">
        <f t="shared" ca="1" si="103"/>
        <v>0.01</v>
      </c>
      <c r="AP139" s="561">
        <f t="shared" ca="1" si="103"/>
        <v>0.01</v>
      </c>
      <c r="AQ139" s="561">
        <f t="shared" ca="1" si="103"/>
        <v>0.01</v>
      </c>
      <c r="AR139" s="561">
        <f t="shared" ca="1" si="103"/>
        <v>0.01</v>
      </c>
      <c r="AS139" s="561">
        <f t="shared" ca="1" si="103"/>
        <v>0.01</v>
      </c>
      <c r="AT139" s="561">
        <f t="shared" ca="1" si="103"/>
        <v>0.01</v>
      </c>
      <c r="AU139" s="561">
        <f t="shared" ca="1" si="103"/>
        <v>0.01</v>
      </c>
      <c r="AV139" s="561">
        <f t="shared" ca="1" si="103"/>
        <v>0.01</v>
      </c>
      <c r="AW139" s="561">
        <f t="shared" ca="1" si="103"/>
        <v>0.01</v>
      </c>
      <c r="AX139" s="561">
        <f t="shared" ca="1" si="103"/>
        <v>0.01</v>
      </c>
      <c r="AY139" s="561">
        <f t="shared" ca="1" si="103"/>
        <v>0.01</v>
      </c>
      <c r="AZ139" s="561">
        <f t="shared" ca="1" si="103"/>
        <v>0.01</v>
      </c>
      <c r="BA139" s="561">
        <f t="shared" ca="1" si="103"/>
        <v>0.01</v>
      </c>
      <c r="BB139" s="561">
        <f t="shared" ca="1" si="103"/>
        <v>0.01</v>
      </c>
      <c r="BC139" s="561">
        <f t="shared" ca="1" si="103"/>
        <v>0.01</v>
      </c>
      <c r="BD139" s="561">
        <f t="shared" ca="1" si="103"/>
        <v>0.01</v>
      </c>
      <c r="BE139" s="561">
        <f t="shared" ca="1" si="103"/>
        <v>0.01</v>
      </c>
      <c r="BF139" s="561">
        <f t="shared" ca="1" si="103"/>
        <v>0.01</v>
      </c>
      <c r="BG139" s="561">
        <f t="shared" ca="1" si="103"/>
        <v>0.01</v>
      </c>
      <c r="BH139" s="561">
        <f t="shared" ca="1" si="103"/>
        <v>0.01</v>
      </c>
      <c r="BI139" s="561">
        <f t="shared" ca="1" si="103"/>
        <v>0.01</v>
      </c>
      <c r="BJ139" s="561">
        <f t="shared" ca="1" si="103"/>
        <v>0.01</v>
      </c>
      <c r="BK139" s="561">
        <f t="shared" ca="1" si="103"/>
        <v>0.01</v>
      </c>
      <c r="BL139" s="561">
        <f t="shared" ca="1" si="103"/>
        <v>0.01</v>
      </c>
      <c r="BM139" s="561">
        <f t="shared" ca="1" si="103"/>
        <v>0.01</v>
      </c>
      <c r="BN139" s="561">
        <f t="shared" ca="1" si="103"/>
        <v>0.01</v>
      </c>
      <c r="BO139" s="561">
        <f t="shared" ca="1" si="103"/>
        <v>0.01</v>
      </c>
      <c r="BP139" s="561"/>
      <c r="BQ139" s="561"/>
      <c r="BR139" s="561"/>
      <c r="BS139" s="561"/>
      <c r="BT139" s="561"/>
      <c r="BU139" s="561"/>
      <c r="BV139" s="561"/>
      <c r="BW139" s="561"/>
      <c r="BX139" s="561"/>
      <c r="BY139" s="561"/>
      <c r="BZ139" s="561"/>
      <c r="CA139" s="561"/>
      <c r="CB139" s="561"/>
      <c r="CC139" s="561"/>
      <c r="CD139" s="561"/>
      <c r="CE139" s="561"/>
      <c r="CF139" s="561"/>
      <c r="CG139" s="561"/>
      <c r="CH139" s="561"/>
      <c r="CI139" s="561"/>
      <c r="CJ139" s="561"/>
      <c r="CK139" s="561"/>
      <c r="CL139" s="561"/>
      <c r="CM139" s="561"/>
      <c r="CN139" s="561"/>
      <c r="CO139" s="561"/>
      <c r="CP139" s="561"/>
      <c r="CQ139" s="561"/>
      <c r="CR139" s="561"/>
      <c r="CS139" s="561"/>
      <c r="CT139" s="561"/>
      <c r="CU139" s="561"/>
      <c r="CV139" s="561"/>
      <c r="CW139" s="561"/>
      <c r="CX139" s="561"/>
      <c r="CY139" s="561"/>
      <c r="CZ139" s="561"/>
      <c r="DA139" s="561"/>
      <c r="DB139" s="561"/>
      <c r="DC139" s="561"/>
      <c r="DD139" s="561"/>
      <c r="DE139" s="561"/>
      <c r="DF139" s="561"/>
      <c r="DG139" s="561"/>
      <c r="DH139" s="561"/>
      <c r="DI139" s="561"/>
      <c r="DJ139" s="561"/>
      <c r="DK139" s="561"/>
      <c r="DL139" s="561"/>
      <c r="DM139" s="561"/>
      <c r="DN139" s="561"/>
      <c r="DO139" s="561"/>
      <c r="DP139" s="561"/>
      <c r="DQ139" s="561"/>
      <c r="DR139" s="561"/>
      <c r="DS139" s="561"/>
      <c r="DT139" s="561"/>
      <c r="DU139" s="561"/>
      <c r="DV139" s="561"/>
      <c r="DW139" s="561"/>
      <c r="DX139" s="304"/>
      <c r="DY139" s="304"/>
    </row>
    <row r="140" spans="1:146" s="481" customFormat="1">
      <c r="A140" s="557"/>
      <c r="B140" s="562"/>
      <c r="C140" s="562"/>
      <c r="D140" s="562"/>
      <c r="E140" s="562"/>
      <c r="F140" s="396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61"/>
      <c r="AB140" s="561"/>
      <c r="AC140" s="561"/>
      <c r="AD140" s="561"/>
      <c r="AE140" s="561"/>
      <c r="AF140" s="561"/>
      <c r="AG140" s="561"/>
      <c r="AH140" s="561"/>
      <c r="AI140" s="561"/>
      <c r="AJ140" s="561"/>
      <c r="AK140" s="561"/>
      <c r="AL140" s="561"/>
      <c r="AM140" s="561"/>
      <c r="AN140" s="561"/>
      <c r="AO140" s="561"/>
      <c r="AP140" s="561"/>
      <c r="AQ140" s="561"/>
      <c r="AR140" s="561"/>
      <c r="AS140" s="561"/>
      <c r="AT140" s="561"/>
      <c r="AU140" s="561"/>
      <c r="AV140" s="561"/>
      <c r="AW140" s="561"/>
      <c r="AX140" s="561"/>
      <c r="AY140" s="561"/>
      <c r="AZ140" s="561"/>
      <c r="BA140" s="561"/>
      <c r="BB140" s="561"/>
      <c r="BC140" s="561"/>
      <c r="BD140" s="561"/>
      <c r="BE140" s="561"/>
      <c r="BF140" s="561"/>
      <c r="BG140" s="561"/>
      <c r="BH140" s="561"/>
      <c r="BI140" s="561"/>
      <c r="BJ140" s="561"/>
      <c r="BK140" s="561"/>
      <c r="BL140" s="561"/>
      <c r="BM140" s="561"/>
      <c r="BN140" s="561"/>
      <c r="BO140" s="561"/>
      <c r="BP140" s="561"/>
      <c r="BQ140" s="561"/>
      <c r="BR140" s="561"/>
      <c r="BS140" s="561"/>
      <c r="BT140" s="561"/>
      <c r="BU140" s="561"/>
      <c r="BV140" s="561"/>
      <c r="BW140" s="561"/>
      <c r="BX140" s="561"/>
      <c r="BY140" s="561"/>
      <c r="BZ140" s="561"/>
      <c r="CA140" s="561"/>
      <c r="CB140" s="561"/>
      <c r="CC140" s="561"/>
      <c r="CD140" s="561"/>
      <c r="CE140" s="561"/>
      <c r="CF140" s="561"/>
      <c r="CG140" s="561"/>
      <c r="CH140" s="561"/>
      <c r="CI140" s="561"/>
      <c r="CJ140" s="561"/>
      <c r="CK140" s="561"/>
      <c r="CL140" s="561"/>
      <c r="CM140" s="561"/>
      <c r="CN140" s="561"/>
      <c r="CO140" s="561"/>
      <c r="CP140" s="561"/>
      <c r="CQ140" s="561"/>
      <c r="CR140" s="561"/>
      <c r="CS140" s="561"/>
      <c r="CT140" s="561"/>
      <c r="CU140" s="561"/>
      <c r="CV140" s="561"/>
      <c r="CW140" s="561"/>
      <c r="CX140" s="561"/>
      <c r="CY140" s="561"/>
      <c r="CZ140" s="561"/>
      <c r="DA140" s="561"/>
      <c r="DB140" s="561"/>
      <c r="DC140" s="561"/>
      <c r="DD140" s="561"/>
      <c r="DE140" s="561"/>
      <c r="DF140" s="561"/>
      <c r="DG140" s="561"/>
      <c r="DH140" s="561"/>
      <c r="DI140" s="561"/>
      <c r="DJ140" s="561"/>
      <c r="DK140" s="561"/>
      <c r="DL140" s="561"/>
      <c r="DM140" s="561"/>
      <c r="DN140" s="561"/>
      <c r="DO140" s="561"/>
      <c r="DP140" s="561"/>
      <c r="DQ140" s="561"/>
      <c r="DR140" s="561"/>
      <c r="DS140" s="561"/>
      <c r="DT140" s="561"/>
      <c r="DU140" s="561"/>
      <c r="DV140" s="561"/>
      <c r="DW140" s="561"/>
    </row>
    <row r="141" spans="1:146" s="481" customFormat="1">
      <c r="A141" s="382" t="s">
        <v>1169</v>
      </c>
      <c r="B141" s="562"/>
      <c r="C141" s="562"/>
      <c r="D141" s="562"/>
      <c r="E141" s="562"/>
      <c r="F141" s="618"/>
      <c r="G141" s="233">
        <f t="shared" ref="G141:AL141" si="104">G$79*G$13</f>
        <v>0</v>
      </c>
      <c r="H141" s="233">
        <f t="shared" ca="1" si="104"/>
        <v>2575.0034247825092</v>
      </c>
      <c r="I141" s="233">
        <f t="shared" ca="1" si="104"/>
        <v>2533.0196732914906</v>
      </c>
      <c r="J141" s="233">
        <f t="shared" ca="1" si="104"/>
        <v>2576.6037713428454</v>
      </c>
      <c r="K141" s="233">
        <f t="shared" ca="1" si="104"/>
        <v>2610.8185963428691</v>
      </c>
      <c r="L141" s="233">
        <f t="shared" ca="1" si="104"/>
        <v>2637.7504890658502</v>
      </c>
      <c r="M141" s="233">
        <f t="shared" ca="1" si="104"/>
        <v>2648.8765041975066</v>
      </c>
      <c r="N141" s="233">
        <f t="shared" ca="1" si="104"/>
        <v>2677.4501512146035</v>
      </c>
      <c r="O141" s="233">
        <f t="shared" ca="1" si="104"/>
        <v>2666.4995224653298</v>
      </c>
      <c r="P141" s="233">
        <f t="shared" ca="1" si="104"/>
        <v>2717.7436256413152</v>
      </c>
      <c r="Q141" s="233">
        <f t="shared" ca="1" si="104"/>
        <v>2684.0381741747533</v>
      </c>
      <c r="R141" s="233">
        <f t="shared" ca="1" si="104"/>
        <v>2751.1021773897965</v>
      </c>
      <c r="S141" s="233">
        <f t="shared" ca="1" si="104"/>
        <v>2709.262597095757</v>
      </c>
      <c r="T141" s="233">
        <f t="shared" ca="1" si="104"/>
        <v>2800.1462544677497</v>
      </c>
      <c r="U141" s="233">
        <f t="shared" ca="1" si="104"/>
        <v>2717.3488695410761</v>
      </c>
      <c r="V141" s="233">
        <f t="shared" ca="1" si="104"/>
        <v>2842.2728269724084</v>
      </c>
      <c r="W141" s="233">
        <f t="shared" ca="1" si="104"/>
        <v>2732.6369828387387</v>
      </c>
      <c r="X141" s="233">
        <f t="shared" ca="1" si="104"/>
        <v>2885.0280510217112</v>
      </c>
      <c r="Y141" s="233">
        <f t="shared" ca="1" si="104"/>
        <v>2746.8544013598657</v>
      </c>
      <c r="Z141" s="233">
        <f t="shared" ca="1" si="104"/>
        <v>2920.4197890044052</v>
      </c>
      <c r="AA141" s="233">
        <f t="shared" ca="1" si="104"/>
        <v>2768.3989189396939</v>
      </c>
      <c r="AB141" s="233">
        <f t="shared" ca="1" si="104"/>
        <v>2776.9576052840412</v>
      </c>
      <c r="AC141" s="233">
        <f t="shared" ca="1" si="104"/>
        <v>2618.7732842489913</v>
      </c>
      <c r="AD141" s="233">
        <f t="shared" ca="1" si="104"/>
        <v>2821.6533572835297</v>
      </c>
      <c r="AE141" s="233">
        <f t="shared" ca="1" si="104"/>
        <v>2631.171117666127</v>
      </c>
      <c r="AF141" s="233">
        <f t="shared" ca="1" si="104"/>
        <v>2992.5247732037515</v>
      </c>
      <c r="AG141" s="233">
        <f t="shared" ca="1" si="104"/>
        <v>2694.7971679399302</v>
      </c>
      <c r="AH141" s="233">
        <f t="shared" ca="1" si="104"/>
        <v>2991.7390288891047</v>
      </c>
      <c r="AI141" s="233">
        <f t="shared" ca="1" si="104"/>
        <v>2638.3640276818019</v>
      </c>
      <c r="AJ141" s="233">
        <f t="shared" ca="1" si="104"/>
        <v>0</v>
      </c>
      <c r="AK141" s="233">
        <f t="shared" ca="1" si="104"/>
        <v>0</v>
      </c>
      <c r="AL141" s="233">
        <f t="shared" ca="1" si="104"/>
        <v>0</v>
      </c>
      <c r="AM141" s="233">
        <f t="shared" ref="AM141:BO141" ca="1" si="105">AM$79*AM$13</f>
        <v>0</v>
      </c>
      <c r="AN141" s="233">
        <f t="shared" ca="1" si="105"/>
        <v>0</v>
      </c>
      <c r="AO141" s="233">
        <f t="shared" ca="1" si="105"/>
        <v>0</v>
      </c>
      <c r="AP141" s="233">
        <f t="shared" ca="1" si="105"/>
        <v>0</v>
      </c>
      <c r="AQ141" s="233">
        <f t="shared" ca="1" si="105"/>
        <v>0</v>
      </c>
      <c r="AR141" s="233">
        <f t="shared" ca="1" si="105"/>
        <v>0</v>
      </c>
      <c r="AS141" s="233">
        <f t="shared" ca="1" si="105"/>
        <v>0</v>
      </c>
      <c r="AT141" s="233">
        <f t="shared" ca="1" si="105"/>
        <v>0</v>
      </c>
      <c r="AU141" s="233">
        <f t="shared" ca="1" si="105"/>
        <v>0</v>
      </c>
      <c r="AV141" s="233">
        <f t="shared" ca="1" si="105"/>
        <v>0</v>
      </c>
      <c r="AW141" s="233">
        <f t="shared" ca="1" si="105"/>
        <v>0</v>
      </c>
      <c r="AX141" s="233">
        <f t="shared" ca="1" si="105"/>
        <v>0</v>
      </c>
      <c r="AY141" s="233">
        <f t="shared" ca="1" si="105"/>
        <v>0</v>
      </c>
      <c r="AZ141" s="233">
        <f t="shared" ca="1" si="105"/>
        <v>0</v>
      </c>
      <c r="BA141" s="233">
        <f t="shared" ca="1" si="105"/>
        <v>0</v>
      </c>
      <c r="BB141" s="233">
        <f t="shared" ca="1" si="105"/>
        <v>0</v>
      </c>
      <c r="BC141" s="233">
        <f t="shared" ca="1" si="105"/>
        <v>0</v>
      </c>
      <c r="BD141" s="233">
        <f t="shared" ca="1" si="105"/>
        <v>0</v>
      </c>
      <c r="BE141" s="233">
        <f t="shared" ca="1" si="105"/>
        <v>0</v>
      </c>
      <c r="BF141" s="233">
        <f t="shared" ca="1" si="105"/>
        <v>0</v>
      </c>
      <c r="BG141" s="233">
        <f t="shared" ca="1" si="105"/>
        <v>0</v>
      </c>
      <c r="BH141" s="233">
        <f t="shared" ca="1" si="105"/>
        <v>0</v>
      </c>
      <c r="BI141" s="233">
        <f t="shared" ca="1" si="105"/>
        <v>0</v>
      </c>
      <c r="BJ141" s="233">
        <f t="shared" ca="1" si="105"/>
        <v>0</v>
      </c>
      <c r="BK141" s="233">
        <f t="shared" ca="1" si="105"/>
        <v>0</v>
      </c>
      <c r="BL141" s="233">
        <f t="shared" ca="1" si="105"/>
        <v>0</v>
      </c>
      <c r="BM141" s="233">
        <f t="shared" ca="1" si="105"/>
        <v>0</v>
      </c>
      <c r="BN141" s="233">
        <f t="shared" ca="1" si="105"/>
        <v>0</v>
      </c>
      <c r="BO141" s="233">
        <f t="shared" ca="1" si="105"/>
        <v>0</v>
      </c>
      <c r="BP141" s="233"/>
      <c r="BQ141" s="233"/>
      <c r="BR141" s="233"/>
      <c r="BS141" s="233"/>
      <c r="BT141" s="233"/>
      <c r="BU141" s="233"/>
      <c r="BV141" s="233"/>
      <c r="BW141" s="233"/>
      <c r="BX141" s="233"/>
      <c r="BY141" s="233"/>
      <c r="BZ141" s="233"/>
      <c r="CA141" s="233"/>
      <c r="CB141" s="233"/>
      <c r="CC141" s="233"/>
      <c r="CD141" s="233"/>
      <c r="CE141" s="233"/>
      <c r="CF141" s="233"/>
      <c r="CG141" s="233"/>
      <c r="CH141" s="233"/>
      <c r="CI141" s="233"/>
      <c r="CJ141" s="233"/>
      <c r="CK141" s="233"/>
      <c r="CL141" s="233"/>
      <c r="CM141" s="233"/>
      <c r="CN141" s="233"/>
      <c r="CO141" s="233"/>
      <c r="CP141" s="233"/>
      <c r="CQ141" s="233"/>
      <c r="CR141" s="233"/>
      <c r="CS141" s="233"/>
      <c r="CT141" s="233"/>
      <c r="CU141" s="233"/>
      <c r="CV141" s="233"/>
      <c r="CW141" s="233"/>
      <c r="CX141" s="233"/>
      <c r="CY141" s="233"/>
      <c r="CZ141" s="233"/>
      <c r="DA141" s="233"/>
      <c r="DB141" s="233"/>
      <c r="DC141" s="233"/>
      <c r="DD141" s="233"/>
      <c r="DE141" s="233"/>
      <c r="DF141" s="233"/>
      <c r="DG141" s="233"/>
      <c r="DH141" s="233"/>
      <c r="DI141" s="233"/>
      <c r="DJ141" s="233"/>
      <c r="DK141" s="233"/>
      <c r="DL141" s="233"/>
      <c r="DM141" s="233"/>
      <c r="DN141" s="233"/>
      <c r="DO141" s="233"/>
      <c r="DP141" s="233"/>
      <c r="DQ141" s="233"/>
      <c r="DR141" s="233"/>
      <c r="DS141" s="233"/>
      <c r="DT141" s="233"/>
      <c r="DU141" s="233"/>
      <c r="DV141" s="233"/>
      <c r="DW141" s="233"/>
      <c r="DX141" s="563"/>
      <c r="DY141" s="563"/>
      <c r="DZ141" s="563"/>
      <c r="EA141" s="563"/>
      <c r="EB141" s="563"/>
      <c r="EC141" s="563"/>
      <c r="ED141" s="563"/>
      <c r="EE141" s="563"/>
      <c r="EF141" s="563"/>
      <c r="EG141" s="563"/>
      <c r="EH141" s="563"/>
      <c r="EI141" s="563"/>
      <c r="EJ141" s="563"/>
      <c r="EK141" s="563"/>
      <c r="EL141" s="563"/>
      <c r="EM141" s="563"/>
      <c r="EN141" s="563"/>
      <c r="EO141" s="563"/>
      <c r="EP141" s="563"/>
    </row>
    <row r="142" spans="1:146" s="481" customFormat="1">
      <c r="A142" s="382" t="s">
        <v>1170</v>
      </c>
      <c r="B142" s="562"/>
      <c r="C142" s="562"/>
      <c r="D142" s="562"/>
      <c r="E142" s="562"/>
      <c r="F142" s="618"/>
      <c r="G142" s="233">
        <f t="shared" ref="G142:AL142" si="106">G$79*G$15</f>
        <v>0</v>
      </c>
      <c r="H142" s="233">
        <f t="shared" ca="1" si="106"/>
        <v>2575.0034247825092</v>
      </c>
      <c r="I142" s="233">
        <f t="shared" ca="1" si="106"/>
        <v>2533.0196732914906</v>
      </c>
      <c r="J142" s="233">
        <f t="shared" ca="1" si="106"/>
        <v>2576.6037713428454</v>
      </c>
      <c r="K142" s="233">
        <f t="shared" ca="1" si="106"/>
        <v>2610.8185963428691</v>
      </c>
      <c r="L142" s="233">
        <f t="shared" ca="1" si="106"/>
        <v>2637.7504890658502</v>
      </c>
      <c r="M142" s="233">
        <f t="shared" ca="1" si="106"/>
        <v>2648.8765041975066</v>
      </c>
      <c r="N142" s="233">
        <f t="shared" ca="1" si="106"/>
        <v>2677.4501512146035</v>
      </c>
      <c r="O142" s="233">
        <f t="shared" ca="1" si="106"/>
        <v>2666.4995224653298</v>
      </c>
      <c r="P142" s="233">
        <f t="shared" ca="1" si="106"/>
        <v>2717.7436256413152</v>
      </c>
      <c r="Q142" s="233">
        <f t="shared" ca="1" si="106"/>
        <v>2684.0381741747533</v>
      </c>
      <c r="R142" s="233">
        <f t="shared" ca="1" si="106"/>
        <v>2751.1021773897965</v>
      </c>
      <c r="S142" s="233">
        <f t="shared" ca="1" si="106"/>
        <v>2709.262597095757</v>
      </c>
      <c r="T142" s="233">
        <f t="shared" ca="1" si="106"/>
        <v>2800.1462544677497</v>
      </c>
      <c r="U142" s="233">
        <f t="shared" ca="1" si="106"/>
        <v>2687.1561043239531</v>
      </c>
      <c r="V142" s="233">
        <f t="shared" ca="1" si="106"/>
        <v>0</v>
      </c>
      <c r="W142" s="233">
        <f t="shared" ca="1" si="106"/>
        <v>0</v>
      </c>
      <c r="X142" s="233">
        <f t="shared" ca="1" si="106"/>
        <v>0</v>
      </c>
      <c r="Y142" s="233">
        <f t="shared" ca="1" si="106"/>
        <v>0</v>
      </c>
      <c r="Z142" s="233">
        <f t="shared" ca="1" si="106"/>
        <v>0</v>
      </c>
      <c r="AA142" s="233">
        <f t="shared" ca="1" si="106"/>
        <v>0</v>
      </c>
      <c r="AB142" s="233">
        <f t="shared" ca="1" si="106"/>
        <v>0</v>
      </c>
      <c r="AC142" s="233">
        <f t="shared" ca="1" si="106"/>
        <v>0</v>
      </c>
      <c r="AD142" s="233">
        <f t="shared" ca="1" si="106"/>
        <v>0</v>
      </c>
      <c r="AE142" s="233">
        <f t="shared" ca="1" si="106"/>
        <v>0</v>
      </c>
      <c r="AF142" s="233">
        <f t="shared" ca="1" si="106"/>
        <v>0</v>
      </c>
      <c r="AG142" s="233">
        <f t="shared" ca="1" si="106"/>
        <v>0</v>
      </c>
      <c r="AH142" s="233">
        <f t="shared" ca="1" si="106"/>
        <v>0</v>
      </c>
      <c r="AI142" s="233">
        <f t="shared" ca="1" si="106"/>
        <v>0</v>
      </c>
      <c r="AJ142" s="233">
        <f t="shared" ca="1" si="106"/>
        <v>0</v>
      </c>
      <c r="AK142" s="233">
        <f t="shared" ca="1" si="106"/>
        <v>0</v>
      </c>
      <c r="AL142" s="233">
        <f t="shared" ca="1" si="106"/>
        <v>0</v>
      </c>
      <c r="AM142" s="233">
        <f t="shared" ref="AM142:BO142" ca="1" si="107">AM$79*AM$15</f>
        <v>0</v>
      </c>
      <c r="AN142" s="233">
        <f t="shared" ca="1" si="107"/>
        <v>0</v>
      </c>
      <c r="AO142" s="233">
        <f t="shared" ca="1" si="107"/>
        <v>0</v>
      </c>
      <c r="AP142" s="233">
        <f t="shared" ca="1" si="107"/>
        <v>0</v>
      </c>
      <c r="AQ142" s="233">
        <f t="shared" ca="1" si="107"/>
        <v>0</v>
      </c>
      <c r="AR142" s="233">
        <f t="shared" ca="1" si="107"/>
        <v>0</v>
      </c>
      <c r="AS142" s="233">
        <f t="shared" ca="1" si="107"/>
        <v>0</v>
      </c>
      <c r="AT142" s="233">
        <f t="shared" ca="1" si="107"/>
        <v>0</v>
      </c>
      <c r="AU142" s="233">
        <f t="shared" ca="1" si="107"/>
        <v>0</v>
      </c>
      <c r="AV142" s="233">
        <f t="shared" ca="1" si="107"/>
        <v>0</v>
      </c>
      <c r="AW142" s="233">
        <f t="shared" ca="1" si="107"/>
        <v>0</v>
      </c>
      <c r="AX142" s="233">
        <f t="shared" ca="1" si="107"/>
        <v>0</v>
      </c>
      <c r="AY142" s="233">
        <f t="shared" ca="1" si="107"/>
        <v>0</v>
      </c>
      <c r="AZ142" s="233">
        <f t="shared" ca="1" si="107"/>
        <v>0</v>
      </c>
      <c r="BA142" s="233">
        <f t="shared" ca="1" si="107"/>
        <v>0</v>
      </c>
      <c r="BB142" s="233">
        <f t="shared" ca="1" si="107"/>
        <v>0</v>
      </c>
      <c r="BC142" s="233">
        <f t="shared" ca="1" si="107"/>
        <v>0</v>
      </c>
      <c r="BD142" s="233">
        <f t="shared" ca="1" si="107"/>
        <v>0</v>
      </c>
      <c r="BE142" s="233">
        <f t="shared" ca="1" si="107"/>
        <v>0</v>
      </c>
      <c r="BF142" s="233">
        <f t="shared" ca="1" si="107"/>
        <v>0</v>
      </c>
      <c r="BG142" s="233">
        <f t="shared" ca="1" si="107"/>
        <v>0</v>
      </c>
      <c r="BH142" s="233">
        <f t="shared" ca="1" si="107"/>
        <v>0</v>
      </c>
      <c r="BI142" s="233">
        <f t="shared" ca="1" si="107"/>
        <v>0</v>
      </c>
      <c r="BJ142" s="233">
        <f t="shared" ca="1" si="107"/>
        <v>0</v>
      </c>
      <c r="BK142" s="233">
        <f t="shared" ca="1" si="107"/>
        <v>0</v>
      </c>
      <c r="BL142" s="233">
        <f t="shared" ca="1" si="107"/>
        <v>0</v>
      </c>
      <c r="BM142" s="233">
        <f t="shared" ca="1" si="107"/>
        <v>0</v>
      </c>
      <c r="BN142" s="233">
        <f t="shared" ca="1" si="107"/>
        <v>0</v>
      </c>
      <c r="BO142" s="233">
        <f t="shared" ca="1" si="107"/>
        <v>0</v>
      </c>
      <c r="BP142" s="233"/>
      <c r="BQ142" s="233"/>
      <c r="BR142" s="233"/>
      <c r="BS142" s="233"/>
      <c r="BT142" s="233"/>
      <c r="BU142" s="233"/>
      <c r="BV142" s="233"/>
      <c r="BW142" s="233"/>
      <c r="BX142" s="233"/>
      <c r="BY142" s="233"/>
      <c r="BZ142" s="233"/>
      <c r="CA142" s="233"/>
      <c r="CB142" s="233"/>
      <c r="CC142" s="233"/>
      <c r="CD142" s="233"/>
      <c r="CE142" s="233"/>
      <c r="CF142" s="233"/>
      <c r="CG142" s="233"/>
      <c r="CH142" s="233"/>
      <c r="CI142" s="233"/>
      <c r="CJ142" s="233"/>
      <c r="CK142" s="233"/>
      <c r="CL142" s="233"/>
      <c r="CM142" s="233"/>
      <c r="CN142" s="233"/>
      <c r="CO142" s="233"/>
      <c r="CP142" s="233"/>
      <c r="CQ142" s="233"/>
      <c r="CR142" s="233"/>
      <c r="CS142" s="233"/>
      <c r="CT142" s="233"/>
      <c r="CU142" s="233"/>
      <c r="CV142" s="233"/>
      <c r="CW142" s="233"/>
      <c r="CX142" s="233"/>
      <c r="CY142" s="233"/>
      <c r="CZ142" s="233"/>
      <c r="DA142" s="233"/>
      <c r="DB142" s="233"/>
      <c r="DC142" s="233"/>
      <c r="DD142" s="233"/>
      <c r="DE142" s="233"/>
      <c r="DF142" s="233"/>
      <c r="DG142" s="233"/>
      <c r="DH142" s="233"/>
      <c r="DI142" s="233"/>
      <c r="DJ142" s="233"/>
      <c r="DK142" s="233"/>
      <c r="DL142" s="233"/>
      <c r="DM142" s="233"/>
      <c r="DN142" s="233"/>
      <c r="DO142" s="233"/>
      <c r="DP142" s="233"/>
      <c r="DQ142" s="233"/>
      <c r="DR142" s="233"/>
      <c r="DS142" s="233"/>
      <c r="DT142" s="233"/>
      <c r="DU142" s="233"/>
      <c r="DV142" s="233"/>
      <c r="DW142" s="233"/>
      <c r="DX142" s="563"/>
      <c r="DY142" s="563"/>
      <c r="DZ142" s="563"/>
      <c r="EA142" s="563"/>
      <c r="EB142" s="563"/>
      <c r="EC142" s="563"/>
      <c r="ED142" s="563"/>
      <c r="EE142" s="563"/>
      <c r="EF142" s="563"/>
      <c r="EG142" s="563"/>
      <c r="EH142" s="563"/>
      <c r="EI142" s="563"/>
      <c r="EJ142" s="563"/>
      <c r="EK142" s="563"/>
      <c r="EL142" s="563"/>
      <c r="EM142" s="563"/>
      <c r="EN142" s="563"/>
      <c r="EO142" s="563"/>
      <c r="EP142" s="563"/>
    </row>
    <row r="143" spans="1:146" s="352" customFormat="1">
      <c r="A143" s="564"/>
      <c r="B143" s="565"/>
      <c r="C143" s="565"/>
      <c r="D143" s="565"/>
      <c r="E143" s="565"/>
      <c r="F143" s="943"/>
      <c r="G143" s="566"/>
      <c r="H143" s="566"/>
      <c r="I143" s="566"/>
      <c r="J143" s="566"/>
      <c r="K143" s="566"/>
      <c r="L143" s="566"/>
      <c r="M143" s="566"/>
      <c r="N143" s="566"/>
      <c r="O143" s="566"/>
      <c r="P143" s="566"/>
      <c r="Q143" s="566"/>
      <c r="R143" s="566"/>
      <c r="S143" s="566"/>
      <c r="T143" s="566"/>
      <c r="U143" s="566"/>
      <c r="V143" s="566"/>
      <c r="W143" s="566"/>
      <c r="X143" s="566"/>
      <c r="Y143" s="566"/>
      <c r="Z143" s="566"/>
      <c r="AA143" s="566"/>
      <c r="AB143" s="566"/>
      <c r="AC143" s="566"/>
      <c r="AD143" s="566"/>
      <c r="AE143" s="566"/>
      <c r="AF143" s="566"/>
      <c r="AG143" s="566"/>
      <c r="AH143" s="566"/>
      <c r="AI143" s="566"/>
      <c r="AJ143" s="566"/>
      <c r="AK143" s="566"/>
      <c r="AL143" s="566"/>
      <c r="AM143" s="566"/>
      <c r="AN143" s="566"/>
      <c r="AO143" s="566"/>
      <c r="AP143" s="566"/>
      <c r="AQ143" s="566"/>
      <c r="AR143" s="566"/>
      <c r="AS143" s="566"/>
      <c r="AT143" s="566"/>
      <c r="AU143" s="566"/>
      <c r="AV143" s="566"/>
      <c r="AW143" s="566"/>
      <c r="AX143" s="566"/>
      <c r="AY143" s="566"/>
      <c r="AZ143" s="566"/>
      <c r="BA143" s="566"/>
      <c r="BB143" s="566"/>
      <c r="BC143" s="566"/>
      <c r="BD143" s="566"/>
      <c r="BE143" s="566"/>
      <c r="BF143" s="566"/>
      <c r="BG143" s="566"/>
      <c r="BH143" s="566"/>
      <c r="BI143" s="566"/>
      <c r="BJ143" s="566"/>
      <c r="BK143" s="566"/>
      <c r="BL143" s="566"/>
      <c r="BM143" s="566"/>
      <c r="BN143" s="566"/>
      <c r="BO143" s="566"/>
      <c r="BP143" s="566"/>
      <c r="BQ143" s="566"/>
      <c r="BR143" s="566"/>
      <c r="BS143" s="566"/>
      <c r="BT143" s="566"/>
      <c r="BU143" s="566"/>
      <c r="BV143" s="566"/>
      <c r="BW143" s="566"/>
      <c r="BX143" s="566"/>
      <c r="BY143" s="566"/>
      <c r="BZ143" s="566"/>
      <c r="CA143" s="566"/>
      <c r="CB143" s="566"/>
      <c r="CC143" s="566"/>
      <c r="CD143" s="566"/>
      <c r="CE143" s="566"/>
      <c r="CF143" s="566"/>
      <c r="CG143" s="566"/>
      <c r="CH143" s="566"/>
      <c r="CI143" s="566"/>
      <c r="CJ143" s="566"/>
      <c r="CK143" s="566"/>
      <c r="CL143" s="566"/>
      <c r="CM143" s="566"/>
      <c r="CN143" s="566"/>
      <c r="CO143" s="566"/>
      <c r="CP143" s="566"/>
      <c r="CQ143" s="566"/>
      <c r="CR143" s="566"/>
      <c r="CS143" s="566"/>
      <c r="CT143" s="566"/>
      <c r="CU143" s="566"/>
      <c r="CV143" s="566"/>
      <c r="CW143" s="566"/>
      <c r="CX143" s="566"/>
      <c r="CY143" s="566"/>
      <c r="CZ143" s="566"/>
      <c r="DA143" s="566"/>
      <c r="DB143" s="566"/>
      <c r="DC143" s="566"/>
      <c r="DD143" s="566"/>
      <c r="DE143" s="566"/>
      <c r="DF143" s="566"/>
      <c r="DG143" s="566"/>
      <c r="DH143" s="566"/>
      <c r="DI143" s="566"/>
      <c r="DJ143" s="566"/>
      <c r="DK143" s="566"/>
      <c r="DL143" s="566"/>
      <c r="DM143" s="566"/>
      <c r="DN143" s="566"/>
      <c r="DO143" s="566"/>
      <c r="DP143" s="566"/>
      <c r="DQ143" s="566"/>
      <c r="DR143" s="566"/>
      <c r="DS143" s="566"/>
      <c r="DT143" s="566"/>
      <c r="DU143" s="566"/>
      <c r="DV143" s="566"/>
      <c r="DW143" s="566"/>
      <c r="DX143" s="357"/>
      <c r="DY143" s="357"/>
    </row>
    <row r="144" spans="1:146">
      <c r="A144" s="861" t="s">
        <v>1171</v>
      </c>
      <c r="B144" s="864"/>
      <c r="C144" s="864"/>
      <c r="D144" s="864"/>
      <c r="E144" s="864"/>
      <c r="F144" s="863"/>
      <c r="G144" s="480">
        <f t="shared" ref="G144:AL144" ca="1" si="108">F144+G132</f>
        <v>0</v>
      </c>
      <c r="H144" s="480">
        <f t="shared" ca="1" si="108"/>
        <v>0</v>
      </c>
      <c r="I144" s="480">
        <f t="shared" ca="1" si="108"/>
        <v>0</v>
      </c>
      <c r="J144" s="480">
        <f t="shared" ca="1" si="108"/>
        <v>0</v>
      </c>
      <c r="K144" s="480">
        <f t="shared" ca="1" si="108"/>
        <v>0</v>
      </c>
      <c r="L144" s="480">
        <f t="shared" ca="1" si="108"/>
        <v>0</v>
      </c>
      <c r="M144" s="480">
        <f t="shared" ca="1" si="108"/>
        <v>0</v>
      </c>
      <c r="N144" s="480">
        <f t="shared" ca="1" si="108"/>
        <v>0</v>
      </c>
      <c r="O144" s="480">
        <f t="shared" ca="1" si="108"/>
        <v>0</v>
      </c>
      <c r="P144" s="480">
        <f t="shared" ca="1" si="108"/>
        <v>0</v>
      </c>
      <c r="Q144" s="480">
        <f t="shared" ca="1" si="108"/>
        <v>0</v>
      </c>
      <c r="R144" s="480">
        <f t="shared" ca="1" si="108"/>
        <v>0</v>
      </c>
      <c r="S144" s="480">
        <f t="shared" ca="1" si="108"/>
        <v>0</v>
      </c>
      <c r="T144" s="480">
        <f t="shared" ca="1" si="108"/>
        <v>0</v>
      </c>
      <c r="U144" s="480">
        <f t="shared" ca="1" si="108"/>
        <v>0</v>
      </c>
      <c r="V144" s="480">
        <f t="shared" ca="1" si="108"/>
        <v>0</v>
      </c>
      <c r="W144" s="480">
        <f t="shared" ca="1" si="108"/>
        <v>0</v>
      </c>
      <c r="X144" s="480">
        <f t="shared" ca="1" si="108"/>
        <v>0</v>
      </c>
      <c r="Y144" s="480">
        <f t="shared" ca="1" si="108"/>
        <v>0</v>
      </c>
      <c r="Z144" s="480">
        <f t="shared" ca="1" si="108"/>
        <v>0</v>
      </c>
      <c r="AA144" s="480">
        <f t="shared" ca="1" si="108"/>
        <v>0</v>
      </c>
      <c r="AB144" s="480">
        <f t="shared" ca="1" si="108"/>
        <v>0</v>
      </c>
      <c r="AC144" s="480">
        <f t="shared" ca="1" si="108"/>
        <v>0</v>
      </c>
      <c r="AD144" s="480">
        <f t="shared" ca="1" si="108"/>
        <v>0</v>
      </c>
      <c r="AE144" s="480">
        <f t="shared" ca="1" si="108"/>
        <v>0</v>
      </c>
      <c r="AF144" s="480">
        <f t="shared" ca="1" si="108"/>
        <v>0</v>
      </c>
      <c r="AG144" s="480">
        <f t="shared" ca="1" si="108"/>
        <v>0</v>
      </c>
      <c r="AH144" s="480">
        <f t="shared" ca="1" si="108"/>
        <v>0</v>
      </c>
      <c r="AI144" s="480">
        <f t="shared" ca="1" si="108"/>
        <v>0</v>
      </c>
      <c r="AJ144" s="480">
        <f t="shared" ca="1" si="108"/>
        <v>0</v>
      </c>
      <c r="AK144" s="480">
        <f t="shared" ca="1" si="108"/>
        <v>0</v>
      </c>
      <c r="AL144" s="480">
        <f t="shared" ca="1" si="108"/>
        <v>0</v>
      </c>
      <c r="AM144" s="480">
        <f t="shared" ref="AM144:BO144" ca="1" si="109">AL144+AM132</f>
        <v>0</v>
      </c>
      <c r="AN144" s="480">
        <f t="shared" ca="1" si="109"/>
        <v>0</v>
      </c>
      <c r="AO144" s="480">
        <f t="shared" ca="1" si="109"/>
        <v>0</v>
      </c>
      <c r="AP144" s="480">
        <f t="shared" ca="1" si="109"/>
        <v>0</v>
      </c>
      <c r="AQ144" s="480">
        <f t="shared" ca="1" si="109"/>
        <v>0</v>
      </c>
      <c r="AR144" s="480">
        <f t="shared" ca="1" si="109"/>
        <v>0</v>
      </c>
      <c r="AS144" s="480">
        <f t="shared" ca="1" si="109"/>
        <v>0</v>
      </c>
      <c r="AT144" s="480">
        <f t="shared" ca="1" si="109"/>
        <v>0</v>
      </c>
      <c r="AU144" s="480">
        <f t="shared" ca="1" si="109"/>
        <v>550.00000000002774</v>
      </c>
      <c r="AV144" s="480">
        <f t="shared" ca="1" si="109"/>
        <v>550.00000000002774</v>
      </c>
      <c r="AW144" s="480">
        <f t="shared" ca="1" si="109"/>
        <v>550.00000000002774</v>
      </c>
      <c r="AX144" s="480">
        <f t="shared" ca="1" si="109"/>
        <v>550.00000000002774</v>
      </c>
      <c r="AY144" s="480">
        <f t="shared" ca="1" si="109"/>
        <v>550.00000000002774</v>
      </c>
      <c r="AZ144" s="480">
        <f t="shared" ca="1" si="109"/>
        <v>550.00000000002774</v>
      </c>
      <c r="BA144" s="480">
        <f t="shared" ca="1" si="109"/>
        <v>550.00000000002774</v>
      </c>
      <c r="BB144" s="480">
        <f t="shared" ca="1" si="109"/>
        <v>550.00000000002774</v>
      </c>
      <c r="BC144" s="480">
        <f t="shared" ca="1" si="109"/>
        <v>550.00000000002774</v>
      </c>
      <c r="BD144" s="480">
        <f t="shared" ca="1" si="109"/>
        <v>550.00000000002774</v>
      </c>
      <c r="BE144" s="480">
        <f t="shared" ca="1" si="109"/>
        <v>550.00000000002774</v>
      </c>
      <c r="BF144" s="480">
        <f t="shared" ca="1" si="109"/>
        <v>550.00000000002774</v>
      </c>
      <c r="BG144" s="480">
        <f t="shared" ca="1" si="109"/>
        <v>550.00000000002774</v>
      </c>
      <c r="BH144" s="480">
        <f t="shared" ca="1" si="109"/>
        <v>550.00000000002774</v>
      </c>
      <c r="BI144" s="480">
        <f t="shared" ca="1" si="109"/>
        <v>550.00000000002774</v>
      </c>
      <c r="BJ144" s="480">
        <f t="shared" ca="1" si="109"/>
        <v>550.00000000002774</v>
      </c>
      <c r="BK144" s="480">
        <f t="shared" ca="1" si="109"/>
        <v>550.00000000002774</v>
      </c>
      <c r="BL144" s="480">
        <f t="shared" ca="1" si="109"/>
        <v>550.00000000002774</v>
      </c>
      <c r="BM144" s="480">
        <f t="shared" ca="1" si="109"/>
        <v>550.00000000002774</v>
      </c>
      <c r="BN144" s="480">
        <f t="shared" ca="1" si="109"/>
        <v>550.00000000002774</v>
      </c>
      <c r="BO144" s="480">
        <f t="shared" ca="1" si="109"/>
        <v>550.00000000002774</v>
      </c>
      <c r="BP144" s="480"/>
      <c r="BQ144" s="480"/>
      <c r="BR144" s="480"/>
      <c r="BS144" s="480"/>
      <c r="BT144" s="480"/>
      <c r="BU144" s="480"/>
      <c r="BV144" s="480"/>
      <c r="BW144" s="480"/>
      <c r="BX144" s="480"/>
      <c r="BY144" s="480"/>
      <c r="BZ144" s="480"/>
      <c r="CA144" s="480"/>
      <c r="CB144" s="480"/>
      <c r="CC144" s="480"/>
      <c r="CD144" s="480"/>
      <c r="CE144" s="480"/>
      <c r="CF144" s="480"/>
      <c r="CG144" s="480"/>
      <c r="CH144" s="480"/>
      <c r="CI144" s="480"/>
      <c r="CJ144" s="480"/>
      <c r="CK144" s="480"/>
      <c r="CL144" s="480"/>
      <c r="CM144" s="480"/>
      <c r="CN144" s="480"/>
      <c r="CO144" s="480"/>
      <c r="CP144" s="480"/>
      <c r="CQ144" s="480"/>
      <c r="CR144" s="480"/>
      <c r="CS144" s="480"/>
      <c r="CT144" s="480"/>
      <c r="CU144" s="480"/>
      <c r="CV144" s="480"/>
      <c r="CW144" s="480"/>
      <c r="CX144" s="480"/>
      <c r="CY144" s="480"/>
      <c r="CZ144" s="480"/>
      <c r="DA144" s="480"/>
      <c r="DB144" s="480"/>
      <c r="DC144" s="480"/>
      <c r="DD144" s="480"/>
      <c r="DE144" s="480"/>
      <c r="DF144" s="480"/>
      <c r="DG144" s="480"/>
      <c r="DH144" s="480"/>
      <c r="DI144" s="480"/>
      <c r="DJ144" s="480"/>
      <c r="DK144" s="480"/>
      <c r="DL144" s="480"/>
      <c r="DM144" s="480"/>
      <c r="DN144" s="480"/>
      <c r="DO144" s="480"/>
      <c r="DP144" s="480"/>
      <c r="DQ144" s="480"/>
      <c r="DR144" s="480"/>
      <c r="DS144" s="480"/>
      <c r="DT144" s="480"/>
      <c r="DU144" s="480"/>
      <c r="DV144" s="480"/>
      <c r="DW144" s="480"/>
    </row>
    <row r="145" spans="1:129" s="568" customFormat="1" collapsed="1">
      <c r="A145" s="567" t="s">
        <v>1172</v>
      </c>
      <c r="E145" s="502">
        <f ca="1">SUM(G145:DW145)</f>
        <v>0</v>
      </c>
      <c r="F145" s="396"/>
      <c r="G145" s="569">
        <f t="shared" ref="G145:AL145" ca="1" si="110">IF(G144&lt;-precision,1,0)</f>
        <v>0</v>
      </c>
      <c r="H145" s="569">
        <f t="shared" ca="1" si="110"/>
        <v>0</v>
      </c>
      <c r="I145" s="569">
        <f t="shared" ca="1" si="110"/>
        <v>0</v>
      </c>
      <c r="J145" s="569">
        <f t="shared" ca="1" si="110"/>
        <v>0</v>
      </c>
      <c r="K145" s="569">
        <f t="shared" ca="1" si="110"/>
        <v>0</v>
      </c>
      <c r="L145" s="569">
        <f t="shared" ca="1" si="110"/>
        <v>0</v>
      </c>
      <c r="M145" s="569">
        <f t="shared" ca="1" si="110"/>
        <v>0</v>
      </c>
      <c r="N145" s="569">
        <f t="shared" ca="1" si="110"/>
        <v>0</v>
      </c>
      <c r="O145" s="569">
        <f t="shared" ca="1" si="110"/>
        <v>0</v>
      </c>
      <c r="P145" s="569">
        <f t="shared" ca="1" si="110"/>
        <v>0</v>
      </c>
      <c r="Q145" s="569">
        <f t="shared" ca="1" si="110"/>
        <v>0</v>
      </c>
      <c r="R145" s="569">
        <f t="shared" ca="1" si="110"/>
        <v>0</v>
      </c>
      <c r="S145" s="569">
        <f t="shared" ca="1" si="110"/>
        <v>0</v>
      </c>
      <c r="T145" s="569">
        <f t="shared" ca="1" si="110"/>
        <v>0</v>
      </c>
      <c r="U145" s="569">
        <f t="shared" ca="1" si="110"/>
        <v>0</v>
      </c>
      <c r="V145" s="569">
        <f t="shared" ca="1" si="110"/>
        <v>0</v>
      </c>
      <c r="W145" s="569">
        <f t="shared" ca="1" si="110"/>
        <v>0</v>
      </c>
      <c r="X145" s="569">
        <f t="shared" ca="1" si="110"/>
        <v>0</v>
      </c>
      <c r="Y145" s="569">
        <f t="shared" ca="1" si="110"/>
        <v>0</v>
      </c>
      <c r="Z145" s="569">
        <f t="shared" ca="1" si="110"/>
        <v>0</v>
      </c>
      <c r="AA145" s="569">
        <f t="shared" ca="1" si="110"/>
        <v>0</v>
      </c>
      <c r="AB145" s="569">
        <f t="shared" ca="1" si="110"/>
        <v>0</v>
      </c>
      <c r="AC145" s="569">
        <f t="shared" ca="1" si="110"/>
        <v>0</v>
      </c>
      <c r="AD145" s="569">
        <f t="shared" ca="1" si="110"/>
        <v>0</v>
      </c>
      <c r="AE145" s="569">
        <f t="shared" ca="1" si="110"/>
        <v>0</v>
      </c>
      <c r="AF145" s="569">
        <f t="shared" ca="1" si="110"/>
        <v>0</v>
      </c>
      <c r="AG145" s="569">
        <f t="shared" ca="1" si="110"/>
        <v>0</v>
      </c>
      <c r="AH145" s="569">
        <f t="shared" ca="1" si="110"/>
        <v>0</v>
      </c>
      <c r="AI145" s="569">
        <f t="shared" ca="1" si="110"/>
        <v>0</v>
      </c>
      <c r="AJ145" s="569">
        <f t="shared" ca="1" si="110"/>
        <v>0</v>
      </c>
      <c r="AK145" s="569">
        <f t="shared" ca="1" si="110"/>
        <v>0</v>
      </c>
      <c r="AL145" s="569">
        <f t="shared" ca="1" si="110"/>
        <v>0</v>
      </c>
      <c r="AM145" s="569">
        <f t="shared" ref="AM145:BO145" ca="1" si="111">IF(AM144&lt;-precision,1,0)</f>
        <v>0</v>
      </c>
      <c r="AN145" s="569">
        <f t="shared" ca="1" si="111"/>
        <v>0</v>
      </c>
      <c r="AO145" s="569">
        <f t="shared" ca="1" si="111"/>
        <v>0</v>
      </c>
      <c r="AP145" s="569">
        <f t="shared" ca="1" si="111"/>
        <v>0</v>
      </c>
      <c r="AQ145" s="569">
        <f t="shared" ca="1" si="111"/>
        <v>0</v>
      </c>
      <c r="AR145" s="569">
        <f t="shared" ca="1" si="111"/>
        <v>0</v>
      </c>
      <c r="AS145" s="569">
        <f t="shared" ca="1" si="111"/>
        <v>0</v>
      </c>
      <c r="AT145" s="569">
        <f t="shared" ca="1" si="111"/>
        <v>0</v>
      </c>
      <c r="AU145" s="569">
        <f t="shared" ca="1" si="111"/>
        <v>0</v>
      </c>
      <c r="AV145" s="569">
        <f t="shared" ca="1" si="111"/>
        <v>0</v>
      </c>
      <c r="AW145" s="569">
        <f t="shared" ca="1" si="111"/>
        <v>0</v>
      </c>
      <c r="AX145" s="569">
        <f t="shared" ca="1" si="111"/>
        <v>0</v>
      </c>
      <c r="AY145" s="569">
        <f t="shared" ca="1" si="111"/>
        <v>0</v>
      </c>
      <c r="AZ145" s="569">
        <f t="shared" ca="1" si="111"/>
        <v>0</v>
      </c>
      <c r="BA145" s="569">
        <f t="shared" ca="1" si="111"/>
        <v>0</v>
      </c>
      <c r="BB145" s="569">
        <f t="shared" ca="1" si="111"/>
        <v>0</v>
      </c>
      <c r="BC145" s="569">
        <f t="shared" ca="1" si="111"/>
        <v>0</v>
      </c>
      <c r="BD145" s="569">
        <f t="shared" ca="1" si="111"/>
        <v>0</v>
      </c>
      <c r="BE145" s="569">
        <f t="shared" ca="1" si="111"/>
        <v>0</v>
      </c>
      <c r="BF145" s="569">
        <f t="shared" ca="1" si="111"/>
        <v>0</v>
      </c>
      <c r="BG145" s="569">
        <f t="shared" ca="1" si="111"/>
        <v>0</v>
      </c>
      <c r="BH145" s="569">
        <f t="shared" ca="1" si="111"/>
        <v>0</v>
      </c>
      <c r="BI145" s="569">
        <f t="shared" ca="1" si="111"/>
        <v>0</v>
      </c>
      <c r="BJ145" s="569">
        <f t="shared" ca="1" si="111"/>
        <v>0</v>
      </c>
      <c r="BK145" s="569">
        <f t="shared" ca="1" si="111"/>
        <v>0</v>
      </c>
      <c r="BL145" s="569">
        <f t="shared" ca="1" si="111"/>
        <v>0</v>
      </c>
      <c r="BM145" s="569">
        <f t="shared" ca="1" si="111"/>
        <v>0</v>
      </c>
      <c r="BN145" s="569">
        <f t="shared" ca="1" si="111"/>
        <v>0</v>
      </c>
      <c r="BO145" s="569">
        <f t="shared" ca="1" si="111"/>
        <v>0</v>
      </c>
      <c r="BP145" s="569"/>
      <c r="BQ145" s="569"/>
      <c r="BR145" s="569"/>
      <c r="BS145" s="569"/>
      <c r="BT145" s="569"/>
      <c r="BU145" s="569"/>
      <c r="BV145" s="569"/>
      <c r="BW145" s="569"/>
      <c r="BX145" s="569"/>
      <c r="BY145" s="569"/>
      <c r="BZ145" s="569"/>
      <c r="CA145" s="569"/>
      <c r="CB145" s="569"/>
      <c r="CC145" s="569"/>
      <c r="CD145" s="569"/>
      <c r="CE145" s="569"/>
      <c r="CF145" s="569"/>
      <c r="CG145" s="569"/>
      <c r="CH145" s="569"/>
      <c r="CI145" s="569"/>
      <c r="CJ145" s="569"/>
      <c r="CK145" s="569"/>
      <c r="CL145" s="569"/>
      <c r="CM145" s="569"/>
      <c r="CN145" s="569"/>
      <c r="CO145" s="569"/>
      <c r="CP145" s="569"/>
      <c r="CQ145" s="569"/>
      <c r="CR145" s="569"/>
      <c r="CS145" s="569"/>
      <c r="CT145" s="569"/>
      <c r="CU145" s="569"/>
      <c r="CV145" s="569"/>
      <c r="CW145" s="569"/>
      <c r="CX145" s="569"/>
      <c r="CY145" s="569"/>
      <c r="CZ145" s="569"/>
      <c r="DA145" s="569"/>
      <c r="DB145" s="569"/>
      <c r="DC145" s="569"/>
      <c r="DD145" s="569"/>
      <c r="DE145" s="569"/>
      <c r="DF145" s="569"/>
      <c r="DG145" s="569"/>
      <c r="DH145" s="569"/>
      <c r="DI145" s="569"/>
      <c r="DJ145" s="569"/>
      <c r="DK145" s="569"/>
      <c r="DL145" s="569"/>
      <c r="DM145" s="569"/>
      <c r="DN145" s="569"/>
      <c r="DO145" s="569"/>
      <c r="DP145" s="569"/>
      <c r="DQ145" s="569"/>
      <c r="DR145" s="569"/>
      <c r="DS145" s="569"/>
      <c r="DT145" s="569"/>
      <c r="DU145" s="569"/>
      <c r="DV145" s="569"/>
      <c r="DW145" s="569"/>
    </row>
    <row r="146" spans="1:129" s="568" customFormat="1">
      <c r="A146" s="570"/>
      <c r="B146" s="396"/>
      <c r="C146" s="396"/>
      <c r="D146" s="396"/>
      <c r="E146" s="396"/>
      <c r="F146" s="396"/>
      <c r="G146" s="477"/>
      <c r="H146" s="477"/>
      <c r="I146" s="477"/>
      <c r="J146" s="477"/>
      <c r="K146" s="477"/>
      <c r="L146" s="477"/>
      <c r="M146" s="477"/>
      <c r="N146" s="477"/>
      <c r="O146" s="477"/>
      <c r="P146" s="477"/>
      <c r="Q146" s="477"/>
      <c r="R146" s="477"/>
      <c r="S146" s="477"/>
      <c r="T146" s="477"/>
      <c r="U146" s="477"/>
      <c r="V146" s="477"/>
      <c r="W146" s="477"/>
      <c r="X146" s="477"/>
      <c r="Y146" s="477"/>
      <c r="Z146" s="477"/>
      <c r="AA146" s="477"/>
      <c r="AB146" s="477"/>
      <c r="AC146" s="477"/>
      <c r="AD146" s="477"/>
      <c r="AE146" s="477"/>
      <c r="AF146" s="477"/>
      <c r="AG146" s="477"/>
      <c r="AH146" s="477"/>
      <c r="AI146" s="477"/>
      <c r="AJ146" s="477"/>
      <c r="AK146" s="477"/>
      <c r="AL146" s="477"/>
      <c r="AM146" s="477"/>
      <c r="AN146" s="477"/>
      <c r="AO146" s="477"/>
      <c r="AP146" s="477"/>
      <c r="AQ146" s="477"/>
      <c r="AR146" s="477"/>
      <c r="AS146" s="477"/>
      <c r="AT146" s="477"/>
      <c r="AU146" s="477"/>
      <c r="AV146" s="477"/>
      <c r="AW146" s="477"/>
      <c r="AX146" s="477"/>
      <c r="AY146" s="477"/>
      <c r="AZ146" s="477"/>
      <c r="BA146" s="477"/>
      <c r="BB146" s="477"/>
      <c r="BC146" s="477"/>
      <c r="BD146" s="477"/>
      <c r="BE146" s="477"/>
      <c r="BF146" s="477"/>
      <c r="BG146" s="477"/>
      <c r="BH146" s="477"/>
      <c r="BI146" s="477"/>
      <c r="BJ146" s="477"/>
      <c r="BK146" s="477"/>
      <c r="BL146" s="477"/>
      <c r="BM146" s="477"/>
      <c r="BN146" s="477"/>
      <c r="BO146" s="477"/>
      <c r="BP146" s="477"/>
      <c r="BQ146" s="477"/>
      <c r="BR146" s="477"/>
      <c r="BS146" s="477"/>
      <c r="BT146" s="477"/>
      <c r="BU146" s="477"/>
      <c r="BV146" s="477"/>
      <c r="BW146" s="477"/>
      <c r="BX146" s="477"/>
      <c r="BY146" s="477"/>
      <c r="BZ146" s="477"/>
      <c r="CA146" s="477"/>
      <c r="CB146" s="477"/>
      <c r="CC146" s="477"/>
      <c r="CD146" s="477"/>
      <c r="CE146" s="477"/>
      <c r="CF146" s="477"/>
      <c r="CG146" s="477"/>
      <c r="CH146" s="477"/>
      <c r="CI146" s="477"/>
      <c r="CJ146" s="477"/>
      <c r="CK146" s="477"/>
      <c r="CL146" s="477"/>
      <c r="CM146" s="477"/>
      <c r="CN146" s="477"/>
      <c r="CO146" s="477"/>
      <c r="CP146" s="477"/>
      <c r="CQ146" s="477"/>
      <c r="CR146" s="477"/>
      <c r="CS146" s="477"/>
      <c r="CT146" s="477"/>
      <c r="CU146" s="477"/>
      <c r="CV146" s="477"/>
      <c r="CW146" s="477"/>
      <c r="CX146" s="477"/>
      <c r="CY146" s="477"/>
      <c r="CZ146" s="477"/>
      <c r="DA146" s="477"/>
      <c r="DB146" s="477"/>
      <c r="DC146" s="477"/>
      <c r="DD146" s="477"/>
      <c r="DE146" s="477"/>
      <c r="DF146" s="477"/>
      <c r="DG146" s="477"/>
      <c r="DH146" s="477"/>
      <c r="DI146" s="477"/>
      <c r="DJ146" s="477"/>
      <c r="DK146" s="477"/>
      <c r="DL146" s="477"/>
      <c r="DM146" s="477"/>
      <c r="DN146" s="477"/>
      <c r="DO146" s="477"/>
      <c r="DP146" s="477"/>
      <c r="DQ146" s="477"/>
      <c r="DR146" s="477"/>
      <c r="DS146" s="477"/>
      <c r="DT146" s="477"/>
      <c r="DU146" s="477"/>
      <c r="DV146" s="477"/>
      <c r="DW146" s="477"/>
      <c r="DX146" s="571"/>
      <c r="DY146" s="571"/>
    </row>
    <row r="147" spans="1:129">
      <c r="A147" s="347" t="s">
        <v>11</v>
      </c>
      <c r="B147" s="670">
        <f>Inputs!$D$403</f>
        <v>0.1</v>
      </c>
      <c r="C147" s="1054"/>
      <c r="D147" s="494"/>
      <c r="E147" s="494"/>
      <c r="G147" s="1056">
        <f ca="1">'P&amp;L'!G46</f>
        <v>-1169.6619115852516</v>
      </c>
      <c r="H147" s="1056">
        <f ca="1">'P&amp;L'!H46</f>
        <v>-855.96553199374398</v>
      </c>
      <c r="I147" s="1056">
        <f ca="1">'P&amp;L'!I46</f>
        <v>-825.95155396783957</v>
      </c>
      <c r="J147" s="1056">
        <f ca="1">'P&amp;L'!J46</f>
        <v>-793.87016393409021</v>
      </c>
      <c r="K147" s="1056">
        <f ca="1">'P&amp;L'!K46</f>
        <v>-705.94772833340357</v>
      </c>
      <c r="L147" s="1056">
        <f ca="1">'P&amp;L'!L46</f>
        <v>-691.33108790663846</v>
      </c>
      <c r="M147" s="1056">
        <f ca="1">'P&amp;L'!M46</f>
        <v>-606.26298673263091</v>
      </c>
      <c r="N147" s="1056">
        <f ca="1">'P&amp;L'!N46</f>
        <v>-608.02704683917227</v>
      </c>
      <c r="O147" s="1056">
        <f ca="1">'P&amp;L'!O46</f>
        <v>-543.61957440505967</v>
      </c>
      <c r="P147" s="1056">
        <f ca="1">'P&amp;L'!P46</f>
        <v>-523.33246123634649</v>
      </c>
      <c r="Q147" s="1056">
        <f ca="1">'P&amp;L'!Q46</f>
        <v>-480.15871893328335</v>
      </c>
      <c r="R147" s="1056">
        <f ca="1">'P&amp;L'!R46</f>
        <v>-438.66459254056872</v>
      </c>
      <c r="S147" s="1056">
        <f ca="1">'P&amp;L'!S46</f>
        <v>-419.4990901201088</v>
      </c>
      <c r="T147" s="1056">
        <f ca="1">'P&amp;L'!T46</f>
        <v>-342.82813377690945</v>
      </c>
      <c r="U147" s="1056">
        <f ca="1">'P&amp;L'!U46</f>
        <v>-345.44092274647141</v>
      </c>
      <c r="V147" s="1056">
        <f ca="1">'P&amp;L'!V46</f>
        <v>-244.7017912915494</v>
      </c>
      <c r="W147" s="1056">
        <f ca="1">'P&amp;L'!W46</f>
        <v>-272.39198015801321</v>
      </c>
      <c r="X147" s="1056">
        <f ca="1">'P&amp;L'!X46</f>
        <v>-140.7806156401175</v>
      </c>
      <c r="Y147" s="1056">
        <f ca="1">'P&amp;L'!Y46</f>
        <v>-195.19142547036265</v>
      </c>
      <c r="Z147" s="1056">
        <f ca="1">'P&amp;L'!Z46</f>
        <v>-34.868242233661931</v>
      </c>
      <c r="AA147" s="1056">
        <f ca="1">'P&amp;L'!AA46</f>
        <v>-117.42083818454526</v>
      </c>
      <c r="AB147" s="1056">
        <f ca="1">'P&amp;L'!AB46</f>
        <v>-110.62397458206283</v>
      </c>
      <c r="AC147" s="1056">
        <f ca="1">'P&amp;L'!AC46</f>
        <v>-187.29260164976168</v>
      </c>
      <c r="AD147" s="1056">
        <f ca="1">'P&amp;L'!AD46</f>
        <v>0.79523165133696239</v>
      </c>
      <c r="AE147" s="1056">
        <f ca="1">'P&amp;L'!AE46</f>
        <v>-106.43882329561231</v>
      </c>
      <c r="AF147" s="1056">
        <f ca="1">'P&amp;L'!AF46</f>
        <v>316.93345222264702</v>
      </c>
      <c r="AG147" s="1056">
        <f ca="1">'P&amp;L'!AG46</f>
        <v>116.16752173193368</v>
      </c>
      <c r="AH147" s="1056">
        <f ca="1">'P&amp;L'!AH46</f>
        <v>420.51812686496987</v>
      </c>
      <c r="AI147" s="1056">
        <f ca="1">'P&amp;L'!AI46</f>
        <v>181.39736124424962</v>
      </c>
      <c r="AJ147" s="1056">
        <f ca="1">'P&amp;L'!AJ46</f>
        <v>525.25697678817255</v>
      </c>
      <c r="AK147" s="1056">
        <f ca="1">'P&amp;L'!AK46</f>
        <v>193.44012712474165</v>
      </c>
      <c r="AL147" s="1056">
        <f ca="1">'P&amp;L'!AL46</f>
        <v>539.76038786061554</v>
      </c>
      <c r="AM147" s="1056">
        <f ca="1">'P&amp;L'!AM46</f>
        <v>396.99902977930441</v>
      </c>
      <c r="AN147" s="1056">
        <f ca="1">'P&amp;L'!AN46</f>
        <v>747.01838718306124</v>
      </c>
      <c r="AO147" s="1056">
        <f ca="1">'P&amp;L'!AO46</f>
        <v>597.98704746539431</v>
      </c>
      <c r="AP147" s="1056">
        <f ca="1">'P&amp;L'!AP46</f>
        <v>965.93650649606184</v>
      </c>
      <c r="AQ147" s="1056">
        <f ca="1">'P&amp;L'!AQ46</f>
        <v>816.07646241119733</v>
      </c>
      <c r="AR147" s="1056">
        <f ca="1">'P&amp;L'!AR46</f>
        <v>1209.6077641540537</v>
      </c>
      <c r="AS147" s="1056">
        <f ca="1">'P&amp;L'!AS46</f>
        <v>1049.6328929028214</v>
      </c>
      <c r="AT147" s="1056">
        <f ca="1">'P&amp;L'!AT46</f>
        <v>1468.5544098595326</v>
      </c>
      <c r="AU147" s="1056">
        <f ca="1">'P&amp;L'!AU46</f>
        <v>1303.8397620585758</v>
      </c>
      <c r="AV147" s="1056">
        <f ca="1">'P&amp;L'!AV46</f>
        <v>3143.7134037943556</v>
      </c>
      <c r="AW147" s="1056">
        <f ca="1">'P&amp;L'!AW46</f>
        <v>2566.5444246410993</v>
      </c>
      <c r="AX147" s="1056">
        <f ca="1">'P&amp;L'!AX46</f>
        <v>3212.641439658667</v>
      </c>
      <c r="AY147" s="1056">
        <f ca="1">'P&amp;L'!AY46</f>
        <v>2614.9784998685413</v>
      </c>
      <c r="AZ147" s="1056">
        <f ca="1">'P&amp;L'!AZ46</f>
        <v>3274.1680082495322</v>
      </c>
      <c r="BA147" s="1056">
        <f ca="1">'P&amp;L'!BA46</f>
        <v>2646.5575378998938</v>
      </c>
      <c r="BB147" s="1056">
        <f ca="1">'P&amp;L'!BB46</f>
        <v>3325.3898767289238</v>
      </c>
      <c r="BC147" s="1056">
        <f ca="1">'P&amp;L'!BC46</f>
        <v>2709.9545717793458</v>
      </c>
      <c r="BD147" s="1056">
        <f ca="1">'P&amp;L'!BD46</f>
        <v>3402.0908817008876</v>
      </c>
      <c r="BE147" s="1056">
        <f ca="1">'P&amp;L'!BE46</f>
        <v>2747.0462943434081</v>
      </c>
      <c r="BF147" s="1056">
        <f ca="1">'P&amp;L'!BF46</f>
        <v>3442.6250710426143</v>
      </c>
      <c r="BG147" s="1056">
        <f ca="1">'P&amp;L'!BG46</f>
        <v>2782.6309188652426</v>
      </c>
      <c r="BH147" s="1056">
        <f ca="1">'P&amp;L'!BH46</f>
        <v>3486.5071580853587</v>
      </c>
      <c r="BI147" s="1056">
        <f ca="1">'P&amp;L'!BI46</f>
        <v>2797.7893042305323</v>
      </c>
      <c r="BJ147" s="1056">
        <f ca="1">'P&amp;L'!BJ46</f>
        <v>3517.833692193351</v>
      </c>
      <c r="BK147" s="1056">
        <f ca="1">'P&amp;L'!BK46</f>
        <v>2800.2482793777217</v>
      </c>
      <c r="BL147" s="1056">
        <f ca="1">'P&amp;L'!BL46</f>
        <v>3523.7089432490652</v>
      </c>
      <c r="BM147" s="1056">
        <f ca="1">'P&amp;L'!BM46</f>
        <v>2824.314151323942</v>
      </c>
      <c r="BN147" s="1056">
        <f ca="1">'P&amp;L'!BN46</f>
        <v>3541.3183097872079</v>
      </c>
      <c r="BO147" s="1056">
        <f ca="1">'P&amp;L'!BO46</f>
        <v>2855.1297741326198</v>
      </c>
      <c r="BP147" s="1056"/>
      <c r="BQ147" s="1056"/>
      <c r="BR147" s="1056"/>
      <c r="BS147" s="1056"/>
      <c r="BT147" s="1056"/>
      <c r="BU147" s="1056"/>
      <c r="BV147" s="1056"/>
      <c r="BW147" s="1056"/>
      <c r="BX147" s="1056"/>
      <c r="BY147" s="1056"/>
      <c r="BZ147" s="1056"/>
      <c r="CA147" s="1056"/>
      <c r="CB147" s="1056"/>
      <c r="CC147" s="1056"/>
      <c r="CD147" s="1056"/>
      <c r="CE147" s="1056"/>
      <c r="CF147" s="1056"/>
      <c r="CG147" s="1056"/>
      <c r="CH147" s="1056"/>
      <c r="CI147" s="1056"/>
      <c r="CJ147" s="1056"/>
      <c r="CK147" s="1056"/>
      <c r="CL147" s="1056"/>
      <c r="CM147" s="1056"/>
      <c r="CN147" s="1056"/>
      <c r="CO147" s="1056"/>
      <c r="CP147" s="1056"/>
      <c r="CQ147" s="1056"/>
      <c r="CR147" s="1056"/>
      <c r="CS147" s="1056"/>
      <c r="CT147" s="1056"/>
      <c r="CU147" s="1056"/>
      <c r="CV147" s="1056"/>
      <c r="CW147" s="1056"/>
      <c r="CX147" s="1056"/>
      <c r="CY147" s="1056"/>
      <c r="CZ147" s="1056"/>
      <c r="DA147" s="1056"/>
      <c r="DB147" s="1056"/>
      <c r="DC147" s="1056"/>
      <c r="DD147" s="1056"/>
      <c r="DE147" s="1056"/>
      <c r="DF147" s="1056"/>
      <c r="DG147" s="1056"/>
      <c r="DH147" s="1056"/>
      <c r="DI147" s="1056"/>
      <c r="DJ147" s="1056"/>
      <c r="DK147" s="1056"/>
      <c r="DL147" s="1056"/>
      <c r="DM147" s="1056"/>
      <c r="DN147" s="1056"/>
      <c r="DO147" s="1056"/>
      <c r="DP147" s="1056"/>
      <c r="DQ147" s="1056"/>
      <c r="DR147" s="1056"/>
      <c r="DS147" s="1056"/>
      <c r="DT147" s="1056"/>
      <c r="DU147" s="1056"/>
      <c r="DV147" s="1056"/>
      <c r="DW147" s="1056"/>
    </row>
    <row r="148" spans="1:129">
      <c r="A148" s="347"/>
      <c r="B148" s="494"/>
      <c r="C148" s="494"/>
      <c r="D148" s="494"/>
      <c r="E148" s="494"/>
      <c r="G148" s="505"/>
      <c r="H148" s="505"/>
      <c r="I148" s="505"/>
      <c r="J148" s="505"/>
      <c r="K148" s="505"/>
      <c r="L148" s="505"/>
      <c r="M148" s="505"/>
      <c r="N148" s="505"/>
      <c r="O148" s="505"/>
      <c r="P148" s="505"/>
      <c r="Q148" s="505"/>
      <c r="R148" s="505"/>
      <c r="S148" s="505"/>
      <c r="T148" s="505"/>
      <c r="U148" s="505"/>
      <c r="V148" s="505"/>
      <c r="W148" s="505"/>
      <c r="X148" s="505"/>
      <c r="Y148" s="505"/>
      <c r="Z148" s="505"/>
      <c r="AA148" s="505"/>
      <c r="AB148" s="505"/>
      <c r="AC148" s="505"/>
      <c r="AD148" s="505"/>
      <c r="AE148" s="505"/>
      <c r="AF148" s="505"/>
      <c r="AG148" s="505"/>
      <c r="AH148" s="505"/>
      <c r="AI148" s="505"/>
      <c r="AJ148" s="505"/>
      <c r="AK148" s="505"/>
      <c r="AL148" s="505"/>
      <c r="AM148" s="505"/>
      <c r="AN148" s="505"/>
      <c r="AO148" s="505"/>
      <c r="AP148" s="505"/>
      <c r="AQ148" s="505"/>
      <c r="AR148" s="505"/>
      <c r="AS148" s="505"/>
      <c r="AT148" s="505"/>
      <c r="AU148" s="505"/>
      <c r="AV148" s="505"/>
      <c r="AW148" s="505"/>
      <c r="AX148" s="505"/>
      <c r="AY148" s="505"/>
      <c r="AZ148" s="505"/>
      <c r="BA148" s="505"/>
      <c r="BB148" s="505"/>
      <c r="BC148" s="505"/>
      <c r="BD148" s="505"/>
      <c r="BE148" s="505"/>
      <c r="BF148" s="505"/>
      <c r="BG148" s="505"/>
      <c r="BH148" s="505"/>
      <c r="BI148" s="505"/>
      <c r="BJ148" s="505"/>
      <c r="BK148" s="505"/>
      <c r="BL148" s="505"/>
      <c r="BM148" s="505"/>
      <c r="BN148" s="505"/>
      <c r="BO148" s="505"/>
      <c r="BP148" s="505"/>
      <c r="BQ148" s="505"/>
      <c r="BR148" s="505"/>
      <c r="BS148" s="505"/>
      <c r="BT148" s="505"/>
      <c r="BU148" s="505"/>
      <c r="BV148" s="505"/>
      <c r="BW148" s="505"/>
      <c r="BX148" s="505"/>
      <c r="BY148" s="505"/>
      <c r="BZ148" s="505"/>
      <c r="CA148" s="505"/>
      <c r="CB148" s="505"/>
      <c r="CC148" s="505"/>
      <c r="CD148" s="505"/>
      <c r="CE148" s="505"/>
      <c r="CF148" s="505"/>
      <c r="CG148" s="505"/>
      <c r="CH148" s="505"/>
      <c r="CI148" s="505"/>
      <c r="CJ148" s="505"/>
      <c r="CK148" s="505"/>
      <c r="CL148" s="505"/>
      <c r="CM148" s="505"/>
      <c r="CN148" s="505"/>
      <c r="CO148" s="505"/>
      <c r="CP148" s="505"/>
      <c r="CQ148" s="505"/>
      <c r="CR148" s="505"/>
      <c r="CS148" s="505"/>
      <c r="CT148" s="505"/>
      <c r="CU148" s="505"/>
      <c r="CV148" s="505"/>
      <c r="CW148" s="505"/>
      <c r="CX148" s="505"/>
      <c r="CY148" s="505"/>
      <c r="CZ148" s="505"/>
      <c r="DA148" s="505"/>
      <c r="DB148" s="505"/>
      <c r="DC148" s="505"/>
      <c r="DD148" s="505"/>
      <c r="DE148" s="505"/>
      <c r="DF148" s="505"/>
      <c r="DG148" s="505"/>
      <c r="DH148" s="505"/>
      <c r="DI148" s="505"/>
      <c r="DJ148" s="505"/>
      <c r="DK148" s="505"/>
      <c r="DL148" s="505"/>
      <c r="DM148" s="505"/>
      <c r="DN148" s="505"/>
      <c r="DO148" s="505"/>
      <c r="DP148" s="505"/>
      <c r="DQ148" s="505"/>
      <c r="DR148" s="505"/>
      <c r="DS148" s="505"/>
      <c r="DT148" s="505"/>
      <c r="DU148" s="505"/>
      <c r="DV148" s="505"/>
      <c r="DW148" s="505"/>
    </row>
    <row r="149" spans="1:129">
      <c r="A149" s="572" t="s">
        <v>1173</v>
      </c>
      <c r="B149" s="494"/>
      <c r="C149" s="494"/>
      <c r="D149" s="494"/>
      <c r="E149" s="494"/>
      <c r="G149" s="1056" t="b">
        <f ca="1">IF(BS!F22&gt;=G150,TRUE,FALSE)</f>
        <v>0</v>
      </c>
      <c r="H149" s="1056" t="b">
        <f ca="1">IF(BS!G22&gt;=H150,TRUE,FALSE)</f>
        <v>0</v>
      </c>
      <c r="I149" s="1056" t="b">
        <f ca="1">IF(BS!H22&gt;=I150,TRUE,FALSE)</f>
        <v>0</v>
      </c>
      <c r="J149" s="1056" t="b">
        <f ca="1">IF(BS!I22&gt;=J150,TRUE,FALSE)</f>
        <v>0</v>
      </c>
      <c r="K149" s="1056" t="b">
        <f ca="1">IF(BS!J22&gt;=K150,TRUE,FALSE)</f>
        <v>0</v>
      </c>
      <c r="L149" s="1056" t="b">
        <f ca="1">IF(BS!K22&gt;=L150,TRUE,FALSE)</f>
        <v>0</v>
      </c>
      <c r="M149" s="1056" t="b">
        <f ca="1">IF(BS!L22&gt;=M150,TRUE,FALSE)</f>
        <v>0</v>
      </c>
      <c r="N149" s="1056" t="b">
        <f ca="1">IF(BS!M22&gt;=N150,TRUE,FALSE)</f>
        <v>0</v>
      </c>
      <c r="O149" s="1056" t="b">
        <f ca="1">IF(BS!N22&gt;=O150,TRUE,FALSE)</f>
        <v>0</v>
      </c>
      <c r="P149" s="1056" t="b">
        <f ca="1">IF(BS!O22&gt;=P150,TRUE,FALSE)</f>
        <v>0</v>
      </c>
      <c r="Q149" s="1056" t="b">
        <f ca="1">IF(BS!P22&gt;=Q150,TRUE,FALSE)</f>
        <v>0</v>
      </c>
      <c r="R149" s="1056" t="b">
        <f ca="1">IF(BS!Q22&gt;=R150,TRUE,FALSE)</f>
        <v>0</v>
      </c>
      <c r="S149" s="1056" t="b">
        <f ca="1">IF(BS!R22&gt;=S150,TRUE,FALSE)</f>
        <v>0</v>
      </c>
      <c r="T149" s="1056" t="b">
        <f ca="1">IF(BS!S22&gt;=T150,TRUE,FALSE)</f>
        <v>0</v>
      </c>
      <c r="U149" s="1056" t="b">
        <f ca="1">IF(BS!T22&gt;=U150,TRUE,FALSE)</f>
        <v>0</v>
      </c>
      <c r="V149" s="1056" t="b">
        <f ca="1">IF(BS!U22&gt;=V150,TRUE,FALSE)</f>
        <v>0</v>
      </c>
      <c r="W149" s="1056" t="b">
        <f ca="1">IF(BS!V22&gt;=W150,TRUE,FALSE)</f>
        <v>0</v>
      </c>
      <c r="X149" s="1056" t="b">
        <f ca="1">IF(BS!W22&gt;=X150,TRUE,FALSE)</f>
        <v>0</v>
      </c>
      <c r="Y149" s="1056" t="b">
        <f ca="1">IF(BS!X22&gt;=Y150,TRUE,FALSE)</f>
        <v>0</v>
      </c>
      <c r="Z149" s="1056" t="b">
        <f ca="1">IF(BS!Y22&gt;=Z150,TRUE,FALSE)</f>
        <v>0</v>
      </c>
      <c r="AA149" s="1056" t="b">
        <f ca="1">IF(BS!Z22&gt;=AA150,TRUE,FALSE)</f>
        <v>0</v>
      </c>
      <c r="AB149" s="1056" t="b">
        <f ca="1">IF(BS!AA22&gt;=AB150,TRUE,FALSE)</f>
        <v>0</v>
      </c>
      <c r="AC149" s="1056" t="b">
        <f ca="1">IF(BS!AB22&gt;=AC150,TRUE,FALSE)</f>
        <v>0</v>
      </c>
      <c r="AD149" s="1056" t="b">
        <f ca="1">IF(BS!AC22&gt;=AD150,TRUE,FALSE)</f>
        <v>0</v>
      </c>
      <c r="AE149" s="1056" t="b">
        <f ca="1">IF(BS!AD22&gt;=AE150,TRUE,FALSE)</f>
        <v>0</v>
      </c>
      <c r="AF149" s="1056" t="b">
        <f ca="1">IF(BS!AE22&gt;=AF150,TRUE,FALSE)</f>
        <v>0</v>
      </c>
      <c r="AG149" s="1056" t="b">
        <f ca="1">IF(BS!AF22&gt;=AG150,TRUE,FALSE)</f>
        <v>1</v>
      </c>
      <c r="AH149" s="1056" t="b">
        <f ca="1">IF(BS!AG22&gt;=AH150,TRUE,FALSE)</f>
        <v>1</v>
      </c>
      <c r="AI149" s="1056" t="b">
        <f ca="1">IF(BS!AH22&gt;=AI150,TRUE,FALSE)</f>
        <v>1</v>
      </c>
      <c r="AJ149" s="1056" t="b">
        <f ca="1">IF(BS!AI22&gt;=AJ150,TRUE,FALSE)</f>
        <v>1</v>
      </c>
      <c r="AK149" s="1056" t="b">
        <f ca="1">IF(BS!AJ22&gt;=AK150,TRUE,FALSE)</f>
        <v>1</v>
      </c>
      <c r="AL149" s="1056" t="b">
        <f ca="1">IF(BS!AK22&gt;=AL150,TRUE,FALSE)</f>
        <v>1</v>
      </c>
      <c r="AM149" s="1056" t="b">
        <f ca="1">IF(BS!AL22&gt;=AM150,TRUE,FALSE)</f>
        <v>1</v>
      </c>
      <c r="AN149" s="1056" t="b">
        <f ca="1">IF(BS!AM22&gt;=AN150,TRUE,FALSE)</f>
        <v>1</v>
      </c>
      <c r="AO149" s="1056" t="b">
        <f ca="1">IF(BS!AN22&gt;=AO150,TRUE,FALSE)</f>
        <v>1</v>
      </c>
      <c r="AP149" s="1056" t="b">
        <f ca="1">IF(BS!AO22&gt;=AP150,TRUE,FALSE)</f>
        <v>1</v>
      </c>
      <c r="AQ149" s="1056" t="b">
        <f ca="1">IF(BS!AP22&gt;=AQ150,TRUE,FALSE)</f>
        <v>1</v>
      </c>
      <c r="AR149" s="1056" t="b">
        <f ca="1">IF(BS!AQ22&gt;=AR150,TRUE,FALSE)</f>
        <v>1</v>
      </c>
      <c r="AS149" s="1056" t="b">
        <f ca="1">IF(BS!AR22&gt;=AS150,TRUE,FALSE)</f>
        <v>1</v>
      </c>
      <c r="AT149" s="1056" t="b">
        <f ca="1">IF(BS!AS22&gt;=AT150,TRUE,FALSE)</f>
        <v>1</v>
      </c>
      <c r="AU149" s="1056" t="b">
        <f ca="1">IF(BS!AT22&gt;=AU150,TRUE,FALSE)</f>
        <v>1</v>
      </c>
      <c r="AV149" s="1056" t="b">
        <f ca="1">IF(BS!AU22&gt;=AV150,TRUE,FALSE)</f>
        <v>1</v>
      </c>
      <c r="AW149" s="1056" t="b">
        <f ca="1">IF(BS!AV22&gt;=AW150,TRUE,FALSE)</f>
        <v>1</v>
      </c>
      <c r="AX149" s="1056" t="b">
        <f ca="1">IF(BS!AW22&gt;=AX150,TRUE,FALSE)</f>
        <v>1</v>
      </c>
      <c r="AY149" s="1056" t="b">
        <f ca="1">IF(BS!AX22&gt;=AY150,TRUE,FALSE)</f>
        <v>1</v>
      </c>
      <c r="AZ149" s="1056" t="b">
        <f ca="1">IF(BS!AY22&gt;=AZ150,TRUE,FALSE)</f>
        <v>1</v>
      </c>
      <c r="BA149" s="1056" t="b">
        <f ca="1">IF(BS!AZ22&gt;=BA150,TRUE,FALSE)</f>
        <v>1</v>
      </c>
      <c r="BB149" s="1056" t="b">
        <f ca="1">IF(BS!BA22&gt;=BB150,TRUE,FALSE)</f>
        <v>1</v>
      </c>
      <c r="BC149" s="1056" t="b">
        <f ca="1">IF(BS!BB22&gt;=BC150,TRUE,FALSE)</f>
        <v>1</v>
      </c>
      <c r="BD149" s="1056" t="b">
        <f ca="1">IF(BS!BC22&gt;=BD150,TRUE,FALSE)</f>
        <v>1</v>
      </c>
      <c r="BE149" s="1056" t="b">
        <f ca="1">IF(BS!BD22&gt;=BE150,TRUE,FALSE)</f>
        <v>1</v>
      </c>
      <c r="BF149" s="1056" t="b">
        <f ca="1">IF(BS!BE22&gt;=BF150,TRUE,FALSE)</f>
        <v>1</v>
      </c>
      <c r="BG149" s="1056" t="b">
        <f ca="1">IF(BS!BF22&gt;=BG150,TRUE,FALSE)</f>
        <v>1</v>
      </c>
      <c r="BH149" s="1056" t="b">
        <f ca="1">IF(BS!BG22&gt;=BH150,TRUE,FALSE)</f>
        <v>1</v>
      </c>
      <c r="BI149" s="1056" t="b">
        <f ca="1">IF(BS!BH22&gt;=BI150,TRUE,FALSE)</f>
        <v>1</v>
      </c>
      <c r="BJ149" s="1056" t="b">
        <f ca="1">IF(BS!BI22&gt;=BJ150,TRUE,FALSE)</f>
        <v>1</v>
      </c>
      <c r="BK149" s="1056" t="b">
        <f ca="1">IF(BS!BJ22&gt;=BK150,TRUE,FALSE)</f>
        <v>1</v>
      </c>
      <c r="BL149" s="1056" t="b">
        <f ca="1">IF(BS!BK22&gt;=BL150,TRUE,FALSE)</f>
        <v>1</v>
      </c>
      <c r="BM149" s="1056" t="b">
        <f ca="1">IF(BS!BL22&gt;=BM150,TRUE,FALSE)</f>
        <v>1</v>
      </c>
      <c r="BN149" s="1056" t="b">
        <f ca="1">IF(BS!BM22&gt;=BN150,TRUE,FALSE)</f>
        <v>1</v>
      </c>
      <c r="BO149" s="1056" t="b">
        <f ca="1">IF(BS!BN22&gt;=BO150,TRUE,FALSE)</f>
        <v>1</v>
      </c>
      <c r="BP149" s="1056"/>
      <c r="BQ149" s="1056"/>
      <c r="BR149" s="1056"/>
      <c r="BS149" s="1056"/>
      <c r="BT149" s="1056"/>
      <c r="BU149" s="1056"/>
      <c r="BV149" s="1056"/>
      <c r="BW149" s="1056"/>
      <c r="BX149" s="1056"/>
      <c r="BY149" s="1056"/>
      <c r="BZ149" s="1056"/>
      <c r="CA149" s="1056"/>
      <c r="CB149" s="1056"/>
      <c r="CC149" s="1056"/>
      <c r="CD149" s="1056"/>
      <c r="CE149" s="1056"/>
      <c r="CF149" s="1056"/>
      <c r="CG149" s="1056"/>
      <c r="CH149" s="1056"/>
      <c r="CI149" s="1056"/>
      <c r="CJ149" s="1056"/>
      <c r="CK149" s="1056"/>
      <c r="CL149" s="1056"/>
      <c r="CM149" s="1056"/>
      <c r="CN149" s="1056"/>
      <c r="CO149" s="1056"/>
      <c r="CP149" s="1056"/>
      <c r="CQ149" s="1056"/>
      <c r="CR149" s="1056"/>
      <c r="CS149" s="1056"/>
      <c r="CT149" s="1056"/>
      <c r="CU149" s="1056"/>
      <c r="CV149" s="1056"/>
      <c r="CW149" s="1056"/>
      <c r="CX149" s="1056"/>
      <c r="CY149" s="1056"/>
      <c r="CZ149" s="1056"/>
      <c r="DA149" s="1056"/>
      <c r="DB149" s="1056"/>
      <c r="DC149" s="1056"/>
      <c r="DD149" s="1056"/>
      <c r="DE149" s="1056"/>
      <c r="DF149" s="1056"/>
      <c r="DG149" s="1056"/>
      <c r="DH149" s="1056"/>
      <c r="DI149" s="1056"/>
      <c r="DJ149" s="1056"/>
      <c r="DK149" s="1056"/>
      <c r="DL149" s="1056"/>
      <c r="DM149" s="1056"/>
      <c r="DN149" s="1056"/>
      <c r="DO149" s="1056"/>
      <c r="DP149" s="1056"/>
      <c r="DQ149" s="1056"/>
      <c r="DR149" s="1056"/>
      <c r="DS149" s="1056"/>
      <c r="DT149" s="1056"/>
      <c r="DU149" s="1056"/>
      <c r="DV149" s="1056"/>
      <c r="DW149" s="1056"/>
    </row>
    <row r="150" spans="1:129">
      <c r="A150" s="573" t="s">
        <v>389</v>
      </c>
      <c r="B150" s="842">
        <f ca="1">Inputs!$D$410*Inputs!$D$165</f>
        <v>50</v>
      </c>
      <c r="C150" s="842"/>
      <c r="D150" s="494"/>
      <c r="E150" s="494"/>
      <c r="G150" s="233">
        <f ca="1">$B$150</f>
        <v>50</v>
      </c>
      <c r="H150" s="233">
        <f t="shared" ref="H150:AL150" ca="1" si="112">$B$150</f>
        <v>50</v>
      </c>
      <c r="I150" s="233">
        <f t="shared" ca="1" si="112"/>
        <v>50</v>
      </c>
      <c r="J150" s="233">
        <f t="shared" ca="1" si="112"/>
        <v>50</v>
      </c>
      <c r="K150" s="233">
        <f t="shared" ca="1" si="112"/>
        <v>50</v>
      </c>
      <c r="L150" s="233">
        <f t="shared" ca="1" si="112"/>
        <v>50</v>
      </c>
      <c r="M150" s="233">
        <f t="shared" ca="1" si="112"/>
        <v>50</v>
      </c>
      <c r="N150" s="233">
        <f t="shared" ca="1" si="112"/>
        <v>50</v>
      </c>
      <c r="O150" s="233">
        <f t="shared" ca="1" si="112"/>
        <v>50</v>
      </c>
      <c r="P150" s="233">
        <f t="shared" ca="1" si="112"/>
        <v>50</v>
      </c>
      <c r="Q150" s="233">
        <f t="shared" ca="1" si="112"/>
        <v>50</v>
      </c>
      <c r="R150" s="233">
        <f t="shared" ca="1" si="112"/>
        <v>50</v>
      </c>
      <c r="S150" s="233">
        <f t="shared" ca="1" si="112"/>
        <v>50</v>
      </c>
      <c r="T150" s="233">
        <f t="shared" ca="1" si="112"/>
        <v>50</v>
      </c>
      <c r="U150" s="233">
        <f t="shared" ca="1" si="112"/>
        <v>50</v>
      </c>
      <c r="V150" s="233">
        <f t="shared" ca="1" si="112"/>
        <v>50</v>
      </c>
      <c r="W150" s="233">
        <f t="shared" ca="1" si="112"/>
        <v>50</v>
      </c>
      <c r="X150" s="233">
        <f t="shared" ca="1" si="112"/>
        <v>50</v>
      </c>
      <c r="Y150" s="233">
        <f t="shared" ca="1" si="112"/>
        <v>50</v>
      </c>
      <c r="Z150" s="233">
        <f t="shared" ca="1" si="112"/>
        <v>50</v>
      </c>
      <c r="AA150" s="233">
        <f t="shared" ca="1" si="112"/>
        <v>50</v>
      </c>
      <c r="AB150" s="233">
        <f t="shared" ca="1" si="112"/>
        <v>50</v>
      </c>
      <c r="AC150" s="233">
        <f t="shared" ca="1" si="112"/>
        <v>50</v>
      </c>
      <c r="AD150" s="233">
        <f t="shared" ca="1" si="112"/>
        <v>50</v>
      </c>
      <c r="AE150" s="233">
        <f t="shared" ca="1" si="112"/>
        <v>50</v>
      </c>
      <c r="AF150" s="233">
        <f t="shared" ca="1" si="112"/>
        <v>50</v>
      </c>
      <c r="AG150" s="233">
        <f t="shared" ca="1" si="112"/>
        <v>50</v>
      </c>
      <c r="AH150" s="233">
        <f t="shared" ca="1" si="112"/>
        <v>50</v>
      </c>
      <c r="AI150" s="233">
        <f t="shared" ca="1" si="112"/>
        <v>50</v>
      </c>
      <c r="AJ150" s="233">
        <f t="shared" ca="1" si="112"/>
        <v>50</v>
      </c>
      <c r="AK150" s="233">
        <f t="shared" ca="1" si="112"/>
        <v>50</v>
      </c>
      <c r="AL150" s="233">
        <f t="shared" ca="1" si="112"/>
        <v>50</v>
      </c>
      <c r="AM150" s="233">
        <f t="shared" ref="AM150:BO150" ca="1" si="113">$B$150</f>
        <v>50</v>
      </c>
      <c r="AN150" s="233">
        <f t="shared" ca="1" si="113"/>
        <v>50</v>
      </c>
      <c r="AO150" s="233">
        <f t="shared" ca="1" si="113"/>
        <v>50</v>
      </c>
      <c r="AP150" s="233">
        <f t="shared" ca="1" si="113"/>
        <v>50</v>
      </c>
      <c r="AQ150" s="233">
        <f t="shared" ca="1" si="113"/>
        <v>50</v>
      </c>
      <c r="AR150" s="233">
        <f t="shared" ca="1" si="113"/>
        <v>50</v>
      </c>
      <c r="AS150" s="233">
        <f t="shared" ca="1" si="113"/>
        <v>50</v>
      </c>
      <c r="AT150" s="233">
        <f t="shared" ca="1" si="113"/>
        <v>50</v>
      </c>
      <c r="AU150" s="233">
        <f t="shared" ca="1" si="113"/>
        <v>50</v>
      </c>
      <c r="AV150" s="233">
        <f t="shared" ca="1" si="113"/>
        <v>50</v>
      </c>
      <c r="AW150" s="233">
        <f t="shared" ca="1" si="113"/>
        <v>50</v>
      </c>
      <c r="AX150" s="233">
        <f t="shared" ca="1" si="113"/>
        <v>50</v>
      </c>
      <c r="AY150" s="233">
        <f t="shared" ca="1" si="113"/>
        <v>50</v>
      </c>
      <c r="AZ150" s="233">
        <f t="shared" ca="1" si="113"/>
        <v>50</v>
      </c>
      <c r="BA150" s="233">
        <f t="shared" ca="1" si="113"/>
        <v>50</v>
      </c>
      <c r="BB150" s="233">
        <f t="shared" ca="1" si="113"/>
        <v>50</v>
      </c>
      <c r="BC150" s="233">
        <f t="shared" ca="1" si="113"/>
        <v>50</v>
      </c>
      <c r="BD150" s="233">
        <f t="shared" ca="1" si="113"/>
        <v>50</v>
      </c>
      <c r="BE150" s="233">
        <f t="shared" ca="1" si="113"/>
        <v>50</v>
      </c>
      <c r="BF150" s="233">
        <f t="shared" ca="1" si="113"/>
        <v>50</v>
      </c>
      <c r="BG150" s="233">
        <f t="shared" ca="1" si="113"/>
        <v>50</v>
      </c>
      <c r="BH150" s="233">
        <f t="shared" ca="1" si="113"/>
        <v>50</v>
      </c>
      <c r="BI150" s="233">
        <f t="shared" ca="1" si="113"/>
        <v>50</v>
      </c>
      <c r="BJ150" s="233">
        <f t="shared" ca="1" si="113"/>
        <v>50</v>
      </c>
      <c r="BK150" s="233">
        <f t="shared" ca="1" si="113"/>
        <v>50</v>
      </c>
      <c r="BL150" s="233">
        <f t="shared" ca="1" si="113"/>
        <v>50</v>
      </c>
      <c r="BM150" s="233">
        <f t="shared" ca="1" si="113"/>
        <v>50</v>
      </c>
      <c r="BN150" s="233">
        <f t="shared" ca="1" si="113"/>
        <v>50</v>
      </c>
      <c r="BO150" s="233">
        <f t="shared" ca="1" si="113"/>
        <v>50</v>
      </c>
      <c r="BP150" s="233"/>
      <c r="BQ150" s="233"/>
      <c r="BR150" s="233"/>
      <c r="BS150" s="233"/>
      <c r="BT150" s="233"/>
      <c r="BU150" s="233"/>
      <c r="BV150" s="233"/>
      <c r="BW150" s="233"/>
      <c r="BX150" s="233"/>
      <c r="BY150" s="233"/>
      <c r="BZ150" s="233"/>
      <c r="CA150" s="233"/>
      <c r="CB150" s="233"/>
      <c r="CC150" s="233"/>
      <c r="CD150" s="233"/>
      <c r="CE150" s="233"/>
      <c r="CF150" s="233"/>
      <c r="CG150" s="233"/>
      <c r="CH150" s="233"/>
      <c r="CI150" s="233"/>
      <c r="CJ150" s="233"/>
      <c r="CK150" s="233"/>
      <c r="CL150" s="233"/>
      <c r="CM150" s="233"/>
      <c r="CN150" s="233"/>
      <c r="CO150" s="233"/>
      <c r="CP150" s="233"/>
      <c r="CQ150" s="233"/>
      <c r="CR150" s="233"/>
      <c r="CS150" s="233"/>
      <c r="CT150" s="233"/>
      <c r="CU150" s="233"/>
      <c r="CV150" s="233"/>
      <c r="CW150" s="233"/>
      <c r="CX150" s="233"/>
      <c r="CY150" s="233"/>
      <c r="CZ150" s="233"/>
      <c r="DA150" s="233"/>
      <c r="DB150" s="233"/>
      <c r="DC150" s="233"/>
      <c r="DD150" s="233"/>
      <c r="DE150" s="233"/>
      <c r="DF150" s="233"/>
      <c r="DG150" s="233"/>
      <c r="DH150" s="233"/>
      <c r="DI150" s="233"/>
      <c r="DJ150" s="233"/>
      <c r="DK150" s="233"/>
      <c r="DL150" s="233"/>
      <c r="DM150" s="233"/>
      <c r="DN150" s="233"/>
      <c r="DO150" s="233"/>
      <c r="DP150" s="233"/>
      <c r="DQ150" s="233"/>
      <c r="DR150" s="233"/>
      <c r="DS150" s="233"/>
      <c r="DT150" s="233"/>
      <c r="DU150" s="233"/>
      <c r="DV150" s="233"/>
      <c r="DW150" s="233"/>
    </row>
    <row r="151" spans="1:129">
      <c r="A151" s="573" t="s">
        <v>1174</v>
      </c>
      <c r="B151" s="494"/>
      <c r="C151" s="494"/>
      <c r="D151" s="494"/>
      <c r="E151" s="494"/>
      <c r="G151" s="233">
        <f>F152</f>
        <v>0</v>
      </c>
      <c r="H151" s="233">
        <f t="shared" ref="H151:AL151" ca="1" si="114">G152</f>
        <v>0</v>
      </c>
      <c r="I151" s="233">
        <f t="shared" ca="1" si="114"/>
        <v>0</v>
      </c>
      <c r="J151" s="233">
        <f t="shared" ca="1" si="114"/>
        <v>0</v>
      </c>
      <c r="K151" s="233">
        <f t="shared" ca="1" si="114"/>
        <v>0</v>
      </c>
      <c r="L151" s="233">
        <f t="shared" ca="1" si="114"/>
        <v>0</v>
      </c>
      <c r="M151" s="233">
        <f t="shared" ca="1" si="114"/>
        <v>0</v>
      </c>
      <c r="N151" s="233">
        <f t="shared" ca="1" si="114"/>
        <v>0</v>
      </c>
      <c r="O151" s="233">
        <f t="shared" ca="1" si="114"/>
        <v>0</v>
      </c>
      <c r="P151" s="233">
        <f t="shared" ca="1" si="114"/>
        <v>0</v>
      </c>
      <c r="Q151" s="233">
        <f t="shared" ca="1" si="114"/>
        <v>0</v>
      </c>
      <c r="R151" s="233">
        <f t="shared" ca="1" si="114"/>
        <v>0</v>
      </c>
      <c r="S151" s="233">
        <f t="shared" ca="1" si="114"/>
        <v>0</v>
      </c>
      <c r="T151" s="233">
        <f t="shared" ca="1" si="114"/>
        <v>0</v>
      </c>
      <c r="U151" s="233">
        <f t="shared" ca="1" si="114"/>
        <v>0</v>
      </c>
      <c r="V151" s="233">
        <f t="shared" ca="1" si="114"/>
        <v>0</v>
      </c>
      <c r="W151" s="233">
        <f t="shared" ca="1" si="114"/>
        <v>0</v>
      </c>
      <c r="X151" s="233">
        <f t="shared" ca="1" si="114"/>
        <v>0</v>
      </c>
      <c r="Y151" s="233">
        <f t="shared" ca="1" si="114"/>
        <v>0</v>
      </c>
      <c r="Z151" s="233">
        <f t="shared" ca="1" si="114"/>
        <v>0</v>
      </c>
      <c r="AA151" s="233">
        <f t="shared" ca="1" si="114"/>
        <v>0</v>
      </c>
      <c r="AB151" s="233">
        <f t="shared" ca="1" si="114"/>
        <v>0</v>
      </c>
      <c r="AC151" s="233">
        <f t="shared" ca="1" si="114"/>
        <v>0</v>
      </c>
      <c r="AD151" s="233">
        <f t="shared" ca="1" si="114"/>
        <v>0</v>
      </c>
      <c r="AE151" s="233">
        <f t="shared" ca="1" si="114"/>
        <v>0.79523165133696239</v>
      </c>
      <c r="AF151" s="233">
        <f t="shared" ca="1" si="114"/>
        <v>0.79523165133696239</v>
      </c>
      <c r="AG151" s="233">
        <f t="shared" ca="1" si="114"/>
        <v>50</v>
      </c>
      <c r="AH151" s="233">
        <f t="shared" ca="1" si="114"/>
        <v>50</v>
      </c>
      <c r="AI151" s="233">
        <f t="shared" ca="1" si="114"/>
        <v>50</v>
      </c>
      <c r="AJ151" s="233">
        <f t="shared" ca="1" si="114"/>
        <v>50</v>
      </c>
      <c r="AK151" s="233">
        <f t="shared" ca="1" si="114"/>
        <v>50</v>
      </c>
      <c r="AL151" s="233">
        <f t="shared" ca="1" si="114"/>
        <v>50</v>
      </c>
      <c r="AM151" s="233">
        <f t="shared" ref="AM151:BO151" ca="1" si="115">AL152</f>
        <v>50</v>
      </c>
      <c r="AN151" s="233">
        <f t="shared" ca="1" si="115"/>
        <v>50</v>
      </c>
      <c r="AO151" s="233">
        <f t="shared" ca="1" si="115"/>
        <v>50</v>
      </c>
      <c r="AP151" s="233">
        <f t="shared" ca="1" si="115"/>
        <v>50</v>
      </c>
      <c r="AQ151" s="233">
        <f t="shared" ca="1" si="115"/>
        <v>50</v>
      </c>
      <c r="AR151" s="233">
        <f t="shared" ca="1" si="115"/>
        <v>50</v>
      </c>
      <c r="AS151" s="233">
        <f t="shared" ca="1" si="115"/>
        <v>50</v>
      </c>
      <c r="AT151" s="233">
        <f t="shared" ca="1" si="115"/>
        <v>50</v>
      </c>
      <c r="AU151" s="233">
        <f t="shared" ca="1" si="115"/>
        <v>50</v>
      </c>
      <c r="AV151" s="233">
        <f t="shared" ca="1" si="115"/>
        <v>50</v>
      </c>
      <c r="AW151" s="233">
        <f t="shared" ca="1" si="115"/>
        <v>50</v>
      </c>
      <c r="AX151" s="233">
        <f t="shared" ca="1" si="115"/>
        <v>50</v>
      </c>
      <c r="AY151" s="233">
        <f t="shared" ca="1" si="115"/>
        <v>50</v>
      </c>
      <c r="AZ151" s="233">
        <f t="shared" ca="1" si="115"/>
        <v>50</v>
      </c>
      <c r="BA151" s="233">
        <f t="shared" ca="1" si="115"/>
        <v>50</v>
      </c>
      <c r="BB151" s="233">
        <f t="shared" ca="1" si="115"/>
        <v>50</v>
      </c>
      <c r="BC151" s="233">
        <f t="shared" ca="1" si="115"/>
        <v>50</v>
      </c>
      <c r="BD151" s="233">
        <f t="shared" ca="1" si="115"/>
        <v>50</v>
      </c>
      <c r="BE151" s="233">
        <f t="shared" ca="1" si="115"/>
        <v>50</v>
      </c>
      <c r="BF151" s="233">
        <f t="shared" ca="1" si="115"/>
        <v>50</v>
      </c>
      <c r="BG151" s="233">
        <f t="shared" ca="1" si="115"/>
        <v>50</v>
      </c>
      <c r="BH151" s="233">
        <f t="shared" ca="1" si="115"/>
        <v>50</v>
      </c>
      <c r="BI151" s="233">
        <f t="shared" ca="1" si="115"/>
        <v>50</v>
      </c>
      <c r="BJ151" s="233">
        <f t="shared" ca="1" si="115"/>
        <v>50</v>
      </c>
      <c r="BK151" s="233">
        <f t="shared" ca="1" si="115"/>
        <v>50</v>
      </c>
      <c r="BL151" s="233">
        <f t="shared" ca="1" si="115"/>
        <v>50</v>
      </c>
      <c r="BM151" s="233">
        <f t="shared" ca="1" si="115"/>
        <v>50</v>
      </c>
      <c r="BN151" s="233">
        <f t="shared" ca="1" si="115"/>
        <v>50</v>
      </c>
      <c r="BO151" s="233">
        <f t="shared" ca="1" si="115"/>
        <v>50</v>
      </c>
      <c r="BP151" s="233"/>
      <c r="BQ151" s="233"/>
      <c r="BR151" s="233"/>
      <c r="BS151" s="233"/>
      <c r="BT151" s="233"/>
      <c r="BU151" s="233"/>
      <c r="BV151" s="233"/>
      <c r="BW151" s="233"/>
      <c r="BX151" s="233"/>
      <c r="BY151" s="233"/>
      <c r="BZ151" s="233"/>
      <c r="CA151" s="233"/>
      <c r="CB151" s="233"/>
      <c r="CC151" s="233"/>
      <c r="CD151" s="233"/>
      <c r="CE151" s="233"/>
      <c r="CF151" s="233"/>
      <c r="CG151" s="233"/>
      <c r="CH151" s="233"/>
      <c r="CI151" s="233"/>
      <c r="CJ151" s="233"/>
      <c r="CK151" s="233"/>
      <c r="CL151" s="233"/>
      <c r="CM151" s="233"/>
      <c r="CN151" s="233"/>
      <c r="CO151" s="233"/>
      <c r="CP151" s="233"/>
      <c r="CQ151" s="233"/>
      <c r="CR151" s="233"/>
      <c r="CS151" s="233"/>
      <c r="CT151" s="233"/>
      <c r="CU151" s="233"/>
      <c r="CV151" s="233"/>
      <c r="CW151" s="233"/>
      <c r="CX151" s="233"/>
      <c r="CY151" s="233"/>
      <c r="CZ151" s="233"/>
      <c r="DA151" s="233"/>
      <c r="DB151" s="233"/>
      <c r="DC151" s="233"/>
      <c r="DD151" s="233"/>
      <c r="DE151" s="233"/>
      <c r="DF151" s="233"/>
      <c r="DG151" s="233"/>
      <c r="DH151" s="233"/>
      <c r="DI151" s="233"/>
      <c r="DJ151" s="233"/>
      <c r="DK151" s="233"/>
      <c r="DL151" s="233"/>
      <c r="DM151" s="233"/>
      <c r="DN151" s="233"/>
      <c r="DO151" s="233"/>
      <c r="DP151" s="233"/>
      <c r="DQ151" s="233"/>
      <c r="DR151" s="233"/>
      <c r="DS151" s="233"/>
      <c r="DT151" s="233"/>
      <c r="DU151" s="233"/>
      <c r="DV151" s="233"/>
      <c r="DW151" s="233"/>
    </row>
    <row r="152" spans="1:129">
      <c r="A152" s="573" t="s">
        <v>1175</v>
      </c>
      <c r="B152" s="494"/>
      <c r="C152" s="494"/>
      <c r="D152" s="494"/>
      <c r="E152" s="494"/>
      <c r="G152" s="233">
        <f ca="1">G151+G153</f>
        <v>0</v>
      </c>
      <c r="H152" s="233">
        <f t="shared" ref="H152:AL152" ca="1" si="116">H151+H153</f>
        <v>0</v>
      </c>
      <c r="I152" s="233">
        <f t="shared" ca="1" si="116"/>
        <v>0</v>
      </c>
      <c r="J152" s="233">
        <f t="shared" ca="1" si="116"/>
        <v>0</v>
      </c>
      <c r="K152" s="233">
        <f t="shared" ca="1" si="116"/>
        <v>0</v>
      </c>
      <c r="L152" s="233">
        <f t="shared" ca="1" si="116"/>
        <v>0</v>
      </c>
      <c r="M152" s="233">
        <f t="shared" ca="1" si="116"/>
        <v>0</v>
      </c>
      <c r="N152" s="233">
        <f t="shared" ca="1" si="116"/>
        <v>0</v>
      </c>
      <c r="O152" s="233">
        <f t="shared" ca="1" si="116"/>
        <v>0</v>
      </c>
      <c r="P152" s="233">
        <f t="shared" ca="1" si="116"/>
        <v>0</v>
      </c>
      <c r="Q152" s="233">
        <f t="shared" ca="1" si="116"/>
        <v>0</v>
      </c>
      <c r="R152" s="233">
        <f t="shared" ca="1" si="116"/>
        <v>0</v>
      </c>
      <c r="S152" s="233">
        <f t="shared" ca="1" si="116"/>
        <v>0</v>
      </c>
      <c r="T152" s="233">
        <f t="shared" ca="1" si="116"/>
        <v>0</v>
      </c>
      <c r="U152" s="233">
        <f t="shared" ca="1" si="116"/>
        <v>0</v>
      </c>
      <c r="V152" s="233">
        <f t="shared" ca="1" si="116"/>
        <v>0</v>
      </c>
      <c r="W152" s="233">
        <f t="shared" ca="1" si="116"/>
        <v>0</v>
      </c>
      <c r="X152" s="233">
        <f t="shared" ca="1" si="116"/>
        <v>0</v>
      </c>
      <c r="Y152" s="233">
        <f t="shared" ca="1" si="116"/>
        <v>0</v>
      </c>
      <c r="Z152" s="233">
        <f t="shared" ca="1" si="116"/>
        <v>0</v>
      </c>
      <c r="AA152" s="233">
        <f t="shared" ca="1" si="116"/>
        <v>0</v>
      </c>
      <c r="AB152" s="233">
        <f t="shared" ca="1" si="116"/>
        <v>0</v>
      </c>
      <c r="AC152" s="233">
        <f t="shared" ca="1" si="116"/>
        <v>0</v>
      </c>
      <c r="AD152" s="233">
        <f t="shared" ca="1" si="116"/>
        <v>0.79523165133696239</v>
      </c>
      <c r="AE152" s="233">
        <f t="shared" ca="1" si="116"/>
        <v>0.79523165133696239</v>
      </c>
      <c r="AF152" s="233">
        <f t="shared" ca="1" si="116"/>
        <v>50</v>
      </c>
      <c r="AG152" s="233">
        <f t="shared" ca="1" si="116"/>
        <v>50</v>
      </c>
      <c r="AH152" s="233">
        <f t="shared" ca="1" si="116"/>
        <v>50</v>
      </c>
      <c r="AI152" s="233">
        <f t="shared" ca="1" si="116"/>
        <v>50</v>
      </c>
      <c r="AJ152" s="233">
        <f t="shared" ca="1" si="116"/>
        <v>50</v>
      </c>
      <c r="AK152" s="233">
        <f t="shared" ca="1" si="116"/>
        <v>50</v>
      </c>
      <c r="AL152" s="233">
        <f t="shared" ca="1" si="116"/>
        <v>50</v>
      </c>
      <c r="AM152" s="233">
        <f t="shared" ref="AM152:BO152" ca="1" si="117">AM151+AM153</f>
        <v>50</v>
      </c>
      <c r="AN152" s="233">
        <f t="shared" ca="1" si="117"/>
        <v>50</v>
      </c>
      <c r="AO152" s="233">
        <f t="shared" ca="1" si="117"/>
        <v>50</v>
      </c>
      <c r="AP152" s="233">
        <f t="shared" ca="1" si="117"/>
        <v>50</v>
      </c>
      <c r="AQ152" s="233">
        <f t="shared" ca="1" si="117"/>
        <v>50</v>
      </c>
      <c r="AR152" s="233">
        <f t="shared" ca="1" si="117"/>
        <v>50</v>
      </c>
      <c r="AS152" s="233">
        <f t="shared" ca="1" si="117"/>
        <v>50</v>
      </c>
      <c r="AT152" s="233">
        <f t="shared" ca="1" si="117"/>
        <v>50</v>
      </c>
      <c r="AU152" s="233">
        <f t="shared" ca="1" si="117"/>
        <v>50</v>
      </c>
      <c r="AV152" s="233">
        <f t="shared" ca="1" si="117"/>
        <v>50</v>
      </c>
      <c r="AW152" s="233">
        <f t="shared" ca="1" si="117"/>
        <v>50</v>
      </c>
      <c r="AX152" s="233">
        <f t="shared" ca="1" si="117"/>
        <v>50</v>
      </c>
      <c r="AY152" s="233">
        <f t="shared" ca="1" si="117"/>
        <v>50</v>
      </c>
      <c r="AZ152" s="233">
        <f t="shared" ca="1" si="117"/>
        <v>50</v>
      </c>
      <c r="BA152" s="233">
        <f t="shared" ca="1" si="117"/>
        <v>50</v>
      </c>
      <c r="BB152" s="233">
        <f t="shared" ca="1" si="117"/>
        <v>50</v>
      </c>
      <c r="BC152" s="233">
        <f t="shared" ca="1" si="117"/>
        <v>50</v>
      </c>
      <c r="BD152" s="233">
        <f t="shared" ca="1" si="117"/>
        <v>50</v>
      </c>
      <c r="BE152" s="233">
        <f t="shared" ca="1" si="117"/>
        <v>50</v>
      </c>
      <c r="BF152" s="233">
        <f t="shared" ca="1" si="117"/>
        <v>50</v>
      </c>
      <c r="BG152" s="233">
        <f t="shared" ca="1" si="117"/>
        <v>50</v>
      </c>
      <c r="BH152" s="233">
        <f t="shared" ca="1" si="117"/>
        <v>50</v>
      </c>
      <c r="BI152" s="233">
        <f t="shared" ca="1" si="117"/>
        <v>50</v>
      </c>
      <c r="BJ152" s="233">
        <f t="shared" ca="1" si="117"/>
        <v>50</v>
      </c>
      <c r="BK152" s="233">
        <f t="shared" ca="1" si="117"/>
        <v>50</v>
      </c>
      <c r="BL152" s="233">
        <f t="shared" ca="1" si="117"/>
        <v>50</v>
      </c>
      <c r="BM152" s="233">
        <f t="shared" ca="1" si="117"/>
        <v>50</v>
      </c>
      <c r="BN152" s="233">
        <f t="shared" ca="1" si="117"/>
        <v>50</v>
      </c>
      <c r="BO152" s="233">
        <f t="shared" ca="1" si="117"/>
        <v>50</v>
      </c>
      <c r="BP152" s="233"/>
      <c r="BQ152" s="233"/>
      <c r="BR152" s="233"/>
      <c r="BS152" s="233"/>
      <c r="BT152" s="233"/>
      <c r="BU152" s="233"/>
      <c r="BV152" s="233"/>
      <c r="BW152" s="233"/>
      <c r="BX152" s="233"/>
      <c r="BY152" s="233"/>
      <c r="BZ152" s="233"/>
      <c r="CA152" s="233"/>
      <c r="CB152" s="233"/>
      <c r="CC152" s="233"/>
      <c r="CD152" s="233"/>
      <c r="CE152" s="233"/>
      <c r="CF152" s="233"/>
      <c r="CG152" s="233"/>
      <c r="CH152" s="233"/>
      <c r="CI152" s="233"/>
      <c r="CJ152" s="233"/>
      <c r="CK152" s="233"/>
      <c r="CL152" s="233"/>
      <c r="CM152" s="233"/>
      <c r="CN152" s="233"/>
      <c r="CO152" s="233"/>
      <c r="CP152" s="233"/>
      <c r="CQ152" s="233"/>
      <c r="CR152" s="233"/>
      <c r="CS152" s="233"/>
      <c r="CT152" s="233"/>
      <c r="CU152" s="233"/>
      <c r="CV152" s="233"/>
      <c r="CW152" s="233"/>
      <c r="CX152" s="233"/>
      <c r="CY152" s="233"/>
      <c r="CZ152" s="233"/>
      <c r="DA152" s="233"/>
      <c r="DB152" s="233"/>
      <c r="DC152" s="233"/>
      <c r="DD152" s="233"/>
      <c r="DE152" s="233"/>
      <c r="DF152" s="233"/>
      <c r="DG152" s="233"/>
      <c r="DH152" s="233"/>
      <c r="DI152" s="233"/>
      <c r="DJ152" s="233"/>
      <c r="DK152" s="233"/>
      <c r="DL152" s="233"/>
      <c r="DM152" s="233"/>
      <c r="DN152" s="233"/>
      <c r="DO152" s="233"/>
      <c r="DP152" s="233"/>
      <c r="DQ152" s="233"/>
      <c r="DR152" s="233"/>
      <c r="DS152" s="233"/>
      <c r="DT152" s="233"/>
      <c r="DU152" s="233"/>
      <c r="DV152" s="233"/>
      <c r="DW152" s="233"/>
    </row>
    <row r="153" spans="1:129">
      <c r="A153" s="516" t="s">
        <v>1175</v>
      </c>
      <c r="B153" s="494"/>
      <c r="C153" s="494"/>
      <c r="D153" s="494"/>
      <c r="E153" s="494"/>
      <c r="G153" s="233">
        <f t="shared" ref="G153:AL153" ca="1" si="118">+IF(AND(G117&gt;0,NOT(G149)),MIN(G117,(G150-G151)),0)</f>
        <v>0</v>
      </c>
      <c r="H153" s="233">
        <f t="shared" ca="1" si="118"/>
        <v>0</v>
      </c>
      <c r="I153" s="233">
        <f t="shared" ca="1" si="118"/>
        <v>0</v>
      </c>
      <c r="J153" s="233">
        <f t="shared" ca="1" si="118"/>
        <v>0</v>
      </c>
      <c r="K153" s="233">
        <f t="shared" ca="1" si="118"/>
        <v>0</v>
      </c>
      <c r="L153" s="233">
        <f t="shared" ca="1" si="118"/>
        <v>0</v>
      </c>
      <c r="M153" s="233">
        <f t="shared" ca="1" si="118"/>
        <v>0</v>
      </c>
      <c r="N153" s="233">
        <f t="shared" ca="1" si="118"/>
        <v>0</v>
      </c>
      <c r="O153" s="233">
        <f t="shared" ca="1" si="118"/>
        <v>0</v>
      </c>
      <c r="P153" s="233">
        <f t="shared" ca="1" si="118"/>
        <v>0</v>
      </c>
      <c r="Q153" s="233">
        <f t="shared" ca="1" si="118"/>
        <v>0</v>
      </c>
      <c r="R153" s="233">
        <f t="shared" ca="1" si="118"/>
        <v>0</v>
      </c>
      <c r="S153" s="233">
        <f t="shared" ca="1" si="118"/>
        <v>0</v>
      </c>
      <c r="T153" s="233">
        <f t="shared" ca="1" si="118"/>
        <v>0</v>
      </c>
      <c r="U153" s="233">
        <f t="shared" ca="1" si="118"/>
        <v>0</v>
      </c>
      <c r="V153" s="233">
        <f t="shared" ca="1" si="118"/>
        <v>0</v>
      </c>
      <c r="W153" s="233">
        <f t="shared" ca="1" si="118"/>
        <v>0</v>
      </c>
      <c r="X153" s="233">
        <f t="shared" ca="1" si="118"/>
        <v>0</v>
      </c>
      <c r="Y153" s="233">
        <f t="shared" ca="1" si="118"/>
        <v>0</v>
      </c>
      <c r="Z153" s="233">
        <f t="shared" ca="1" si="118"/>
        <v>0</v>
      </c>
      <c r="AA153" s="233">
        <f t="shared" ca="1" si="118"/>
        <v>0</v>
      </c>
      <c r="AB153" s="233">
        <f t="shared" ca="1" si="118"/>
        <v>0</v>
      </c>
      <c r="AC153" s="233">
        <f t="shared" ca="1" si="118"/>
        <v>0</v>
      </c>
      <c r="AD153" s="233">
        <f t="shared" ca="1" si="118"/>
        <v>0.79523165133696239</v>
      </c>
      <c r="AE153" s="233">
        <f t="shared" ca="1" si="118"/>
        <v>0</v>
      </c>
      <c r="AF153" s="233">
        <f t="shared" ca="1" si="118"/>
        <v>49.204768348663038</v>
      </c>
      <c r="AG153" s="233">
        <f t="shared" ca="1" si="118"/>
        <v>0</v>
      </c>
      <c r="AH153" s="233">
        <f t="shared" ca="1" si="118"/>
        <v>0</v>
      </c>
      <c r="AI153" s="233">
        <f t="shared" ca="1" si="118"/>
        <v>0</v>
      </c>
      <c r="AJ153" s="233">
        <f t="shared" ca="1" si="118"/>
        <v>0</v>
      </c>
      <c r="AK153" s="233">
        <f t="shared" ca="1" si="118"/>
        <v>0</v>
      </c>
      <c r="AL153" s="233">
        <f t="shared" ca="1" si="118"/>
        <v>0</v>
      </c>
      <c r="AM153" s="233">
        <f t="shared" ref="AM153:BO153" ca="1" si="119">+IF(AND(AM117&gt;0,NOT(AM149)),MIN(AM117,(AM150-AM151)),0)</f>
        <v>0</v>
      </c>
      <c r="AN153" s="233">
        <f t="shared" ca="1" si="119"/>
        <v>0</v>
      </c>
      <c r="AO153" s="233">
        <f t="shared" ca="1" si="119"/>
        <v>0</v>
      </c>
      <c r="AP153" s="233">
        <f t="shared" ca="1" si="119"/>
        <v>0</v>
      </c>
      <c r="AQ153" s="233">
        <f t="shared" ca="1" si="119"/>
        <v>0</v>
      </c>
      <c r="AR153" s="233">
        <f t="shared" ca="1" si="119"/>
        <v>0</v>
      </c>
      <c r="AS153" s="233">
        <f t="shared" ca="1" si="119"/>
        <v>0</v>
      </c>
      <c r="AT153" s="233">
        <f t="shared" ca="1" si="119"/>
        <v>0</v>
      </c>
      <c r="AU153" s="233">
        <f t="shared" ca="1" si="119"/>
        <v>0</v>
      </c>
      <c r="AV153" s="233">
        <f t="shared" ca="1" si="119"/>
        <v>0</v>
      </c>
      <c r="AW153" s="233">
        <f t="shared" ca="1" si="119"/>
        <v>0</v>
      </c>
      <c r="AX153" s="233">
        <f t="shared" ca="1" si="119"/>
        <v>0</v>
      </c>
      <c r="AY153" s="233">
        <f t="shared" ca="1" si="119"/>
        <v>0</v>
      </c>
      <c r="AZ153" s="233">
        <f t="shared" ca="1" si="119"/>
        <v>0</v>
      </c>
      <c r="BA153" s="233">
        <f t="shared" ca="1" si="119"/>
        <v>0</v>
      </c>
      <c r="BB153" s="233">
        <f t="shared" ca="1" si="119"/>
        <v>0</v>
      </c>
      <c r="BC153" s="233">
        <f t="shared" ca="1" si="119"/>
        <v>0</v>
      </c>
      <c r="BD153" s="233">
        <f t="shared" ca="1" si="119"/>
        <v>0</v>
      </c>
      <c r="BE153" s="233">
        <f t="shared" ca="1" si="119"/>
        <v>0</v>
      </c>
      <c r="BF153" s="233">
        <f t="shared" ca="1" si="119"/>
        <v>0</v>
      </c>
      <c r="BG153" s="233">
        <f t="shared" ca="1" si="119"/>
        <v>0</v>
      </c>
      <c r="BH153" s="233">
        <f t="shared" ca="1" si="119"/>
        <v>0</v>
      </c>
      <c r="BI153" s="233">
        <f t="shared" ca="1" si="119"/>
        <v>0</v>
      </c>
      <c r="BJ153" s="233">
        <f t="shared" ca="1" si="119"/>
        <v>0</v>
      </c>
      <c r="BK153" s="233">
        <f t="shared" ca="1" si="119"/>
        <v>0</v>
      </c>
      <c r="BL153" s="233">
        <f t="shared" ca="1" si="119"/>
        <v>0</v>
      </c>
      <c r="BM153" s="233">
        <f t="shared" ca="1" si="119"/>
        <v>0</v>
      </c>
      <c r="BN153" s="233">
        <f t="shared" ca="1" si="119"/>
        <v>0</v>
      </c>
      <c r="BO153" s="233">
        <f t="shared" ca="1" si="119"/>
        <v>0</v>
      </c>
      <c r="BP153" s="233"/>
      <c r="BQ153" s="233"/>
      <c r="BR153" s="233"/>
      <c r="BS153" s="233"/>
      <c r="BT153" s="233"/>
      <c r="BU153" s="233"/>
      <c r="BV153" s="233"/>
      <c r="BW153" s="233"/>
      <c r="BX153" s="233"/>
      <c r="BY153" s="233"/>
      <c r="BZ153" s="233"/>
      <c r="CA153" s="233"/>
      <c r="CB153" s="233"/>
      <c r="CC153" s="233"/>
      <c r="CD153" s="233"/>
      <c r="CE153" s="233"/>
      <c r="CF153" s="233"/>
      <c r="CG153" s="233"/>
      <c r="CH153" s="233"/>
      <c r="CI153" s="233"/>
      <c r="CJ153" s="233"/>
      <c r="CK153" s="233"/>
      <c r="CL153" s="233"/>
      <c r="CM153" s="233"/>
      <c r="CN153" s="233"/>
      <c r="CO153" s="233"/>
      <c r="CP153" s="233"/>
      <c r="CQ153" s="233"/>
      <c r="CR153" s="233"/>
      <c r="CS153" s="233"/>
      <c r="CT153" s="233"/>
      <c r="CU153" s="233"/>
      <c r="CV153" s="233"/>
      <c r="CW153" s="233"/>
      <c r="CX153" s="233"/>
      <c r="CY153" s="233"/>
      <c r="CZ153" s="233"/>
      <c r="DA153" s="233"/>
      <c r="DB153" s="233"/>
      <c r="DC153" s="233"/>
      <c r="DD153" s="233"/>
      <c r="DE153" s="233"/>
      <c r="DF153" s="233"/>
      <c r="DG153" s="233"/>
      <c r="DH153" s="233"/>
      <c r="DI153" s="233"/>
      <c r="DJ153" s="233"/>
      <c r="DK153" s="233"/>
      <c r="DL153" s="233"/>
      <c r="DM153" s="233"/>
      <c r="DN153" s="233"/>
      <c r="DO153" s="233"/>
      <c r="DP153" s="233"/>
      <c r="DQ153" s="233"/>
      <c r="DR153" s="233"/>
      <c r="DS153" s="233"/>
      <c r="DT153" s="233"/>
      <c r="DU153" s="233"/>
      <c r="DV153" s="233"/>
      <c r="DW153" s="233"/>
    </row>
    <row r="154" spans="1:129">
      <c r="A154" s="515"/>
      <c r="B154" s="494"/>
      <c r="C154" s="494"/>
      <c r="D154" s="494"/>
      <c r="E154" s="494"/>
      <c r="G154" s="233">
        <f ca="1">SUM($G$155:G155)</f>
        <v>-1169.6619115852516</v>
      </c>
      <c r="H154" s="233">
        <f ca="1">SUM($G$155:H155)</f>
        <v>-2025.6274435789956</v>
      </c>
      <c r="I154" s="233">
        <f ca="1">SUM($G$155:I155)</f>
        <v>-2851.5789975468351</v>
      </c>
      <c r="J154" s="233">
        <f ca="1">SUM($G$155:J155)</f>
        <v>-3645.4491614809253</v>
      </c>
      <c r="K154" s="233">
        <f ca="1">SUM($G$155:K155)</f>
        <v>-4351.3968898143285</v>
      </c>
      <c r="L154" s="233">
        <f ca="1">SUM($G$155:L155)</f>
        <v>-5042.7279777209669</v>
      </c>
      <c r="M154" s="233">
        <f ca="1">SUM($G$155:M155)</f>
        <v>-5648.9909644535983</v>
      </c>
      <c r="N154" s="233">
        <f ca="1">SUM($G$155:N155)</f>
        <v>-6257.0180112927701</v>
      </c>
      <c r="O154" s="233">
        <f ca="1">SUM($G$155:O155)</f>
        <v>-6800.6375856978302</v>
      </c>
      <c r="P154" s="233">
        <f ca="1">SUM($G$155:P155)</f>
        <v>-7323.9700469341769</v>
      </c>
      <c r="Q154" s="233">
        <f ca="1">SUM($G$155:Q155)</f>
        <v>-7804.1287658674601</v>
      </c>
      <c r="R154" s="233">
        <f ca="1">SUM($G$155:R155)</f>
        <v>-8242.7933584080292</v>
      </c>
      <c r="S154" s="233">
        <f ca="1">SUM($G$155:S155)</f>
        <v>-8662.2924485281383</v>
      </c>
      <c r="T154" s="233">
        <f ca="1">SUM($G$155:T155)</f>
        <v>-9005.1205823050477</v>
      </c>
      <c r="U154" s="233">
        <f ca="1">SUM($G$155:U155)</f>
        <v>-9350.5615050515189</v>
      </c>
      <c r="V154" s="233">
        <f ca="1">SUM($G$155:V155)</f>
        <v>-9595.2632963430679</v>
      </c>
      <c r="W154" s="233">
        <f ca="1">SUM($G$155:W155)</f>
        <v>-9867.655276501082</v>
      </c>
      <c r="X154" s="233">
        <f ca="1">SUM($G$155:X155)</f>
        <v>-10008.435892141199</v>
      </c>
      <c r="Y154" s="233">
        <f ca="1">SUM($G$155:Y155)</f>
        <v>-10203.627317611561</v>
      </c>
      <c r="Z154" s="233">
        <f ca="1">SUM($G$155:Z155)</f>
        <v>-10238.495559845223</v>
      </c>
      <c r="AA154" s="233">
        <f ca="1">SUM($G$155:AA155)</f>
        <v>-10355.916398029769</v>
      </c>
      <c r="AB154" s="233">
        <f ca="1">SUM($G$155:AB155)</f>
        <v>-10466.540372611831</v>
      </c>
      <c r="AC154" s="233">
        <f ca="1">SUM($G$155:AC155)</f>
        <v>-10653.832974261593</v>
      </c>
      <c r="AD154" s="233">
        <f ca="1">SUM($G$155:AD155)</f>
        <v>-10653.832974261593</v>
      </c>
      <c r="AE154" s="233">
        <f ca="1">SUM($G$155:AE155)</f>
        <v>-10760.271797557205</v>
      </c>
      <c r="AF154" s="233">
        <f ca="1">SUM($G$155:AF155)</f>
        <v>-10492.543113683221</v>
      </c>
      <c r="AG154" s="233">
        <f ca="1">SUM($G$155:AG155)</f>
        <v>-10376.375591951288</v>
      </c>
      <c r="AH154" s="233">
        <f ca="1">SUM($G$155:AH155)</f>
        <v>-9955.8574650863175</v>
      </c>
      <c r="AI154" s="233">
        <f ca="1">SUM($G$155:AI155)</f>
        <v>-9774.4601038420678</v>
      </c>
      <c r="AJ154" s="233">
        <f ca="1">SUM($G$155:AJ155)</f>
        <v>-9249.2031270538955</v>
      </c>
      <c r="AK154" s="233">
        <f ca="1">SUM($G$155:AK155)</f>
        <v>-9055.762999929153</v>
      </c>
      <c r="AL154" s="233">
        <f ca="1">SUM($G$155:AL155)</f>
        <v>-8516.0026120685379</v>
      </c>
      <c r="AM154" s="233">
        <f ca="1">SUM($G$155:AM155)</f>
        <v>-8119.0035822892332</v>
      </c>
      <c r="AN154" s="233">
        <f ca="1">SUM($G$155:AN155)</f>
        <v>-7371.9851951061719</v>
      </c>
      <c r="AO154" s="233">
        <f ca="1">SUM($G$155:AO155)</f>
        <v>-6773.9981476407775</v>
      </c>
      <c r="AP154" s="233">
        <f ca="1">SUM($G$155:AP155)</f>
        <v>-5808.0616411447154</v>
      </c>
      <c r="AQ154" s="233">
        <f ca="1">SUM($G$155:AQ155)</f>
        <v>-4991.9851787335183</v>
      </c>
      <c r="AR154" s="233">
        <f ca="1">SUM($G$155:AR155)</f>
        <v>-3782.3774145794646</v>
      </c>
      <c r="AS154" s="233">
        <f ca="1">SUM($G$155:AS155)</f>
        <v>-2732.7445216766432</v>
      </c>
      <c r="AT154" s="233">
        <f ca="1">SUM($G$155:AT155)</f>
        <v>-1264.1901118171106</v>
      </c>
      <c r="AU154" s="233">
        <f ca="1">SUM($G$155:AU155)</f>
        <v>0</v>
      </c>
      <c r="AV154" s="233">
        <f ca="1">SUM($G$155:AV155)</f>
        <v>0</v>
      </c>
      <c r="AW154" s="233">
        <f ca="1">SUM($G$155:AW155)</f>
        <v>0</v>
      </c>
      <c r="AX154" s="233">
        <f ca="1">SUM($G$155:AX155)</f>
        <v>0</v>
      </c>
      <c r="AY154" s="233">
        <f ca="1">SUM($G$155:AY155)</f>
        <v>0</v>
      </c>
      <c r="AZ154" s="233">
        <f ca="1">SUM($G$155:AZ155)</f>
        <v>0</v>
      </c>
      <c r="BA154" s="233">
        <f ca="1">SUM($G$155:BA155)</f>
        <v>0</v>
      </c>
      <c r="BB154" s="233">
        <f ca="1">SUM($G$155:BB155)</f>
        <v>0</v>
      </c>
      <c r="BC154" s="233">
        <f ca="1">SUM($G$155:BC155)</f>
        <v>0</v>
      </c>
      <c r="BD154" s="233">
        <f ca="1">SUM($G$155:BD155)</f>
        <v>0</v>
      </c>
      <c r="BE154" s="233">
        <f ca="1">SUM($G$155:BE155)</f>
        <v>0</v>
      </c>
      <c r="BF154" s="233">
        <f ca="1">SUM($G$155:BF155)</f>
        <v>0</v>
      </c>
      <c r="BG154" s="233">
        <f ca="1">SUM($G$155:BG155)</f>
        <v>0</v>
      </c>
      <c r="BH154" s="233">
        <f ca="1">SUM($G$155:BH155)</f>
        <v>0</v>
      </c>
      <c r="BI154" s="233">
        <f ca="1">SUM($G$155:BI155)</f>
        <v>0</v>
      </c>
      <c r="BJ154" s="233">
        <f ca="1">SUM($G$155:BJ155)</f>
        <v>0</v>
      </c>
      <c r="BK154" s="233">
        <f ca="1">SUM($G$155:BK155)</f>
        <v>0</v>
      </c>
      <c r="BL154" s="233">
        <f ca="1">SUM($G$155:BL155)</f>
        <v>0</v>
      </c>
      <c r="BM154" s="233">
        <f ca="1">SUM($G$155:BM155)</f>
        <v>0</v>
      </c>
      <c r="BN154" s="233">
        <f ca="1">SUM($G$155:BN155)</f>
        <v>0</v>
      </c>
      <c r="BO154" s="233">
        <f ca="1">SUM($G$155:BO155)</f>
        <v>0</v>
      </c>
      <c r="BP154" s="233"/>
      <c r="BQ154" s="233"/>
      <c r="BR154" s="233"/>
      <c r="BS154" s="233"/>
      <c r="BT154" s="233"/>
      <c r="BU154" s="233"/>
      <c r="BV154" s="233"/>
      <c r="BW154" s="233"/>
      <c r="BX154" s="233"/>
      <c r="BY154" s="233"/>
      <c r="BZ154" s="233"/>
      <c r="CA154" s="233"/>
      <c r="CB154" s="233"/>
      <c r="CC154" s="233"/>
      <c r="CD154" s="233"/>
      <c r="CE154" s="233"/>
      <c r="CF154" s="233"/>
      <c r="CG154" s="233"/>
      <c r="CH154" s="233"/>
      <c r="CI154" s="233"/>
      <c r="CJ154" s="233"/>
      <c r="CK154" s="233"/>
      <c r="CL154" s="233"/>
      <c r="CM154" s="233"/>
      <c r="CN154" s="233"/>
      <c r="CO154" s="233"/>
      <c r="CP154" s="233"/>
      <c r="CQ154" s="233"/>
      <c r="CR154" s="233"/>
      <c r="CS154" s="233"/>
      <c r="CT154" s="233"/>
      <c r="CU154" s="233"/>
      <c r="CV154" s="233"/>
      <c r="CW154" s="233"/>
      <c r="CX154" s="233"/>
      <c r="CY154" s="233"/>
      <c r="CZ154" s="233"/>
      <c r="DA154" s="233"/>
      <c r="DB154" s="233"/>
      <c r="DC154" s="233"/>
      <c r="DD154" s="233"/>
      <c r="DE154" s="233"/>
      <c r="DF154" s="233"/>
      <c r="DG154" s="233"/>
      <c r="DH154" s="233"/>
      <c r="DI154" s="233"/>
      <c r="DJ154" s="233"/>
      <c r="DK154" s="233"/>
      <c r="DL154" s="233"/>
      <c r="DM154" s="233"/>
      <c r="DN154" s="233"/>
      <c r="DO154" s="233"/>
      <c r="DP154" s="233"/>
      <c r="DQ154" s="233"/>
      <c r="DR154" s="233"/>
      <c r="DS154" s="233"/>
      <c r="DT154" s="233"/>
      <c r="DU154" s="233"/>
      <c r="DV154" s="233"/>
      <c r="DW154" s="233"/>
    </row>
    <row r="155" spans="1:129">
      <c r="A155" s="516" t="s">
        <v>17</v>
      </c>
      <c r="B155" s="494"/>
      <c r="C155" s="494"/>
      <c r="D155" s="494"/>
      <c r="E155" s="494"/>
      <c r="G155" s="233">
        <f t="shared" ref="G155:AL155" ca="1" si="120">G147-G130-G153</f>
        <v>-1169.6619115852516</v>
      </c>
      <c r="H155" s="233">
        <f t="shared" ca="1" si="120"/>
        <v>-855.96553199374398</v>
      </c>
      <c r="I155" s="233">
        <f t="shared" ca="1" si="120"/>
        <v>-825.95155396783957</v>
      </c>
      <c r="J155" s="233">
        <f t="shared" ca="1" si="120"/>
        <v>-793.87016393409021</v>
      </c>
      <c r="K155" s="233">
        <f t="shared" ca="1" si="120"/>
        <v>-705.94772833340357</v>
      </c>
      <c r="L155" s="233">
        <f t="shared" ca="1" si="120"/>
        <v>-691.33108790663846</v>
      </c>
      <c r="M155" s="233">
        <f t="shared" ca="1" si="120"/>
        <v>-606.26298673263091</v>
      </c>
      <c r="N155" s="233">
        <f t="shared" ca="1" si="120"/>
        <v>-608.02704683917227</v>
      </c>
      <c r="O155" s="233">
        <f t="shared" ca="1" si="120"/>
        <v>-543.61957440505967</v>
      </c>
      <c r="P155" s="233">
        <f t="shared" ca="1" si="120"/>
        <v>-523.33246123634649</v>
      </c>
      <c r="Q155" s="233">
        <f t="shared" ca="1" si="120"/>
        <v>-480.15871893328335</v>
      </c>
      <c r="R155" s="233">
        <f t="shared" ca="1" si="120"/>
        <v>-438.66459254056872</v>
      </c>
      <c r="S155" s="233">
        <f t="shared" ca="1" si="120"/>
        <v>-419.4990901201088</v>
      </c>
      <c r="T155" s="233">
        <f t="shared" ca="1" si="120"/>
        <v>-342.82813377690945</v>
      </c>
      <c r="U155" s="233">
        <f t="shared" ca="1" si="120"/>
        <v>-345.44092274647141</v>
      </c>
      <c r="V155" s="233">
        <f t="shared" ca="1" si="120"/>
        <v>-244.7017912915494</v>
      </c>
      <c r="W155" s="233">
        <f t="shared" ca="1" si="120"/>
        <v>-272.39198015801321</v>
      </c>
      <c r="X155" s="233">
        <f t="shared" ca="1" si="120"/>
        <v>-140.7806156401175</v>
      </c>
      <c r="Y155" s="233">
        <f t="shared" ca="1" si="120"/>
        <v>-195.19142547036265</v>
      </c>
      <c r="Z155" s="233">
        <f t="shared" ca="1" si="120"/>
        <v>-34.868242233661931</v>
      </c>
      <c r="AA155" s="233">
        <f t="shared" ca="1" si="120"/>
        <v>-117.42083818454526</v>
      </c>
      <c r="AB155" s="233">
        <f t="shared" ca="1" si="120"/>
        <v>-110.62397458206283</v>
      </c>
      <c r="AC155" s="233">
        <f t="shared" ca="1" si="120"/>
        <v>-187.29260164976168</v>
      </c>
      <c r="AD155" s="233">
        <f t="shared" ca="1" si="120"/>
        <v>0</v>
      </c>
      <c r="AE155" s="233">
        <f t="shared" ca="1" si="120"/>
        <v>-106.43882329561231</v>
      </c>
      <c r="AF155" s="233">
        <f t="shared" ca="1" si="120"/>
        <v>267.72868387398398</v>
      </c>
      <c r="AG155" s="233">
        <f t="shared" ca="1" si="120"/>
        <v>116.16752173193368</v>
      </c>
      <c r="AH155" s="233">
        <f t="shared" ca="1" si="120"/>
        <v>420.51812686496987</v>
      </c>
      <c r="AI155" s="233">
        <f t="shared" ca="1" si="120"/>
        <v>181.39736124424962</v>
      </c>
      <c r="AJ155" s="233">
        <f t="shared" ca="1" si="120"/>
        <v>525.25697678817255</v>
      </c>
      <c r="AK155" s="233">
        <f t="shared" ca="1" si="120"/>
        <v>193.44012712474165</v>
      </c>
      <c r="AL155" s="233">
        <f t="shared" ca="1" si="120"/>
        <v>539.76038786061554</v>
      </c>
      <c r="AM155" s="233">
        <f t="shared" ref="AM155:BO155" ca="1" si="121">AM147-AM130-AM153</f>
        <v>396.99902977930441</v>
      </c>
      <c r="AN155" s="233">
        <f t="shared" ca="1" si="121"/>
        <v>747.01838718306124</v>
      </c>
      <c r="AO155" s="233">
        <f t="shared" ca="1" si="121"/>
        <v>597.98704746539431</v>
      </c>
      <c r="AP155" s="233">
        <f t="shared" ca="1" si="121"/>
        <v>965.93650649606184</v>
      </c>
      <c r="AQ155" s="233">
        <f t="shared" ca="1" si="121"/>
        <v>816.07646241119733</v>
      </c>
      <c r="AR155" s="233">
        <f t="shared" ca="1" si="121"/>
        <v>1209.6077641540537</v>
      </c>
      <c r="AS155" s="233">
        <f t="shared" ca="1" si="121"/>
        <v>1049.6328929028214</v>
      </c>
      <c r="AT155" s="233">
        <f t="shared" ca="1" si="121"/>
        <v>1468.5544098595326</v>
      </c>
      <c r="AU155" s="233">
        <f t="shared" ca="1" si="121"/>
        <v>1264.1901118171106</v>
      </c>
      <c r="AV155" s="233">
        <f t="shared" ca="1" si="121"/>
        <v>0</v>
      </c>
      <c r="AW155" s="233">
        <f t="shared" ca="1" si="121"/>
        <v>0</v>
      </c>
      <c r="AX155" s="233">
        <f t="shared" ca="1" si="121"/>
        <v>0</v>
      </c>
      <c r="AY155" s="233">
        <f t="shared" ca="1" si="121"/>
        <v>0</v>
      </c>
      <c r="AZ155" s="233">
        <f t="shared" ca="1" si="121"/>
        <v>0</v>
      </c>
      <c r="BA155" s="233">
        <f t="shared" ca="1" si="121"/>
        <v>0</v>
      </c>
      <c r="BB155" s="233">
        <f t="shared" ca="1" si="121"/>
        <v>0</v>
      </c>
      <c r="BC155" s="233">
        <f t="shared" ca="1" si="121"/>
        <v>0</v>
      </c>
      <c r="BD155" s="233">
        <f t="shared" ca="1" si="121"/>
        <v>0</v>
      </c>
      <c r="BE155" s="233">
        <f t="shared" ca="1" si="121"/>
        <v>0</v>
      </c>
      <c r="BF155" s="233">
        <f t="shared" ca="1" si="121"/>
        <v>0</v>
      </c>
      <c r="BG155" s="233">
        <f t="shared" ca="1" si="121"/>
        <v>0</v>
      </c>
      <c r="BH155" s="233">
        <f t="shared" ca="1" si="121"/>
        <v>0</v>
      </c>
      <c r="BI155" s="233">
        <f t="shared" ca="1" si="121"/>
        <v>0</v>
      </c>
      <c r="BJ155" s="233">
        <f t="shared" ca="1" si="121"/>
        <v>0</v>
      </c>
      <c r="BK155" s="233">
        <f t="shared" ca="1" si="121"/>
        <v>0</v>
      </c>
      <c r="BL155" s="233">
        <f t="shared" ca="1" si="121"/>
        <v>0</v>
      </c>
      <c r="BM155" s="233">
        <f t="shared" ca="1" si="121"/>
        <v>0</v>
      </c>
      <c r="BN155" s="233">
        <f t="shared" ca="1" si="121"/>
        <v>0</v>
      </c>
      <c r="BO155" s="233">
        <f t="shared" ca="1" si="121"/>
        <v>0</v>
      </c>
      <c r="BP155" s="233"/>
      <c r="BQ155" s="233"/>
      <c r="BR155" s="233"/>
      <c r="BS155" s="233"/>
      <c r="BT155" s="233"/>
      <c r="BU155" s="233"/>
      <c r="BV155" s="233"/>
      <c r="BW155" s="233"/>
      <c r="BX155" s="233"/>
      <c r="BY155" s="233"/>
      <c r="BZ155" s="233"/>
      <c r="CA155" s="233"/>
      <c r="CB155" s="233"/>
      <c r="CC155" s="233"/>
      <c r="CD155" s="233"/>
      <c r="CE155" s="233"/>
      <c r="CF155" s="233"/>
      <c r="CG155" s="233"/>
      <c r="CH155" s="233"/>
      <c r="CI155" s="233"/>
      <c r="CJ155" s="233"/>
      <c r="CK155" s="233"/>
      <c r="CL155" s="233"/>
      <c r="CM155" s="233"/>
      <c r="CN155" s="233"/>
      <c r="CO155" s="233"/>
      <c r="CP155" s="233"/>
      <c r="CQ155" s="233"/>
      <c r="CR155" s="233"/>
      <c r="CS155" s="233"/>
      <c r="CT155" s="233"/>
      <c r="CU155" s="233"/>
      <c r="CV155" s="233"/>
      <c r="CW155" s="233"/>
      <c r="CX155" s="233"/>
      <c r="CY155" s="233"/>
      <c r="CZ155" s="233"/>
      <c r="DA155" s="233"/>
      <c r="DB155" s="233"/>
      <c r="DC155" s="233"/>
      <c r="DD155" s="233"/>
      <c r="DE155" s="233"/>
      <c r="DF155" s="233"/>
      <c r="DG155" s="233"/>
      <c r="DH155" s="233"/>
      <c r="DI155" s="233"/>
      <c r="DJ155" s="233"/>
      <c r="DK155" s="233"/>
      <c r="DL155" s="233"/>
      <c r="DM155" s="233"/>
      <c r="DN155" s="233"/>
      <c r="DO155" s="233"/>
      <c r="DP155" s="233"/>
      <c r="DQ155" s="233"/>
      <c r="DR155" s="233"/>
      <c r="DS155" s="233"/>
      <c r="DT155" s="233"/>
      <c r="DU155" s="233"/>
      <c r="DV155" s="233"/>
      <c r="DW155" s="233"/>
    </row>
    <row r="156" spans="1:129">
      <c r="A156" s="572"/>
      <c r="B156" s="494"/>
      <c r="C156" s="494"/>
      <c r="D156" s="494"/>
      <c r="E156" s="494"/>
      <c r="G156" s="505"/>
      <c r="H156" s="505"/>
      <c r="I156" s="505"/>
      <c r="J156" s="505"/>
      <c r="K156" s="505"/>
      <c r="L156" s="505"/>
      <c r="M156" s="505"/>
      <c r="N156" s="505"/>
      <c r="O156" s="505"/>
      <c r="P156" s="505"/>
      <c r="Q156" s="505"/>
      <c r="R156" s="505"/>
      <c r="S156" s="505"/>
      <c r="T156" s="505"/>
      <c r="U156" s="505"/>
      <c r="V156" s="505"/>
      <c r="W156" s="505"/>
      <c r="X156" s="505"/>
      <c r="Y156" s="505"/>
      <c r="Z156" s="505"/>
      <c r="AA156" s="505"/>
      <c r="AB156" s="505"/>
      <c r="AC156" s="505"/>
      <c r="AD156" s="505"/>
      <c r="AE156" s="505"/>
      <c r="AF156" s="505"/>
      <c r="AG156" s="505"/>
      <c r="AH156" s="505"/>
      <c r="AI156" s="505"/>
      <c r="AJ156" s="505"/>
      <c r="AK156" s="505"/>
      <c r="AL156" s="505"/>
      <c r="AM156" s="505"/>
      <c r="AN156" s="505"/>
      <c r="AO156" s="505"/>
      <c r="AP156" s="505"/>
      <c r="AQ156" s="505"/>
      <c r="AR156" s="505"/>
      <c r="AS156" s="505"/>
      <c r="AT156" s="505"/>
      <c r="AU156" s="505"/>
      <c r="AV156" s="505"/>
      <c r="AW156" s="505"/>
      <c r="AX156" s="505"/>
      <c r="AY156" s="505"/>
      <c r="AZ156" s="505"/>
      <c r="BA156" s="505"/>
      <c r="BB156" s="505"/>
      <c r="BC156" s="505"/>
      <c r="BD156" s="505"/>
      <c r="BE156" s="505"/>
      <c r="BF156" s="505"/>
      <c r="BG156" s="505"/>
      <c r="BH156" s="505"/>
      <c r="BI156" s="505"/>
      <c r="BJ156" s="505"/>
      <c r="BK156" s="505"/>
      <c r="BL156" s="505"/>
      <c r="BM156" s="505"/>
      <c r="BN156" s="505"/>
      <c r="BO156" s="505"/>
      <c r="BP156" s="505"/>
      <c r="BQ156" s="505"/>
      <c r="BR156" s="505"/>
      <c r="BS156" s="505"/>
      <c r="BT156" s="505"/>
      <c r="BU156" s="505"/>
      <c r="BV156" s="505"/>
      <c r="BW156" s="505"/>
      <c r="BX156" s="505"/>
      <c r="BY156" s="505"/>
      <c r="BZ156" s="505"/>
      <c r="CA156" s="505"/>
      <c r="CB156" s="505"/>
      <c r="CC156" s="505"/>
      <c r="CD156" s="505"/>
      <c r="CE156" s="505"/>
      <c r="CF156" s="505"/>
      <c r="CG156" s="505"/>
      <c r="CH156" s="505"/>
      <c r="CI156" s="505"/>
      <c r="CJ156" s="505"/>
      <c r="CK156" s="505"/>
      <c r="CL156" s="505"/>
      <c r="CM156" s="505"/>
      <c r="CN156" s="505"/>
      <c r="CO156" s="505"/>
      <c r="CP156" s="505"/>
      <c r="CQ156" s="505"/>
      <c r="CR156" s="505"/>
      <c r="CS156" s="505"/>
      <c r="CT156" s="505"/>
      <c r="CU156" s="505"/>
      <c r="CV156" s="505"/>
      <c r="CW156" s="505"/>
      <c r="CX156" s="505"/>
      <c r="CY156" s="505"/>
      <c r="CZ156" s="505"/>
      <c r="DA156" s="505"/>
      <c r="DB156" s="505"/>
      <c r="DC156" s="505"/>
      <c r="DD156" s="505"/>
      <c r="DE156" s="505"/>
      <c r="DF156" s="505"/>
      <c r="DG156" s="505"/>
      <c r="DH156" s="505"/>
      <c r="DI156" s="505"/>
      <c r="DJ156" s="505"/>
      <c r="DK156" s="505"/>
      <c r="DL156" s="505"/>
      <c r="DM156" s="505"/>
      <c r="DN156" s="505"/>
      <c r="DO156" s="505"/>
      <c r="DP156" s="505"/>
      <c r="DQ156" s="505"/>
      <c r="DR156" s="505"/>
      <c r="DS156" s="505"/>
      <c r="DT156" s="505"/>
      <c r="DU156" s="505"/>
      <c r="DV156" s="505"/>
      <c r="DW156" s="505"/>
    </row>
    <row r="157" spans="1:129">
      <c r="A157" s="570" t="s">
        <v>1116</v>
      </c>
      <c r="E157" s="396">
        <f ca="1">SUM(G157:DW157)</f>
        <v>0</v>
      </c>
      <c r="F157" s="396"/>
      <c r="G157" s="477">
        <f t="shared" ref="G157:AL157" ca="1" si="122">ABS(G117-G153-G125-G155)</f>
        <v>0</v>
      </c>
      <c r="H157" s="477">
        <f t="shared" ca="1" si="122"/>
        <v>0</v>
      </c>
      <c r="I157" s="477">
        <f t="shared" ca="1" si="122"/>
        <v>0</v>
      </c>
      <c r="J157" s="477">
        <f t="shared" ca="1" si="122"/>
        <v>0</v>
      </c>
      <c r="K157" s="477">
        <f t="shared" ca="1" si="122"/>
        <v>0</v>
      </c>
      <c r="L157" s="477">
        <f t="shared" ca="1" si="122"/>
        <v>0</v>
      </c>
      <c r="M157" s="477">
        <f t="shared" ca="1" si="122"/>
        <v>0</v>
      </c>
      <c r="N157" s="477">
        <f t="shared" ca="1" si="122"/>
        <v>0</v>
      </c>
      <c r="O157" s="477">
        <f t="shared" ca="1" si="122"/>
        <v>0</v>
      </c>
      <c r="P157" s="477">
        <f t="shared" ca="1" si="122"/>
        <v>0</v>
      </c>
      <c r="Q157" s="477">
        <f t="shared" ca="1" si="122"/>
        <v>0</v>
      </c>
      <c r="R157" s="477">
        <f t="shared" ca="1" si="122"/>
        <v>0</v>
      </c>
      <c r="S157" s="477">
        <f t="shared" ca="1" si="122"/>
        <v>0</v>
      </c>
      <c r="T157" s="477">
        <f t="shared" ca="1" si="122"/>
        <v>0</v>
      </c>
      <c r="U157" s="477">
        <f t="shared" ca="1" si="122"/>
        <v>0</v>
      </c>
      <c r="V157" s="477">
        <f t="shared" ca="1" si="122"/>
        <v>0</v>
      </c>
      <c r="W157" s="477">
        <f t="shared" ca="1" si="122"/>
        <v>0</v>
      </c>
      <c r="X157" s="477">
        <f t="shared" ca="1" si="122"/>
        <v>0</v>
      </c>
      <c r="Y157" s="477">
        <f t="shared" ca="1" si="122"/>
        <v>0</v>
      </c>
      <c r="Z157" s="477">
        <f t="shared" ca="1" si="122"/>
        <v>0</v>
      </c>
      <c r="AA157" s="477">
        <f t="shared" ca="1" si="122"/>
        <v>0</v>
      </c>
      <c r="AB157" s="477">
        <f t="shared" ca="1" si="122"/>
        <v>0</v>
      </c>
      <c r="AC157" s="477">
        <f t="shared" ca="1" si="122"/>
        <v>0</v>
      </c>
      <c r="AD157" s="477">
        <f t="shared" ca="1" si="122"/>
        <v>0</v>
      </c>
      <c r="AE157" s="477">
        <f t="shared" ca="1" si="122"/>
        <v>0</v>
      </c>
      <c r="AF157" s="477">
        <f t="shared" ca="1" si="122"/>
        <v>0</v>
      </c>
      <c r="AG157" s="477">
        <f t="shared" ca="1" si="122"/>
        <v>0</v>
      </c>
      <c r="AH157" s="477">
        <f t="shared" ca="1" si="122"/>
        <v>0</v>
      </c>
      <c r="AI157" s="477">
        <f t="shared" ca="1" si="122"/>
        <v>0</v>
      </c>
      <c r="AJ157" s="477">
        <f t="shared" ca="1" si="122"/>
        <v>0</v>
      </c>
      <c r="AK157" s="477">
        <f t="shared" ca="1" si="122"/>
        <v>0</v>
      </c>
      <c r="AL157" s="477">
        <f t="shared" ca="1" si="122"/>
        <v>0</v>
      </c>
      <c r="AM157" s="477">
        <f t="shared" ref="AM157:BO157" ca="1" si="123">ABS(AM117-AM153-AM125-AM155)</f>
        <v>0</v>
      </c>
      <c r="AN157" s="477">
        <f t="shared" ca="1" si="123"/>
        <v>0</v>
      </c>
      <c r="AO157" s="477">
        <f t="shared" ca="1" si="123"/>
        <v>0</v>
      </c>
      <c r="AP157" s="477">
        <f t="shared" ca="1" si="123"/>
        <v>0</v>
      </c>
      <c r="AQ157" s="477">
        <f t="shared" ca="1" si="123"/>
        <v>0</v>
      </c>
      <c r="AR157" s="477">
        <f t="shared" ca="1" si="123"/>
        <v>0</v>
      </c>
      <c r="AS157" s="477">
        <f t="shared" ca="1" si="123"/>
        <v>0</v>
      </c>
      <c r="AT157" s="477">
        <f t="shared" ca="1" si="123"/>
        <v>0</v>
      </c>
      <c r="AU157" s="477">
        <f t="shared" ca="1" si="123"/>
        <v>0</v>
      </c>
      <c r="AV157" s="477">
        <f t="shared" ca="1" si="123"/>
        <v>0</v>
      </c>
      <c r="AW157" s="477">
        <f t="shared" ca="1" si="123"/>
        <v>0</v>
      </c>
      <c r="AX157" s="477">
        <f t="shared" ca="1" si="123"/>
        <v>0</v>
      </c>
      <c r="AY157" s="477">
        <f t="shared" ca="1" si="123"/>
        <v>0</v>
      </c>
      <c r="AZ157" s="477">
        <f t="shared" ca="1" si="123"/>
        <v>0</v>
      </c>
      <c r="BA157" s="477">
        <f t="shared" ca="1" si="123"/>
        <v>0</v>
      </c>
      <c r="BB157" s="477">
        <f t="shared" ca="1" si="123"/>
        <v>0</v>
      </c>
      <c r="BC157" s="477">
        <f t="shared" ca="1" si="123"/>
        <v>0</v>
      </c>
      <c r="BD157" s="477">
        <f t="shared" ca="1" si="123"/>
        <v>0</v>
      </c>
      <c r="BE157" s="477">
        <f t="shared" ca="1" si="123"/>
        <v>0</v>
      </c>
      <c r="BF157" s="477">
        <f t="shared" ca="1" si="123"/>
        <v>0</v>
      </c>
      <c r="BG157" s="477">
        <f t="shared" ca="1" si="123"/>
        <v>0</v>
      </c>
      <c r="BH157" s="477">
        <f t="shared" ca="1" si="123"/>
        <v>0</v>
      </c>
      <c r="BI157" s="477">
        <f t="shared" ca="1" si="123"/>
        <v>0</v>
      </c>
      <c r="BJ157" s="477">
        <f t="shared" ca="1" si="123"/>
        <v>0</v>
      </c>
      <c r="BK157" s="477">
        <f t="shared" ca="1" si="123"/>
        <v>0</v>
      </c>
      <c r="BL157" s="477">
        <f t="shared" ca="1" si="123"/>
        <v>0</v>
      </c>
      <c r="BM157" s="477">
        <f t="shared" ca="1" si="123"/>
        <v>0</v>
      </c>
      <c r="BN157" s="477">
        <f t="shared" ca="1" si="123"/>
        <v>0</v>
      </c>
      <c r="BO157" s="477">
        <f t="shared" ca="1" si="123"/>
        <v>0</v>
      </c>
      <c r="BP157" s="477"/>
      <c r="BQ157" s="477"/>
      <c r="BR157" s="477"/>
      <c r="BS157" s="477"/>
      <c r="BT157" s="477"/>
      <c r="BU157" s="477"/>
      <c r="BV157" s="477"/>
      <c r="BW157" s="477"/>
      <c r="BX157" s="477"/>
      <c r="BY157" s="477"/>
      <c r="BZ157" s="477"/>
      <c r="CA157" s="477"/>
      <c r="CB157" s="477"/>
      <c r="CC157" s="477"/>
      <c r="CD157" s="477"/>
      <c r="CE157" s="477"/>
      <c r="CF157" s="477"/>
      <c r="CG157" s="477"/>
      <c r="CH157" s="477"/>
      <c r="CI157" s="477"/>
      <c r="CJ157" s="477"/>
      <c r="CK157" s="477"/>
      <c r="CL157" s="477"/>
      <c r="CM157" s="477"/>
      <c r="CN157" s="477"/>
      <c r="CO157" s="477"/>
      <c r="CP157" s="477"/>
      <c r="CQ157" s="477"/>
      <c r="CR157" s="477"/>
      <c r="CS157" s="477"/>
      <c r="CT157" s="477"/>
      <c r="CU157" s="477"/>
      <c r="CV157" s="477"/>
      <c r="CW157" s="477"/>
      <c r="CX157" s="477"/>
      <c r="CY157" s="477"/>
      <c r="CZ157" s="477"/>
      <c r="DA157" s="477"/>
      <c r="DB157" s="477"/>
      <c r="DC157" s="477"/>
      <c r="DD157" s="477"/>
      <c r="DE157" s="477"/>
      <c r="DF157" s="477"/>
      <c r="DG157" s="477"/>
      <c r="DH157" s="477"/>
      <c r="DI157" s="477"/>
      <c r="DJ157" s="477"/>
      <c r="DK157" s="477"/>
      <c r="DL157" s="477"/>
      <c r="DM157" s="477"/>
      <c r="DN157" s="477"/>
      <c r="DO157" s="477"/>
      <c r="DP157" s="477"/>
      <c r="DQ157" s="477"/>
      <c r="DR157" s="477"/>
      <c r="DS157" s="477"/>
      <c r="DT157" s="477"/>
      <c r="DU157" s="477"/>
      <c r="DV157" s="477"/>
      <c r="DW157" s="477"/>
    </row>
    <row r="158" spans="1:129">
      <c r="A158" s="574"/>
      <c r="B158" s="494"/>
      <c r="C158" s="494"/>
      <c r="E158" s="494"/>
      <c r="G158" s="493"/>
      <c r="H158" s="505"/>
      <c r="I158" s="505"/>
      <c r="J158" s="505"/>
      <c r="K158" s="505"/>
      <c r="L158" s="505"/>
      <c r="M158" s="505"/>
      <c r="N158" s="505"/>
      <c r="O158" s="505"/>
      <c r="P158" s="505"/>
      <c r="Q158" s="505"/>
      <c r="R158" s="505"/>
      <c r="S158" s="505"/>
      <c r="T158" s="505"/>
      <c r="U158" s="505"/>
      <c r="V158" s="505"/>
      <c r="W158" s="505"/>
      <c r="X158" s="505"/>
      <c r="Y158" s="505"/>
      <c r="Z158" s="505"/>
      <c r="AA158" s="505"/>
      <c r="AB158" s="505"/>
      <c r="AC158" s="505"/>
      <c r="AD158" s="505"/>
      <c r="AE158" s="505"/>
      <c r="AF158" s="505"/>
      <c r="AG158" s="505"/>
      <c r="AH158" s="505"/>
      <c r="AI158" s="505"/>
      <c r="AJ158" s="505"/>
      <c r="AK158" s="505"/>
      <c r="AL158" s="505"/>
      <c r="AM158" s="505"/>
      <c r="AN158" s="505"/>
      <c r="AO158" s="505"/>
      <c r="AP158" s="505"/>
      <c r="AQ158" s="505"/>
      <c r="AR158" s="505"/>
      <c r="AS158" s="505"/>
      <c r="AT158" s="505"/>
      <c r="AU158" s="505"/>
      <c r="AV158" s="505"/>
      <c r="AW158" s="505"/>
      <c r="AX158" s="505"/>
      <c r="AY158" s="505"/>
      <c r="AZ158" s="505"/>
      <c r="BA158" s="505"/>
      <c r="BB158" s="505"/>
      <c r="BC158" s="505"/>
      <c r="BD158" s="505"/>
      <c r="BE158" s="505"/>
      <c r="BF158" s="505"/>
      <c r="BG158" s="505"/>
      <c r="BH158" s="505"/>
      <c r="BI158" s="505"/>
      <c r="BJ158" s="505"/>
      <c r="BK158" s="505"/>
      <c r="BL158" s="505"/>
      <c r="BM158" s="505"/>
      <c r="BN158" s="505"/>
      <c r="BO158" s="505"/>
      <c r="BP158" s="505"/>
      <c r="BQ158" s="505"/>
      <c r="BR158" s="505"/>
      <c r="BS158" s="505"/>
      <c r="BT158" s="505"/>
      <c r="BU158" s="505"/>
      <c r="BV158" s="505"/>
      <c r="BW158" s="505"/>
      <c r="BX158" s="505"/>
      <c r="BY158" s="505"/>
      <c r="BZ158" s="505"/>
      <c r="CA158" s="505"/>
      <c r="CB158" s="505"/>
      <c r="CC158" s="505"/>
      <c r="CD158" s="505"/>
      <c r="CE158" s="505"/>
      <c r="CF158" s="505"/>
      <c r="CG158" s="505"/>
      <c r="CH158" s="505"/>
      <c r="CI158" s="505"/>
      <c r="CJ158" s="505"/>
      <c r="CK158" s="505"/>
      <c r="CL158" s="505"/>
      <c r="CM158" s="505"/>
      <c r="CN158" s="505"/>
      <c r="CO158" s="505"/>
      <c r="CP158" s="505"/>
      <c r="CQ158" s="505"/>
      <c r="CR158" s="505"/>
      <c r="CS158" s="505"/>
      <c r="CT158" s="505"/>
      <c r="CU158" s="505"/>
      <c r="CV158" s="505"/>
      <c r="CW158" s="505"/>
      <c r="CX158" s="505"/>
      <c r="CY158" s="505"/>
      <c r="CZ158" s="505"/>
      <c r="DA158" s="505"/>
      <c r="DB158" s="505"/>
      <c r="DC158" s="505"/>
      <c r="DD158" s="505"/>
      <c r="DE158" s="505"/>
      <c r="DF158" s="505"/>
      <c r="DG158" s="505"/>
      <c r="DH158" s="505"/>
      <c r="DI158" s="505"/>
      <c r="DJ158" s="505"/>
      <c r="DK158" s="505"/>
      <c r="DL158" s="505"/>
      <c r="DM158" s="505"/>
      <c r="DN158" s="505"/>
      <c r="DO158" s="505"/>
      <c r="DP158" s="505"/>
      <c r="DQ158" s="505"/>
      <c r="DR158" s="505"/>
      <c r="DS158" s="505"/>
      <c r="DT158" s="505"/>
      <c r="DU158" s="505"/>
      <c r="DV158" s="505"/>
      <c r="DW158" s="505"/>
    </row>
    <row r="159" spans="1:129" s="571" customFormat="1">
      <c r="A159" s="343" t="s">
        <v>1176</v>
      </c>
      <c r="D159" s="560">
        <f ca="1">MIN(G159:BO159)</f>
        <v>1.1499999999999999</v>
      </c>
      <c r="E159" s="396">
        <f ca="1">IF(Inputs!$D$52=Inputs!$A$67,IF(MIN(G159:DW159)&gt;=Inputs!$D$221,0,1),0)</f>
        <v>0</v>
      </c>
      <c r="F159" s="568"/>
      <c r="G159" s="992" t="str">
        <f t="shared" ref="G159:AL159" si="124">IF(G$11,G138,"")</f>
        <v/>
      </c>
      <c r="H159" s="992">
        <f t="shared" ca="1" si="124"/>
        <v>1.1499999999999999</v>
      </c>
      <c r="I159" s="992">
        <f t="shared" ca="1" si="124"/>
        <v>1.1499999999999999</v>
      </c>
      <c r="J159" s="992">
        <f t="shared" ca="1" si="124"/>
        <v>1.1499999999999999</v>
      </c>
      <c r="K159" s="992">
        <f t="shared" ca="1" si="124"/>
        <v>1.1499999999999999</v>
      </c>
      <c r="L159" s="992">
        <f t="shared" ca="1" si="124"/>
        <v>1.1499999999999999</v>
      </c>
      <c r="M159" s="992">
        <f t="shared" ca="1" si="124"/>
        <v>1.1499999999999999</v>
      </c>
      <c r="N159" s="992">
        <f t="shared" ca="1" si="124"/>
        <v>1.1499999999999999</v>
      </c>
      <c r="O159" s="992">
        <f t="shared" ca="1" si="124"/>
        <v>1.1499999999999999</v>
      </c>
      <c r="P159" s="992">
        <f t="shared" ca="1" si="124"/>
        <v>1.1499999999999999</v>
      </c>
      <c r="Q159" s="992">
        <f t="shared" ca="1" si="124"/>
        <v>1.1499999999999999</v>
      </c>
      <c r="R159" s="992">
        <f t="shared" ca="1" si="124"/>
        <v>1.1499999999999999</v>
      </c>
      <c r="S159" s="992">
        <f t="shared" ca="1" si="124"/>
        <v>1.1499999999999999</v>
      </c>
      <c r="T159" s="992">
        <f t="shared" ca="1" si="124"/>
        <v>1.1499999999999999</v>
      </c>
      <c r="U159" s="992">
        <f t="shared" ca="1" si="124"/>
        <v>1.1499999999999999</v>
      </c>
      <c r="V159" s="992">
        <f t="shared" ca="1" si="124"/>
        <v>1.1499999999999999</v>
      </c>
      <c r="W159" s="992">
        <f t="shared" ca="1" si="124"/>
        <v>1.1499999999999999</v>
      </c>
      <c r="X159" s="992">
        <f t="shared" ca="1" si="124"/>
        <v>1.1499999999999999</v>
      </c>
      <c r="Y159" s="992">
        <f t="shared" ca="1" si="124"/>
        <v>1.1499999999999999</v>
      </c>
      <c r="Z159" s="992">
        <f t="shared" ca="1" si="124"/>
        <v>1.1499999999999999</v>
      </c>
      <c r="AA159" s="992">
        <f t="shared" ca="1" si="124"/>
        <v>1.1499999999999999</v>
      </c>
      <c r="AB159" s="992">
        <f t="shared" ca="1" si="124"/>
        <v>1.1499999999999999</v>
      </c>
      <c r="AC159" s="992">
        <f t="shared" ca="1" si="124"/>
        <v>1.1499999999999999</v>
      </c>
      <c r="AD159" s="992">
        <f t="shared" ca="1" si="124"/>
        <v>1.1499999999999999</v>
      </c>
      <c r="AE159" s="992">
        <f t="shared" ca="1" si="124"/>
        <v>1.1499999999999999</v>
      </c>
      <c r="AF159" s="992">
        <f t="shared" ca="1" si="124"/>
        <v>1.772</v>
      </c>
      <c r="AG159" s="992">
        <f t="shared" ca="1" si="124"/>
        <v>1.7290000000000001</v>
      </c>
      <c r="AH159" s="992">
        <f t="shared" ca="1" si="124"/>
        <v>1.796</v>
      </c>
      <c r="AI159" s="992">
        <f t="shared" ca="1" si="124"/>
        <v>1.75</v>
      </c>
      <c r="AJ159" s="992" t="str">
        <f t="shared" ca="1" si="124"/>
        <v/>
      </c>
      <c r="AK159" s="992" t="str">
        <f t="shared" ca="1" si="124"/>
        <v/>
      </c>
      <c r="AL159" s="992" t="str">
        <f t="shared" ca="1" si="124"/>
        <v/>
      </c>
      <c r="AM159" s="992" t="str">
        <f t="shared" ref="AM159:BO159" ca="1" si="125">IF(AM$11,AM138,"")</f>
        <v/>
      </c>
      <c r="AN159" s="992" t="str">
        <f t="shared" ca="1" si="125"/>
        <v/>
      </c>
      <c r="AO159" s="992" t="str">
        <f t="shared" ca="1" si="125"/>
        <v/>
      </c>
      <c r="AP159" s="992" t="str">
        <f t="shared" ca="1" si="125"/>
        <v/>
      </c>
      <c r="AQ159" s="992" t="str">
        <f t="shared" ca="1" si="125"/>
        <v/>
      </c>
      <c r="AR159" s="992" t="str">
        <f t="shared" ca="1" si="125"/>
        <v/>
      </c>
      <c r="AS159" s="992" t="str">
        <f t="shared" ca="1" si="125"/>
        <v/>
      </c>
      <c r="AT159" s="992" t="str">
        <f t="shared" ca="1" si="125"/>
        <v/>
      </c>
      <c r="AU159" s="992" t="str">
        <f t="shared" ca="1" si="125"/>
        <v/>
      </c>
      <c r="AV159" s="992" t="str">
        <f t="shared" ca="1" si="125"/>
        <v/>
      </c>
      <c r="AW159" s="992" t="str">
        <f t="shared" ca="1" si="125"/>
        <v/>
      </c>
      <c r="AX159" s="992" t="str">
        <f t="shared" ca="1" si="125"/>
        <v/>
      </c>
      <c r="AY159" s="992" t="str">
        <f t="shared" ca="1" si="125"/>
        <v/>
      </c>
      <c r="AZ159" s="992" t="str">
        <f t="shared" ca="1" si="125"/>
        <v/>
      </c>
      <c r="BA159" s="992" t="str">
        <f t="shared" ca="1" si="125"/>
        <v/>
      </c>
      <c r="BB159" s="992" t="str">
        <f t="shared" ca="1" si="125"/>
        <v/>
      </c>
      <c r="BC159" s="992" t="str">
        <f t="shared" ca="1" si="125"/>
        <v/>
      </c>
      <c r="BD159" s="992" t="str">
        <f t="shared" ca="1" si="125"/>
        <v/>
      </c>
      <c r="BE159" s="992" t="str">
        <f t="shared" ca="1" si="125"/>
        <v/>
      </c>
      <c r="BF159" s="992" t="str">
        <f t="shared" ca="1" si="125"/>
        <v/>
      </c>
      <c r="BG159" s="992" t="str">
        <f t="shared" ca="1" si="125"/>
        <v/>
      </c>
      <c r="BH159" s="992" t="str">
        <f t="shared" ca="1" si="125"/>
        <v/>
      </c>
      <c r="BI159" s="992" t="str">
        <f t="shared" ca="1" si="125"/>
        <v/>
      </c>
      <c r="BJ159" s="992" t="str">
        <f t="shared" ca="1" si="125"/>
        <v/>
      </c>
      <c r="BK159" s="992" t="str">
        <f t="shared" ca="1" si="125"/>
        <v/>
      </c>
      <c r="BL159" s="992" t="str">
        <f t="shared" ca="1" si="125"/>
        <v/>
      </c>
      <c r="BM159" s="992" t="str">
        <f t="shared" ca="1" si="125"/>
        <v/>
      </c>
      <c r="BN159" s="992" t="str">
        <f t="shared" ca="1" si="125"/>
        <v/>
      </c>
      <c r="BO159" s="992" t="str">
        <f t="shared" ca="1" si="125"/>
        <v/>
      </c>
      <c r="BP159" s="992"/>
      <c r="BQ159" s="992"/>
      <c r="BR159" s="992"/>
      <c r="BS159" s="992"/>
      <c r="BT159" s="992"/>
      <c r="BU159" s="992"/>
      <c r="BV159" s="992"/>
      <c r="BW159" s="992"/>
      <c r="BX159" s="992"/>
      <c r="BY159" s="992"/>
      <c r="BZ159" s="992"/>
      <c r="CA159" s="992"/>
      <c r="CB159" s="992"/>
      <c r="CC159" s="992"/>
      <c r="CD159" s="992"/>
      <c r="CE159" s="992"/>
      <c r="CF159" s="992"/>
      <c r="CG159" s="992"/>
      <c r="CH159" s="992"/>
      <c r="CI159" s="992"/>
      <c r="CJ159" s="992"/>
      <c r="CK159" s="992"/>
      <c r="CL159" s="992"/>
      <c r="CM159" s="992"/>
      <c r="CN159" s="992"/>
      <c r="CO159" s="992"/>
      <c r="CP159" s="992"/>
      <c r="CQ159" s="992"/>
      <c r="CR159" s="992"/>
      <c r="CS159" s="992"/>
      <c r="CT159" s="992"/>
      <c r="CU159" s="992"/>
      <c r="CV159" s="992"/>
      <c r="CW159" s="992"/>
      <c r="CX159" s="992"/>
      <c r="CY159" s="992"/>
      <c r="CZ159" s="992"/>
      <c r="DA159" s="992"/>
      <c r="DB159" s="992"/>
      <c r="DC159" s="992"/>
      <c r="DD159" s="992"/>
      <c r="DE159" s="992"/>
      <c r="DF159" s="992"/>
      <c r="DG159" s="992"/>
      <c r="DH159" s="992"/>
      <c r="DI159" s="992"/>
      <c r="DJ159" s="992"/>
      <c r="DK159" s="992"/>
      <c r="DL159" s="992"/>
      <c r="DM159" s="992"/>
      <c r="DN159" s="992"/>
      <c r="DO159" s="992"/>
      <c r="DP159" s="992"/>
      <c r="DQ159" s="992"/>
      <c r="DR159" s="992"/>
      <c r="DS159" s="992"/>
      <c r="DT159" s="992"/>
      <c r="DU159" s="992"/>
      <c r="DV159" s="992"/>
      <c r="DW159" s="992"/>
    </row>
    <row r="160" spans="1:129">
      <c r="A160" s="343" t="s">
        <v>1177</v>
      </c>
      <c r="D160" s="560">
        <f ca="1">_xlfn.MINIFS(G160:AK160,G160:AK160,"&gt;0.01")</f>
        <v>0</v>
      </c>
      <c r="E160" s="396">
        <f ca="1">IF(Inputs!$D$52=Inputs!$A$67,IF(MIN(G160:DW160)&gt;=Inputs!$D$262,0,1),0)*Inputs!C255</f>
        <v>0</v>
      </c>
      <c r="G160" s="992" t="str">
        <f t="shared" ref="G160:AL160" si="126">IF(AND(G14,G4&lt;=$B$14),G139,"")</f>
        <v/>
      </c>
      <c r="H160" s="992">
        <f t="shared" ca="1" si="126"/>
        <v>0.01</v>
      </c>
      <c r="I160" s="992">
        <f t="shared" ca="1" si="126"/>
        <v>0.01</v>
      </c>
      <c r="J160" s="992">
        <f t="shared" ca="1" si="126"/>
        <v>0.01</v>
      </c>
      <c r="K160" s="992">
        <f t="shared" ca="1" si="126"/>
        <v>0.01</v>
      </c>
      <c r="L160" s="992">
        <f t="shared" ca="1" si="126"/>
        <v>0.01</v>
      </c>
      <c r="M160" s="992">
        <f t="shared" ca="1" si="126"/>
        <v>0.01</v>
      </c>
      <c r="N160" s="992">
        <f t="shared" ca="1" si="126"/>
        <v>0.01</v>
      </c>
      <c r="O160" s="992">
        <f t="shared" ca="1" si="126"/>
        <v>0.01</v>
      </c>
      <c r="P160" s="992">
        <f t="shared" ca="1" si="126"/>
        <v>0.01</v>
      </c>
      <c r="Q160" s="992">
        <f t="shared" ca="1" si="126"/>
        <v>0.01</v>
      </c>
      <c r="R160" s="992">
        <f t="shared" ca="1" si="126"/>
        <v>0.01</v>
      </c>
      <c r="S160" s="992">
        <f t="shared" ca="1" si="126"/>
        <v>0.01</v>
      </c>
      <c r="T160" s="992">
        <f t="shared" ca="1" si="126"/>
        <v>0.01</v>
      </c>
      <c r="U160" s="992">
        <f t="shared" ca="1" si="126"/>
        <v>0.01</v>
      </c>
      <c r="V160" s="992" t="str">
        <f t="shared" ca="1" si="126"/>
        <v/>
      </c>
      <c r="W160" s="992" t="str">
        <f t="shared" ca="1" si="126"/>
        <v/>
      </c>
      <c r="X160" s="992" t="str">
        <f t="shared" ca="1" si="126"/>
        <v/>
      </c>
      <c r="Y160" s="992" t="str">
        <f t="shared" ca="1" si="126"/>
        <v/>
      </c>
      <c r="Z160" s="992" t="str">
        <f t="shared" ca="1" si="126"/>
        <v/>
      </c>
      <c r="AA160" s="992" t="str">
        <f t="shared" ca="1" si="126"/>
        <v/>
      </c>
      <c r="AB160" s="992" t="str">
        <f t="shared" ca="1" si="126"/>
        <v/>
      </c>
      <c r="AC160" s="992" t="str">
        <f t="shared" ca="1" si="126"/>
        <v/>
      </c>
      <c r="AD160" s="992" t="str">
        <f t="shared" ca="1" si="126"/>
        <v/>
      </c>
      <c r="AE160" s="992" t="str">
        <f t="shared" ca="1" si="126"/>
        <v/>
      </c>
      <c r="AF160" s="992" t="str">
        <f t="shared" ca="1" si="126"/>
        <v/>
      </c>
      <c r="AG160" s="992" t="str">
        <f t="shared" ca="1" si="126"/>
        <v/>
      </c>
      <c r="AH160" s="992" t="str">
        <f t="shared" ca="1" si="126"/>
        <v/>
      </c>
      <c r="AI160" s="992" t="str">
        <f t="shared" ca="1" si="126"/>
        <v/>
      </c>
      <c r="AJ160" s="992" t="str">
        <f t="shared" ca="1" si="126"/>
        <v/>
      </c>
      <c r="AK160" s="992" t="str">
        <f t="shared" ca="1" si="126"/>
        <v/>
      </c>
      <c r="AL160" s="992" t="str">
        <f t="shared" ca="1" si="126"/>
        <v/>
      </c>
      <c r="AM160" s="992" t="str">
        <f t="shared" ref="AM160:BO160" ca="1" si="127">IF(AND(AM14,AM4&lt;=$B$14),AM139,"")</f>
        <v/>
      </c>
      <c r="AN160" s="992" t="str">
        <f t="shared" ca="1" si="127"/>
        <v/>
      </c>
      <c r="AO160" s="992" t="str">
        <f t="shared" ca="1" si="127"/>
        <v/>
      </c>
      <c r="AP160" s="992" t="str">
        <f t="shared" ca="1" si="127"/>
        <v/>
      </c>
      <c r="AQ160" s="992" t="str">
        <f t="shared" ca="1" si="127"/>
        <v/>
      </c>
      <c r="AR160" s="992" t="str">
        <f t="shared" ca="1" si="127"/>
        <v/>
      </c>
      <c r="AS160" s="992" t="str">
        <f t="shared" ca="1" si="127"/>
        <v/>
      </c>
      <c r="AT160" s="992" t="str">
        <f t="shared" ca="1" si="127"/>
        <v/>
      </c>
      <c r="AU160" s="992" t="str">
        <f t="shared" ca="1" si="127"/>
        <v/>
      </c>
      <c r="AV160" s="992" t="str">
        <f t="shared" ca="1" si="127"/>
        <v/>
      </c>
      <c r="AW160" s="992" t="str">
        <f t="shared" ca="1" si="127"/>
        <v/>
      </c>
      <c r="AX160" s="992" t="str">
        <f t="shared" ca="1" si="127"/>
        <v/>
      </c>
      <c r="AY160" s="992" t="str">
        <f t="shared" ca="1" si="127"/>
        <v/>
      </c>
      <c r="AZ160" s="992" t="str">
        <f t="shared" ca="1" si="127"/>
        <v/>
      </c>
      <c r="BA160" s="992" t="str">
        <f t="shared" ca="1" si="127"/>
        <v/>
      </c>
      <c r="BB160" s="992" t="str">
        <f t="shared" ca="1" si="127"/>
        <v/>
      </c>
      <c r="BC160" s="992" t="str">
        <f t="shared" ca="1" si="127"/>
        <v/>
      </c>
      <c r="BD160" s="992" t="str">
        <f t="shared" ca="1" si="127"/>
        <v/>
      </c>
      <c r="BE160" s="992" t="str">
        <f t="shared" ca="1" si="127"/>
        <v/>
      </c>
      <c r="BF160" s="992" t="str">
        <f t="shared" ca="1" si="127"/>
        <v/>
      </c>
      <c r="BG160" s="992" t="str">
        <f t="shared" ca="1" si="127"/>
        <v/>
      </c>
      <c r="BH160" s="992" t="str">
        <f t="shared" ca="1" si="127"/>
        <v/>
      </c>
      <c r="BI160" s="992" t="str">
        <f t="shared" ca="1" si="127"/>
        <v/>
      </c>
      <c r="BJ160" s="992" t="str">
        <f t="shared" ca="1" si="127"/>
        <v/>
      </c>
      <c r="BK160" s="992" t="str">
        <f t="shared" ca="1" si="127"/>
        <v/>
      </c>
      <c r="BL160" s="992" t="str">
        <f t="shared" ca="1" si="127"/>
        <v/>
      </c>
      <c r="BM160" s="992" t="str">
        <f t="shared" ca="1" si="127"/>
        <v/>
      </c>
      <c r="BN160" s="992" t="str">
        <f t="shared" ca="1" si="127"/>
        <v/>
      </c>
      <c r="BO160" s="992" t="str">
        <f t="shared" ca="1" si="127"/>
        <v/>
      </c>
      <c r="BP160" s="992"/>
      <c r="BQ160" s="992"/>
      <c r="BR160" s="992"/>
      <c r="BS160" s="992"/>
      <c r="BT160" s="992"/>
      <c r="BU160" s="992"/>
      <c r="BV160" s="992"/>
      <c r="BW160" s="992"/>
      <c r="BX160" s="992"/>
      <c r="BY160" s="992"/>
      <c r="BZ160" s="992"/>
      <c r="CA160" s="992"/>
      <c r="CB160" s="992"/>
      <c r="CC160" s="992"/>
      <c r="CD160" s="992"/>
      <c r="CE160" s="992"/>
      <c r="CF160" s="992"/>
      <c r="CG160" s="992"/>
      <c r="CH160" s="992"/>
      <c r="CI160" s="992"/>
      <c r="CJ160" s="992"/>
      <c r="CK160" s="992"/>
      <c r="CL160" s="992"/>
      <c r="CM160" s="992"/>
      <c r="CN160" s="992"/>
      <c r="CO160" s="992"/>
      <c r="CP160" s="992"/>
      <c r="CQ160" s="992"/>
      <c r="CR160" s="992"/>
      <c r="CS160" s="992"/>
      <c r="CT160" s="992"/>
      <c r="CU160" s="992"/>
      <c r="CV160" s="992"/>
      <c r="CW160" s="992"/>
      <c r="CX160" s="992"/>
      <c r="CY160" s="992"/>
      <c r="CZ160" s="992"/>
      <c r="DA160" s="992"/>
      <c r="DB160" s="992"/>
      <c r="DC160" s="992"/>
      <c r="DD160" s="992"/>
      <c r="DE160" s="992"/>
      <c r="DF160" s="992"/>
      <c r="DG160" s="992"/>
      <c r="DH160" s="992"/>
      <c r="DI160" s="992"/>
      <c r="DJ160" s="992"/>
      <c r="DK160" s="992"/>
      <c r="DL160" s="992"/>
      <c r="DM160" s="992"/>
      <c r="DN160" s="992"/>
      <c r="DO160" s="992"/>
      <c r="DP160" s="992"/>
      <c r="DQ160" s="992"/>
      <c r="DR160" s="992"/>
      <c r="DS160" s="992"/>
      <c r="DT160" s="992"/>
      <c r="DU160" s="992"/>
      <c r="DV160" s="992"/>
      <c r="DW160" s="992"/>
    </row>
    <row r="161" spans="1:129">
      <c r="A161" s="494"/>
      <c r="B161" s="305"/>
      <c r="C161" s="305"/>
      <c r="D161" s="305"/>
      <c r="E161" s="305"/>
      <c r="F161" s="373"/>
      <c r="G161" s="494"/>
      <c r="H161" s="494"/>
      <c r="I161" s="494"/>
      <c r="J161" s="494"/>
      <c r="K161" s="494"/>
      <c r="L161" s="494"/>
      <c r="M161" s="494"/>
      <c r="N161" s="494"/>
      <c r="O161" s="494"/>
      <c r="P161" s="494"/>
      <c r="Q161" s="494"/>
      <c r="R161" s="494"/>
      <c r="S161" s="494"/>
      <c r="T161" s="494"/>
      <c r="U161" s="494"/>
      <c r="V161" s="494"/>
      <c r="W161" s="494"/>
      <c r="X161" s="494"/>
      <c r="Y161" s="494"/>
      <c r="Z161" s="494"/>
      <c r="AA161" s="304"/>
      <c r="AB161" s="304"/>
      <c r="AC161" s="304"/>
      <c r="AD161" s="304"/>
      <c r="AE161" s="304"/>
      <c r="AF161" s="304"/>
      <c r="AG161" s="304"/>
      <c r="AH161" s="304"/>
      <c r="AI161" s="304"/>
      <c r="AJ161" s="304"/>
      <c r="AK161" s="304"/>
      <c r="AL161" s="304"/>
      <c r="AM161" s="304"/>
      <c r="AN161" s="304"/>
      <c r="AO161" s="304"/>
      <c r="AP161" s="304"/>
      <c r="AQ161" s="304"/>
      <c r="AR161" s="304"/>
      <c r="AS161" s="304"/>
      <c r="AT161" s="304"/>
      <c r="AU161" s="304"/>
      <c r="AV161" s="304"/>
      <c r="AW161" s="304"/>
      <c r="AX161" s="304"/>
      <c r="AY161" s="304"/>
      <c r="AZ161" s="304"/>
      <c r="BA161" s="304"/>
      <c r="BB161" s="304"/>
      <c r="BC161" s="304"/>
      <c r="BD161" s="304"/>
      <c r="BE161" s="304"/>
      <c r="BF161" s="304"/>
      <c r="BG161" s="304"/>
      <c r="BH161" s="304"/>
      <c r="BI161" s="304"/>
      <c r="BJ161" s="304"/>
      <c r="BK161" s="304"/>
      <c r="BL161" s="304"/>
      <c r="BM161" s="304"/>
      <c r="BN161" s="304"/>
      <c r="BO161" s="304"/>
      <c r="BP161" s="304"/>
      <c r="BQ161" s="304"/>
      <c r="BR161" s="304"/>
      <c r="BS161" s="304"/>
      <c r="BT161" s="304"/>
      <c r="BU161" s="304"/>
      <c r="BV161" s="304"/>
      <c r="BW161" s="304"/>
      <c r="BX161" s="304"/>
      <c r="BY161" s="304"/>
      <c r="BZ161" s="304"/>
      <c r="CA161" s="304"/>
      <c r="CB161" s="304"/>
      <c r="CC161" s="304"/>
      <c r="CD161" s="304"/>
      <c r="CE161" s="304"/>
      <c r="CF161" s="304"/>
      <c r="CG161" s="304"/>
      <c r="CH161" s="304"/>
      <c r="CI161" s="304"/>
      <c r="CJ161" s="304"/>
      <c r="CK161" s="304"/>
      <c r="CL161" s="304"/>
      <c r="CM161" s="304"/>
      <c r="CN161" s="304"/>
      <c r="CO161" s="304"/>
      <c r="CP161" s="304"/>
      <c r="CQ161" s="304"/>
      <c r="CR161" s="304"/>
      <c r="CS161" s="304"/>
      <c r="CT161" s="304"/>
      <c r="CU161" s="304"/>
      <c r="CV161" s="304"/>
      <c r="CW161" s="304"/>
      <c r="CX161" s="304"/>
      <c r="CY161" s="304"/>
      <c r="CZ161" s="304"/>
      <c r="DA161" s="304"/>
      <c r="DB161" s="304"/>
      <c r="DC161" s="304"/>
      <c r="DD161" s="304"/>
      <c r="DE161" s="304"/>
      <c r="DF161" s="304"/>
      <c r="DG161" s="304"/>
      <c r="DH161" s="304"/>
      <c r="DI161" s="304"/>
      <c r="DJ161" s="304"/>
      <c r="DK161" s="304"/>
      <c r="DL161" s="304"/>
      <c r="DM161" s="304"/>
      <c r="DN161" s="304"/>
      <c r="DO161" s="304"/>
      <c r="DP161" s="304"/>
      <c r="DQ161" s="304"/>
      <c r="DR161" s="304"/>
      <c r="DS161" s="304"/>
      <c r="DT161" s="304"/>
      <c r="DU161" s="304"/>
      <c r="DV161" s="304"/>
      <c r="DW161" s="304"/>
      <c r="DX161" s="304"/>
      <c r="DY161" s="304"/>
    </row>
    <row r="162" spans="1:129" s="494" customFormat="1"/>
    <row r="163" spans="1:129" s="494" customFormat="1"/>
    <row r="164" spans="1:129" s="494" customFormat="1"/>
    <row r="165" spans="1:129" s="1940" customFormat="1">
      <c r="G165" s="1940">
        <f>1/(1+Inputs!$D$462)^(G5/2)</f>
        <v>1</v>
      </c>
      <c r="H165" s="1940">
        <f>1/(1+Inputs!$D$462)^(H5/2)</f>
        <v>0.96941090215855641</v>
      </c>
      <c r="I165" s="1940">
        <f>1/(1+Inputs!$D$462)^(I5/2)</f>
        <v>0.93975749722386637</v>
      </c>
      <c r="J165" s="1940">
        <f>1/(1+Inputs!$D$462)^(J5/2)</f>
        <v>0.91101116319405528</v>
      </c>
      <c r="K165" s="1940">
        <f>1/(1+Inputs!$D$462)^(K5/2)</f>
        <v>0.88314415358846521</v>
      </c>
      <c r="L165" s="1940">
        <f>1/(1+Inputs!$D$462)^(L5/2)</f>
        <v>0.85612957066624873</v>
      </c>
      <c r="M165" s="1940">
        <f>1/(1+Inputs!$D$462)^(M5/2)</f>
        <v>0.82994133946418591</v>
      </c>
      <c r="N165" s="1940">
        <f>1/(1+Inputs!$D$462)^(N5/2)</f>
        <v>0.80455418262865708</v>
      </c>
      <c r="O165" s="1940">
        <f>1/(1+Inputs!$D$462)^(O5/2)</f>
        <v>0.77994359601748664</v>
      </c>
      <c r="P165" s="1940">
        <f>1/(1+Inputs!$D$462)^(P5/2)</f>
        <v>0.75608582504810029</v>
      </c>
      <c r="Q165" s="1940">
        <f>1/(1+Inputs!$D$462)^(Q5/2)</f>
        <v>0.73295784176917556</v>
      </c>
      <c r="R165" s="1940">
        <f>1/(1+Inputs!$D$462)^(R5/2)</f>
        <v>0.71053732263364477</v>
      </c>
      <c r="S165" s="1940">
        <f>1/(1+Inputs!$D$462)^(S5/2)</f>
        <v>0.6888026269516071</v>
      </c>
      <c r="T165" s="1940">
        <f>1/(1+Inputs!$D$462)^(T5/2)</f>
        <v>0.66773277600234093</v>
      </c>
      <c r="U165" s="1940">
        <f>1/(1+Inputs!$D$462)^(U5/2)</f>
        <v>0.6473074327852667</v>
      </c>
      <c r="V165" s="1940">
        <f>1/(1+Inputs!$D$462)^(V5/2)</f>
        <v>0.62750688239030439</v>
      </c>
      <c r="W165" s="1940">
        <f>1/(1+Inputs!$D$462)^(W5/2)</f>
        <v>0.60831201296868842</v>
      </c>
      <c r="X165" s="1940">
        <f>1/(1+Inputs!$D$462)^(X5/2)</f>
        <v>0.58970429728586349</v>
      </c>
      <c r="Y165" s="1940">
        <f>1/(1+Inputs!$D$462)^(Y5/2)</f>
        <v>0.57166577483866676</v>
      </c>
      <c r="Z165" s="1940">
        <f>1/(1+Inputs!$D$462)^(Z5/2)</f>
        <v>0.55417903451952188</v>
      </c>
      <c r="AA165" s="1940">
        <f>1/(1+Inputs!$D$462)^(AA5/2)</f>
        <v>0.53722719781092776</v>
      </c>
      <c r="AB165" s="1940">
        <f>1/(1+Inputs!$D$462)^(AB5/2)</f>
        <v>0.52079390249400459</v>
      </c>
      <c r="AC165" s="1940">
        <f>1/(1+Inputs!$D$462)^(AC5/2)</f>
        <v>0.5048632868553885</v>
      </c>
      <c r="AD165" s="1940">
        <f>1/(1+Inputs!$D$462)^(AD5/2)</f>
        <v>0.48941997437721602</v>
      </c>
      <c r="AE165" s="1940">
        <f>1/(1+Inputs!$D$462)^(AE5/2)</f>
        <v>0.47444905889543482</v>
      </c>
      <c r="AF165" s="1940">
        <f>1/(1+Inputs!$D$462)^(AF5/2)</f>
        <v>0.45993609021210125</v>
      </c>
      <c r="AG165" s="1940">
        <f>1/(1+Inputs!$D$462)^(AG5/2)</f>
        <v>0.44586706014779259</v>
      </c>
      <c r="AH165" s="1940">
        <f>1/(1+Inputs!$D$462)^(AH5/2)</f>
        <v>0.43222838902065475</v>
      </c>
      <c r="AI165" s="1940">
        <f>1/(1+Inputs!$D$462)^(AI5/2)</f>
        <v>0.41900691253905264</v>
      </c>
      <c r="AJ165" s="1940">
        <f>1/(1+Inputs!$D$462)^(AJ5/2)</f>
        <v>0.40618986909515414</v>
      </c>
      <c r="AK165" s="1940">
        <f>1/(1+Inputs!$D$462)^(AK5/2)</f>
        <v>0.39376488744719956</v>
      </c>
      <c r="AL165" s="1940">
        <f>1/(1+Inputs!$D$462)^(AL5/2)</f>
        <v>0.38171997477855196</v>
      </c>
      <c r="AM165" s="1940">
        <f>1/(1+Inputs!$D$462)^(AM5/2)</f>
        <v>0.37004350512201778</v>
      </c>
      <c r="AN165" s="1940">
        <f>1/(1+Inputs!$D$462)^(AN5/2)</f>
        <v>0.35872420813824935</v>
      </c>
      <c r="AO165" s="1940">
        <f>1/(1+Inputs!$D$462)^(AO5/2)</f>
        <v>0.34775115823741437</v>
      </c>
      <c r="AP165" s="1940">
        <f>1/(1+Inputs!$D$462)^(AP5/2)</f>
        <v>0.33711376403361443</v>
      </c>
      <c r="AQ165" s="1940">
        <f>1/(1+Inputs!$D$462)^(AQ5/2)</f>
        <v>0.32680175812189327</v>
      </c>
      <c r="AR165" s="1940">
        <f>1/(1+Inputs!$D$462)^(AR5/2)</f>
        <v>0.31680518716794664</v>
      </c>
      <c r="AS165" s="1940">
        <f>1/(1+Inputs!$D$462)^(AS5/2)</f>
        <v>0.30711440230098974</v>
      </c>
      <c r="AT165" s="1940">
        <f>1/(1+Inputs!$D$462)^(AT5/2)</f>
        <v>0.29772004980048805</v>
      </c>
      <c r="AU165" s="1940">
        <f>1/(1+Inputs!$D$462)^(AU5/2)</f>
        <v>0.28861306206778176</v>
      </c>
      <c r="AV165" s="1940">
        <f>1/(1+Inputs!$D$462)^(AV5/2)</f>
        <v>0.2797846488738715</v>
      </c>
      <c r="AW165" s="1940">
        <f>1/(1+Inputs!$D$462)^(AW5/2)</f>
        <v>0.271226288874935</v>
      </c>
      <c r="AX165" s="1940">
        <f>1/(1+Inputs!$D$462)^(AX5/2)</f>
        <v>0.2629297213873677</v>
      </c>
      <c r="AY165" s="1940">
        <f>1/(1+Inputs!$D$462)^(AY5/2)</f>
        <v>0.25488693841442628</v>
      </c>
      <c r="AZ165" s="1940">
        <f>1/(1+Inputs!$D$462)^(AZ5/2)</f>
        <v>0.24709017691676111</v>
      </c>
      <c r="BA165" s="1940">
        <f>1/(1+Inputs!$D$462)^(BA5/2)</f>
        <v>0.23953191131939497</v>
      </c>
      <c r="BB165" s="1940">
        <f>1/(1+Inputs!$D$462)^(BB5/2)</f>
        <v>0.23220484624789783</v>
      </c>
      <c r="BC165" s="1940">
        <f>1/(1+Inputs!$D$462)^(BC5/2)</f>
        <v>0.22510190948676378</v>
      </c>
      <c r="BD165" s="1940">
        <f>1/(1+Inputs!$D$462)^(BD5/2)</f>
        <v>0.21821624515317711</v>
      </c>
      <c r="BE165" s="1940">
        <f>1/(1+Inputs!$D$462)^(BE5/2)</f>
        <v>0.21154120707959445</v>
      </c>
      <c r="BF165" s="1940">
        <f>1/(1+Inputs!$D$462)^(BF5/2)</f>
        <v>0.20507035239873936</v>
      </c>
      <c r="BG165" s="1940">
        <f>1/(1+Inputs!$D$462)^(BG5/2)</f>
        <v>0.19879743532483529</v>
      </c>
      <c r="BH165" s="1940">
        <f>1/(1+Inputs!$D$462)^(BH5/2)</f>
        <v>0.19271640112505561</v>
      </c>
      <c r="BI165" s="1940">
        <f>1/(1+Inputs!$D$462)^(BI5/2)</f>
        <v>0.18682138027539066</v>
      </c>
      <c r="BJ165" s="1940">
        <f>1/(1+Inputs!$D$462)^(BJ5/2)</f>
        <v>0.18110668279527298</v>
      </c>
      <c r="BK165" s="1940">
        <f>1/(1+Inputs!$D$462)^(BK5/2)</f>
        <v>0.17556679275550932</v>
      </c>
      <c r="BL165" s="1940">
        <f>1/(1+Inputs!$D$462)^(BL5/2)</f>
        <v>0.17019636295420237</v>
      </c>
      <c r="BM165" s="1940">
        <f>1/(1+Inputs!$D$462)^(BM5/2)</f>
        <v>0.16499020975553869</v>
      </c>
      <c r="BN165" s="1940">
        <f>1/(1+Inputs!$D$462)^(BN5/2)</f>
        <v>0.15994330808644597</v>
      </c>
      <c r="BO165" s="1940">
        <f>1/(1+Inputs!$D$462)^(BO5/2)</f>
        <v>0.15505078658630578</v>
      </c>
    </row>
    <row r="166" spans="1:129" s="494" customFormat="1"/>
    <row r="167" spans="1:129" s="1939" customFormat="1">
      <c r="G167" s="1939">
        <f ca="1">+G165*G136</f>
        <v>-55644.085499999994</v>
      </c>
      <c r="H167" s="1939">
        <f t="shared" ref="H167:BO167" ca="1" si="128">+H165*H136</f>
        <v>2383.4435320595885</v>
      </c>
      <c r="I167" s="1939">
        <f t="shared" ca="1" si="128"/>
        <v>2272.8643596906145</v>
      </c>
      <c r="J167" s="1939">
        <f t="shared" ca="1" si="128"/>
        <v>2240.8197360364497</v>
      </c>
      <c r="K167" s="1939">
        <f t="shared" ca="1" si="128"/>
        <v>2198.1188055364396</v>
      </c>
      <c r="L167" s="1939">
        <f t="shared" ca="1" si="128"/>
        <v>2153.2718762315844</v>
      </c>
      <c r="M167" s="1939">
        <f t="shared" ca="1" si="128"/>
        <v>2100.4566618354338</v>
      </c>
      <c r="N167" s="1939">
        <f t="shared" ca="1" si="128"/>
        <v>2052.2998655575843</v>
      </c>
      <c r="O167" s="1939">
        <f t="shared" ca="1" si="128"/>
        <v>2002.0371263999705</v>
      </c>
      <c r="P167" s="1939">
        <f t="shared" ca="1" si="128"/>
        <v>1956.0829775796503</v>
      </c>
      <c r="Q167" s="1939">
        <f t="shared" ca="1" si="128"/>
        <v>1908.2486455772623</v>
      </c>
      <c r="R167" s="1939">
        <f t="shared" ca="1" si="128"/>
        <v>1859.3018701640187</v>
      </c>
      <c r="S167" s="1939">
        <f t="shared" ca="1" si="128"/>
        <v>1823.9239034397608</v>
      </c>
      <c r="T167" s="1939">
        <f t="shared" ca="1" si="128"/>
        <v>1777.0238880699342</v>
      </c>
      <c r="U167" s="1939">
        <f t="shared" ca="1" si="128"/>
        <v>1733.6982002657692</v>
      </c>
      <c r="V167" s="1939">
        <f t="shared" ca="1" si="128"/>
        <v>1693.7627643199939</v>
      </c>
      <c r="W167" s="1939">
        <f t="shared" ca="1" si="128"/>
        <v>1652.5285908721689</v>
      </c>
      <c r="X167" s="1939">
        <f t="shared" ca="1" si="128"/>
        <v>1614.4179017062991</v>
      </c>
      <c r="Y167" s="1939">
        <f t="shared" ca="1" si="128"/>
        <v>1575.1737588256592</v>
      </c>
      <c r="Z167" s="1939">
        <f t="shared" ca="1" si="128"/>
        <v>1534.5996301763244</v>
      </c>
      <c r="AA167" s="1939">
        <f t="shared" ca="1" si="128"/>
        <v>1505.623707036521</v>
      </c>
      <c r="AB167" s="1939">
        <f t="shared" ca="1" si="128"/>
        <v>1375.1095450784867</v>
      </c>
      <c r="AC167" s="1939">
        <f t="shared" ca="1" si="128"/>
        <v>1343.8120077482847</v>
      </c>
      <c r="AD167" s="1939">
        <f t="shared" ca="1" si="128"/>
        <v>1311.9569989101319</v>
      </c>
      <c r="AE167" s="1939">
        <f t="shared" ca="1" si="128"/>
        <v>1282.1177425525391</v>
      </c>
      <c r="AF167" s="1939">
        <f t="shared" ca="1" si="128"/>
        <v>1303.6523636317377</v>
      </c>
      <c r="AG167" s="1939">
        <f t="shared" ca="1" si="128"/>
        <v>1257.6842187644568</v>
      </c>
      <c r="AH167" s="1939">
        <f t="shared" ca="1" si="128"/>
        <v>1224.6447341522146</v>
      </c>
      <c r="AI167" s="1939">
        <f t="shared" ca="1" si="128"/>
        <v>1178.1415968892607</v>
      </c>
      <c r="AJ167" s="1939">
        <f t="shared" ca="1" si="128"/>
        <v>1152.0526728844802</v>
      </c>
      <c r="AK167" s="1939">
        <f t="shared" ca="1" si="128"/>
        <v>1064.1938366691722</v>
      </c>
      <c r="AL167" s="1939">
        <f t="shared" ca="1" si="128"/>
        <v>1038.7284722007989</v>
      </c>
      <c r="AM167" s="1939">
        <f t="shared" ca="1" si="128"/>
        <v>1018.6488796278599</v>
      </c>
      <c r="AN167" s="1939">
        <f t="shared" ca="1" si="128"/>
        <v>994.26910119959143</v>
      </c>
      <c r="AO167" s="1939">
        <f t="shared" ca="1" si="128"/>
        <v>974.56498053555129</v>
      </c>
      <c r="AP167" s="1939">
        <f t="shared" ca="1" si="128"/>
        <v>948.63445670874228</v>
      </c>
      <c r="AQ167" s="1939">
        <f t="shared" ca="1" si="128"/>
        <v>934.27799502695768</v>
      </c>
      <c r="AR167" s="1939">
        <f t="shared" ca="1" si="128"/>
        <v>909.3746898731481</v>
      </c>
      <c r="AS167" s="1939">
        <f t="shared" ca="1" si="128"/>
        <v>890.52679928158102</v>
      </c>
      <c r="AT167" s="1939">
        <f t="shared" ca="1" si="128"/>
        <v>869.18621288951658</v>
      </c>
      <c r="AU167" s="1939">
        <f t="shared" ca="1" si="128"/>
        <v>850.80075373137424</v>
      </c>
      <c r="AV167" s="1939">
        <f t="shared" ca="1" si="128"/>
        <v>790.90831724101758</v>
      </c>
      <c r="AW167" s="1939">
        <f t="shared" ca="1" si="128"/>
        <v>780.71432385434116</v>
      </c>
      <c r="AX167" s="1939">
        <f t="shared" ca="1" si="128"/>
        <v>759.57471970511119</v>
      </c>
      <c r="AY167" s="1939">
        <f t="shared" ca="1" si="128"/>
        <v>747.7824999976375</v>
      </c>
      <c r="AZ167" s="1939">
        <f t="shared" ca="1" si="128"/>
        <v>727.49670256088768</v>
      </c>
      <c r="BA167" s="1939">
        <f t="shared" ca="1" si="128"/>
        <v>711.77378875878367</v>
      </c>
      <c r="BB167" s="1939">
        <f t="shared" ca="1" si="128"/>
        <v>694.37504992254389</v>
      </c>
      <c r="BC167" s="1939">
        <f t="shared" ca="1" si="128"/>
        <v>684.31856173578444</v>
      </c>
      <c r="BD167" s="1939">
        <f t="shared" ca="1" si="128"/>
        <v>667.60782382391847</v>
      </c>
      <c r="BE167" s="1939">
        <f t="shared" ca="1" si="128"/>
        <v>652.56246896211871</v>
      </c>
      <c r="BF167" s="1939">
        <f t="shared" ca="1" si="128"/>
        <v>634.87198023124176</v>
      </c>
      <c r="BG167" s="1939">
        <f t="shared" ca="1" si="128"/>
        <v>621.12905861823458</v>
      </c>
      <c r="BH167" s="1939">
        <f t="shared" ca="1" si="128"/>
        <v>604.23550738308563</v>
      </c>
      <c r="BI167" s="1939">
        <f t="shared" ca="1" si="128"/>
        <v>587.36368498877505</v>
      </c>
      <c r="BJ167" s="1939">
        <f t="shared" ca="1" si="128"/>
        <v>572.94094836031582</v>
      </c>
      <c r="BK167" s="1939">
        <f t="shared" ca="1" si="128"/>
        <v>552.96113085744491</v>
      </c>
      <c r="BL167" s="1939">
        <f t="shared" ca="1" si="128"/>
        <v>539.32550341317176</v>
      </c>
      <c r="BM167" s="1939">
        <f t="shared" ca="1" si="128"/>
        <v>523.71693754743308</v>
      </c>
      <c r="BN167" s="1939">
        <f t="shared" ca="1" si="128"/>
        <v>509.37112605381543</v>
      </c>
      <c r="BO167" s="1939">
        <f t="shared" ca="1" si="128"/>
        <v>497.21688253528566</v>
      </c>
    </row>
    <row r="168" spans="1:129" s="494" customFormat="1"/>
    <row r="169" spans="1:129" s="494" customFormat="1">
      <c r="D169" s="494" t="s">
        <v>1178</v>
      </c>
      <c r="G169" s="494">
        <f ca="1">+G167</f>
        <v>-55644.085499999994</v>
      </c>
    </row>
    <row r="170" spans="1:129" s="494" customFormat="1">
      <c r="D170" s="494" t="s">
        <v>278</v>
      </c>
      <c r="G170" s="494">
        <f ca="1">+SUM(H167:AE167)</f>
        <v>43350.694095670464</v>
      </c>
    </row>
    <row r="171" spans="1:129" s="494" customFormat="1">
      <c r="D171" s="494" t="s">
        <v>1179</v>
      </c>
      <c r="G171" s="494">
        <f ca="1">+SUM(AF167:BO167)</f>
        <v>29469.628780617379</v>
      </c>
    </row>
    <row r="172" spans="1:129" s="494" customFormat="1"/>
    <row r="173" spans="1:129" s="494" customFormat="1"/>
    <row r="174" spans="1:129" s="494" customFormat="1"/>
    <row r="175" spans="1:129" s="494" customFormat="1"/>
    <row r="176" spans="1:129" s="494" customFormat="1"/>
    <row r="177" s="494" customFormat="1"/>
    <row r="178" s="494" customFormat="1"/>
    <row r="179" s="494" customFormat="1"/>
    <row r="180" s="494" customFormat="1"/>
    <row r="181" s="494" customFormat="1"/>
    <row r="182" s="494" customFormat="1"/>
    <row r="183" s="494" customFormat="1"/>
    <row r="184" s="494" customFormat="1"/>
    <row r="185" s="494" customFormat="1"/>
    <row r="186" s="494" customFormat="1"/>
    <row r="187" s="494" customFormat="1"/>
    <row r="188" s="494" customFormat="1"/>
    <row r="189" s="494" customFormat="1"/>
    <row r="190" s="494" customFormat="1"/>
    <row r="191" s="494" customFormat="1"/>
    <row r="192" s="494" customFormat="1"/>
    <row r="193" s="494" customFormat="1"/>
    <row r="194" s="494" customFormat="1"/>
    <row r="195" s="494" customFormat="1"/>
    <row r="196" s="494" customFormat="1"/>
    <row r="197" s="494" customFormat="1"/>
    <row r="198" s="494" customFormat="1"/>
    <row r="199" s="494" customFormat="1"/>
    <row r="200" s="494" customFormat="1"/>
    <row r="201" s="494" customFormat="1"/>
    <row r="202" s="494" customFormat="1"/>
    <row r="203" s="494" customFormat="1"/>
    <row r="204" s="494" customFormat="1"/>
    <row r="205" s="494" customFormat="1"/>
    <row r="206" s="494" customFormat="1"/>
    <row r="207" s="494" customFormat="1"/>
    <row r="208" s="494" customFormat="1"/>
    <row r="209" s="494" customFormat="1"/>
    <row r="210" s="494" customFormat="1"/>
    <row r="211" s="494" customFormat="1"/>
    <row r="212" s="494" customFormat="1"/>
    <row r="213" s="494" customFormat="1"/>
    <row r="214" s="494" customFormat="1"/>
    <row r="215" s="494" customFormat="1"/>
    <row r="216" s="494" customFormat="1"/>
    <row r="217" s="494" customFormat="1"/>
    <row r="218" s="494" customFormat="1"/>
    <row r="219" s="494" customFormat="1"/>
    <row r="220" s="494" customFormat="1"/>
    <row r="221" s="494" customFormat="1"/>
    <row r="222" s="494" customFormat="1"/>
    <row r="223" s="494" customFormat="1"/>
    <row r="224" s="494" customFormat="1"/>
    <row r="225" s="494" customFormat="1"/>
    <row r="226" s="494" customFormat="1"/>
    <row r="227" s="494" customFormat="1"/>
    <row r="228" s="494" customFormat="1"/>
    <row r="229" s="494" customFormat="1"/>
    <row r="230" s="494" customFormat="1"/>
    <row r="231" s="494" customFormat="1"/>
    <row r="232" s="494" customFormat="1"/>
    <row r="233" s="494" customFormat="1"/>
    <row r="234" s="494" customFormat="1"/>
    <row r="235" s="494" customFormat="1"/>
    <row r="236" s="494" customFormat="1"/>
    <row r="237" s="494" customFormat="1"/>
    <row r="238" s="494" customFormat="1"/>
    <row r="239" s="494" customFormat="1"/>
    <row r="240" s="494" customFormat="1"/>
    <row r="241" s="494" customFormat="1"/>
    <row r="242" s="494" customFormat="1"/>
    <row r="243" s="494" customFormat="1"/>
    <row r="244" s="494" customFormat="1"/>
    <row r="245" s="494" customFormat="1"/>
    <row r="246" s="494" customFormat="1"/>
    <row r="247" s="494" customFormat="1"/>
    <row r="248" s="494" customFormat="1"/>
    <row r="249" s="494" customFormat="1"/>
    <row r="250" s="494" customFormat="1"/>
    <row r="251" s="494" customFormat="1"/>
    <row r="252" s="494" customFormat="1"/>
    <row r="253" s="494" customFormat="1"/>
    <row r="254" s="494" customFormat="1"/>
    <row r="255" s="494" customFormat="1"/>
    <row r="256" s="494" customFormat="1"/>
    <row r="257" s="494" customFormat="1"/>
    <row r="258" s="494" customFormat="1"/>
    <row r="259" s="494" customFormat="1"/>
    <row r="260" s="494" customFormat="1"/>
    <row r="261" s="494" customFormat="1"/>
    <row r="262" s="494" customFormat="1"/>
    <row r="263" s="494" customFormat="1"/>
    <row r="264" s="494" customFormat="1"/>
    <row r="265" s="494" customFormat="1"/>
    <row r="266" s="494" customFormat="1"/>
    <row r="267" s="494" customFormat="1"/>
    <row r="268" s="494" customFormat="1"/>
    <row r="269" s="494" customFormat="1"/>
    <row r="270" s="494" customFormat="1"/>
    <row r="271" s="494" customFormat="1"/>
    <row r="272" s="494" customFormat="1"/>
    <row r="273" s="494" customFormat="1"/>
    <row r="274" s="494" customFormat="1"/>
    <row r="275" s="494" customFormat="1"/>
    <row r="276" s="494" customFormat="1"/>
    <row r="277" s="494" customFormat="1"/>
    <row r="278" s="494" customFormat="1"/>
    <row r="279" s="494" customFormat="1"/>
    <row r="280" s="494" customFormat="1"/>
    <row r="281" s="494" customFormat="1"/>
    <row r="282" s="494" customFormat="1"/>
    <row r="283" s="494" customFormat="1"/>
    <row r="284" s="494" customFormat="1"/>
    <row r="285" s="494" customFormat="1"/>
    <row r="286" s="494" customFormat="1"/>
    <row r="287" s="494" customFormat="1"/>
    <row r="288" s="494" customFormat="1"/>
    <row r="289" s="494" customFormat="1"/>
    <row r="290" s="494" customFormat="1"/>
    <row r="291" s="494" customFormat="1"/>
    <row r="292" s="494" customFormat="1"/>
    <row r="293" s="494" customFormat="1"/>
    <row r="294" s="494" customFormat="1"/>
    <row r="295" s="494" customFormat="1"/>
    <row r="296" s="494" customFormat="1"/>
    <row r="297" s="494" customFormat="1"/>
    <row r="298" s="494" customFormat="1"/>
    <row r="299" s="494" customFormat="1"/>
    <row r="300" s="494" customFormat="1"/>
    <row r="301" s="494" customFormat="1"/>
    <row r="302" s="494" customFormat="1"/>
    <row r="303" s="494" customFormat="1"/>
    <row r="304" s="494" customFormat="1"/>
    <row r="305" s="494" customFormat="1"/>
    <row r="306" s="494" customFormat="1"/>
    <row r="307" s="494" customFormat="1"/>
    <row r="308" s="494" customFormat="1"/>
    <row r="309" s="494" customFormat="1"/>
    <row r="310" s="494" customFormat="1"/>
    <row r="311" s="494" customFormat="1"/>
    <row r="312" s="494" customFormat="1"/>
    <row r="313" s="494" customFormat="1"/>
    <row r="314" s="494" customFormat="1"/>
    <row r="315" s="494" customFormat="1"/>
    <row r="316" s="494" customFormat="1"/>
    <row r="317" s="494" customFormat="1"/>
    <row r="318" s="494" customFormat="1"/>
    <row r="319" s="494" customFormat="1"/>
    <row r="320" s="494" customFormat="1"/>
    <row r="321" s="494" customFormat="1"/>
    <row r="322" s="494" customFormat="1"/>
    <row r="323" s="494" customFormat="1"/>
    <row r="324" s="494" customFormat="1"/>
    <row r="325" s="494" customFormat="1"/>
    <row r="326" s="494" customFormat="1"/>
    <row r="327" s="494" customFormat="1"/>
    <row r="328" s="494" customFormat="1"/>
    <row r="329" s="494" customFormat="1"/>
    <row r="330" s="494" customFormat="1"/>
    <row r="331" s="494" customFormat="1"/>
    <row r="332" s="494" customFormat="1"/>
    <row r="333" s="494" customFormat="1"/>
  </sheetData>
  <phoneticPr fontId="0" type="noConversion"/>
  <conditionalFormatting sqref="G138:DW140">
    <cfRule type="cellIs" dxfId="75" priority="76" stopIfTrue="1" operator="equal">
      <formula>10</formula>
    </cfRule>
  </conditionalFormatting>
  <conditionalFormatting sqref="G120:DW121">
    <cfRule type="cellIs" dxfId="74" priority="79" stopIfTrue="1" operator="equal">
      <formula>FALSE</formula>
    </cfRule>
    <cfRule type="cellIs" dxfId="73" priority="80" stopIfTrue="1" operator="equal">
      <formula>TRUE</formula>
    </cfRule>
  </conditionalFormatting>
  <conditionalFormatting sqref="G138:DW138">
    <cfRule type="cellIs" dxfId="72" priority="71" stopIfTrue="1" operator="equal">
      <formula>10</formula>
    </cfRule>
  </conditionalFormatting>
  <conditionalFormatting sqref="G139:DW139">
    <cfRule type="cellIs" dxfId="71" priority="63" stopIfTrue="1" operator="equal">
      <formula>10</formula>
    </cfRule>
  </conditionalFormatting>
  <conditionalFormatting sqref="G139:DW139">
    <cfRule type="cellIs" dxfId="70" priority="43" stopIfTrue="1" operator="equal">
      <formula>10</formula>
    </cfRule>
  </conditionalFormatting>
  <conditionalFormatting sqref="G139:DW139">
    <cfRule type="cellIs" dxfId="69" priority="42" stopIfTrue="1" operator="equal">
      <formula>10</formula>
    </cfRule>
  </conditionalFormatting>
  <conditionalFormatting sqref="G139:DW139">
    <cfRule type="cellIs" dxfId="68" priority="41" stopIfTrue="1" operator="equal">
      <formula>10</formula>
    </cfRule>
  </conditionalFormatting>
  <conditionalFormatting sqref="G139:DW139">
    <cfRule type="cellIs" dxfId="67" priority="40" stopIfTrue="1" operator="equal">
      <formula>10</formula>
    </cfRule>
  </conditionalFormatting>
  <dataValidations disablePrompts="1" count="1">
    <dataValidation type="whole" operator="equal" allowBlank="1" showInputMessage="1" showErrorMessage="1" sqref="B154:F154 B152:F152" xr:uid="{00000000-0002-0000-0600-000000000000}">
      <formula1>0</formula1>
    </dataValidation>
  </dataValidations>
  <hyperlinks>
    <hyperlink ref="E1" location="Sensitivity!D43" display="Sensitivity!D43" xr:uid="{00000000-0004-0000-0600-000000000000}"/>
  </hyperlinks>
  <pageMargins left="0.64" right="0.25" top="0.38" bottom="0.74803149606299213" header="0.43" footer="0.51181102362204722"/>
  <pageSetup paperSize="9" scale="23" orientation="landscape" r:id="rId1"/>
  <headerFooter alignWithMargins="0">
    <oddFooter>&amp;L&amp;F
&amp;T &amp;D</oddFooter>
  </headerFooter>
  <rowBreaks count="1" manualBreakCount="1">
    <brk id="156" max="16383" man="1"/>
  </rowBreaks>
  <colBreaks count="1" manualBreakCount="1">
    <brk id="128" max="1048575" man="1"/>
  </colBreaks>
  <ignoredErrors>
    <ignoredError sqref="G103 G107" emptyCellReferenc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" id="{00000000-000E-0000-0500-000001000000}">
            <xm:f>G$4&gt;Inputs!$D$16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G1:DW2 G4:DW19 BP3:DW3 G21:DW160</xm:sqref>
        </x14:conditionalFormatting>
        <x14:conditionalFormatting xmlns:xm="http://schemas.microsoft.com/office/excel/2006/main">
          <x14:cfRule type="iconSet" priority="73" id="{53CEF484-7EB2-4F6D-87B4-B55E0297AC35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F157</xm:sqref>
        </x14:conditionalFormatting>
        <x14:conditionalFormatting xmlns:xm="http://schemas.microsoft.com/office/excel/2006/main">
          <x14:cfRule type="iconSet" priority="72" id="{F37B94E4-DFB4-4F58-B977-F729AAC69411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B146:F146 F145</xm:sqref>
        </x14:conditionalFormatting>
        <x14:conditionalFormatting xmlns:xm="http://schemas.microsoft.com/office/excel/2006/main">
          <x14:cfRule type="cellIs" priority="132" stopIfTrue="1" operator="equal" id="{5D73F770-B4CB-4AD3-8DA2-A738B33EB2A2}">
            <xm:f>Inputs!$L$480</xm:f>
            <x14:dxf>
              <font>
                <condense val="0"/>
                <extend val="0"/>
                <color indexed="9"/>
              </font>
            </x14:dxf>
          </x14:cfRule>
          <xm:sqref>G138:DW139</xm:sqref>
        </x14:conditionalFormatting>
        <x14:conditionalFormatting xmlns:xm="http://schemas.microsoft.com/office/excel/2006/main">
          <x14:cfRule type="iconSet" priority="34" id="{D30940B3-E97D-482D-A524-3805E67BA9A9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E52</xm:sqref>
        </x14:conditionalFormatting>
        <x14:conditionalFormatting xmlns:xm="http://schemas.microsoft.com/office/excel/2006/main">
          <x14:cfRule type="iconSet" priority="438" id="{7FB618AF-F568-4962-BCA3-4081392FC20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E145</xm:sqref>
        </x14:conditionalFormatting>
        <x14:conditionalFormatting xmlns:xm="http://schemas.microsoft.com/office/excel/2006/main">
          <x14:cfRule type="iconSet" priority="439" id="{BBB7778B-D411-473C-873B-A5A302E83CBA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E157</xm:sqref>
        </x14:conditionalFormatting>
        <x14:conditionalFormatting xmlns:xm="http://schemas.microsoft.com/office/excel/2006/main">
          <x14:cfRule type="iconSet" priority="445" id="{82477A81-A272-4683-BB68-3C1864F3963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E106</xm:sqref>
        </x14:conditionalFormatting>
        <x14:conditionalFormatting xmlns:xm="http://schemas.microsoft.com/office/excel/2006/main">
          <x14:cfRule type="iconSet" priority="447" id="{789771AF-1BB3-4B53-A9C8-913A3C4C6F63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E159</xm:sqref>
        </x14:conditionalFormatting>
        <x14:conditionalFormatting xmlns:xm="http://schemas.microsoft.com/office/excel/2006/main">
          <x14:cfRule type="iconSet" priority="448" id="{9CB0D596-A14D-4036-9F61-1086E70D11CA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E160</xm:sqref>
        </x14:conditionalFormatting>
        <x14:conditionalFormatting xmlns:xm="http://schemas.microsoft.com/office/excel/2006/main">
          <x14:cfRule type="iconSet" priority="449" id="{97A2852E-6A95-4D8D-838B-2E56C8A8F779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E94</xm:sqref>
        </x14:conditionalFormatting>
        <x14:conditionalFormatting xmlns:xm="http://schemas.microsoft.com/office/excel/2006/main">
          <x14:cfRule type="iconSet" priority="450" id="{4D295438-D8AB-4A85-8641-B8C9E883CAFE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E108</xm:sqref>
        </x14:conditionalFormatting>
        <x14:conditionalFormatting xmlns:xm="http://schemas.microsoft.com/office/excel/2006/main">
          <x14:cfRule type="iconSet" priority="451" id="{3FBBD581-892C-4706-A16E-8A825DC062EE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E92 B107:E107 B93:E93</xm:sqref>
        </x14:conditionalFormatting>
        <x14:conditionalFormatting xmlns:xm="http://schemas.microsoft.com/office/excel/2006/main">
          <x14:cfRule type="iconSet" priority="32" id="{C034B397-BC55-41E4-A106-5006B0B529BA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iconSet" priority="1" id="{636039F3-A6F1-4814-B293-0DCF8B2C8DD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B126</xm:sqref>
        </x14:conditionalFormatting>
        <x14:conditionalFormatting xmlns:xm="http://schemas.microsoft.com/office/excel/2006/main">
          <x14:cfRule type="iconSet" priority="5073" id="{CFE9AAA9-6344-429C-8D99-7FC7358C3B6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F140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_profitloss"/>
  <dimension ref="A1:DX64"/>
  <sheetViews>
    <sheetView showGridLines="0" zoomScale="115" zoomScaleNormal="115" workbookViewId="0">
      <pane xSplit="6" ySplit="4" topLeftCell="BA23" activePane="bottomRight" state="frozen"/>
      <selection pane="bottomRight" activeCell="M46" sqref="M46"/>
      <selection pane="bottomLeft" activeCell="A4" sqref="A4"/>
      <selection pane="topRight" activeCell="E1" sqref="E1"/>
    </sheetView>
  </sheetViews>
  <sheetFormatPr defaultColWidth="11.42578125" defaultRowHeight="11.25"/>
  <cols>
    <col min="1" max="1" width="38.5703125" style="1108" customWidth="1"/>
    <col min="2" max="3" width="7.85546875" style="1109" customWidth="1"/>
    <col min="4" max="4" width="7.85546875" style="1108" customWidth="1"/>
    <col min="5" max="5" width="2.5703125" style="1108" customWidth="1"/>
    <col min="6" max="6" width="3.5703125" style="1108" customWidth="1"/>
    <col min="7" max="127" width="9.5703125" style="1108" customWidth="1"/>
    <col min="128" max="128" width="2.5703125" style="1108" customWidth="1"/>
    <col min="129" max="16384" width="11.42578125" style="1108"/>
  </cols>
  <sheetData>
    <row r="1" spans="1:128">
      <c r="A1" s="996" t="s">
        <v>1108</v>
      </c>
      <c r="B1" s="689"/>
      <c r="C1" s="689"/>
      <c r="D1" s="304"/>
      <c r="E1" s="894">
        <f ca="1">Outputs!$D$46</f>
        <v>11182.479442004989</v>
      </c>
      <c r="F1" s="304"/>
      <c r="G1" s="972">
        <f>Flags!G5</f>
        <v>47298</v>
      </c>
      <c r="H1" s="972">
        <f>Flags!H5</f>
        <v>47665</v>
      </c>
      <c r="I1" s="972">
        <f>Flags!I5</f>
        <v>47849</v>
      </c>
      <c r="J1" s="972">
        <f>Flags!J5</f>
        <v>48030</v>
      </c>
      <c r="K1" s="972">
        <f>Flags!K5</f>
        <v>48214</v>
      </c>
      <c r="L1" s="972">
        <f>Flags!L5</f>
        <v>48396</v>
      </c>
      <c r="M1" s="972">
        <f>Flags!M5</f>
        <v>48580</v>
      </c>
      <c r="N1" s="972">
        <f>Flags!N5</f>
        <v>48761</v>
      </c>
      <c r="O1" s="972">
        <f>Flags!O5</f>
        <v>48945</v>
      </c>
      <c r="P1" s="972">
        <f>Flags!P5</f>
        <v>49126</v>
      </c>
      <c r="Q1" s="972">
        <f>Flags!Q5</f>
        <v>49310</v>
      </c>
      <c r="R1" s="972">
        <f>Flags!R5</f>
        <v>49491</v>
      </c>
      <c r="S1" s="972">
        <f>Flags!S5</f>
        <v>49675</v>
      </c>
      <c r="T1" s="972">
        <f>Flags!T5</f>
        <v>49857</v>
      </c>
      <c r="U1" s="972">
        <f>Flags!U5</f>
        <v>50041</v>
      </c>
      <c r="V1" s="972">
        <f>Flags!V5</f>
        <v>50222</v>
      </c>
      <c r="W1" s="972">
        <f>Flags!W5</f>
        <v>50406</v>
      </c>
      <c r="X1" s="972">
        <f>Flags!X5</f>
        <v>50587</v>
      </c>
      <c r="Y1" s="972">
        <f>Flags!Y5</f>
        <v>50771</v>
      </c>
      <c r="Z1" s="972">
        <f>Flags!Z5</f>
        <v>50952</v>
      </c>
      <c r="AA1" s="972">
        <f>Flags!AA5</f>
        <v>51136</v>
      </c>
      <c r="AB1" s="972">
        <f>Flags!AB5</f>
        <v>51318</v>
      </c>
      <c r="AC1" s="972">
        <f>Flags!AC5</f>
        <v>51502</v>
      </c>
      <c r="AD1" s="972">
        <f>Flags!AD5</f>
        <v>51683</v>
      </c>
      <c r="AE1" s="972">
        <f>Flags!AE5</f>
        <v>51867</v>
      </c>
      <c r="AF1" s="972">
        <f>Flags!AF5</f>
        <v>52048</v>
      </c>
      <c r="AG1" s="972">
        <f>Flags!AG5</f>
        <v>52232</v>
      </c>
      <c r="AH1" s="972">
        <f>Flags!AH5</f>
        <v>52413</v>
      </c>
      <c r="AI1" s="972">
        <f>Flags!AI5</f>
        <v>52597</v>
      </c>
      <c r="AJ1" s="972">
        <f>Flags!AJ5</f>
        <v>52779</v>
      </c>
      <c r="AK1" s="972">
        <f>Flags!AK5</f>
        <v>52963</v>
      </c>
      <c r="AL1" s="972">
        <f>Flags!AL5</f>
        <v>53144</v>
      </c>
      <c r="AM1" s="972">
        <f>Flags!AM5</f>
        <v>53328</v>
      </c>
      <c r="AN1" s="972">
        <f>Flags!AN5</f>
        <v>53509</v>
      </c>
      <c r="AO1" s="972">
        <f>Flags!AO5</f>
        <v>53693</v>
      </c>
      <c r="AP1" s="972">
        <f>Flags!AP5</f>
        <v>53874</v>
      </c>
      <c r="AQ1" s="972">
        <f>Flags!AQ5</f>
        <v>54058</v>
      </c>
      <c r="AR1" s="972">
        <f>Flags!AR5</f>
        <v>54240</v>
      </c>
      <c r="AS1" s="972">
        <f>Flags!AS5</f>
        <v>54424</v>
      </c>
      <c r="AT1" s="972">
        <f>Flags!AT5</f>
        <v>54605</v>
      </c>
      <c r="AU1" s="972">
        <f>Flags!AU5</f>
        <v>54789</v>
      </c>
      <c r="AV1" s="972">
        <f>Flags!AV5</f>
        <v>54970</v>
      </c>
      <c r="AW1" s="972">
        <f>Flags!AW5</f>
        <v>55154</v>
      </c>
      <c r="AX1" s="972">
        <f>Flags!AX5</f>
        <v>55335</v>
      </c>
      <c r="AY1" s="972">
        <f>Flags!AY5</f>
        <v>55519</v>
      </c>
      <c r="AZ1" s="972">
        <f>Flags!AZ5</f>
        <v>55701</v>
      </c>
      <c r="BA1" s="972">
        <f>Flags!BA5</f>
        <v>55885</v>
      </c>
      <c r="BB1" s="972">
        <f>Flags!BB5</f>
        <v>56066</v>
      </c>
      <c r="BC1" s="972">
        <f>Flags!BC5</f>
        <v>56250</v>
      </c>
      <c r="BD1" s="972">
        <f>Flags!BD5</f>
        <v>56431</v>
      </c>
      <c r="BE1" s="972">
        <f>Flags!BE5</f>
        <v>56615</v>
      </c>
      <c r="BF1" s="972">
        <f>Flags!BF5</f>
        <v>56796</v>
      </c>
      <c r="BG1" s="972">
        <f>Flags!BG5</f>
        <v>56980</v>
      </c>
      <c r="BH1" s="972">
        <f>Flags!BH5</f>
        <v>57162</v>
      </c>
      <c r="BI1" s="972">
        <f>Flags!BI5</f>
        <v>57346</v>
      </c>
      <c r="BJ1" s="972">
        <f>Flags!BJ5</f>
        <v>57527</v>
      </c>
      <c r="BK1" s="972">
        <f>Flags!BK5</f>
        <v>57711</v>
      </c>
      <c r="BL1" s="972">
        <f>Flags!BL5</f>
        <v>57892</v>
      </c>
      <c r="BM1" s="972">
        <f>Flags!BM5</f>
        <v>58076</v>
      </c>
      <c r="BN1" s="972">
        <f>Flags!BN5</f>
        <v>58257</v>
      </c>
      <c r="BO1" s="972">
        <f>Flags!BO5</f>
        <v>58441</v>
      </c>
      <c r="BP1" s="972"/>
      <c r="BQ1" s="972"/>
      <c r="BR1" s="972"/>
      <c r="BS1" s="972"/>
      <c r="BT1" s="972"/>
      <c r="BU1" s="972"/>
      <c r="BV1" s="972"/>
      <c r="BW1" s="972"/>
      <c r="BX1" s="972"/>
      <c r="BY1" s="972"/>
      <c r="BZ1" s="972"/>
      <c r="CA1" s="972"/>
      <c r="CB1" s="972"/>
      <c r="CC1" s="972"/>
      <c r="CD1" s="972"/>
      <c r="CE1" s="972"/>
      <c r="CF1" s="972"/>
      <c r="CG1" s="972"/>
      <c r="CH1" s="972"/>
      <c r="CI1" s="972"/>
      <c r="CJ1" s="972"/>
      <c r="CK1" s="972"/>
      <c r="CL1" s="972"/>
      <c r="CM1" s="972"/>
      <c r="CN1" s="972"/>
      <c r="CO1" s="972"/>
      <c r="CP1" s="972"/>
      <c r="CQ1" s="972"/>
      <c r="CR1" s="972"/>
      <c r="CS1" s="972"/>
      <c r="CT1" s="972"/>
      <c r="CU1" s="972"/>
      <c r="CV1" s="972"/>
      <c r="CW1" s="972"/>
      <c r="CX1" s="972"/>
      <c r="CY1" s="972"/>
      <c r="CZ1" s="972"/>
      <c r="DA1" s="972"/>
      <c r="DB1" s="972"/>
      <c r="DC1" s="972"/>
      <c r="DD1" s="972"/>
      <c r="DE1" s="972"/>
      <c r="DF1" s="972"/>
      <c r="DG1" s="972"/>
      <c r="DH1" s="972"/>
      <c r="DI1" s="972"/>
      <c r="DJ1" s="972"/>
      <c r="DK1" s="972"/>
      <c r="DL1" s="972"/>
      <c r="DM1" s="972"/>
      <c r="DN1" s="972"/>
      <c r="DO1" s="972"/>
      <c r="DP1" s="972"/>
      <c r="DQ1" s="972"/>
      <c r="DR1" s="972"/>
      <c r="DS1" s="972"/>
      <c r="DT1" s="972"/>
      <c r="DU1" s="972"/>
      <c r="DV1" s="972"/>
      <c r="DW1" s="972"/>
      <c r="DX1" s="1376"/>
    </row>
    <row r="2" spans="1:128">
      <c r="A2" s="996" t="s">
        <v>1109</v>
      </c>
      <c r="B2" s="1377"/>
      <c r="C2" s="1377"/>
      <c r="D2" s="304"/>
      <c r="E2" s="484"/>
      <c r="F2" s="304"/>
      <c r="G2" s="972">
        <f>Flags!G6</f>
        <v>47664</v>
      </c>
      <c r="H2" s="972">
        <f>Flags!H6</f>
        <v>47848</v>
      </c>
      <c r="I2" s="972">
        <f>Flags!I6</f>
        <v>48029</v>
      </c>
      <c r="J2" s="972">
        <f>Flags!J6</f>
        <v>48213</v>
      </c>
      <c r="K2" s="972">
        <f>Flags!K6</f>
        <v>48395</v>
      </c>
      <c r="L2" s="972">
        <f>Flags!L6</f>
        <v>48579</v>
      </c>
      <c r="M2" s="972">
        <f>Flags!M6</f>
        <v>48760</v>
      </c>
      <c r="N2" s="972">
        <f>Flags!N6</f>
        <v>48944</v>
      </c>
      <c r="O2" s="972">
        <f>Flags!O6</f>
        <v>49125</v>
      </c>
      <c r="P2" s="972">
        <f>Flags!P6</f>
        <v>49309</v>
      </c>
      <c r="Q2" s="972">
        <f>Flags!Q6</f>
        <v>49490</v>
      </c>
      <c r="R2" s="972">
        <f>Flags!R6</f>
        <v>49674</v>
      </c>
      <c r="S2" s="972">
        <f>Flags!S6</f>
        <v>49856</v>
      </c>
      <c r="T2" s="972">
        <f>Flags!T6</f>
        <v>50040</v>
      </c>
      <c r="U2" s="972">
        <f>Flags!U6</f>
        <v>50221</v>
      </c>
      <c r="V2" s="972">
        <f>Flags!V6</f>
        <v>50405</v>
      </c>
      <c r="W2" s="972">
        <f>Flags!W6</f>
        <v>50586</v>
      </c>
      <c r="X2" s="972">
        <f>Flags!X6</f>
        <v>50770</v>
      </c>
      <c r="Y2" s="972">
        <f>Flags!Y6</f>
        <v>50951</v>
      </c>
      <c r="Z2" s="972">
        <f>Flags!Z6</f>
        <v>51135</v>
      </c>
      <c r="AA2" s="972">
        <f>Flags!AA6</f>
        <v>51317</v>
      </c>
      <c r="AB2" s="972">
        <f>Flags!AB6</f>
        <v>51501</v>
      </c>
      <c r="AC2" s="972">
        <f>Flags!AC6</f>
        <v>51682</v>
      </c>
      <c r="AD2" s="972">
        <f>Flags!AD6</f>
        <v>51866</v>
      </c>
      <c r="AE2" s="972">
        <f>Flags!AE6</f>
        <v>52047</v>
      </c>
      <c r="AF2" s="972">
        <f>Flags!AF6</f>
        <v>52231</v>
      </c>
      <c r="AG2" s="972">
        <f>Flags!AG6</f>
        <v>52412</v>
      </c>
      <c r="AH2" s="972">
        <f>Flags!AH6</f>
        <v>52596</v>
      </c>
      <c r="AI2" s="972">
        <f>Flags!AI6</f>
        <v>52778</v>
      </c>
      <c r="AJ2" s="972">
        <f>Flags!AJ6</f>
        <v>52962</v>
      </c>
      <c r="AK2" s="972">
        <f>Flags!AK6</f>
        <v>53143</v>
      </c>
      <c r="AL2" s="972">
        <f>Flags!AL6</f>
        <v>53327</v>
      </c>
      <c r="AM2" s="972">
        <f>Flags!AM6</f>
        <v>53508</v>
      </c>
      <c r="AN2" s="972">
        <f>Flags!AN6</f>
        <v>53692</v>
      </c>
      <c r="AO2" s="972">
        <f>Flags!AO6</f>
        <v>53873</v>
      </c>
      <c r="AP2" s="972">
        <f>Flags!AP6</f>
        <v>54057</v>
      </c>
      <c r="AQ2" s="972">
        <f>Flags!AQ6</f>
        <v>54239</v>
      </c>
      <c r="AR2" s="972">
        <f>Flags!AR6</f>
        <v>54423</v>
      </c>
      <c r="AS2" s="972">
        <f>Flags!AS6</f>
        <v>54604</v>
      </c>
      <c r="AT2" s="972">
        <f>Flags!AT6</f>
        <v>54788</v>
      </c>
      <c r="AU2" s="972">
        <f>Flags!AU6</f>
        <v>54969</v>
      </c>
      <c r="AV2" s="972">
        <f>Flags!AV6</f>
        <v>55153</v>
      </c>
      <c r="AW2" s="972">
        <f>Flags!AW6</f>
        <v>55334</v>
      </c>
      <c r="AX2" s="972">
        <f>Flags!AX6</f>
        <v>55518</v>
      </c>
      <c r="AY2" s="972">
        <f>Flags!AY6</f>
        <v>55700</v>
      </c>
      <c r="AZ2" s="972">
        <f>Flags!AZ6</f>
        <v>55884</v>
      </c>
      <c r="BA2" s="972">
        <f>Flags!BA6</f>
        <v>56065</v>
      </c>
      <c r="BB2" s="972">
        <f>Flags!BB6</f>
        <v>56249</v>
      </c>
      <c r="BC2" s="972">
        <f>Flags!BC6</f>
        <v>56430</v>
      </c>
      <c r="BD2" s="972">
        <f>Flags!BD6</f>
        <v>56614</v>
      </c>
      <c r="BE2" s="972">
        <f>Flags!BE6</f>
        <v>56795</v>
      </c>
      <c r="BF2" s="972">
        <f>Flags!BF6</f>
        <v>56979</v>
      </c>
      <c r="BG2" s="972">
        <f>Flags!BG6</f>
        <v>57161</v>
      </c>
      <c r="BH2" s="972">
        <f>Flags!BH6</f>
        <v>57345</v>
      </c>
      <c r="BI2" s="972">
        <f>Flags!BI6</f>
        <v>57526</v>
      </c>
      <c r="BJ2" s="972">
        <f>Flags!BJ6</f>
        <v>57710</v>
      </c>
      <c r="BK2" s="972">
        <f>Flags!BK6</f>
        <v>57891</v>
      </c>
      <c r="BL2" s="972">
        <f>Flags!BL6</f>
        <v>58075</v>
      </c>
      <c r="BM2" s="972">
        <f>Flags!BM6</f>
        <v>58256</v>
      </c>
      <c r="BN2" s="972">
        <f>Flags!BN6</f>
        <v>58440</v>
      </c>
      <c r="BO2" s="972">
        <f>Flags!BO6</f>
        <v>58622</v>
      </c>
      <c r="BP2" s="972"/>
      <c r="BQ2" s="972"/>
      <c r="BR2" s="972"/>
      <c r="BS2" s="972"/>
      <c r="BT2" s="972"/>
      <c r="BU2" s="972"/>
      <c r="BV2" s="972"/>
      <c r="BW2" s="972"/>
      <c r="BX2" s="972"/>
      <c r="BY2" s="972"/>
      <c r="BZ2" s="972"/>
      <c r="CA2" s="972"/>
      <c r="CB2" s="972"/>
      <c r="CC2" s="972"/>
      <c r="CD2" s="972"/>
      <c r="CE2" s="972"/>
      <c r="CF2" s="972"/>
      <c r="CG2" s="972"/>
      <c r="CH2" s="972"/>
      <c r="CI2" s="972"/>
      <c r="CJ2" s="972"/>
      <c r="CK2" s="972"/>
      <c r="CL2" s="972"/>
      <c r="CM2" s="972"/>
      <c r="CN2" s="972"/>
      <c r="CO2" s="972"/>
      <c r="CP2" s="972"/>
      <c r="CQ2" s="972"/>
      <c r="CR2" s="972"/>
      <c r="CS2" s="972"/>
      <c r="CT2" s="972"/>
      <c r="CU2" s="972"/>
      <c r="CV2" s="972"/>
      <c r="CW2" s="972"/>
      <c r="CX2" s="972"/>
      <c r="CY2" s="972"/>
      <c r="CZ2" s="972"/>
      <c r="DA2" s="972"/>
      <c r="DB2" s="972"/>
      <c r="DC2" s="972"/>
      <c r="DD2" s="972"/>
      <c r="DE2" s="972"/>
      <c r="DF2" s="972"/>
      <c r="DG2" s="972"/>
      <c r="DH2" s="972"/>
      <c r="DI2" s="972"/>
      <c r="DJ2" s="972"/>
      <c r="DK2" s="972"/>
      <c r="DL2" s="972"/>
      <c r="DM2" s="972"/>
      <c r="DN2" s="972"/>
      <c r="DO2" s="972"/>
      <c r="DP2" s="972"/>
      <c r="DQ2" s="972"/>
      <c r="DR2" s="972"/>
      <c r="DS2" s="972"/>
      <c r="DT2" s="972"/>
      <c r="DU2" s="972"/>
      <c r="DV2" s="972"/>
      <c r="DW2" s="972"/>
      <c r="DX2" s="1376"/>
    </row>
    <row r="3" spans="1:128">
      <c r="A3" s="997" t="str">
        <f>Flags!A7</f>
        <v>Year</v>
      </c>
      <c r="B3" s="1377"/>
      <c r="C3" s="1377"/>
      <c r="D3" s="484"/>
      <c r="E3" s="484"/>
      <c r="F3" s="304"/>
      <c r="G3" s="1001">
        <f>Flags!G7</f>
        <v>0</v>
      </c>
      <c r="H3" s="1001">
        <f>Flags!H7</f>
        <v>1</v>
      </c>
      <c r="I3" s="1001">
        <f>Flags!I7</f>
        <v>1</v>
      </c>
      <c r="J3" s="1001">
        <f>Flags!J7</f>
        <v>2</v>
      </c>
      <c r="K3" s="1001">
        <f>Flags!K7</f>
        <v>2</v>
      </c>
      <c r="L3" s="1001">
        <f>Flags!L7</f>
        <v>3</v>
      </c>
      <c r="M3" s="1001">
        <f>Flags!M7</f>
        <v>3</v>
      </c>
      <c r="N3" s="1001">
        <f>Flags!N7</f>
        <v>4</v>
      </c>
      <c r="O3" s="1001">
        <f>Flags!O7</f>
        <v>4</v>
      </c>
      <c r="P3" s="1001">
        <f>Flags!P7</f>
        <v>5</v>
      </c>
      <c r="Q3" s="1001">
        <f>Flags!Q7</f>
        <v>5</v>
      </c>
      <c r="R3" s="1001">
        <f>Flags!R7</f>
        <v>6</v>
      </c>
      <c r="S3" s="1001">
        <f>Flags!S7</f>
        <v>6</v>
      </c>
      <c r="T3" s="1001">
        <f>Flags!T7</f>
        <v>7</v>
      </c>
      <c r="U3" s="1001">
        <f>Flags!U7</f>
        <v>7</v>
      </c>
      <c r="V3" s="1001">
        <f>Flags!V7</f>
        <v>8</v>
      </c>
      <c r="W3" s="1001">
        <f>Flags!W7</f>
        <v>8</v>
      </c>
      <c r="X3" s="1001">
        <f>Flags!X7</f>
        <v>9</v>
      </c>
      <c r="Y3" s="1001">
        <f>Flags!Y7</f>
        <v>9</v>
      </c>
      <c r="Z3" s="1001">
        <f>Flags!Z7</f>
        <v>10</v>
      </c>
      <c r="AA3" s="1001">
        <f>Flags!AA7</f>
        <v>10</v>
      </c>
      <c r="AB3" s="1001">
        <f>Flags!AB7</f>
        <v>11</v>
      </c>
      <c r="AC3" s="1001">
        <f>Flags!AC7</f>
        <v>11</v>
      </c>
      <c r="AD3" s="1001">
        <f>Flags!AD7</f>
        <v>12</v>
      </c>
      <c r="AE3" s="1001">
        <f>Flags!AE7</f>
        <v>12</v>
      </c>
      <c r="AF3" s="1001">
        <f>Flags!AF7</f>
        <v>13</v>
      </c>
      <c r="AG3" s="1001">
        <f>Flags!AG7</f>
        <v>13</v>
      </c>
      <c r="AH3" s="1001">
        <f>Flags!AH7</f>
        <v>14</v>
      </c>
      <c r="AI3" s="1001">
        <f>Flags!AI7</f>
        <v>14</v>
      </c>
      <c r="AJ3" s="1001">
        <f>Flags!AJ7</f>
        <v>15</v>
      </c>
      <c r="AK3" s="1001">
        <f>Flags!AK7</f>
        <v>15</v>
      </c>
      <c r="AL3" s="1001">
        <f>Flags!AL7</f>
        <v>16</v>
      </c>
      <c r="AM3" s="1001">
        <f>Flags!AM7</f>
        <v>16</v>
      </c>
      <c r="AN3" s="1001">
        <f>Flags!AN7</f>
        <v>17</v>
      </c>
      <c r="AO3" s="1001">
        <f>Flags!AO7</f>
        <v>17</v>
      </c>
      <c r="AP3" s="1001">
        <f>Flags!AP7</f>
        <v>18</v>
      </c>
      <c r="AQ3" s="1001">
        <f>Flags!AQ7</f>
        <v>18</v>
      </c>
      <c r="AR3" s="1001">
        <f>Flags!AR7</f>
        <v>19</v>
      </c>
      <c r="AS3" s="1001">
        <f>Flags!AS7</f>
        <v>19</v>
      </c>
      <c r="AT3" s="1001">
        <f>Flags!AT7</f>
        <v>20</v>
      </c>
      <c r="AU3" s="1001">
        <f>Flags!AU7</f>
        <v>20</v>
      </c>
      <c r="AV3" s="1001">
        <f>Flags!AV7</f>
        <v>21</v>
      </c>
      <c r="AW3" s="1001">
        <f>Flags!AW7</f>
        <v>21</v>
      </c>
      <c r="AX3" s="1001">
        <f>Flags!AX7</f>
        <v>22</v>
      </c>
      <c r="AY3" s="1001">
        <f>Flags!AY7</f>
        <v>22</v>
      </c>
      <c r="AZ3" s="1001">
        <f>Flags!AZ7</f>
        <v>23</v>
      </c>
      <c r="BA3" s="1001">
        <f>Flags!BA7</f>
        <v>23</v>
      </c>
      <c r="BB3" s="1001">
        <f>Flags!BB7</f>
        <v>24</v>
      </c>
      <c r="BC3" s="1001">
        <f>Flags!BC7</f>
        <v>24</v>
      </c>
      <c r="BD3" s="1001">
        <f>Flags!BD7</f>
        <v>25</v>
      </c>
      <c r="BE3" s="1001">
        <f>Flags!BE7</f>
        <v>25</v>
      </c>
      <c r="BF3" s="1001">
        <f>Flags!BF7</f>
        <v>26</v>
      </c>
      <c r="BG3" s="1001">
        <f>Flags!BG7</f>
        <v>26</v>
      </c>
      <c r="BH3" s="1001">
        <f>Flags!BH7</f>
        <v>27</v>
      </c>
      <c r="BI3" s="1001">
        <f>Flags!BI7</f>
        <v>27</v>
      </c>
      <c r="BJ3" s="1001">
        <f>Flags!BJ7</f>
        <v>28</v>
      </c>
      <c r="BK3" s="1001">
        <f>Flags!BK7</f>
        <v>28</v>
      </c>
      <c r="BL3" s="1001">
        <f>Flags!BL7</f>
        <v>29</v>
      </c>
      <c r="BM3" s="1001">
        <f>Flags!BM7</f>
        <v>29</v>
      </c>
      <c r="BN3" s="1001">
        <f>Flags!BN7</f>
        <v>30</v>
      </c>
      <c r="BO3" s="1001">
        <f>Flags!BO7</f>
        <v>30</v>
      </c>
      <c r="BP3" s="1001"/>
      <c r="BQ3" s="1001"/>
      <c r="BR3" s="1001"/>
      <c r="BS3" s="1001"/>
      <c r="BT3" s="1001"/>
      <c r="BU3" s="1001"/>
      <c r="BV3" s="1001"/>
      <c r="BW3" s="1001"/>
      <c r="BX3" s="1001"/>
      <c r="BY3" s="1001"/>
      <c r="BZ3" s="1001"/>
      <c r="CA3" s="1001"/>
      <c r="CB3" s="1001"/>
      <c r="CC3" s="1001"/>
      <c r="CD3" s="1001"/>
      <c r="CE3" s="1001"/>
      <c r="CF3" s="1001"/>
      <c r="CG3" s="1001"/>
      <c r="CH3" s="1001"/>
      <c r="CI3" s="1001"/>
      <c r="CJ3" s="1001"/>
      <c r="CK3" s="1001"/>
      <c r="CL3" s="1001"/>
      <c r="CM3" s="1001"/>
      <c r="CN3" s="1001"/>
      <c r="CO3" s="1001"/>
      <c r="CP3" s="1001"/>
      <c r="CQ3" s="1001"/>
      <c r="CR3" s="1001"/>
      <c r="CS3" s="1001"/>
      <c r="CT3" s="1001"/>
      <c r="CU3" s="1001"/>
      <c r="CV3" s="1001"/>
      <c r="CW3" s="1001"/>
      <c r="CX3" s="1001"/>
      <c r="CY3" s="1001"/>
      <c r="CZ3" s="1001"/>
      <c r="DA3" s="1001"/>
      <c r="DB3" s="1001"/>
      <c r="DC3" s="1001"/>
      <c r="DD3" s="1001"/>
      <c r="DE3" s="1001"/>
      <c r="DF3" s="1001"/>
      <c r="DG3" s="1001"/>
      <c r="DH3" s="1001"/>
      <c r="DI3" s="1001"/>
      <c r="DJ3" s="1001"/>
      <c r="DK3" s="1001"/>
      <c r="DL3" s="1001"/>
      <c r="DM3" s="1001"/>
      <c r="DN3" s="1001"/>
      <c r="DO3" s="1001"/>
      <c r="DP3" s="1001"/>
      <c r="DQ3" s="1001"/>
      <c r="DR3" s="1001"/>
      <c r="DS3" s="1001"/>
      <c r="DT3" s="1001"/>
      <c r="DU3" s="1001"/>
      <c r="DV3" s="1001"/>
      <c r="DW3" s="1001"/>
      <c r="DX3" s="1376"/>
    </row>
    <row r="4" spans="1:128">
      <c r="A4" s="861" t="s">
        <v>1180</v>
      </c>
      <c r="B4" s="862"/>
      <c r="C4" s="862"/>
      <c r="D4" s="864"/>
      <c r="E4" s="864"/>
      <c r="F4" s="863"/>
      <c r="G4" s="1076">
        <f>Flags!G8</f>
        <v>0</v>
      </c>
      <c r="H4" s="1076">
        <f>Flags!H8</f>
        <v>1</v>
      </c>
      <c r="I4" s="1076">
        <f>Flags!I8</f>
        <v>2</v>
      </c>
      <c r="J4" s="1076">
        <f>Flags!J8</f>
        <v>3</v>
      </c>
      <c r="K4" s="1076">
        <f>Flags!K8</f>
        <v>4</v>
      </c>
      <c r="L4" s="1076">
        <f>Flags!L8</f>
        <v>5</v>
      </c>
      <c r="M4" s="1076">
        <f>Flags!M8</f>
        <v>6</v>
      </c>
      <c r="N4" s="1076">
        <f>Flags!N8</f>
        <v>7</v>
      </c>
      <c r="O4" s="1076">
        <f>Flags!O8</f>
        <v>8</v>
      </c>
      <c r="P4" s="1076">
        <f>Flags!P8</f>
        <v>9</v>
      </c>
      <c r="Q4" s="1076">
        <f>Flags!Q8</f>
        <v>10</v>
      </c>
      <c r="R4" s="1076">
        <f>Flags!R8</f>
        <v>11</v>
      </c>
      <c r="S4" s="1076">
        <f>Flags!S8</f>
        <v>12</v>
      </c>
      <c r="T4" s="1076">
        <f>Flags!T8</f>
        <v>13</v>
      </c>
      <c r="U4" s="1076">
        <f>Flags!U8</f>
        <v>14</v>
      </c>
      <c r="V4" s="1076">
        <f>Flags!V8</f>
        <v>15</v>
      </c>
      <c r="W4" s="1076">
        <f>Flags!W8</f>
        <v>16</v>
      </c>
      <c r="X4" s="1076">
        <f>Flags!X8</f>
        <v>17</v>
      </c>
      <c r="Y4" s="1076">
        <f>Flags!Y8</f>
        <v>18</v>
      </c>
      <c r="Z4" s="1076">
        <f>Flags!Z8</f>
        <v>19</v>
      </c>
      <c r="AA4" s="1076">
        <f>Flags!AA8</f>
        <v>20</v>
      </c>
      <c r="AB4" s="1076">
        <f>Flags!AB8</f>
        <v>21</v>
      </c>
      <c r="AC4" s="1076">
        <f>Flags!AC8</f>
        <v>22</v>
      </c>
      <c r="AD4" s="1076">
        <f>Flags!AD8</f>
        <v>23</v>
      </c>
      <c r="AE4" s="1076">
        <f>Flags!AE8</f>
        <v>24</v>
      </c>
      <c r="AF4" s="1076">
        <f>Flags!AF8</f>
        <v>25</v>
      </c>
      <c r="AG4" s="1076">
        <f>Flags!AG8</f>
        <v>26</v>
      </c>
      <c r="AH4" s="1076">
        <f>Flags!AH8</f>
        <v>27</v>
      </c>
      <c r="AI4" s="1076">
        <f>Flags!AI8</f>
        <v>28</v>
      </c>
      <c r="AJ4" s="1076">
        <f>Flags!AJ8</f>
        <v>29</v>
      </c>
      <c r="AK4" s="1076">
        <f>Flags!AK8</f>
        <v>30</v>
      </c>
      <c r="AL4" s="1076">
        <f>Flags!AL8</f>
        <v>31</v>
      </c>
      <c r="AM4" s="1076">
        <f>Flags!AM8</f>
        <v>32</v>
      </c>
      <c r="AN4" s="1076">
        <f>Flags!AN8</f>
        <v>33</v>
      </c>
      <c r="AO4" s="1076">
        <f>Flags!AO8</f>
        <v>34</v>
      </c>
      <c r="AP4" s="1076">
        <f>Flags!AP8</f>
        <v>35</v>
      </c>
      <c r="AQ4" s="1076">
        <f>Flags!AQ8</f>
        <v>36</v>
      </c>
      <c r="AR4" s="1076">
        <f>Flags!AR8</f>
        <v>37</v>
      </c>
      <c r="AS4" s="1076">
        <f>Flags!AS8</f>
        <v>38</v>
      </c>
      <c r="AT4" s="1076">
        <f>Flags!AT8</f>
        <v>39</v>
      </c>
      <c r="AU4" s="1076">
        <f>Flags!AU8</f>
        <v>40</v>
      </c>
      <c r="AV4" s="1076">
        <f>Flags!AV8</f>
        <v>41</v>
      </c>
      <c r="AW4" s="1076">
        <f>Flags!AW8</f>
        <v>42</v>
      </c>
      <c r="AX4" s="1076">
        <f>Flags!AX8</f>
        <v>43</v>
      </c>
      <c r="AY4" s="1076">
        <f>Flags!AY8</f>
        <v>44</v>
      </c>
      <c r="AZ4" s="1076">
        <f>Flags!AZ8</f>
        <v>45</v>
      </c>
      <c r="BA4" s="1076">
        <f>Flags!BA8</f>
        <v>46</v>
      </c>
      <c r="BB4" s="1076">
        <f>Flags!BB8</f>
        <v>47</v>
      </c>
      <c r="BC4" s="1076">
        <f>Flags!BC8</f>
        <v>48</v>
      </c>
      <c r="BD4" s="1076">
        <f>Flags!BD8</f>
        <v>49</v>
      </c>
      <c r="BE4" s="1076">
        <f>Flags!BE8</f>
        <v>50</v>
      </c>
      <c r="BF4" s="1076">
        <f>Flags!BF8</f>
        <v>51</v>
      </c>
      <c r="BG4" s="1076">
        <f>Flags!BG8</f>
        <v>52</v>
      </c>
      <c r="BH4" s="1076">
        <f>Flags!BH8</f>
        <v>53</v>
      </c>
      <c r="BI4" s="1076">
        <f>Flags!BI8</f>
        <v>54</v>
      </c>
      <c r="BJ4" s="1076">
        <f>Flags!BJ8</f>
        <v>55</v>
      </c>
      <c r="BK4" s="1076">
        <f>Flags!BK8</f>
        <v>56</v>
      </c>
      <c r="BL4" s="1076">
        <f>Flags!BL8</f>
        <v>57</v>
      </c>
      <c r="BM4" s="1076">
        <f>Flags!BM8</f>
        <v>58</v>
      </c>
      <c r="BN4" s="1076">
        <f>Flags!BN8</f>
        <v>59</v>
      </c>
      <c r="BO4" s="1076">
        <f>Flags!BO8</f>
        <v>60</v>
      </c>
      <c r="BP4" s="1076"/>
      <c r="BQ4" s="1076"/>
      <c r="BR4" s="1076"/>
      <c r="BS4" s="1076"/>
      <c r="BT4" s="1076"/>
      <c r="BU4" s="1076"/>
      <c r="BV4" s="1076"/>
      <c r="BW4" s="1076"/>
      <c r="BX4" s="1076"/>
      <c r="BY4" s="1076"/>
      <c r="BZ4" s="1076"/>
      <c r="CA4" s="1076"/>
      <c r="CB4" s="1076"/>
      <c r="CC4" s="1076"/>
      <c r="CD4" s="1076"/>
      <c r="CE4" s="1076"/>
      <c r="CF4" s="1076"/>
      <c r="CG4" s="1076"/>
      <c r="CH4" s="1076"/>
      <c r="CI4" s="1076"/>
      <c r="CJ4" s="1076"/>
      <c r="CK4" s="1076"/>
      <c r="CL4" s="1076"/>
      <c r="CM4" s="1076"/>
      <c r="CN4" s="1076"/>
      <c r="CO4" s="1076"/>
      <c r="CP4" s="1076"/>
      <c r="CQ4" s="1076"/>
      <c r="CR4" s="1076"/>
      <c r="CS4" s="1076"/>
      <c r="CT4" s="1076"/>
      <c r="CU4" s="1076"/>
      <c r="CV4" s="1076"/>
      <c r="CW4" s="1076"/>
      <c r="CX4" s="1076"/>
      <c r="CY4" s="1076"/>
      <c r="CZ4" s="1076"/>
      <c r="DA4" s="1076"/>
      <c r="DB4" s="1076"/>
      <c r="DC4" s="1076"/>
      <c r="DD4" s="1076"/>
      <c r="DE4" s="1076"/>
      <c r="DF4" s="1076"/>
      <c r="DG4" s="1076"/>
      <c r="DH4" s="1076"/>
      <c r="DI4" s="1076"/>
      <c r="DJ4" s="1076"/>
      <c r="DK4" s="1076"/>
      <c r="DL4" s="1076"/>
      <c r="DM4" s="1076"/>
      <c r="DN4" s="1076"/>
      <c r="DO4" s="1076"/>
      <c r="DP4" s="1076"/>
      <c r="DQ4" s="1076"/>
      <c r="DR4" s="1076"/>
      <c r="DS4" s="1076"/>
      <c r="DT4" s="1076"/>
      <c r="DU4" s="1076"/>
      <c r="DV4" s="1076"/>
      <c r="DW4" s="1076"/>
      <c r="DX4" s="304"/>
    </row>
    <row r="5" spans="1:128">
      <c r="A5" s="997" t="str">
        <f>Flags!A12</f>
        <v>Project Life</v>
      </c>
      <c r="B5" s="1377"/>
      <c r="C5" s="1377"/>
      <c r="D5" s="484"/>
      <c r="E5" s="484"/>
      <c r="F5" s="304"/>
      <c r="G5" s="1002" t="b">
        <f>Flags!G12</f>
        <v>0</v>
      </c>
      <c r="H5" s="1002" t="b">
        <f>Flags!H12</f>
        <v>1</v>
      </c>
      <c r="I5" s="1002" t="b">
        <f>Flags!I12</f>
        <v>1</v>
      </c>
      <c r="J5" s="1002" t="b">
        <f>Flags!J12</f>
        <v>1</v>
      </c>
      <c r="K5" s="1002" t="b">
        <f>Flags!K12</f>
        <v>1</v>
      </c>
      <c r="L5" s="1002" t="b">
        <f>Flags!L12</f>
        <v>1</v>
      </c>
      <c r="M5" s="1002" t="b">
        <f>Flags!M12</f>
        <v>1</v>
      </c>
      <c r="N5" s="1002" t="b">
        <f>Flags!N12</f>
        <v>1</v>
      </c>
      <c r="O5" s="1002" t="b">
        <f>Flags!O12</f>
        <v>1</v>
      </c>
      <c r="P5" s="1002" t="b">
        <f>Flags!P12</f>
        <v>1</v>
      </c>
      <c r="Q5" s="1002" t="b">
        <f>Flags!Q12</f>
        <v>1</v>
      </c>
      <c r="R5" s="1002" t="b">
        <f>Flags!R12</f>
        <v>1</v>
      </c>
      <c r="S5" s="1002" t="b">
        <f>Flags!S12</f>
        <v>1</v>
      </c>
      <c r="T5" s="1002" t="b">
        <f>Flags!T12</f>
        <v>1</v>
      </c>
      <c r="U5" s="1002" t="b">
        <f>Flags!U12</f>
        <v>1</v>
      </c>
      <c r="V5" s="1002" t="b">
        <f>Flags!V12</f>
        <v>1</v>
      </c>
      <c r="W5" s="1002" t="b">
        <f>Flags!W12</f>
        <v>1</v>
      </c>
      <c r="X5" s="1002" t="b">
        <f>Flags!X12</f>
        <v>1</v>
      </c>
      <c r="Y5" s="1002" t="b">
        <f>Flags!Y12</f>
        <v>1</v>
      </c>
      <c r="Z5" s="1002" t="b">
        <f>Flags!Z12</f>
        <v>1</v>
      </c>
      <c r="AA5" s="1002" t="b">
        <f>Flags!AA12</f>
        <v>1</v>
      </c>
      <c r="AB5" s="1002" t="b">
        <f>Flags!AB12</f>
        <v>1</v>
      </c>
      <c r="AC5" s="1002" t="b">
        <f>Flags!AC12</f>
        <v>1</v>
      </c>
      <c r="AD5" s="1002" t="b">
        <f>Flags!AD12</f>
        <v>1</v>
      </c>
      <c r="AE5" s="1002" t="b">
        <f>Flags!AE12</f>
        <v>1</v>
      </c>
      <c r="AF5" s="1002" t="b">
        <f>Flags!AF12</f>
        <v>1</v>
      </c>
      <c r="AG5" s="1002" t="b">
        <f>Flags!AG12</f>
        <v>1</v>
      </c>
      <c r="AH5" s="1002" t="b">
        <f>Flags!AH12</f>
        <v>1</v>
      </c>
      <c r="AI5" s="1002" t="b">
        <f>Flags!AI12</f>
        <v>1</v>
      </c>
      <c r="AJ5" s="1002" t="b">
        <f>Flags!AJ12</f>
        <v>1</v>
      </c>
      <c r="AK5" s="1002" t="b">
        <f>Flags!AK12</f>
        <v>1</v>
      </c>
      <c r="AL5" s="1002" t="b">
        <f>Flags!AL12</f>
        <v>1</v>
      </c>
      <c r="AM5" s="1002" t="b">
        <f>Flags!AM12</f>
        <v>1</v>
      </c>
      <c r="AN5" s="1002" t="b">
        <f>Flags!AN12</f>
        <v>1</v>
      </c>
      <c r="AO5" s="1002" t="b">
        <f>Flags!AO12</f>
        <v>1</v>
      </c>
      <c r="AP5" s="1002" t="b">
        <f>Flags!AP12</f>
        <v>1</v>
      </c>
      <c r="AQ5" s="1002" t="b">
        <f>Flags!AQ12</f>
        <v>1</v>
      </c>
      <c r="AR5" s="1002" t="b">
        <f>Flags!AR12</f>
        <v>1</v>
      </c>
      <c r="AS5" s="1002" t="b">
        <f>Flags!AS12</f>
        <v>1</v>
      </c>
      <c r="AT5" s="1002" t="b">
        <f>Flags!AT12</f>
        <v>1</v>
      </c>
      <c r="AU5" s="1002" t="b">
        <f>Flags!AU12</f>
        <v>1</v>
      </c>
      <c r="AV5" s="1002" t="b">
        <f>Flags!AV12</f>
        <v>1</v>
      </c>
      <c r="AW5" s="1002" t="b">
        <f>Flags!AW12</f>
        <v>1</v>
      </c>
      <c r="AX5" s="1002" t="b">
        <f>Flags!AX12</f>
        <v>1</v>
      </c>
      <c r="AY5" s="1002" t="b">
        <f>Flags!AY12</f>
        <v>1</v>
      </c>
      <c r="AZ5" s="1002" t="b">
        <f>Flags!AZ12</f>
        <v>1</v>
      </c>
      <c r="BA5" s="1002" t="b">
        <f>Flags!BA12</f>
        <v>1</v>
      </c>
      <c r="BB5" s="1002" t="b">
        <f>Flags!BB12</f>
        <v>1</v>
      </c>
      <c r="BC5" s="1002" t="b">
        <f>Flags!BC12</f>
        <v>1</v>
      </c>
      <c r="BD5" s="1002" t="b">
        <f>Flags!BD12</f>
        <v>1</v>
      </c>
      <c r="BE5" s="1002" t="b">
        <f>Flags!BE12</f>
        <v>1</v>
      </c>
      <c r="BF5" s="1002" t="b">
        <f>Flags!BF12</f>
        <v>1</v>
      </c>
      <c r="BG5" s="1002" t="b">
        <f>Flags!BG12</f>
        <v>1</v>
      </c>
      <c r="BH5" s="1002" t="b">
        <f>Flags!BH12</f>
        <v>1</v>
      </c>
      <c r="BI5" s="1002" t="b">
        <f>Flags!BI12</f>
        <v>1</v>
      </c>
      <c r="BJ5" s="1002" t="b">
        <f>Flags!BJ12</f>
        <v>1</v>
      </c>
      <c r="BK5" s="1002" t="b">
        <f>Flags!BK12</f>
        <v>1</v>
      </c>
      <c r="BL5" s="1002" t="b">
        <f>Flags!BL12</f>
        <v>1</v>
      </c>
      <c r="BM5" s="1002" t="b">
        <f>Flags!BM12</f>
        <v>1</v>
      </c>
      <c r="BN5" s="1002" t="b">
        <f>Flags!BN12</f>
        <v>1</v>
      </c>
      <c r="BO5" s="1002" t="b">
        <f>Flags!BO12</f>
        <v>1</v>
      </c>
      <c r="BP5" s="1002"/>
      <c r="BQ5" s="1002"/>
      <c r="BR5" s="1002"/>
      <c r="BS5" s="1002"/>
      <c r="BT5" s="1002"/>
      <c r="BU5" s="1002"/>
      <c r="BV5" s="1002"/>
      <c r="BW5" s="1002"/>
      <c r="BX5" s="1002"/>
      <c r="BY5" s="1002"/>
      <c r="BZ5" s="1002"/>
      <c r="CA5" s="1002"/>
      <c r="CB5" s="1002"/>
      <c r="CC5" s="1002"/>
      <c r="CD5" s="1002"/>
      <c r="CE5" s="1002"/>
      <c r="CF5" s="1002"/>
      <c r="CG5" s="1002"/>
      <c r="CH5" s="1002"/>
      <c r="CI5" s="1002"/>
      <c r="CJ5" s="1002"/>
      <c r="CK5" s="1002"/>
      <c r="CL5" s="1002"/>
      <c r="CM5" s="1002"/>
      <c r="CN5" s="1002"/>
      <c r="CO5" s="1002"/>
      <c r="CP5" s="1002"/>
      <c r="CQ5" s="1002"/>
      <c r="CR5" s="1002"/>
      <c r="CS5" s="1002"/>
      <c r="CT5" s="1002"/>
      <c r="CU5" s="1002"/>
      <c r="CV5" s="1002"/>
      <c r="CW5" s="1002"/>
      <c r="CX5" s="1002"/>
      <c r="CY5" s="1002"/>
      <c r="CZ5" s="1002"/>
      <c r="DA5" s="1002"/>
      <c r="DB5" s="1002"/>
      <c r="DC5" s="1002"/>
      <c r="DD5" s="1002"/>
      <c r="DE5" s="1002"/>
      <c r="DF5" s="1002"/>
      <c r="DG5" s="1002"/>
      <c r="DH5" s="1002"/>
      <c r="DI5" s="1002"/>
      <c r="DJ5" s="1002"/>
      <c r="DK5" s="1002"/>
      <c r="DL5" s="1002"/>
      <c r="DM5" s="1002"/>
      <c r="DN5" s="1002"/>
      <c r="DO5" s="1002"/>
      <c r="DP5" s="1002"/>
      <c r="DQ5" s="1002"/>
      <c r="DR5" s="1002"/>
      <c r="DS5" s="1002"/>
      <c r="DT5" s="1002"/>
      <c r="DU5" s="1002"/>
      <c r="DV5" s="1002"/>
      <c r="DW5" s="1002"/>
      <c r="DX5" s="1376"/>
    </row>
    <row r="6" spans="1:128">
      <c r="A6" s="997" t="str">
        <f>Flags!A13</f>
        <v>Operation Period (incl. Leap)</v>
      </c>
      <c r="B6" s="1377"/>
      <c r="C6" s="1377"/>
      <c r="D6" s="484"/>
      <c r="E6" s="484"/>
      <c r="F6" s="304"/>
      <c r="G6" s="1003">
        <f>Flags!G13</f>
        <v>0</v>
      </c>
      <c r="H6" s="1003">
        <f>Flags!H13</f>
        <v>0.50410958904109593</v>
      </c>
      <c r="I6" s="1003">
        <f>Flags!I13</f>
        <v>0.49589041095890413</v>
      </c>
      <c r="J6" s="1003">
        <f>Flags!J13</f>
        <v>0.50273224043715847</v>
      </c>
      <c r="K6" s="1003">
        <f>Flags!K13</f>
        <v>0.49726775956284153</v>
      </c>
      <c r="L6" s="1003">
        <f>Flags!L13</f>
        <v>0.50410958904109593</v>
      </c>
      <c r="M6" s="1003">
        <f>Flags!M13</f>
        <v>0.49589041095890413</v>
      </c>
      <c r="N6" s="1003">
        <f>Flags!N13</f>
        <v>0.50410958904109593</v>
      </c>
      <c r="O6" s="1003">
        <f>Flags!O13</f>
        <v>0.49589041095890413</v>
      </c>
      <c r="P6" s="1003">
        <f>Flags!P13</f>
        <v>0.50410958904109593</v>
      </c>
      <c r="Q6" s="1003">
        <f>Flags!Q13</f>
        <v>0.49589041095890413</v>
      </c>
      <c r="R6" s="1003">
        <f>Flags!R13</f>
        <v>0.50273224043715847</v>
      </c>
      <c r="S6" s="1003">
        <f>Flags!S13</f>
        <v>0.49726775956284153</v>
      </c>
      <c r="T6" s="1003">
        <f>Flags!T13</f>
        <v>0.50410958904109593</v>
      </c>
      <c r="U6" s="1003">
        <f>Flags!U13</f>
        <v>0.49589041095890413</v>
      </c>
      <c r="V6" s="1003">
        <f>Flags!V13</f>
        <v>0.50410958904109593</v>
      </c>
      <c r="W6" s="1003">
        <f>Flags!W13</f>
        <v>0.49589041095890413</v>
      </c>
      <c r="X6" s="1003">
        <f>Flags!X13</f>
        <v>0.50410958904109593</v>
      </c>
      <c r="Y6" s="1003">
        <f>Flags!Y13</f>
        <v>0.49589041095890413</v>
      </c>
      <c r="Z6" s="1003">
        <f>Flags!Z13</f>
        <v>0.50273224043715847</v>
      </c>
      <c r="AA6" s="1003">
        <f>Flags!AA13</f>
        <v>0.49726775956284153</v>
      </c>
      <c r="AB6" s="1003">
        <f>Flags!AB13</f>
        <v>0.50410958904109593</v>
      </c>
      <c r="AC6" s="1003">
        <f>Flags!AC13</f>
        <v>0.49589041095890413</v>
      </c>
      <c r="AD6" s="1003">
        <f>Flags!AD13</f>
        <v>0.50410958904109593</v>
      </c>
      <c r="AE6" s="1003">
        <f>Flags!AE13</f>
        <v>0.49589041095890413</v>
      </c>
      <c r="AF6" s="1003">
        <f>Flags!AF13</f>
        <v>0.50410958904109593</v>
      </c>
      <c r="AG6" s="1003">
        <f>Flags!AG13</f>
        <v>0.49589041095890413</v>
      </c>
      <c r="AH6" s="1003">
        <f>Flags!AH13</f>
        <v>0.50273224043715847</v>
      </c>
      <c r="AI6" s="1003">
        <f>Flags!AI13</f>
        <v>0.49726775956284153</v>
      </c>
      <c r="AJ6" s="1003">
        <f>Flags!AJ13</f>
        <v>0.50410958904109593</v>
      </c>
      <c r="AK6" s="1003">
        <f>Flags!AK13</f>
        <v>0.49589041095890413</v>
      </c>
      <c r="AL6" s="1003">
        <f>Flags!AL13</f>
        <v>0.50410958904109593</v>
      </c>
      <c r="AM6" s="1003">
        <f>Flags!AM13</f>
        <v>0.49589041095890413</v>
      </c>
      <c r="AN6" s="1003">
        <f>Flags!AN13</f>
        <v>0.50410958904109593</v>
      </c>
      <c r="AO6" s="1003">
        <f>Flags!AO13</f>
        <v>0.49589041095890413</v>
      </c>
      <c r="AP6" s="1003">
        <f>Flags!AP13</f>
        <v>0.50273224043715847</v>
      </c>
      <c r="AQ6" s="1003">
        <f>Flags!AQ13</f>
        <v>0.49726775956284153</v>
      </c>
      <c r="AR6" s="1003">
        <f>Flags!AR13</f>
        <v>0.50410958904109593</v>
      </c>
      <c r="AS6" s="1003">
        <f>Flags!AS13</f>
        <v>0.49589041095890413</v>
      </c>
      <c r="AT6" s="1003">
        <f>Flags!AT13</f>
        <v>0.50410958904109593</v>
      </c>
      <c r="AU6" s="1003">
        <f>Flags!AU13</f>
        <v>0.49589041095890413</v>
      </c>
      <c r="AV6" s="1003">
        <f>Flags!AV13</f>
        <v>0.50410958904109593</v>
      </c>
      <c r="AW6" s="1003">
        <f>Flags!AW13</f>
        <v>0.49589041095890413</v>
      </c>
      <c r="AX6" s="1003">
        <f>Flags!AX13</f>
        <v>0.50273224043715847</v>
      </c>
      <c r="AY6" s="1003">
        <f>Flags!AY13</f>
        <v>0.49726775956284153</v>
      </c>
      <c r="AZ6" s="1003">
        <f>Flags!AZ13</f>
        <v>0.50410958904109593</v>
      </c>
      <c r="BA6" s="1003">
        <f>Flags!BA13</f>
        <v>0.49589041095890413</v>
      </c>
      <c r="BB6" s="1003">
        <f>Flags!BB13</f>
        <v>0.50410958904109593</v>
      </c>
      <c r="BC6" s="1003">
        <f>Flags!BC13</f>
        <v>0.49589041095890413</v>
      </c>
      <c r="BD6" s="1003">
        <f>Flags!BD13</f>
        <v>0.50410958904109593</v>
      </c>
      <c r="BE6" s="1003">
        <f>Flags!BE13</f>
        <v>0.49589041095890413</v>
      </c>
      <c r="BF6" s="1003">
        <f>Flags!BF13</f>
        <v>0.50273224043715847</v>
      </c>
      <c r="BG6" s="1003">
        <f>Flags!BG13</f>
        <v>0.49726775956284153</v>
      </c>
      <c r="BH6" s="1003">
        <f>Flags!BH13</f>
        <v>0.50410958904109593</v>
      </c>
      <c r="BI6" s="1003">
        <f>Flags!BI13</f>
        <v>0.49589041095890413</v>
      </c>
      <c r="BJ6" s="1003">
        <f>Flags!BJ13</f>
        <v>0.50410958904109593</v>
      </c>
      <c r="BK6" s="1003">
        <f>Flags!BK13</f>
        <v>0.49589041095890413</v>
      </c>
      <c r="BL6" s="1003">
        <f>Flags!BL13</f>
        <v>0.50410958904109593</v>
      </c>
      <c r="BM6" s="1003">
        <f>Flags!BM13</f>
        <v>0.49589041095890413</v>
      </c>
      <c r="BN6" s="1003">
        <f>Flags!BN13</f>
        <v>0.50273224043715847</v>
      </c>
      <c r="BO6" s="1003">
        <f>Flags!BO13</f>
        <v>0.49726775956284153</v>
      </c>
      <c r="BP6" s="1003"/>
      <c r="BQ6" s="1003"/>
      <c r="BR6" s="1003"/>
      <c r="BS6" s="1003"/>
      <c r="BT6" s="1003"/>
      <c r="BU6" s="1003"/>
      <c r="BV6" s="1003"/>
      <c r="BW6" s="1003"/>
      <c r="BX6" s="1003"/>
      <c r="BY6" s="1003"/>
      <c r="BZ6" s="1003"/>
      <c r="CA6" s="1003"/>
      <c r="CB6" s="1003"/>
      <c r="CC6" s="1003"/>
      <c r="CD6" s="1003"/>
      <c r="CE6" s="1003"/>
      <c r="CF6" s="1003"/>
      <c r="CG6" s="1003"/>
      <c r="CH6" s="1003"/>
      <c r="CI6" s="1003"/>
      <c r="CJ6" s="1003"/>
      <c r="CK6" s="1003"/>
      <c r="CL6" s="1003"/>
      <c r="CM6" s="1003"/>
      <c r="CN6" s="1003"/>
      <c r="CO6" s="1003"/>
      <c r="CP6" s="1003"/>
      <c r="CQ6" s="1003"/>
      <c r="CR6" s="1003"/>
      <c r="CS6" s="1003"/>
      <c r="CT6" s="1003"/>
      <c r="CU6" s="1003"/>
      <c r="CV6" s="1003"/>
      <c r="CW6" s="1003"/>
      <c r="CX6" s="1003"/>
      <c r="CY6" s="1003"/>
      <c r="CZ6" s="1003"/>
      <c r="DA6" s="1003"/>
      <c r="DB6" s="1003"/>
      <c r="DC6" s="1003"/>
      <c r="DD6" s="1003"/>
      <c r="DE6" s="1003"/>
      <c r="DF6" s="1003"/>
      <c r="DG6" s="1003"/>
      <c r="DH6" s="1003"/>
      <c r="DI6" s="1003"/>
      <c r="DJ6" s="1003"/>
      <c r="DK6" s="1003"/>
      <c r="DL6" s="1003"/>
      <c r="DM6" s="1003"/>
      <c r="DN6" s="1003"/>
      <c r="DO6" s="1003"/>
      <c r="DP6" s="1003"/>
      <c r="DQ6" s="1003"/>
      <c r="DR6" s="1003"/>
      <c r="DS6" s="1003"/>
      <c r="DT6" s="1003"/>
      <c r="DU6" s="1003"/>
      <c r="DV6" s="1003"/>
      <c r="DW6" s="1003"/>
      <c r="DX6" s="1376"/>
    </row>
    <row r="7" spans="1:128">
      <c r="A7" s="486"/>
      <c r="B7" s="1377"/>
      <c r="C7" s="1377"/>
      <c r="D7" s="484"/>
      <c r="E7" s="484"/>
      <c r="F7" s="304"/>
      <c r="G7" s="413"/>
      <c r="H7" s="413"/>
      <c r="I7" s="413"/>
      <c r="J7" s="413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3"/>
      <c r="AE7" s="413"/>
      <c r="AF7" s="413"/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3"/>
      <c r="AU7" s="413"/>
      <c r="AV7" s="413"/>
      <c r="AW7" s="413"/>
      <c r="AX7" s="413"/>
      <c r="AY7" s="413"/>
      <c r="AZ7" s="413"/>
      <c r="BA7" s="413"/>
      <c r="BB7" s="413"/>
      <c r="BC7" s="413"/>
      <c r="BD7" s="413"/>
      <c r="BE7" s="413"/>
      <c r="BF7" s="413"/>
      <c r="BG7" s="413"/>
      <c r="BH7" s="413"/>
      <c r="BI7" s="413"/>
      <c r="BJ7" s="413"/>
      <c r="BK7" s="413"/>
      <c r="BL7" s="413"/>
      <c r="BM7" s="413"/>
      <c r="BN7" s="413"/>
      <c r="BO7" s="413"/>
      <c r="BP7" s="413"/>
      <c r="BQ7" s="413"/>
      <c r="BR7" s="413"/>
      <c r="BS7" s="413"/>
      <c r="BT7" s="413"/>
      <c r="BU7" s="413"/>
      <c r="BV7" s="413"/>
      <c r="BW7" s="413"/>
      <c r="BX7" s="413"/>
      <c r="BY7" s="413"/>
      <c r="BZ7" s="413"/>
      <c r="CA7" s="413"/>
      <c r="CB7" s="413"/>
      <c r="CC7" s="413"/>
      <c r="CD7" s="413"/>
      <c r="CE7" s="413"/>
      <c r="CF7" s="413"/>
      <c r="CG7" s="413"/>
      <c r="CH7" s="413"/>
      <c r="CI7" s="413"/>
      <c r="CJ7" s="413"/>
      <c r="CK7" s="413"/>
      <c r="CL7" s="413"/>
      <c r="CM7" s="413"/>
      <c r="CN7" s="413"/>
      <c r="CO7" s="413"/>
      <c r="CP7" s="413"/>
      <c r="CQ7" s="413"/>
      <c r="CR7" s="413"/>
      <c r="CS7" s="413"/>
      <c r="CT7" s="413"/>
      <c r="CU7" s="413"/>
      <c r="CV7" s="413"/>
      <c r="CW7" s="413"/>
      <c r="CX7" s="413"/>
      <c r="CY7" s="413"/>
      <c r="CZ7" s="413"/>
      <c r="DA7" s="413"/>
      <c r="DB7" s="413"/>
      <c r="DC7" s="413"/>
      <c r="DD7" s="413"/>
      <c r="DE7" s="413"/>
      <c r="DF7" s="413"/>
      <c r="DG7" s="413"/>
      <c r="DH7" s="413"/>
      <c r="DI7" s="413"/>
      <c r="DJ7" s="413"/>
      <c r="DK7" s="413"/>
      <c r="DL7" s="413"/>
      <c r="DM7" s="413"/>
      <c r="DN7" s="413"/>
      <c r="DO7" s="413"/>
      <c r="DP7" s="413"/>
      <c r="DQ7" s="413"/>
      <c r="DR7" s="413"/>
      <c r="DS7" s="413"/>
      <c r="DT7" s="413"/>
      <c r="DU7" s="413"/>
      <c r="DV7" s="413"/>
      <c r="DW7" s="413"/>
      <c r="DX7" s="1376"/>
    </row>
    <row r="8" spans="1:128">
      <c r="A8" s="653" t="s">
        <v>1181</v>
      </c>
      <c r="B8" s="1378"/>
      <c r="C8" s="1378"/>
      <c r="D8" s="653"/>
      <c r="E8" s="653"/>
      <c r="F8" s="344"/>
      <c r="G8" s="978">
        <f>CF!G23</f>
        <v>0</v>
      </c>
      <c r="H8" s="978">
        <f>CF!H23</f>
        <v>3249.8702726948381</v>
      </c>
      <c r="I8" s="978">
        <f>CF!I23</f>
        <v>3196.8832573791619</v>
      </c>
      <c r="J8" s="978">
        <f>CF!J23</f>
        <v>3228.0268823373808</v>
      </c>
      <c r="K8" s="978">
        <f>CF!K23</f>
        <v>3255.1610213483336</v>
      </c>
      <c r="L8" s="978">
        <f>CF!L23</f>
        <v>3286.7484806020693</v>
      </c>
      <c r="M8" s="978">
        <f>CF!M23</f>
        <v>3296.1970558367971</v>
      </c>
      <c r="N8" s="978">
        <f>CF!N23</f>
        <v>3337.4268355849445</v>
      </c>
      <c r="O8" s="978">
        <f>CF!O23</f>
        <v>3347.0526801943934</v>
      </c>
      <c r="P8" s="978">
        <f>CF!P23</f>
        <v>3388.9185767024601</v>
      </c>
      <c r="Q8" s="978">
        <f>CF!Q23</f>
        <v>3398.7244054228463</v>
      </c>
      <c r="R8" s="978">
        <f>CF!R23</f>
        <v>3431.8343408496439</v>
      </c>
      <c r="S8" s="978">
        <f>CF!S23</f>
        <v>3460.8110663064376</v>
      </c>
      <c r="T8" s="978">
        <f>CF!T23</f>
        <v>3494.3941142186272</v>
      </c>
      <c r="U8" s="978">
        <f>CF!U23</f>
        <v>3504.5682306553808</v>
      </c>
      <c r="V8" s="978">
        <f>CF!V23</f>
        <v>3548.4043769217005</v>
      </c>
      <c r="W8" s="978">
        <f>CF!W23</f>
        <v>3558.7668863507452</v>
      </c>
      <c r="X8" s="978">
        <f>CF!X23</f>
        <v>3603.2809649733867</v>
      </c>
      <c r="Y8" s="978">
        <f>CF!Y23</f>
        <v>3613.8347609269276</v>
      </c>
      <c r="Z8" s="978">
        <f>CF!Z23</f>
        <v>3649.0402737324071</v>
      </c>
      <c r="AA8" s="978">
        <f>CF!AA23</f>
        <v>3679.9785926456811</v>
      </c>
      <c r="AB8" s="978">
        <f>CF!AB23</f>
        <v>3715.6884002673223</v>
      </c>
      <c r="AC8" s="978">
        <f>CF!AC23</f>
        <v>3726.6336365559332</v>
      </c>
      <c r="AD8" s="978">
        <f>CF!AD23</f>
        <v>3773.2474407170521</v>
      </c>
      <c r="AE8" s="978">
        <f>CF!AE23</f>
        <v>3784.3929260187233</v>
      </c>
      <c r="AF8" s="978">
        <f>CF!AF23</f>
        <v>3957.23941085652</v>
      </c>
      <c r="AG8" s="978">
        <f>CF!AG23</f>
        <v>3928.8894985406514</v>
      </c>
      <c r="AH8" s="978">
        <f>CF!AH23</f>
        <v>3967.1642340232183</v>
      </c>
      <c r="AI8" s="978">
        <f>CF!AI23</f>
        <v>3934.2835361643188</v>
      </c>
      <c r="AJ8" s="978">
        <f>CF!AJ23</f>
        <v>3972.4610702636178</v>
      </c>
      <c r="AK8" s="978">
        <f>CF!AK23</f>
        <v>3810.596711020843</v>
      </c>
      <c r="AL8" s="978">
        <f>CF!AL23</f>
        <v>3858.2607494393574</v>
      </c>
      <c r="AM8" s="978">
        <f>CF!AM23</f>
        <v>3879.7645614286498</v>
      </c>
      <c r="AN8" s="978">
        <f>CF!AN23</f>
        <v>3928.2937711914929</v>
      </c>
      <c r="AO8" s="978">
        <f>CF!AO23</f>
        <v>3948.6759475031022</v>
      </c>
      <c r="AP8" s="978">
        <f>CF!AP23</f>
        <v>3987.1434400231119</v>
      </c>
      <c r="AQ8" s="978">
        <f>CF!AQ23</f>
        <v>4027.6384287901647</v>
      </c>
      <c r="AR8" s="978">
        <f>CF!AR23</f>
        <v>4066.7218608919325</v>
      </c>
      <c r="AS8" s="978">
        <f>CF!AS23</f>
        <v>4084.8668107774711</v>
      </c>
      <c r="AT8" s="978">
        <f>CF!AT23</f>
        <v>4135.9614983995707</v>
      </c>
      <c r="AU8" s="978">
        <f>CF!AU23</f>
        <v>4152.9933113562402</v>
      </c>
      <c r="AV8" s="978">
        <f>CF!AV23</f>
        <v>4204.940144819835</v>
      </c>
      <c r="AW8" s="978">
        <f>CF!AW23</f>
        <v>4244.9416478069379</v>
      </c>
      <c r="AX8" s="978">
        <f>CF!AX23</f>
        <v>4286.2953226224536</v>
      </c>
      <c r="AY8" s="978">
        <f>CF!AY23</f>
        <v>4324.4755585446819</v>
      </c>
      <c r="AZ8" s="978">
        <f>CF!AZ23</f>
        <v>4366.4394413152877</v>
      </c>
      <c r="BA8" s="978">
        <f>CF!BA23</f>
        <v>4378.87859161705</v>
      </c>
      <c r="BB8" s="978">
        <f>CF!BB23</f>
        <v>4433.6508630613644</v>
      </c>
      <c r="BC8" s="978">
        <f>CF!BC23</f>
        <v>4470.7399131205693</v>
      </c>
      <c r="BD8" s="978">
        <f>CF!BD23</f>
        <v>4526.6612123653467</v>
      </c>
      <c r="BE8" s="978">
        <f>CF!BE23</f>
        <v>4536.5187031867381</v>
      </c>
      <c r="BF8" s="978">
        <f>CF!BF23</f>
        <v>4580.7128841227732</v>
      </c>
      <c r="BG8" s="978">
        <f>CF!BG23</f>
        <v>4600.0433222277707</v>
      </c>
      <c r="BH8" s="978">
        <f>CF!BH23</f>
        <v>4644.6812618115091</v>
      </c>
      <c r="BI8" s="978">
        <f>CF!BI23</f>
        <v>4635.3352970059077</v>
      </c>
      <c r="BJ8" s="978">
        <f>CF!BJ23</f>
        <v>4693.3154025993945</v>
      </c>
      <c r="BK8" s="978">
        <f>CF!BK23</f>
        <v>4658.573635066442</v>
      </c>
      <c r="BL8" s="978">
        <f>CF!BL23</f>
        <v>4716.8444124685993</v>
      </c>
      <c r="BM8" s="978">
        <f>CF!BM23</f>
        <v>4703.3322242466802</v>
      </c>
      <c r="BN8" s="978">
        <f>CF!BN23</f>
        <v>4749.1514810205208</v>
      </c>
      <c r="BO8" s="978">
        <f>CF!BO23</f>
        <v>4760.5507777083531</v>
      </c>
      <c r="BP8" s="978"/>
      <c r="BQ8" s="978"/>
      <c r="BR8" s="978"/>
      <c r="BS8" s="978"/>
      <c r="BT8" s="978"/>
      <c r="BU8" s="978"/>
      <c r="BV8" s="978"/>
      <c r="BW8" s="978"/>
      <c r="BX8" s="978"/>
      <c r="BY8" s="978"/>
      <c r="BZ8" s="978"/>
      <c r="CA8" s="978"/>
      <c r="CB8" s="978"/>
      <c r="CC8" s="978"/>
      <c r="CD8" s="978"/>
      <c r="CE8" s="978"/>
      <c r="CF8" s="978"/>
      <c r="CG8" s="978"/>
      <c r="CH8" s="978"/>
      <c r="CI8" s="978"/>
      <c r="CJ8" s="978"/>
      <c r="CK8" s="978"/>
      <c r="CL8" s="978"/>
      <c r="CM8" s="978"/>
      <c r="CN8" s="978"/>
      <c r="CO8" s="978"/>
      <c r="CP8" s="978"/>
      <c r="CQ8" s="978"/>
      <c r="CR8" s="978"/>
      <c r="CS8" s="978"/>
      <c r="CT8" s="978"/>
      <c r="CU8" s="978"/>
      <c r="CV8" s="978"/>
      <c r="CW8" s="978"/>
      <c r="CX8" s="978"/>
      <c r="CY8" s="978"/>
      <c r="CZ8" s="978"/>
      <c r="DA8" s="978"/>
      <c r="DB8" s="978"/>
      <c r="DC8" s="978"/>
      <c r="DD8" s="978"/>
      <c r="DE8" s="978"/>
      <c r="DF8" s="978"/>
      <c r="DG8" s="978"/>
      <c r="DH8" s="978"/>
      <c r="DI8" s="978"/>
      <c r="DJ8" s="978"/>
      <c r="DK8" s="978"/>
      <c r="DL8" s="978"/>
      <c r="DM8" s="978"/>
      <c r="DN8" s="978"/>
      <c r="DO8" s="978"/>
      <c r="DP8" s="978"/>
      <c r="DQ8" s="978"/>
      <c r="DR8" s="978"/>
      <c r="DS8" s="978"/>
      <c r="DT8" s="978"/>
      <c r="DU8" s="978"/>
      <c r="DV8" s="978"/>
      <c r="DW8" s="978"/>
      <c r="DX8" s="304"/>
    </row>
    <row r="9" spans="1:128">
      <c r="A9" s="1124"/>
      <c r="B9" s="1379"/>
      <c r="C9" s="1379"/>
      <c r="D9" s="1124"/>
      <c r="E9" s="1124"/>
      <c r="F9" s="304"/>
      <c r="G9" s="459"/>
      <c r="H9" s="459"/>
      <c r="I9" s="459"/>
      <c r="J9" s="459"/>
      <c r="K9" s="459"/>
      <c r="L9" s="459"/>
      <c r="M9" s="459"/>
      <c r="N9" s="459"/>
      <c r="O9" s="459"/>
      <c r="P9" s="459"/>
      <c r="Q9" s="459"/>
      <c r="R9" s="459"/>
      <c r="S9" s="459"/>
      <c r="T9" s="459"/>
      <c r="U9" s="459"/>
      <c r="V9" s="459"/>
      <c r="W9" s="459"/>
      <c r="X9" s="459"/>
      <c r="Y9" s="459"/>
      <c r="Z9" s="459"/>
      <c r="AA9" s="459"/>
      <c r="AB9" s="459"/>
      <c r="AC9" s="459"/>
      <c r="AD9" s="459"/>
      <c r="AE9" s="459"/>
      <c r="AF9" s="459"/>
      <c r="AG9" s="459"/>
      <c r="AH9" s="459"/>
      <c r="AI9" s="459"/>
      <c r="AJ9" s="459"/>
      <c r="AK9" s="459"/>
      <c r="AL9" s="459"/>
      <c r="AM9" s="459"/>
      <c r="AN9" s="459"/>
      <c r="AO9" s="459"/>
      <c r="AP9" s="459"/>
      <c r="AQ9" s="459"/>
      <c r="AR9" s="459"/>
      <c r="AS9" s="459"/>
      <c r="AT9" s="459"/>
      <c r="AU9" s="459"/>
      <c r="AV9" s="459"/>
      <c r="AW9" s="459"/>
      <c r="AX9" s="459"/>
      <c r="AY9" s="459"/>
      <c r="AZ9" s="459"/>
      <c r="BA9" s="459"/>
      <c r="BB9" s="459"/>
      <c r="BC9" s="459"/>
      <c r="BD9" s="459"/>
      <c r="BE9" s="459"/>
      <c r="BF9" s="459"/>
      <c r="BG9" s="459"/>
      <c r="BH9" s="459"/>
      <c r="BI9" s="459"/>
      <c r="BJ9" s="459"/>
      <c r="BK9" s="459"/>
      <c r="BL9" s="459"/>
      <c r="BM9" s="459"/>
      <c r="BN9" s="459"/>
      <c r="BO9" s="459"/>
      <c r="BP9" s="459"/>
      <c r="BQ9" s="459"/>
      <c r="BR9" s="459"/>
      <c r="BS9" s="459"/>
      <c r="BT9" s="459"/>
      <c r="BU9" s="459"/>
      <c r="BV9" s="459"/>
      <c r="BW9" s="459"/>
      <c r="BX9" s="459"/>
      <c r="BY9" s="459"/>
      <c r="BZ9" s="459"/>
      <c r="CA9" s="459"/>
      <c r="CB9" s="459"/>
      <c r="CC9" s="459"/>
      <c r="CD9" s="459"/>
      <c r="CE9" s="459"/>
      <c r="CF9" s="459"/>
      <c r="CG9" s="459"/>
      <c r="CH9" s="459"/>
      <c r="CI9" s="459"/>
      <c r="CJ9" s="459"/>
      <c r="CK9" s="459"/>
      <c r="CL9" s="459"/>
      <c r="CM9" s="459"/>
      <c r="CN9" s="459"/>
      <c r="CO9" s="459"/>
      <c r="CP9" s="459"/>
      <c r="CQ9" s="459"/>
      <c r="CR9" s="459"/>
      <c r="CS9" s="459"/>
      <c r="CT9" s="459"/>
      <c r="CU9" s="459"/>
      <c r="CV9" s="459"/>
      <c r="CW9" s="459"/>
      <c r="CX9" s="459"/>
      <c r="CY9" s="459"/>
      <c r="CZ9" s="459"/>
      <c r="DA9" s="459"/>
      <c r="DB9" s="459"/>
      <c r="DC9" s="459"/>
      <c r="DD9" s="459"/>
      <c r="DE9" s="459"/>
      <c r="DF9" s="459"/>
      <c r="DG9" s="459"/>
      <c r="DH9" s="459"/>
      <c r="DI9" s="459"/>
      <c r="DJ9" s="459"/>
      <c r="DK9" s="459"/>
      <c r="DL9" s="459"/>
      <c r="DM9" s="459"/>
      <c r="DN9" s="459"/>
      <c r="DO9" s="459"/>
      <c r="DP9" s="459"/>
      <c r="DQ9" s="459"/>
      <c r="DR9" s="459"/>
      <c r="DS9" s="459"/>
      <c r="DT9" s="459"/>
      <c r="DU9" s="459"/>
      <c r="DV9" s="459"/>
      <c r="DW9" s="459"/>
      <c r="DX9" s="304"/>
    </row>
    <row r="10" spans="1:128">
      <c r="A10" s="1124" t="s">
        <v>3</v>
      </c>
      <c r="B10" s="927">
        <f ca="1">+SUM(Inputs!$H$375:$H$396)</f>
        <v>0</v>
      </c>
      <c r="C10" s="927"/>
      <c r="D10" s="1124"/>
      <c r="E10" s="1124"/>
      <c r="F10" s="304"/>
      <c r="G10" s="810">
        <f ca="1">-CF!G49+$B10*(G$3=0)</f>
        <v>0</v>
      </c>
      <c r="H10" s="810">
        <f ca="1">-CF!H49+$B10*(H$3=0)</f>
        <v>674.86684791232892</v>
      </c>
      <c r="I10" s="810">
        <f ca="1">-CF!I49+$B10*(I$3=0)</f>
        <v>663.86358408767126</v>
      </c>
      <c r="J10" s="810">
        <f ca="1">-CF!J49+$B10*(J$3=0)</f>
        <v>651.42311099453548</v>
      </c>
      <c r="K10" s="810">
        <f ca="1">-CF!K49+$B10*(K$3=0)</f>
        <v>644.34242500546441</v>
      </c>
      <c r="L10" s="810">
        <f ca="1">-CF!L49+$B10*(L$3=0)</f>
        <v>648.99799153621916</v>
      </c>
      <c r="M10" s="810">
        <f ca="1">-CF!M49+$B10*(M$3=0)</f>
        <v>638.41650254378089</v>
      </c>
      <c r="N10" s="810">
        <f ca="1">-CF!N49+$B10*(N$3=0)</f>
        <v>659.97668437034076</v>
      </c>
      <c r="O10" s="810">
        <f ca="1">-CF!O49+$B10*(O$3=0)</f>
        <v>649.21619495125924</v>
      </c>
      <c r="P10" s="810">
        <f ca="1">-CF!P49+$B10*(P$3=0)</f>
        <v>671.17495106114484</v>
      </c>
      <c r="Q10" s="810">
        <f ca="1">-CF!Q49+$B10*(Q$3=0)</f>
        <v>660.23188120688724</v>
      </c>
      <c r="R10" s="810">
        <f ca="1">-CF!R49+$B10*(R$3=0)</f>
        <v>680.73216345984758</v>
      </c>
      <c r="S10" s="810">
        <f ca="1">-CF!S49+$B10*(S$3=0)</f>
        <v>673.33290081354505</v>
      </c>
      <c r="T10" s="810">
        <f ca="1">-CF!T49+$B10*(T$3=0)</f>
        <v>694.24785975087764</v>
      </c>
      <c r="U10" s="810">
        <f ca="1">-CF!U49+$B10*(U$3=0)</f>
        <v>682.92860116798306</v>
      </c>
      <c r="V10" s="810">
        <f ca="1">-CF!V49+$B10*(V$3=0)</f>
        <v>706.13154994929232</v>
      </c>
      <c r="W10" s="810">
        <f ca="1">-CF!W49+$B10*(W$3=0)</f>
        <v>694.61853554794527</v>
      </c>
      <c r="X10" s="810">
        <f ca="1">-CF!X49+$B10*(X$3=0)</f>
        <v>718.2529139516754</v>
      </c>
      <c r="Y10" s="810">
        <f ca="1">-CF!Y49+$B10*(Y$3=0)</f>
        <v>706.54226861550706</v>
      </c>
      <c r="Z10" s="810">
        <f ca="1">-CF!Z49+$B10*(Z$3=0)</f>
        <v>728.62048472800211</v>
      </c>
      <c r="AA10" s="810">
        <f ca="1">-CF!AA49+$B10*(AA$3=0)</f>
        <v>720.70069685052385</v>
      </c>
      <c r="AB10" s="810">
        <f ca="1">-CF!AB49+$B10*(AB$3=0)</f>
        <v>938.73079498328138</v>
      </c>
      <c r="AC10" s="810">
        <f ca="1">-CF!AC49+$B10*(AC$3=0)</f>
        <v>923.42540158681504</v>
      </c>
      <c r="AD10" s="810">
        <f ca="1">-CF!AD49+$B10*(AD$3=0)</f>
        <v>951.59408343352231</v>
      </c>
      <c r="AE10" s="810">
        <f ca="1">-CF!AE49+$B10*(AE$3=0)</f>
        <v>936.0789625079758</v>
      </c>
      <c r="AF10" s="810">
        <f ca="1">-CF!AF49+$B10*(AF$3=0)</f>
        <v>964.71463765276826</v>
      </c>
      <c r="AG10" s="810">
        <f ca="1">-CF!AG49+$B10*(AG$3=0)</f>
        <v>948.98559464756022</v>
      </c>
      <c r="AH10" s="810">
        <f ca="1">-CF!AH49+$B10*(AH$3=0)</f>
        <v>975.42520513411375</v>
      </c>
      <c r="AI10" s="810">
        <f ca="1">-CF!AI49+$B10*(AI$3=0)</f>
        <v>964.82275725222121</v>
      </c>
      <c r="AJ10" s="810">
        <f ca="1">-CF!AJ49+$B10*(AJ$3=0)</f>
        <v>977.91286010858391</v>
      </c>
      <c r="AK10" s="810">
        <f ca="1">-CF!AK49+$B10*(AK$3=0)</f>
        <v>961.96862869377014</v>
      </c>
      <c r="AL10" s="810">
        <f ca="1">-CF!AL49+$B10*(AL$3=0)</f>
        <v>991.55978986133061</v>
      </c>
      <c r="AM10" s="810">
        <f ca="1">-CF!AM49+$B10*(AM$3=0)</f>
        <v>975.39305415707008</v>
      </c>
      <c r="AN10" s="810">
        <f ca="1">-CF!AN49+$B10*(AN$3=0)</f>
        <v>1005.4796582091328</v>
      </c>
      <c r="AO10" s="810">
        <f ca="1">-CF!AO49+$B10*(AO$3=0)</f>
        <v>989.08596812963606</v>
      </c>
      <c r="AP10" s="810">
        <f ca="1">-CF!AP49+$B10*(AP$3=0)</f>
        <v>1016.8919186672683</v>
      </c>
      <c r="AQ10" s="810">
        <f ca="1">-CF!AQ49+$B10*(AQ$3=0)</f>
        <v>1005.8387456382764</v>
      </c>
      <c r="AR10" s="810">
        <f ca="1">-CF!AR49+$B10*(AR$3=0)</f>
        <v>1034.1601549529439</v>
      </c>
      <c r="AS10" s="810">
        <f ca="1">-CF!AS49+$B10*(AS$3=0)</f>
        <v>1017.2988480787113</v>
      </c>
      <c r="AT10" s="810">
        <f ca="1">-CF!AT49+$B10*(AT$3=0)</f>
        <v>1048.9320306025784</v>
      </c>
      <c r="AU10" s="810">
        <f ca="1">-CF!AU49+$B10*(AU$3=0)</f>
        <v>1031.8298779297104</v>
      </c>
      <c r="AV10" s="810">
        <f ca="1">-CF!AV49+$B10*(AV$3=0)</f>
        <v>1063.9993437652054</v>
      </c>
      <c r="AW10" s="810">
        <f ca="1">-CF!AW49+$B10*(AW$3=0)</f>
        <v>1046.6515283777289</v>
      </c>
      <c r="AX10" s="810">
        <f ca="1">-CF!AX49+$B10*(AX$3=0)</f>
        <v>1076.418910286191</v>
      </c>
      <c r="AY10" s="810">
        <f ca="1">-CF!AY49+$B10*(AY$3=0)</f>
        <v>1064.7187047396019</v>
      </c>
      <c r="AZ10" s="810">
        <f ca="1">-CF!AZ49+$B10*(AZ$3=0)</f>
        <v>1095.0440358054816</v>
      </c>
      <c r="BA10" s="810">
        <f ca="1">-CF!BA49+$B10*(BA$3=0)</f>
        <v>1077.1900569608274</v>
      </c>
      <c r="BB10" s="810">
        <f ca="1">-CF!BB49+$B10*(BB$3=0)</f>
        <v>1111.0335890721667</v>
      </c>
      <c r="BC10" s="810">
        <f ca="1">-CF!BC49+$B10*(BC$3=0)</f>
        <v>1092.9189109894678</v>
      </c>
      <c r="BD10" s="810">
        <f ca="1">-CF!BD49+$B10*(BD$3=0)</f>
        <v>1127.3429334041853</v>
      </c>
      <c r="BE10" s="810">
        <f ca="1">-CF!BE49+$B10*(BE$3=0)</f>
        <v>1108.9623420986823</v>
      </c>
      <c r="BF10" s="810">
        <f ca="1">-CF!BF49+$B10*(BF$3=0)</f>
        <v>1140.8528404025633</v>
      </c>
      <c r="BG10" s="810">
        <f ca="1">-CF!BG49+$B10*(BG$3=0)</f>
        <v>1128.4522660503617</v>
      </c>
      <c r="BH10" s="810">
        <f ca="1">-CF!BH49+$B10*(BH$3=0)</f>
        <v>1160.9467064658768</v>
      </c>
      <c r="BI10" s="810">
        <f ca="1">-CF!BI49+$B10*(BI$3=0)</f>
        <v>1142.0182275561065</v>
      </c>
      <c r="BJ10" s="810">
        <f ca="1">-CF!BJ49+$B10*(BJ$3=0)</f>
        <v>1178.2543131457694</v>
      </c>
      <c r="BK10" s="810">
        <f ca="1">-CF!BK49+$B10*(BK$3=0)</f>
        <v>1159.0436449966533</v>
      </c>
      <c r="BL10" s="810">
        <f ca="1">-CF!BL49+$B10*(BL$3=0)</f>
        <v>1195.9080719592603</v>
      </c>
      <c r="BM10" s="810">
        <f ca="1">-CF!BM49+$B10*(BM$3=0)</f>
        <v>1176.4095707860115</v>
      </c>
      <c r="BN10" s="810">
        <f ca="1">-CF!BN49+$B10*(BN$3=0)</f>
        <v>1210.5981985557173</v>
      </c>
      <c r="BO10" s="810">
        <f ca="1">-CF!BO49+$B10*(BO$3=0)</f>
        <v>1197.4395224844595</v>
      </c>
      <c r="BP10" s="810"/>
      <c r="BQ10" s="810"/>
      <c r="BR10" s="810"/>
      <c r="BS10" s="810"/>
      <c r="BT10" s="810"/>
      <c r="BU10" s="810"/>
      <c r="BV10" s="810"/>
      <c r="BW10" s="810"/>
      <c r="BX10" s="810"/>
      <c r="BY10" s="810"/>
      <c r="BZ10" s="810"/>
      <c r="CA10" s="810"/>
      <c r="CB10" s="810"/>
      <c r="CC10" s="810"/>
      <c r="CD10" s="810"/>
      <c r="CE10" s="810"/>
      <c r="CF10" s="810"/>
      <c r="CG10" s="810"/>
      <c r="CH10" s="810"/>
      <c r="CI10" s="810"/>
      <c r="CJ10" s="810"/>
      <c r="CK10" s="810"/>
      <c r="CL10" s="810"/>
      <c r="CM10" s="810"/>
      <c r="CN10" s="810"/>
      <c r="CO10" s="810"/>
      <c r="CP10" s="810"/>
      <c r="CQ10" s="810"/>
      <c r="CR10" s="810"/>
      <c r="CS10" s="810"/>
      <c r="CT10" s="810"/>
      <c r="CU10" s="810"/>
      <c r="CV10" s="810"/>
      <c r="CW10" s="810"/>
      <c r="CX10" s="810"/>
      <c r="CY10" s="810"/>
      <c r="CZ10" s="810"/>
      <c r="DA10" s="810"/>
      <c r="DB10" s="810"/>
      <c r="DC10" s="810"/>
      <c r="DD10" s="810"/>
      <c r="DE10" s="810"/>
      <c r="DF10" s="810"/>
      <c r="DG10" s="810"/>
      <c r="DH10" s="810"/>
      <c r="DI10" s="810"/>
      <c r="DJ10" s="810"/>
      <c r="DK10" s="810"/>
      <c r="DL10" s="810"/>
      <c r="DM10" s="810"/>
      <c r="DN10" s="810"/>
      <c r="DO10" s="810"/>
      <c r="DP10" s="810"/>
      <c r="DQ10" s="810"/>
      <c r="DR10" s="810"/>
      <c r="DS10" s="810"/>
      <c r="DT10" s="810"/>
      <c r="DU10" s="810"/>
      <c r="DV10" s="810"/>
      <c r="DW10" s="810"/>
      <c r="DX10" s="304"/>
    </row>
    <row r="11" spans="1:128">
      <c r="A11" s="1124" t="s">
        <v>1182</v>
      </c>
      <c r="B11" s="1379"/>
      <c r="C11" s="1379"/>
      <c r="D11" s="1124"/>
      <c r="E11" s="1124"/>
      <c r="F11" s="304"/>
      <c r="G11" s="810">
        <f>-Macro!G46</f>
        <v>0</v>
      </c>
      <c r="H11" s="810">
        <f>-Macro!H46</f>
        <v>0</v>
      </c>
      <c r="I11" s="810">
        <f>-Macro!I46</f>
        <v>0</v>
      </c>
      <c r="J11" s="810">
        <f>-Macro!J46</f>
        <v>0</v>
      </c>
      <c r="K11" s="810">
        <f>-Macro!K46</f>
        <v>0</v>
      </c>
      <c r="L11" s="810">
        <f>-Macro!L46</f>
        <v>0</v>
      </c>
      <c r="M11" s="810">
        <f>-Macro!M46</f>
        <v>0</v>
      </c>
      <c r="N11" s="810">
        <f>-Macro!N46</f>
        <v>0</v>
      </c>
      <c r="O11" s="810">
        <f>-Macro!O46</f>
        <v>0</v>
      </c>
      <c r="P11" s="810">
        <f>-Macro!P46</f>
        <v>0</v>
      </c>
      <c r="Q11" s="810">
        <f>-Macro!Q46</f>
        <v>0</v>
      </c>
      <c r="R11" s="810">
        <f>-Macro!R46</f>
        <v>0</v>
      </c>
      <c r="S11" s="810">
        <f>-Macro!S46</f>
        <v>0</v>
      </c>
      <c r="T11" s="810">
        <f>-Macro!T46</f>
        <v>0</v>
      </c>
      <c r="U11" s="810">
        <f>-Macro!U46</f>
        <v>0</v>
      </c>
      <c r="V11" s="810">
        <f>-Macro!V46</f>
        <v>0</v>
      </c>
      <c r="W11" s="810">
        <f>-Macro!W46</f>
        <v>0</v>
      </c>
      <c r="X11" s="810">
        <f>-Macro!X46</f>
        <v>0</v>
      </c>
      <c r="Y11" s="810">
        <f>-Macro!Y46</f>
        <v>0</v>
      </c>
      <c r="Z11" s="810">
        <f>-Macro!Z46</f>
        <v>0</v>
      </c>
      <c r="AA11" s="810">
        <f>-Macro!AA46</f>
        <v>0</v>
      </c>
      <c r="AB11" s="810">
        <f>-Macro!AB46</f>
        <v>0</v>
      </c>
      <c r="AC11" s="810">
        <f>-Macro!AC46</f>
        <v>0</v>
      </c>
      <c r="AD11" s="810">
        <f>-Macro!AD46</f>
        <v>0</v>
      </c>
      <c r="AE11" s="810">
        <f>-Macro!AE46</f>
        <v>0</v>
      </c>
      <c r="AF11" s="810">
        <f>-Macro!AF46</f>
        <v>0</v>
      </c>
      <c r="AG11" s="810">
        <f>-Macro!AG46</f>
        <v>0</v>
      </c>
      <c r="AH11" s="810">
        <f>-Macro!AH46</f>
        <v>0</v>
      </c>
      <c r="AI11" s="810">
        <f>-Macro!AI46</f>
        <v>0</v>
      </c>
      <c r="AJ11" s="810">
        <f>-Macro!AJ46</f>
        <v>0</v>
      </c>
      <c r="AK11" s="810">
        <f>-Macro!AK46</f>
        <v>0</v>
      </c>
      <c r="AL11" s="810">
        <f>-Macro!AL46</f>
        <v>0</v>
      </c>
      <c r="AM11" s="810">
        <f>-Macro!AM46</f>
        <v>0</v>
      </c>
      <c r="AN11" s="810">
        <f>-Macro!AN46</f>
        <v>0</v>
      </c>
      <c r="AO11" s="810">
        <f>-Macro!AO46</f>
        <v>0</v>
      </c>
      <c r="AP11" s="810">
        <f>-Macro!AP46</f>
        <v>0</v>
      </c>
      <c r="AQ11" s="810">
        <f>-Macro!AQ46</f>
        <v>0</v>
      </c>
      <c r="AR11" s="810">
        <f>-Macro!AR46</f>
        <v>0</v>
      </c>
      <c r="AS11" s="810">
        <f>-Macro!AS46</f>
        <v>0</v>
      </c>
      <c r="AT11" s="810">
        <f>-Macro!AT46</f>
        <v>0</v>
      </c>
      <c r="AU11" s="810">
        <f>-Macro!AU46</f>
        <v>0</v>
      </c>
      <c r="AV11" s="810">
        <f>-Macro!AV46</f>
        <v>0</v>
      </c>
      <c r="AW11" s="810">
        <f>-Macro!AW46</f>
        <v>0</v>
      </c>
      <c r="AX11" s="810">
        <f>-Macro!AX46</f>
        <v>0</v>
      </c>
      <c r="AY11" s="810">
        <f>-Macro!AY46</f>
        <v>0</v>
      </c>
      <c r="AZ11" s="810">
        <f>-Macro!AZ46</f>
        <v>0</v>
      </c>
      <c r="BA11" s="810">
        <f>-Macro!BA46</f>
        <v>0</v>
      </c>
      <c r="BB11" s="810">
        <f>-Macro!BB46</f>
        <v>0</v>
      </c>
      <c r="BC11" s="810">
        <f>-Macro!BC46</f>
        <v>0</v>
      </c>
      <c r="BD11" s="810">
        <f>-Macro!BD46</f>
        <v>0</v>
      </c>
      <c r="BE11" s="810">
        <f>-Macro!BE46</f>
        <v>0</v>
      </c>
      <c r="BF11" s="810">
        <f>-Macro!BF46</f>
        <v>0</v>
      </c>
      <c r="BG11" s="810">
        <f>-Macro!BG46</f>
        <v>0</v>
      </c>
      <c r="BH11" s="810">
        <f>-Macro!BH46</f>
        <v>0</v>
      </c>
      <c r="BI11" s="810">
        <f>-Macro!BI46</f>
        <v>0</v>
      </c>
      <c r="BJ11" s="810">
        <f>-Macro!BJ46</f>
        <v>0</v>
      </c>
      <c r="BK11" s="810">
        <f>-Macro!BK46</f>
        <v>0</v>
      </c>
      <c r="BL11" s="810">
        <f>-Macro!BL46</f>
        <v>0</v>
      </c>
      <c r="BM11" s="810">
        <f>-Macro!BM46</f>
        <v>0</v>
      </c>
      <c r="BN11" s="810">
        <f>-Macro!BN46</f>
        <v>0</v>
      </c>
      <c r="BO11" s="810">
        <f>-Macro!BO46</f>
        <v>0</v>
      </c>
      <c r="BP11" s="810"/>
      <c r="BQ11" s="810"/>
      <c r="BR11" s="810"/>
      <c r="BS11" s="810"/>
      <c r="BT11" s="810"/>
      <c r="BU11" s="810"/>
      <c r="BV11" s="810"/>
      <c r="BW11" s="810"/>
      <c r="BX11" s="810"/>
      <c r="BY11" s="810"/>
      <c r="BZ11" s="810"/>
      <c r="CA11" s="810"/>
      <c r="CB11" s="810"/>
      <c r="CC11" s="810"/>
      <c r="CD11" s="810"/>
      <c r="CE11" s="810"/>
      <c r="CF11" s="810"/>
      <c r="CG11" s="810"/>
      <c r="CH11" s="810"/>
      <c r="CI11" s="810"/>
      <c r="CJ11" s="810"/>
      <c r="CK11" s="810"/>
      <c r="CL11" s="810"/>
      <c r="CM11" s="810"/>
      <c r="CN11" s="810"/>
      <c r="CO11" s="810"/>
      <c r="CP11" s="810"/>
      <c r="CQ11" s="810"/>
      <c r="CR11" s="810"/>
      <c r="CS11" s="810"/>
      <c r="CT11" s="810"/>
      <c r="CU11" s="810"/>
      <c r="CV11" s="810"/>
      <c r="CW11" s="810"/>
      <c r="CX11" s="810"/>
      <c r="CY11" s="810"/>
      <c r="CZ11" s="810"/>
      <c r="DA11" s="810"/>
      <c r="DB11" s="810"/>
      <c r="DC11" s="810"/>
      <c r="DD11" s="810"/>
      <c r="DE11" s="810"/>
      <c r="DF11" s="810"/>
      <c r="DG11" s="810"/>
      <c r="DH11" s="810"/>
      <c r="DI11" s="810"/>
      <c r="DJ11" s="810"/>
      <c r="DK11" s="810"/>
      <c r="DL11" s="810"/>
      <c r="DM11" s="810"/>
      <c r="DN11" s="810"/>
      <c r="DO11" s="810"/>
      <c r="DP11" s="810"/>
      <c r="DQ11" s="810"/>
      <c r="DR11" s="810"/>
      <c r="DS11" s="810"/>
      <c r="DT11" s="810"/>
      <c r="DU11" s="810"/>
      <c r="DV11" s="810"/>
      <c r="DW11" s="810"/>
      <c r="DX11" s="304"/>
    </row>
    <row r="12" spans="1:128">
      <c r="A12" s="1124" t="s">
        <v>1183</v>
      </c>
      <c r="B12" s="1379"/>
      <c r="C12" s="1379"/>
      <c r="D12" s="1124"/>
      <c r="E12" s="1124"/>
      <c r="F12" s="576"/>
      <c r="G12" s="810">
        <f ca="1">-CF!G113</f>
        <v>0</v>
      </c>
      <c r="H12" s="810">
        <f ca="1">-CF!H113</f>
        <v>0</v>
      </c>
      <c r="I12" s="810">
        <f ca="1">-CF!I113</f>
        <v>0</v>
      </c>
      <c r="J12" s="810">
        <f ca="1">-CF!J113</f>
        <v>0</v>
      </c>
      <c r="K12" s="810">
        <f ca="1">-CF!K113</f>
        <v>0</v>
      </c>
      <c r="L12" s="810">
        <f ca="1">-CF!L113</f>
        <v>0</v>
      </c>
      <c r="M12" s="810">
        <f ca="1">-CF!M113</f>
        <v>0</v>
      </c>
      <c r="N12" s="810">
        <f ca="1">-CF!N113</f>
        <v>0</v>
      </c>
      <c r="O12" s="810">
        <f ca="1">-CF!O113</f>
        <v>0</v>
      </c>
      <c r="P12" s="810">
        <f ca="1">-CF!P113</f>
        <v>0</v>
      </c>
      <c r="Q12" s="810">
        <f ca="1">-CF!Q113</f>
        <v>0</v>
      </c>
      <c r="R12" s="810">
        <f ca="1">-CF!R113</f>
        <v>0</v>
      </c>
      <c r="S12" s="810">
        <f ca="1">-CF!S113</f>
        <v>0</v>
      </c>
      <c r="T12" s="810">
        <f ca="1">-CF!T113</f>
        <v>0</v>
      </c>
      <c r="U12" s="810">
        <f ca="1">-CF!U113</f>
        <v>0</v>
      </c>
      <c r="V12" s="810">
        <f ca="1">-CF!V113</f>
        <v>0</v>
      </c>
      <c r="W12" s="810">
        <f ca="1">-CF!W113</f>
        <v>0</v>
      </c>
      <c r="X12" s="810">
        <f ca="1">-CF!X113</f>
        <v>0</v>
      </c>
      <c r="Y12" s="810">
        <f ca="1">-CF!Y113</f>
        <v>0</v>
      </c>
      <c r="Z12" s="810">
        <f ca="1">-CF!Z113</f>
        <v>0</v>
      </c>
      <c r="AA12" s="810">
        <f ca="1">-CF!AA113</f>
        <v>0</v>
      </c>
      <c r="AB12" s="810">
        <f ca="1">-CF!AB113</f>
        <v>0</v>
      </c>
      <c r="AC12" s="810">
        <f ca="1">-CF!AC113</f>
        <v>0</v>
      </c>
      <c r="AD12" s="810">
        <f ca="1">-CF!AD113</f>
        <v>0</v>
      </c>
      <c r="AE12" s="810">
        <f ca="1">-CF!AE113</f>
        <v>0</v>
      </c>
      <c r="AF12" s="810">
        <f ca="1">-CF!AF113</f>
        <v>0</v>
      </c>
      <c r="AG12" s="810">
        <f ca="1">-CF!AG113</f>
        <v>0</v>
      </c>
      <c r="AH12" s="810">
        <f ca="1">-CF!AH113</f>
        <v>0</v>
      </c>
      <c r="AI12" s="810">
        <f ca="1">-CF!AI113</f>
        <v>0</v>
      </c>
      <c r="AJ12" s="810">
        <f ca="1">-CF!AJ113</f>
        <v>0</v>
      </c>
      <c r="AK12" s="810">
        <f ca="1">-CF!AK113</f>
        <v>0</v>
      </c>
      <c r="AL12" s="810">
        <f ca="1">-CF!AL113</f>
        <v>0</v>
      </c>
      <c r="AM12" s="810">
        <f ca="1">-CF!AM113</f>
        <v>0</v>
      </c>
      <c r="AN12" s="810">
        <f ca="1">-CF!AN113</f>
        <v>0</v>
      </c>
      <c r="AO12" s="810">
        <f ca="1">-CF!AO113</f>
        <v>0</v>
      </c>
      <c r="AP12" s="810">
        <f ca="1">-CF!AP113</f>
        <v>0</v>
      </c>
      <c r="AQ12" s="810">
        <f ca="1">-CF!AQ113</f>
        <v>0</v>
      </c>
      <c r="AR12" s="810">
        <f ca="1">-CF!AR113</f>
        <v>0</v>
      </c>
      <c r="AS12" s="810">
        <f ca="1">-CF!AS113</f>
        <v>0</v>
      </c>
      <c r="AT12" s="810">
        <f ca="1">-CF!AT113</f>
        <v>0</v>
      </c>
      <c r="AU12" s="810">
        <f ca="1">-CF!AU113</f>
        <v>0</v>
      </c>
      <c r="AV12" s="810">
        <f ca="1">-CF!AV113</f>
        <v>0</v>
      </c>
      <c r="AW12" s="810">
        <f ca="1">-CF!AW113</f>
        <v>0</v>
      </c>
      <c r="AX12" s="810">
        <f ca="1">-CF!AX113</f>
        <v>0</v>
      </c>
      <c r="AY12" s="810">
        <f ca="1">-CF!AY113</f>
        <v>0</v>
      </c>
      <c r="AZ12" s="810">
        <f ca="1">-CF!AZ113</f>
        <v>0</v>
      </c>
      <c r="BA12" s="810">
        <f ca="1">-CF!BA113</f>
        <v>0</v>
      </c>
      <c r="BB12" s="810">
        <f ca="1">-CF!BB113</f>
        <v>0</v>
      </c>
      <c r="BC12" s="810">
        <f ca="1">-CF!BC113</f>
        <v>0</v>
      </c>
      <c r="BD12" s="810">
        <f ca="1">-CF!BD113</f>
        <v>0</v>
      </c>
      <c r="BE12" s="810">
        <f ca="1">-CF!BE113</f>
        <v>0</v>
      </c>
      <c r="BF12" s="810">
        <f ca="1">-CF!BF113</f>
        <v>0</v>
      </c>
      <c r="BG12" s="810">
        <f ca="1">-CF!BG113</f>
        <v>0</v>
      </c>
      <c r="BH12" s="810">
        <f ca="1">-CF!BH113</f>
        <v>0</v>
      </c>
      <c r="BI12" s="810">
        <f ca="1">-CF!BI113</f>
        <v>0</v>
      </c>
      <c r="BJ12" s="810">
        <f ca="1">-CF!BJ113</f>
        <v>0</v>
      </c>
      <c r="BK12" s="810">
        <f ca="1">-CF!BK113</f>
        <v>0</v>
      </c>
      <c r="BL12" s="810">
        <f ca="1">-CF!BL113</f>
        <v>0</v>
      </c>
      <c r="BM12" s="810">
        <f ca="1">-CF!BM113</f>
        <v>0</v>
      </c>
      <c r="BN12" s="810">
        <f ca="1">-CF!BN113</f>
        <v>0</v>
      </c>
      <c r="BO12" s="810">
        <f ca="1">-CF!BO113</f>
        <v>0</v>
      </c>
      <c r="BP12" s="810"/>
      <c r="BQ12" s="810"/>
      <c r="BR12" s="810"/>
      <c r="BS12" s="810"/>
      <c r="BT12" s="810"/>
      <c r="BU12" s="810"/>
      <c r="BV12" s="810"/>
      <c r="BW12" s="810"/>
      <c r="BX12" s="810"/>
      <c r="BY12" s="810"/>
      <c r="BZ12" s="810"/>
      <c r="CA12" s="810"/>
      <c r="CB12" s="810"/>
      <c r="CC12" s="810"/>
      <c r="CD12" s="810"/>
      <c r="CE12" s="810"/>
      <c r="CF12" s="810"/>
      <c r="CG12" s="810"/>
      <c r="CH12" s="810"/>
      <c r="CI12" s="810"/>
      <c r="CJ12" s="810"/>
      <c r="CK12" s="810"/>
      <c r="CL12" s="810"/>
      <c r="CM12" s="810"/>
      <c r="CN12" s="810"/>
      <c r="CO12" s="810"/>
      <c r="CP12" s="810"/>
      <c r="CQ12" s="810"/>
      <c r="CR12" s="810"/>
      <c r="CS12" s="810"/>
      <c r="CT12" s="810"/>
      <c r="CU12" s="810"/>
      <c r="CV12" s="810"/>
      <c r="CW12" s="810"/>
      <c r="CX12" s="810"/>
      <c r="CY12" s="810"/>
      <c r="CZ12" s="810"/>
      <c r="DA12" s="810"/>
      <c r="DB12" s="810"/>
      <c r="DC12" s="810"/>
      <c r="DD12" s="810"/>
      <c r="DE12" s="810"/>
      <c r="DF12" s="810"/>
      <c r="DG12" s="810"/>
      <c r="DH12" s="810"/>
      <c r="DI12" s="810"/>
      <c r="DJ12" s="810"/>
      <c r="DK12" s="810"/>
      <c r="DL12" s="810"/>
      <c r="DM12" s="810"/>
      <c r="DN12" s="810"/>
      <c r="DO12" s="810"/>
      <c r="DP12" s="810"/>
      <c r="DQ12" s="810"/>
      <c r="DR12" s="810"/>
      <c r="DS12" s="810"/>
      <c r="DT12" s="810"/>
      <c r="DU12" s="810"/>
      <c r="DV12" s="810"/>
      <c r="DW12" s="810"/>
      <c r="DX12" s="304"/>
    </row>
    <row r="13" spans="1:128">
      <c r="A13" s="1124" t="s">
        <v>6</v>
      </c>
      <c r="B13" s="1379"/>
      <c r="C13" s="1379"/>
      <c r="D13" s="1124"/>
      <c r="E13" s="1124"/>
      <c r="F13" s="576"/>
      <c r="G13" s="810">
        <f ca="1">Dep!G30</f>
        <v>0</v>
      </c>
      <c r="H13" s="810">
        <f ca="1">Dep!H30</f>
        <v>1490.6768666010357</v>
      </c>
      <c r="I13" s="810">
        <f ca="1">Dep!I30</f>
        <v>1466.3723524716709</v>
      </c>
      <c r="J13" s="810">
        <f ca="1">Dep!J30</f>
        <v>1486.6039789873716</v>
      </c>
      <c r="K13" s="810">
        <f ca="1">Dep!K30</f>
        <v>1470.4452400853349</v>
      </c>
      <c r="L13" s="810">
        <f ca="1">Dep!L30</f>
        <v>1490.6768666010357</v>
      </c>
      <c r="M13" s="810">
        <f ca="1">Dep!M30</f>
        <v>1466.3723524716709</v>
      </c>
      <c r="N13" s="810">
        <f ca="1">Dep!N30</f>
        <v>1490.6768666010357</v>
      </c>
      <c r="O13" s="810">
        <f ca="1">Dep!O30</f>
        <v>1466.3723524716709</v>
      </c>
      <c r="P13" s="810">
        <f ca="1">Dep!P30</f>
        <v>1490.6768666010357</v>
      </c>
      <c r="Q13" s="810">
        <f ca="1">Dep!Q30</f>
        <v>1466.3723524716709</v>
      </c>
      <c r="R13" s="810">
        <f ca="1">Dep!R30</f>
        <v>1486.6039789873716</v>
      </c>
      <c r="S13" s="810">
        <f ca="1">Dep!S30</f>
        <v>1470.4452400853349</v>
      </c>
      <c r="T13" s="810">
        <f ca="1">Dep!T30</f>
        <v>1490.6768666010357</v>
      </c>
      <c r="U13" s="810">
        <f ca="1">Dep!U30</f>
        <v>1466.3723524716709</v>
      </c>
      <c r="V13" s="810">
        <f ca="1">Dep!V30</f>
        <v>1490.6768666010357</v>
      </c>
      <c r="W13" s="810">
        <f ca="1">Dep!W30</f>
        <v>1466.3723524716709</v>
      </c>
      <c r="X13" s="810">
        <f ca="1">Dep!X30</f>
        <v>1490.6768666010357</v>
      </c>
      <c r="Y13" s="810">
        <f ca="1">Dep!Y30</f>
        <v>1466.3723524716709</v>
      </c>
      <c r="Z13" s="810">
        <f ca="1">Dep!Z30</f>
        <v>1486.6039789873716</v>
      </c>
      <c r="AA13" s="810">
        <f ca="1">Dep!AA30</f>
        <v>1470.4452400853349</v>
      </c>
      <c r="AB13" s="810">
        <f ca="1">Dep!AB30</f>
        <v>1490.6768666010357</v>
      </c>
      <c r="AC13" s="810">
        <f ca="1">Dep!AC30</f>
        <v>1466.3723524716709</v>
      </c>
      <c r="AD13" s="810">
        <f ca="1">Dep!AD30</f>
        <v>1490.6768666010357</v>
      </c>
      <c r="AE13" s="810">
        <f ca="1">Dep!AE30</f>
        <v>1466.3723524716709</v>
      </c>
      <c r="AF13" s="810">
        <f ca="1">Dep!AF30</f>
        <v>1417.0811689195659</v>
      </c>
      <c r="AG13" s="810">
        <f ca="1">Dep!AG30</f>
        <v>1393.9765846437033</v>
      </c>
      <c r="AH13" s="810">
        <f ca="1">Dep!AH30</f>
        <v>1413.2093624471079</v>
      </c>
      <c r="AI13" s="810">
        <f ca="1">Dep!AI30</f>
        <v>1397.8483911161613</v>
      </c>
      <c r="AJ13" s="810">
        <f ca="1">Dep!AJ30</f>
        <v>1417.0811689195659</v>
      </c>
      <c r="AK13" s="810">
        <f ca="1">Dep!AK30</f>
        <v>1393.9765846437033</v>
      </c>
      <c r="AL13" s="810">
        <f ca="1">Dep!AL30</f>
        <v>1417.0811689195659</v>
      </c>
      <c r="AM13" s="810">
        <f ca="1">Dep!AM30</f>
        <v>1393.9765846437033</v>
      </c>
      <c r="AN13" s="810">
        <f ca="1">Dep!AN30</f>
        <v>1417.0811689195659</v>
      </c>
      <c r="AO13" s="810">
        <f ca="1">Dep!AO30</f>
        <v>1393.9765846437033</v>
      </c>
      <c r="AP13" s="810">
        <f ca="1">Dep!AP30</f>
        <v>1413.2093624471079</v>
      </c>
      <c r="AQ13" s="810">
        <f ca="1">Dep!AQ30</f>
        <v>1397.8483911161613</v>
      </c>
      <c r="AR13" s="810">
        <f ca="1">Dep!AR30</f>
        <v>1417.0811689195659</v>
      </c>
      <c r="AS13" s="810">
        <f ca="1">Dep!AS30</f>
        <v>1393.9765846437033</v>
      </c>
      <c r="AT13" s="810">
        <f ca="1">Dep!AT30</f>
        <v>1417.0811689195659</v>
      </c>
      <c r="AU13" s="810">
        <f ca="1">Dep!AU30</f>
        <v>1393.9765846437033</v>
      </c>
      <c r="AV13" s="810">
        <f ca="1">Dep!AV30</f>
        <v>0</v>
      </c>
      <c r="AW13" s="810">
        <f ca="1">Dep!AW30</f>
        <v>0</v>
      </c>
      <c r="AX13" s="810">
        <f ca="1">Dep!AX30</f>
        <v>0</v>
      </c>
      <c r="AY13" s="810">
        <f ca="1">Dep!AY30</f>
        <v>0</v>
      </c>
      <c r="AZ13" s="810">
        <f ca="1">Dep!AZ30</f>
        <v>0</v>
      </c>
      <c r="BA13" s="810">
        <f ca="1">Dep!BA30</f>
        <v>0</v>
      </c>
      <c r="BB13" s="810">
        <f ca="1">Dep!BB30</f>
        <v>0</v>
      </c>
      <c r="BC13" s="810">
        <f ca="1">Dep!BC30</f>
        <v>0</v>
      </c>
      <c r="BD13" s="810">
        <f ca="1">Dep!BD30</f>
        <v>0</v>
      </c>
      <c r="BE13" s="810">
        <f ca="1">Dep!BE30</f>
        <v>0</v>
      </c>
      <c r="BF13" s="810">
        <f ca="1">Dep!BF30</f>
        <v>0</v>
      </c>
      <c r="BG13" s="810">
        <f ca="1">Dep!BG30</f>
        <v>0</v>
      </c>
      <c r="BH13" s="810">
        <f ca="1">Dep!BH30</f>
        <v>0</v>
      </c>
      <c r="BI13" s="810">
        <f ca="1">Dep!BI30</f>
        <v>0</v>
      </c>
      <c r="BJ13" s="810">
        <f ca="1">Dep!BJ30</f>
        <v>0</v>
      </c>
      <c r="BK13" s="810">
        <f ca="1">Dep!BK30</f>
        <v>0</v>
      </c>
      <c r="BL13" s="810">
        <f ca="1">Dep!BL30</f>
        <v>0</v>
      </c>
      <c r="BM13" s="810">
        <f ca="1">Dep!BM30</f>
        <v>0</v>
      </c>
      <c r="BN13" s="810">
        <f ca="1">Dep!BN30</f>
        <v>0</v>
      </c>
      <c r="BO13" s="810">
        <f ca="1">Dep!BO30</f>
        <v>0</v>
      </c>
      <c r="BP13" s="810"/>
      <c r="BQ13" s="810"/>
      <c r="BR13" s="810"/>
      <c r="BS13" s="810"/>
      <c r="BT13" s="810"/>
      <c r="BU13" s="810"/>
      <c r="BV13" s="810"/>
      <c r="BW13" s="810"/>
      <c r="BX13" s="810"/>
      <c r="BY13" s="810"/>
      <c r="BZ13" s="810"/>
      <c r="CA13" s="810"/>
      <c r="CB13" s="810"/>
      <c r="CC13" s="810"/>
      <c r="CD13" s="810"/>
      <c r="CE13" s="810"/>
      <c r="CF13" s="810"/>
      <c r="CG13" s="810"/>
      <c r="CH13" s="810"/>
      <c r="CI13" s="810"/>
      <c r="CJ13" s="810"/>
      <c r="CK13" s="810"/>
      <c r="CL13" s="810"/>
      <c r="CM13" s="810"/>
      <c r="CN13" s="810"/>
      <c r="CO13" s="810"/>
      <c r="CP13" s="810"/>
      <c r="CQ13" s="810"/>
      <c r="CR13" s="810"/>
      <c r="CS13" s="810"/>
      <c r="CT13" s="810"/>
      <c r="CU13" s="810"/>
      <c r="CV13" s="810"/>
      <c r="CW13" s="810"/>
      <c r="CX13" s="810"/>
      <c r="CY13" s="810"/>
      <c r="CZ13" s="810"/>
      <c r="DA13" s="810"/>
      <c r="DB13" s="810"/>
      <c r="DC13" s="810"/>
      <c r="DD13" s="810"/>
      <c r="DE13" s="810"/>
      <c r="DF13" s="810"/>
      <c r="DG13" s="810"/>
      <c r="DH13" s="810"/>
      <c r="DI13" s="810"/>
      <c r="DJ13" s="810"/>
      <c r="DK13" s="810"/>
      <c r="DL13" s="810"/>
      <c r="DM13" s="810"/>
      <c r="DN13" s="810"/>
      <c r="DO13" s="810"/>
      <c r="DP13" s="810"/>
      <c r="DQ13" s="810"/>
      <c r="DR13" s="810"/>
      <c r="DS13" s="810"/>
      <c r="DT13" s="810"/>
      <c r="DU13" s="810"/>
      <c r="DV13" s="810"/>
      <c r="DW13" s="810"/>
      <c r="DX13" s="304"/>
    </row>
    <row r="14" spans="1:128">
      <c r="A14" s="1380" t="s">
        <v>1184</v>
      </c>
      <c r="B14" s="1381"/>
      <c r="C14" s="1381"/>
      <c r="D14" s="1380"/>
      <c r="E14" s="1380"/>
      <c r="F14" s="344"/>
      <c r="G14" s="575">
        <f ca="1">SUM(G10:G13)</f>
        <v>0</v>
      </c>
      <c r="H14" s="575">
        <f ca="1">SUM(H10:H13)</f>
        <v>2165.5437145133646</v>
      </c>
      <c r="I14" s="575">
        <f t="shared" ref="I14:BO14" ca="1" si="0">SUM(I10:I13)</f>
        <v>2130.235936559342</v>
      </c>
      <c r="J14" s="575">
        <f t="shared" ca="1" si="0"/>
        <v>2138.027089981907</v>
      </c>
      <c r="K14" s="575">
        <f t="shared" ca="1" si="0"/>
        <v>2114.7876650907992</v>
      </c>
      <c r="L14" s="575">
        <f t="shared" ca="1" si="0"/>
        <v>2139.6748581372549</v>
      </c>
      <c r="M14" s="575">
        <f t="shared" ca="1" si="0"/>
        <v>2104.7888550154516</v>
      </c>
      <c r="N14" s="575">
        <f t="shared" ca="1" si="0"/>
        <v>2150.6535509713767</v>
      </c>
      <c r="O14" s="575">
        <f t="shared" ca="1" si="0"/>
        <v>2115.5885474229299</v>
      </c>
      <c r="P14" s="575">
        <f t="shared" ca="1" si="0"/>
        <v>2161.8518176621806</v>
      </c>
      <c r="Q14" s="575">
        <f t="shared" ca="1" si="0"/>
        <v>2126.6042336785581</v>
      </c>
      <c r="R14" s="575">
        <f t="shared" ca="1" si="0"/>
        <v>2167.3361424472191</v>
      </c>
      <c r="S14" s="575">
        <f t="shared" ca="1" si="0"/>
        <v>2143.7781408988799</v>
      </c>
      <c r="T14" s="575">
        <f t="shared" ca="1" si="0"/>
        <v>2184.9247263519133</v>
      </c>
      <c r="U14" s="575">
        <f t="shared" ca="1" si="0"/>
        <v>2149.3009536396539</v>
      </c>
      <c r="V14" s="575">
        <f t="shared" ca="1" si="0"/>
        <v>2196.8084165503278</v>
      </c>
      <c r="W14" s="575">
        <f t="shared" ca="1" si="0"/>
        <v>2160.9908880196162</v>
      </c>
      <c r="X14" s="575">
        <f t="shared" ca="1" si="0"/>
        <v>2208.9297805527112</v>
      </c>
      <c r="Y14" s="575">
        <f ca="1">SUM(Y10:Y13)</f>
        <v>2172.9146210871777</v>
      </c>
      <c r="Z14" s="575">
        <f t="shared" ca="1" si="0"/>
        <v>2215.2244637153735</v>
      </c>
      <c r="AA14" s="575">
        <f t="shared" ca="1" si="0"/>
        <v>2191.145936935859</v>
      </c>
      <c r="AB14" s="575">
        <f t="shared" ca="1" si="0"/>
        <v>2429.4076615843169</v>
      </c>
      <c r="AC14" s="575">
        <f t="shared" ca="1" si="0"/>
        <v>2389.7977540584861</v>
      </c>
      <c r="AD14" s="575">
        <f t="shared" ca="1" si="0"/>
        <v>2442.2709500345582</v>
      </c>
      <c r="AE14" s="575">
        <f t="shared" ca="1" si="0"/>
        <v>2402.4513149796467</v>
      </c>
      <c r="AF14" s="575">
        <f t="shared" ca="1" si="0"/>
        <v>2381.7958065723342</v>
      </c>
      <c r="AG14" s="575">
        <f t="shared" ca="1" si="0"/>
        <v>2342.9621792912635</v>
      </c>
      <c r="AH14" s="575">
        <f t="shared" ca="1" si="0"/>
        <v>2388.6345675812217</v>
      </c>
      <c r="AI14" s="575">
        <f t="shared" ca="1" si="0"/>
        <v>2362.6711483683825</v>
      </c>
      <c r="AJ14" s="575">
        <f t="shared" ca="1" si="0"/>
        <v>2394.9940290281497</v>
      </c>
      <c r="AK14" s="575">
        <f t="shared" ca="1" si="0"/>
        <v>2355.9452133374734</v>
      </c>
      <c r="AL14" s="575">
        <f t="shared" ca="1" si="0"/>
        <v>2408.6409587808967</v>
      </c>
      <c r="AM14" s="575">
        <f t="shared" ca="1" si="0"/>
        <v>2369.3696388007734</v>
      </c>
      <c r="AN14" s="575">
        <f t="shared" ca="1" si="0"/>
        <v>2422.5608271286987</v>
      </c>
      <c r="AO14" s="575">
        <f t="shared" ca="1" si="0"/>
        <v>2383.0625527733391</v>
      </c>
      <c r="AP14" s="575">
        <f t="shared" ca="1" si="0"/>
        <v>2430.1012811143764</v>
      </c>
      <c r="AQ14" s="575">
        <f t="shared" ca="1" si="0"/>
        <v>2403.6871367544377</v>
      </c>
      <c r="AR14" s="575">
        <f t="shared" ca="1" si="0"/>
        <v>2451.2413238725098</v>
      </c>
      <c r="AS14" s="575">
        <f t="shared" ca="1" si="0"/>
        <v>2411.2754327224147</v>
      </c>
      <c r="AT14" s="575">
        <f t="shared" ca="1" si="0"/>
        <v>2466.0131995221445</v>
      </c>
      <c r="AU14" s="575">
        <f t="shared" ca="1" si="0"/>
        <v>2425.8064625734137</v>
      </c>
      <c r="AV14" s="575">
        <f t="shared" ca="1" si="0"/>
        <v>1063.9993437652054</v>
      </c>
      <c r="AW14" s="575">
        <f t="shared" ca="1" si="0"/>
        <v>1046.6515283777289</v>
      </c>
      <c r="AX14" s="575">
        <f t="shared" ca="1" si="0"/>
        <v>1076.418910286191</v>
      </c>
      <c r="AY14" s="575">
        <f t="shared" ca="1" si="0"/>
        <v>1064.7187047396019</v>
      </c>
      <c r="AZ14" s="575">
        <f t="shared" ca="1" si="0"/>
        <v>1095.0440358054816</v>
      </c>
      <c r="BA14" s="575">
        <f t="shared" ca="1" si="0"/>
        <v>1077.1900569608274</v>
      </c>
      <c r="BB14" s="575">
        <f t="shared" ca="1" si="0"/>
        <v>1111.0335890721667</v>
      </c>
      <c r="BC14" s="575">
        <f t="shared" ca="1" si="0"/>
        <v>1092.9189109894678</v>
      </c>
      <c r="BD14" s="575">
        <f t="shared" ca="1" si="0"/>
        <v>1127.3429334041853</v>
      </c>
      <c r="BE14" s="575">
        <f t="shared" ca="1" si="0"/>
        <v>1108.9623420986823</v>
      </c>
      <c r="BF14" s="575">
        <f t="shared" ca="1" si="0"/>
        <v>1140.8528404025633</v>
      </c>
      <c r="BG14" s="575">
        <f t="shared" ca="1" si="0"/>
        <v>1128.4522660503617</v>
      </c>
      <c r="BH14" s="575">
        <f t="shared" ca="1" si="0"/>
        <v>1160.9467064658768</v>
      </c>
      <c r="BI14" s="575">
        <f t="shared" ca="1" si="0"/>
        <v>1142.0182275561065</v>
      </c>
      <c r="BJ14" s="575">
        <f t="shared" ca="1" si="0"/>
        <v>1178.2543131457694</v>
      </c>
      <c r="BK14" s="575">
        <f t="shared" ca="1" si="0"/>
        <v>1159.0436449966533</v>
      </c>
      <c r="BL14" s="575">
        <f t="shared" ca="1" si="0"/>
        <v>1195.9080719592603</v>
      </c>
      <c r="BM14" s="575">
        <f t="shared" ca="1" si="0"/>
        <v>1176.4095707860115</v>
      </c>
      <c r="BN14" s="575">
        <f t="shared" ca="1" si="0"/>
        <v>1210.5981985557173</v>
      </c>
      <c r="BO14" s="575">
        <f t="shared" ca="1" si="0"/>
        <v>1197.4395224844595</v>
      </c>
      <c r="BP14" s="575"/>
      <c r="BQ14" s="575"/>
      <c r="BR14" s="575"/>
      <c r="BS14" s="575"/>
      <c r="BT14" s="575"/>
      <c r="BU14" s="575"/>
      <c r="BV14" s="575"/>
      <c r="BW14" s="575"/>
      <c r="BX14" s="575"/>
      <c r="BY14" s="575"/>
      <c r="BZ14" s="575"/>
      <c r="CA14" s="575"/>
      <c r="CB14" s="575"/>
      <c r="CC14" s="575"/>
      <c r="CD14" s="575"/>
      <c r="CE14" s="575"/>
      <c r="CF14" s="575"/>
      <c r="CG14" s="575"/>
      <c r="CH14" s="575"/>
      <c r="CI14" s="575"/>
      <c r="CJ14" s="575"/>
      <c r="CK14" s="575"/>
      <c r="CL14" s="575"/>
      <c r="CM14" s="575"/>
      <c r="CN14" s="575"/>
      <c r="CO14" s="575"/>
      <c r="CP14" s="575"/>
      <c r="CQ14" s="575"/>
      <c r="CR14" s="575"/>
      <c r="CS14" s="575"/>
      <c r="CT14" s="575"/>
      <c r="CU14" s="575"/>
      <c r="CV14" s="575"/>
      <c r="CW14" s="575"/>
      <c r="CX14" s="575"/>
      <c r="CY14" s="575"/>
      <c r="CZ14" s="575"/>
      <c r="DA14" s="575"/>
      <c r="DB14" s="575"/>
      <c r="DC14" s="575"/>
      <c r="DD14" s="575"/>
      <c r="DE14" s="575"/>
      <c r="DF14" s="575"/>
      <c r="DG14" s="575"/>
      <c r="DH14" s="575"/>
      <c r="DI14" s="575"/>
      <c r="DJ14" s="575"/>
      <c r="DK14" s="575"/>
      <c r="DL14" s="575"/>
      <c r="DM14" s="575"/>
      <c r="DN14" s="575"/>
      <c r="DO14" s="575"/>
      <c r="DP14" s="575"/>
      <c r="DQ14" s="575"/>
      <c r="DR14" s="575"/>
      <c r="DS14" s="575"/>
      <c r="DT14" s="575"/>
      <c r="DU14" s="575"/>
      <c r="DV14" s="575"/>
      <c r="DW14" s="575"/>
      <c r="DX14" s="304"/>
    </row>
    <row r="15" spans="1:128">
      <c r="A15" s="1382"/>
      <c r="B15" s="1383"/>
      <c r="C15" s="1383"/>
      <c r="D15" s="1382"/>
      <c r="E15" s="1382"/>
      <c r="F15" s="576"/>
      <c r="G15" s="459"/>
      <c r="H15" s="459"/>
      <c r="I15" s="459"/>
      <c r="J15" s="459"/>
      <c r="K15" s="459"/>
      <c r="L15" s="459"/>
      <c r="M15" s="459"/>
      <c r="N15" s="459"/>
      <c r="O15" s="459"/>
      <c r="P15" s="459"/>
      <c r="Q15" s="459"/>
      <c r="R15" s="459"/>
      <c r="S15" s="459"/>
      <c r="T15" s="459"/>
      <c r="U15" s="459"/>
      <c r="V15" s="459"/>
      <c r="W15" s="459"/>
      <c r="X15" s="459"/>
      <c r="Y15" s="459"/>
      <c r="Z15" s="459"/>
      <c r="AA15" s="459"/>
      <c r="AB15" s="459"/>
      <c r="AC15" s="459"/>
      <c r="AD15" s="459"/>
      <c r="AE15" s="459"/>
      <c r="AF15" s="459"/>
      <c r="AG15" s="459"/>
      <c r="AH15" s="459"/>
      <c r="AI15" s="459"/>
      <c r="AJ15" s="459"/>
      <c r="AK15" s="459"/>
      <c r="AL15" s="459"/>
      <c r="AM15" s="459"/>
      <c r="AN15" s="459"/>
      <c r="AO15" s="459"/>
      <c r="AP15" s="459"/>
      <c r="AQ15" s="459"/>
      <c r="AR15" s="459"/>
      <c r="AS15" s="459"/>
      <c r="AT15" s="459"/>
      <c r="AU15" s="459"/>
      <c r="AV15" s="459"/>
      <c r="AW15" s="459"/>
      <c r="AX15" s="459"/>
      <c r="AY15" s="459"/>
      <c r="AZ15" s="459"/>
      <c r="BA15" s="459"/>
      <c r="BB15" s="459"/>
      <c r="BC15" s="459"/>
      <c r="BD15" s="459"/>
      <c r="BE15" s="459"/>
      <c r="BF15" s="459"/>
      <c r="BG15" s="459"/>
      <c r="BH15" s="459"/>
      <c r="BI15" s="459"/>
      <c r="BJ15" s="459"/>
      <c r="BK15" s="459"/>
      <c r="BL15" s="459"/>
      <c r="BM15" s="459"/>
      <c r="BN15" s="459"/>
      <c r="BO15" s="459"/>
      <c r="BP15" s="459"/>
      <c r="BQ15" s="459"/>
      <c r="BR15" s="459"/>
      <c r="BS15" s="459"/>
      <c r="BT15" s="459"/>
      <c r="BU15" s="459"/>
      <c r="BV15" s="459"/>
      <c r="BW15" s="459"/>
      <c r="BX15" s="459"/>
      <c r="BY15" s="459"/>
      <c r="BZ15" s="459"/>
      <c r="CA15" s="459"/>
      <c r="CB15" s="459"/>
      <c r="CC15" s="459"/>
      <c r="CD15" s="459"/>
      <c r="CE15" s="459"/>
      <c r="CF15" s="459"/>
      <c r="CG15" s="459"/>
      <c r="CH15" s="459"/>
      <c r="CI15" s="459"/>
      <c r="CJ15" s="459"/>
      <c r="CK15" s="459"/>
      <c r="CL15" s="459"/>
      <c r="CM15" s="459"/>
      <c r="CN15" s="459"/>
      <c r="CO15" s="459"/>
      <c r="CP15" s="459"/>
      <c r="CQ15" s="459"/>
      <c r="CR15" s="459"/>
      <c r="CS15" s="459"/>
      <c r="CT15" s="459"/>
      <c r="CU15" s="459"/>
      <c r="CV15" s="459"/>
      <c r="CW15" s="459"/>
      <c r="CX15" s="459"/>
      <c r="CY15" s="459"/>
      <c r="CZ15" s="459"/>
      <c r="DA15" s="459"/>
      <c r="DB15" s="459"/>
      <c r="DC15" s="459"/>
      <c r="DD15" s="459"/>
      <c r="DE15" s="459"/>
      <c r="DF15" s="459"/>
      <c r="DG15" s="459"/>
      <c r="DH15" s="459"/>
      <c r="DI15" s="459"/>
      <c r="DJ15" s="459"/>
      <c r="DK15" s="459"/>
      <c r="DL15" s="459"/>
      <c r="DM15" s="459"/>
      <c r="DN15" s="459"/>
      <c r="DO15" s="459"/>
      <c r="DP15" s="459"/>
      <c r="DQ15" s="459"/>
      <c r="DR15" s="459"/>
      <c r="DS15" s="459"/>
      <c r="DT15" s="459"/>
      <c r="DU15" s="459"/>
      <c r="DV15" s="459"/>
      <c r="DW15" s="459"/>
      <c r="DX15" s="304"/>
    </row>
    <row r="16" spans="1:128">
      <c r="A16" s="861" t="s">
        <v>1185</v>
      </c>
      <c r="B16" s="862"/>
      <c r="C16" s="862"/>
      <c r="D16" s="864"/>
      <c r="E16" s="864"/>
      <c r="F16" s="863"/>
      <c r="G16" s="534">
        <f ca="1">G8-G14</f>
        <v>0</v>
      </c>
      <c r="H16" s="534">
        <f ca="1">H8-H14</f>
        <v>1084.3265581814735</v>
      </c>
      <c r="I16" s="534">
        <f t="shared" ref="I16:BO16" ca="1" si="1">I8-I14</f>
        <v>1066.6473208198199</v>
      </c>
      <c r="J16" s="534">
        <f t="shared" ca="1" si="1"/>
        <v>1089.9997923554738</v>
      </c>
      <c r="K16" s="534">
        <f t="shared" ca="1" si="1"/>
        <v>1140.3733562575344</v>
      </c>
      <c r="L16" s="534">
        <f t="shared" ca="1" si="1"/>
        <v>1147.0736224648144</v>
      </c>
      <c r="M16" s="534">
        <f t="shared" ca="1" si="1"/>
        <v>1191.4082008213454</v>
      </c>
      <c r="N16" s="534">
        <f t="shared" ca="1" si="1"/>
        <v>1186.7732846135677</v>
      </c>
      <c r="O16" s="534">
        <f t="shared" ca="1" si="1"/>
        <v>1231.4641327714635</v>
      </c>
      <c r="P16" s="534">
        <f t="shared" ca="1" si="1"/>
        <v>1227.0667590402795</v>
      </c>
      <c r="Q16" s="534">
        <f t="shared" ca="1" si="1"/>
        <v>1272.1201717442882</v>
      </c>
      <c r="R16" s="534">
        <f t="shared" ca="1" si="1"/>
        <v>1264.4981984024248</v>
      </c>
      <c r="S16" s="534">
        <f t="shared" ca="1" si="1"/>
        <v>1317.0329254075577</v>
      </c>
      <c r="T16" s="534">
        <f t="shared" ca="1" si="1"/>
        <v>1309.469387866714</v>
      </c>
      <c r="U16" s="534">
        <f t="shared" ca="1" si="1"/>
        <v>1355.2672770157269</v>
      </c>
      <c r="V16" s="534">
        <f t="shared" ca="1" si="1"/>
        <v>1351.5959603713727</v>
      </c>
      <c r="W16" s="534">
        <f t="shared" ca="1" si="1"/>
        <v>1397.7759983311289</v>
      </c>
      <c r="X16" s="534">
        <f t="shared" ca="1" si="1"/>
        <v>1394.3511844206755</v>
      </c>
      <c r="Y16" s="534">
        <f t="shared" ca="1" si="1"/>
        <v>1440.9201398397499</v>
      </c>
      <c r="Z16" s="534">
        <f t="shared" ca="1" si="1"/>
        <v>1433.8158100170335</v>
      </c>
      <c r="AA16" s="534">
        <f t="shared" ca="1" si="1"/>
        <v>1488.8326557098221</v>
      </c>
      <c r="AB16" s="534">
        <f t="shared" ca="1" si="1"/>
        <v>1286.2807386830054</v>
      </c>
      <c r="AC16" s="534">
        <f t="shared" ca="1" si="1"/>
        <v>1336.8358824974471</v>
      </c>
      <c r="AD16" s="534">
        <f t="shared" ca="1" si="1"/>
        <v>1330.9764906824939</v>
      </c>
      <c r="AE16" s="534">
        <f t="shared" ca="1" si="1"/>
        <v>1381.9416110390766</v>
      </c>
      <c r="AF16" s="534">
        <f t="shared" ca="1" si="1"/>
        <v>1575.4436042841858</v>
      </c>
      <c r="AG16" s="534">
        <f t="shared" ca="1" si="1"/>
        <v>1585.9273192493879</v>
      </c>
      <c r="AH16" s="534">
        <f t="shared" ca="1" si="1"/>
        <v>1578.5296664419966</v>
      </c>
      <c r="AI16" s="534">
        <f t="shared" ca="1" si="1"/>
        <v>1571.6123877959362</v>
      </c>
      <c r="AJ16" s="534">
        <f t="shared" ca="1" si="1"/>
        <v>1577.4670412354681</v>
      </c>
      <c r="AK16" s="534">
        <f t="shared" ca="1" si="1"/>
        <v>1454.6514976833696</v>
      </c>
      <c r="AL16" s="534">
        <f t="shared" ca="1" si="1"/>
        <v>1449.6197906584607</v>
      </c>
      <c r="AM16" s="534">
        <f t="shared" ca="1" si="1"/>
        <v>1510.3949226278764</v>
      </c>
      <c r="AN16" s="534">
        <f t="shared" ca="1" si="1"/>
        <v>1505.7329440627941</v>
      </c>
      <c r="AO16" s="534">
        <f t="shared" ca="1" si="1"/>
        <v>1565.6133947297631</v>
      </c>
      <c r="AP16" s="534">
        <f t="shared" ca="1" si="1"/>
        <v>1557.0421589087355</v>
      </c>
      <c r="AQ16" s="534">
        <f t="shared" ca="1" si="1"/>
        <v>1623.951292035727</v>
      </c>
      <c r="AR16" s="534">
        <f t="shared" ca="1" si="1"/>
        <v>1615.4805370194226</v>
      </c>
      <c r="AS16" s="534">
        <f t="shared" ca="1" si="1"/>
        <v>1673.5913780550563</v>
      </c>
      <c r="AT16" s="534">
        <f t="shared" ca="1" si="1"/>
        <v>1669.9482988774262</v>
      </c>
      <c r="AU16" s="534">
        <f t="shared" ca="1" si="1"/>
        <v>1727.1868487828265</v>
      </c>
      <c r="AV16" s="534">
        <f t="shared" ca="1" si="1"/>
        <v>3140.9408010546294</v>
      </c>
      <c r="AW16" s="534">
        <f t="shared" ca="1" si="1"/>
        <v>3198.290119429209</v>
      </c>
      <c r="AX16" s="534">
        <f t="shared" ca="1" si="1"/>
        <v>3209.8764123362625</v>
      </c>
      <c r="AY16" s="534">
        <f t="shared" ca="1" si="1"/>
        <v>3259.75685380508</v>
      </c>
      <c r="AZ16" s="534">
        <f t="shared" ca="1" si="1"/>
        <v>3271.3954055098061</v>
      </c>
      <c r="BA16" s="534">
        <f t="shared" ca="1" si="1"/>
        <v>3301.6885346562226</v>
      </c>
      <c r="BB16" s="534">
        <f t="shared" ca="1" si="1"/>
        <v>3322.6172739891977</v>
      </c>
      <c r="BC16" s="534">
        <f t="shared" ca="1" si="1"/>
        <v>3377.8210021311015</v>
      </c>
      <c r="BD16" s="534">
        <f t="shared" ca="1" si="1"/>
        <v>3399.3182789611615</v>
      </c>
      <c r="BE16" s="534">
        <f t="shared" ca="1" si="1"/>
        <v>3427.5563610880558</v>
      </c>
      <c r="BF16" s="534">
        <f t="shared" ca="1" si="1"/>
        <v>3439.8600437202099</v>
      </c>
      <c r="BG16" s="534">
        <f t="shared" ca="1" si="1"/>
        <v>3471.591056177409</v>
      </c>
      <c r="BH16" s="534">
        <f t="shared" ca="1" si="1"/>
        <v>3483.7345553456325</v>
      </c>
      <c r="BI16" s="534">
        <f t="shared" ca="1" si="1"/>
        <v>3493.3170694498012</v>
      </c>
      <c r="BJ16" s="534">
        <f t="shared" ca="1" si="1"/>
        <v>3515.0610894536248</v>
      </c>
      <c r="BK16" s="534">
        <f t="shared" ca="1" si="1"/>
        <v>3499.5299900697887</v>
      </c>
      <c r="BL16" s="534">
        <f t="shared" ca="1" si="1"/>
        <v>3520.9363405093391</v>
      </c>
      <c r="BM16" s="534">
        <f t="shared" ca="1" si="1"/>
        <v>3526.9226534606687</v>
      </c>
      <c r="BN16" s="534">
        <f t="shared" ca="1" si="1"/>
        <v>3538.5532824648035</v>
      </c>
      <c r="BO16" s="534">
        <f t="shared" ca="1" si="1"/>
        <v>3563.1112552238937</v>
      </c>
      <c r="BP16" s="534"/>
      <c r="BQ16" s="534"/>
      <c r="BR16" s="534"/>
      <c r="BS16" s="534"/>
      <c r="BT16" s="534"/>
      <c r="BU16" s="534"/>
      <c r="BV16" s="534"/>
      <c r="BW16" s="534"/>
      <c r="BX16" s="534"/>
      <c r="BY16" s="534"/>
      <c r="BZ16" s="534"/>
      <c r="CA16" s="534"/>
      <c r="CB16" s="534"/>
      <c r="CC16" s="534"/>
      <c r="CD16" s="534"/>
      <c r="CE16" s="534"/>
      <c r="CF16" s="534"/>
      <c r="CG16" s="534"/>
      <c r="CH16" s="534"/>
      <c r="CI16" s="534"/>
      <c r="CJ16" s="534"/>
      <c r="CK16" s="534"/>
      <c r="CL16" s="534"/>
      <c r="CM16" s="534"/>
      <c r="CN16" s="534"/>
      <c r="CO16" s="534"/>
      <c r="CP16" s="534"/>
      <c r="CQ16" s="534"/>
      <c r="CR16" s="534"/>
      <c r="CS16" s="534"/>
      <c r="CT16" s="534"/>
      <c r="CU16" s="534"/>
      <c r="CV16" s="534"/>
      <c r="CW16" s="534"/>
      <c r="CX16" s="534"/>
      <c r="CY16" s="534"/>
      <c r="CZ16" s="534"/>
      <c r="DA16" s="534"/>
      <c r="DB16" s="534"/>
      <c r="DC16" s="534"/>
      <c r="DD16" s="534"/>
      <c r="DE16" s="534"/>
      <c r="DF16" s="534"/>
      <c r="DG16" s="534"/>
      <c r="DH16" s="534"/>
      <c r="DI16" s="534"/>
      <c r="DJ16" s="534"/>
      <c r="DK16" s="534"/>
      <c r="DL16" s="534"/>
      <c r="DM16" s="534"/>
      <c r="DN16" s="534"/>
      <c r="DO16" s="534"/>
      <c r="DP16" s="534"/>
      <c r="DQ16" s="534"/>
      <c r="DR16" s="534"/>
      <c r="DS16" s="534"/>
      <c r="DT16" s="534"/>
      <c r="DU16" s="534"/>
      <c r="DV16" s="534"/>
      <c r="DW16" s="534"/>
      <c r="DX16" s="304"/>
    </row>
    <row r="17" spans="1:128">
      <c r="A17" s="1382"/>
      <c r="B17" s="1383"/>
      <c r="C17" s="1383"/>
      <c r="D17" s="1382"/>
      <c r="E17" s="1382"/>
      <c r="F17" s="576"/>
      <c r="G17" s="473"/>
      <c r="H17" s="304"/>
      <c r="I17" s="304"/>
      <c r="J17" s="304"/>
      <c r="K17" s="304"/>
      <c r="L17" s="304"/>
      <c r="M17" s="473"/>
      <c r="N17" s="473"/>
      <c r="O17" s="473"/>
      <c r="P17" s="473"/>
      <c r="Q17" s="473"/>
      <c r="R17" s="473"/>
      <c r="S17" s="473"/>
      <c r="T17" s="473"/>
      <c r="U17" s="473"/>
      <c r="V17" s="473"/>
      <c r="W17" s="473"/>
      <c r="X17" s="473"/>
      <c r="Y17" s="473"/>
      <c r="Z17" s="473"/>
      <c r="AA17" s="473"/>
      <c r="AB17" s="473"/>
      <c r="AC17" s="473"/>
      <c r="AD17" s="473"/>
      <c r="AE17" s="473"/>
      <c r="AF17" s="473"/>
      <c r="AG17" s="473"/>
      <c r="AH17" s="473"/>
      <c r="AI17" s="473"/>
      <c r="AJ17" s="473"/>
      <c r="AK17" s="473"/>
      <c r="AL17" s="473"/>
      <c r="AM17" s="473"/>
      <c r="AN17" s="473"/>
      <c r="AO17" s="473"/>
      <c r="AP17" s="473"/>
      <c r="AQ17" s="473"/>
      <c r="AR17" s="473"/>
      <c r="AS17" s="473"/>
      <c r="AT17" s="473"/>
      <c r="AU17" s="473"/>
      <c r="AV17" s="473"/>
      <c r="AW17" s="473"/>
      <c r="AX17" s="473"/>
      <c r="AY17" s="473"/>
      <c r="AZ17" s="473"/>
      <c r="BA17" s="473"/>
      <c r="BB17" s="473"/>
      <c r="BC17" s="473"/>
      <c r="BD17" s="473"/>
      <c r="BE17" s="473"/>
      <c r="BF17" s="473"/>
      <c r="BG17" s="473"/>
      <c r="BH17" s="473"/>
      <c r="BI17" s="473"/>
      <c r="BJ17" s="473"/>
      <c r="BK17" s="473"/>
      <c r="BL17" s="473"/>
      <c r="BM17" s="473"/>
      <c r="BN17" s="473"/>
      <c r="BO17" s="473"/>
      <c r="BP17" s="473"/>
      <c r="BQ17" s="473"/>
      <c r="BR17" s="473"/>
      <c r="BS17" s="473"/>
      <c r="BT17" s="473"/>
      <c r="BU17" s="473"/>
      <c r="BV17" s="473"/>
      <c r="BW17" s="473"/>
      <c r="BX17" s="473"/>
      <c r="BY17" s="473"/>
      <c r="BZ17" s="473"/>
      <c r="CA17" s="473"/>
      <c r="CB17" s="473"/>
      <c r="CC17" s="473"/>
      <c r="CD17" s="473"/>
      <c r="CE17" s="473"/>
      <c r="CF17" s="473"/>
      <c r="CG17" s="473"/>
      <c r="CH17" s="473"/>
      <c r="CI17" s="473"/>
      <c r="CJ17" s="473"/>
      <c r="CK17" s="473"/>
      <c r="CL17" s="473"/>
      <c r="CM17" s="473"/>
      <c r="CN17" s="473"/>
      <c r="CO17" s="473"/>
      <c r="CP17" s="473"/>
      <c r="CQ17" s="473"/>
      <c r="CR17" s="473"/>
      <c r="CS17" s="473"/>
      <c r="CT17" s="473"/>
      <c r="CU17" s="473"/>
      <c r="CV17" s="473"/>
      <c r="CW17" s="473"/>
      <c r="CX17" s="473"/>
      <c r="CY17" s="473"/>
      <c r="CZ17" s="473"/>
      <c r="DA17" s="473"/>
      <c r="DB17" s="473"/>
      <c r="DC17" s="473"/>
      <c r="DD17" s="473"/>
      <c r="DE17" s="473"/>
      <c r="DF17" s="473"/>
      <c r="DG17" s="473"/>
      <c r="DH17" s="473"/>
      <c r="DI17" s="473"/>
      <c r="DJ17" s="473"/>
      <c r="DK17" s="473"/>
      <c r="DL17" s="473"/>
      <c r="DM17" s="473"/>
      <c r="DN17" s="473"/>
      <c r="DO17" s="473"/>
      <c r="DP17" s="473"/>
      <c r="DQ17" s="473"/>
      <c r="DR17" s="473"/>
      <c r="DS17" s="473"/>
      <c r="DT17" s="473"/>
      <c r="DU17" s="473"/>
      <c r="DV17" s="473"/>
      <c r="DW17" s="473"/>
      <c r="DX17" s="304"/>
    </row>
    <row r="18" spans="1:128">
      <c r="A18" s="653" t="s">
        <v>1186</v>
      </c>
      <c r="B18" s="1378"/>
      <c r="C18" s="1378"/>
      <c r="D18" s="653"/>
      <c r="E18" s="653"/>
      <c r="F18" s="576"/>
      <c r="G18" s="459"/>
      <c r="H18" s="459"/>
      <c r="I18" s="459"/>
      <c r="J18" s="459"/>
      <c r="K18" s="459"/>
      <c r="L18" s="459"/>
      <c r="M18" s="459"/>
      <c r="N18" s="459"/>
      <c r="O18" s="459"/>
      <c r="P18" s="459"/>
      <c r="Q18" s="459"/>
      <c r="R18" s="459"/>
      <c r="S18" s="459"/>
      <c r="T18" s="459"/>
      <c r="U18" s="459"/>
      <c r="V18" s="459"/>
      <c r="W18" s="459"/>
      <c r="X18" s="459"/>
      <c r="Y18" s="459"/>
      <c r="Z18" s="459"/>
      <c r="AA18" s="459"/>
      <c r="AB18" s="459"/>
      <c r="AC18" s="459"/>
      <c r="AD18" s="459"/>
      <c r="AE18" s="459"/>
      <c r="AF18" s="459"/>
      <c r="AG18" s="459"/>
      <c r="AH18" s="459"/>
      <c r="AI18" s="459"/>
      <c r="AJ18" s="459"/>
      <c r="AK18" s="459"/>
      <c r="AL18" s="459"/>
      <c r="AM18" s="459"/>
      <c r="AN18" s="459"/>
      <c r="AO18" s="459"/>
      <c r="AP18" s="459"/>
      <c r="AQ18" s="459"/>
      <c r="AR18" s="459"/>
      <c r="AS18" s="459"/>
      <c r="AT18" s="459"/>
      <c r="AU18" s="459"/>
      <c r="AV18" s="459"/>
      <c r="AW18" s="459"/>
      <c r="AX18" s="459"/>
      <c r="AY18" s="459"/>
      <c r="AZ18" s="459"/>
      <c r="BA18" s="459"/>
      <c r="BB18" s="459"/>
      <c r="BC18" s="459"/>
      <c r="BD18" s="459"/>
      <c r="BE18" s="459"/>
      <c r="BF18" s="459"/>
      <c r="BG18" s="459"/>
      <c r="BH18" s="459"/>
      <c r="BI18" s="459"/>
      <c r="BJ18" s="459"/>
      <c r="BK18" s="459"/>
      <c r="BL18" s="459"/>
      <c r="BM18" s="459"/>
      <c r="BN18" s="459"/>
      <c r="BO18" s="459"/>
      <c r="BP18" s="459"/>
      <c r="BQ18" s="459"/>
      <c r="BR18" s="459"/>
      <c r="BS18" s="459"/>
      <c r="BT18" s="459"/>
      <c r="BU18" s="459"/>
      <c r="BV18" s="459"/>
      <c r="BW18" s="459"/>
      <c r="BX18" s="459"/>
      <c r="BY18" s="459"/>
      <c r="BZ18" s="459"/>
      <c r="CA18" s="459"/>
      <c r="CB18" s="459"/>
      <c r="CC18" s="459"/>
      <c r="CD18" s="459"/>
      <c r="CE18" s="459"/>
      <c r="CF18" s="459"/>
      <c r="CG18" s="459"/>
      <c r="CH18" s="459"/>
      <c r="CI18" s="459"/>
      <c r="CJ18" s="459"/>
      <c r="CK18" s="459"/>
      <c r="CL18" s="459"/>
      <c r="CM18" s="459"/>
      <c r="CN18" s="459"/>
      <c r="CO18" s="459"/>
      <c r="CP18" s="459"/>
      <c r="CQ18" s="459"/>
      <c r="CR18" s="459"/>
      <c r="CS18" s="459"/>
      <c r="CT18" s="459"/>
      <c r="CU18" s="459"/>
      <c r="CV18" s="459"/>
      <c r="CW18" s="459"/>
      <c r="CX18" s="459"/>
      <c r="CY18" s="459"/>
      <c r="CZ18" s="459"/>
      <c r="DA18" s="459"/>
      <c r="DB18" s="459"/>
      <c r="DC18" s="459"/>
      <c r="DD18" s="459"/>
      <c r="DE18" s="459"/>
      <c r="DF18" s="459"/>
      <c r="DG18" s="459"/>
      <c r="DH18" s="459"/>
      <c r="DI18" s="459"/>
      <c r="DJ18" s="459"/>
      <c r="DK18" s="459"/>
      <c r="DL18" s="459"/>
      <c r="DM18" s="459"/>
      <c r="DN18" s="459"/>
      <c r="DO18" s="459"/>
      <c r="DP18" s="459"/>
      <c r="DQ18" s="459"/>
      <c r="DR18" s="459"/>
      <c r="DS18" s="459"/>
      <c r="DT18" s="459"/>
      <c r="DU18" s="459"/>
      <c r="DV18" s="459"/>
      <c r="DW18" s="459"/>
      <c r="DX18" s="304"/>
    </row>
    <row r="19" spans="1:128">
      <c r="A19" s="1384" t="s">
        <v>1187</v>
      </c>
      <c r="B19" s="1385">
        <f>Inputs!$D$455</f>
        <v>0.01</v>
      </c>
      <c r="C19" s="1385"/>
      <c r="D19" s="1384"/>
      <c r="E19" s="1384"/>
      <c r="F19" s="576"/>
      <c r="G19" s="810">
        <f>(G$3&gt;0)*$B19*(CF!F105+CF!F91)*G$6</f>
        <v>0</v>
      </c>
      <c r="H19" s="810">
        <f ca="1">(H$3&gt;0)*$B19*(CF!G105+CF!G91)*H$6</f>
        <v>0</v>
      </c>
      <c r="I19" s="810">
        <f ca="1">(I$3&gt;0)*$B19*(CF!H105+CF!H91)*I$6</f>
        <v>0</v>
      </c>
      <c r="J19" s="810">
        <f ca="1">(J$3&gt;0)*$B19*(CF!I105+CF!I91)*J$6</f>
        <v>0</v>
      </c>
      <c r="K19" s="810">
        <f ca="1">(K$3&gt;0)*$B19*(CF!J105+CF!J91)*K$6</f>
        <v>0</v>
      </c>
      <c r="L19" s="810">
        <f ca="1">(L$3&gt;0)*$B19*(CF!K105+CF!K91)*L$6</f>
        <v>0</v>
      </c>
      <c r="M19" s="810">
        <f ca="1">(M$3&gt;0)*$B19*(CF!L105+CF!L91)*M$6</f>
        <v>0</v>
      </c>
      <c r="N19" s="810">
        <f ca="1">(N$3&gt;0)*$B19*(CF!M105+CF!M91)*N$6</f>
        <v>0</v>
      </c>
      <c r="O19" s="810">
        <f ca="1">(O$3&gt;0)*$B19*(CF!N105+CF!N91)*O$6</f>
        <v>0</v>
      </c>
      <c r="P19" s="810">
        <f ca="1">(P$3&gt;0)*$B19*(CF!O105+CF!O91)*P$6</f>
        <v>0</v>
      </c>
      <c r="Q19" s="810">
        <f ca="1">(Q$3&gt;0)*$B19*(CF!P105+CF!P91)*Q$6</f>
        <v>0</v>
      </c>
      <c r="R19" s="810">
        <f ca="1">(R$3&gt;0)*$B19*(CF!Q105+CF!Q91)*R$6</f>
        <v>0</v>
      </c>
      <c r="S19" s="810">
        <f ca="1">(S$3&gt;0)*$B19*(CF!R105+CF!R91)*S$6</f>
        <v>0</v>
      </c>
      <c r="T19" s="810">
        <f ca="1">(T$3&gt;0)*$B19*(CF!S105+CF!S91)*T$6</f>
        <v>0</v>
      </c>
      <c r="U19" s="810">
        <f ca="1">(U$3&gt;0)*$B19*(CF!T105+CF!T91)*U$6</f>
        <v>0</v>
      </c>
      <c r="V19" s="810">
        <f ca="1">(V$3&gt;0)*$B19*(CF!U105+CF!U91)*V$6</f>
        <v>0</v>
      </c>
      <c r="W19" s="810">
        <f ca="1">(W$3&gt;0)*$B19*(CF!V105+CF!V91)*W$6</f>
        <v>0</v>
      </c>
      <c r="X19" s="810">
        <f ca="1">(X$3&gt;0)*$B19*(CF!W105+CF!W91)*X$6</f>
        <v>0</v>
      </c>
      <c r="Y19" s="810">
        <f ca="1">(Y$3&gt;0)*$B19*(CF!X105+CF!X91)*Y$6</f>
        <v>0</v>
      </c>
      <c r="Z19" s="810">
        <f ca="1">(Z$3&gt;0)*$B19*(CF!Y105+CF!Y91)*Z$6</f>
        <v>0</v>
      </c>
      <c r="AA19" s="810">
        <f ca="1">(AA$3&gt;0)*$B19*(CF!Z105+CF!Z91)*AA$6</f>
        <v>0</v>
      </c>
      <c r="AB19" s="810">
        <f ca="1">(AB$3&gt;0)*$B19*(CF!AA105+CF!AA91)*AB$6</f>
        <v>0</v>
      </c>
      <c r="AC19" s="810">
        <f ca="1">(AC$3&gt;0)*$B19*(CF!AB105+CF!AB91)*AC$6</f>
        <v>0</v>
      </c>
      <c r="AD19" s="810">
        <f ca="1">(AD$3&gt;0)*$B19*(CF!AC105+CF!AC91)*AD$6</f>
        <v>0</v>
      </c>
      <c r="AE19" s="810">
        <f ca="1">(AE$3&gt;0)*$B19*(CF!AD105+CF!AD91)*AE$6</f>
        <v>0</v>
      </c>
      <c r="AF19" s="810">
        <f ca="1">(AF$3&gt;0)*$B19*(CF!AE105+CF!AE91)*AF$6</f>
        <v>0</v>
      </c>
      <c r="AG19" s="810">
        <f ca="1">(AG$3&gt;0)*$B19*(CF!AF105+CF!AF91)*AG$6</f>
        <v>0</v>
      </c>
      <c r="AH19" s="810">
        <f ca="1">(AH$3&gt;0)*$B19*(CF!AG105+CF!AG91)*AH$6</f>
        <v>0</v>
      </c>
      <c r="AI19" s="810">
        <f ca="1">(AI$3&gt;0)*$B19*(CF!AH105+CF!AH91)*AI$6</f>
        <v>0</v>
      </c>
      <c r="AJ19" s="810">
        <f ca="1">(AJ$3&gt;0)*$B19*(CF!AI105+CF!AI91)*AJ$6</f>
        <v>0</v>
      </c>
      <c r="AK19" s="810">
        <f ca="1">(AK$3&gt;0)*$B19*(CF!AJ105+CF!AJ91)*AK$6</f>
        <v>0</v>
      </c>
      <c r="AL19" s="810">
        <f ca="1">(AL$3&gt;0)*$B19*(CF!AK105+CF!AK91)*AL$6</f>
        <v>0</v>
      </c>
      <c r="AM19" s="810">
        <f ca="1">(AM$3&gt;0)*$B19*(CF!AL105+CF!AL91)*AM$6</f>
        <v>0</v>
      </c>
      <c r="AN19" s="810">
        <f ca="1">(AN$3&gt;0)*$B19*(CF!AM105+CF!AM91)*AN$6</f>
        <v>0</v>
      </c>
      <c r="AO19" s="810">
        <f ca="1">(AO$3&gt;0)*$B19*(CF!AN105+CF!AN91)*AO$6</f>
        <v>0</v>
      </c>
      <c r="AP19" s="810">
        <f ca="1">(AP$3&gt;0)*$B19*(CF!AO105+CF!AO91)*AP$6</f>
        <v>0</v>
      </c>
      <c r="AQ19" s="810">
        <f ca="1">(AQ$3&gt;0)*$B19*(CF!AP105+CF!AP91)*AQ$6</f>
        <v>0</v>
      </c>
      <c r="AR19" s="810">
        <f ca="1">(AR$3&gt;0)*$B19*(CF!AQ105+CF!AQ91)*AR$6</f>
        <v>0</v>
      </c>
      <c r="AS19" s="810">
        <f ca="1">(AS$3&gt;0)*$B19*(CF!AR105+CF!AR91)*AS$6</f>
        <v>0</v>
      </c>
      <c r="AT19" s="810">
        <f ca="1">(AT$3&gt;0)*$B19*(CF!AS105+CF!AS91)*AT$6</f>
        <v>0</v>
      </c>
      <c r="AU19" s="810">
        <f ca="1">(AU$3&gt;0)*$B19*(CF!AT105+CF!AT91)*AU$6</f>
        <v>0</v>
      </c>
      <c r="AV19" s="810">
        <f ca="1">(AV$3&gt;0)*$B19*(CF!AU105+CF!AU91)*AV$6</f>
        <v>0</v>
      </c>
      <c r="AW19" s="810">
        <f ca="1">(AW$3&gt;0)*$B19*(CF!AV105+CF!AV91)*AW$6</f>
        <v>0</v>
      </c>
      <c r="AX19" s="810">
        <f ca="1">(AX$3&gt;0)*$B19*(CF!AW105+CF!AW91)*AX$6</f>
        <v>0</v>
      </c>
      <c r="AY19" s="810">
        <f ca="1">(AY$3&gt;0)*$B19*(CF!AX105+CF!AX91)*AY$6</f>
        <v>0</v>
      </c>
      <c r="AZ19" s="810">
        <f ca="1">(AZ$3&gt;0)*$B19*(CF!AY105+CF!AY91)*AZ$6</f>
        <v>0</v>
      </c>
      <c r="BA19" s="810">
        <f ca="1">(BA$3&gt;0)*$B19*(CF!AZ105+CF!AZ91)*BA$6</f>
        <v>0</v>
      </c>
      <c r="BB19" s="810">
        <f ca="1">(BB$3&gt;0)*$B19*(CF!BA105+CF!BA91)*BB$6</f>
        <v>0</v>
      </c>
      <c r="BC19" s="810">
        <f ca="1">(BC$3&gt;0)*$B19*(CF!BB105+CF!BB91)*BC$6</f>
        <v>0</v>
      </c>
      <c r="BD19" s="810">
        <f ca="1">(BD$3&gt;0)*$B19*(CF!BC105+CF!BC91)*BD$6</f>
        <v>0</v>
      </c>
      <c r="BE19" s="810">
        <f ca="1">(BE$3&gt;0)*$B19*(CF!BD105+CF!BD91)*BE$6</f>
        <v>0</v>
      </c>
      <c r="BF19" s="810">
        <f ca="1">(BF$3&gt;0)*$B19*(CF!BE105+CF!BE91)*BF$6</f>
        <v>0</v>
      </c>
      <c r="BG19" s="810">
        <f ca="1">(BG$3&gt;0)*$B19*(CF!BF105+CF!BF91)*BG$6</f>
        <v>0</v>
      </c>
      <c r="BH19" s="810">
        <f ca="1">(BH$3&gt;0)*$B19*(CF!BG105+CF!BG91)*BH$6</f>
        <v>0</v>
      </c>
      <c r="BI19" s="810">
        <f ca="1">(BI$3&gt;0)*$B19*(CF!BH105+CF!BH91)*BI$6</f>
        <v>0</v>
      </c>
      <c r="BJ19" s="810">
        <f ca="1">(BJ$3&gt;0)*$B19*(CF!BI105+CF!BI91)*BJ$6</f>
        <v>0</v>
      </c>
      <c r="BK19" s="810">
        <f ca="1">(BK$3&gt;0)*$B19*(CF!BJ105+CF!BJ91)*BK$6</f>
        <v>0</v>
      </c>
      <c r="BL19" s="810">
        <f ca="1">(BL$3&gt;0)*$B19*(CF!BK105+CF!BK91)*BL$6</f>
        <v>0</v>
      </c>
      <c r="BM19" s="810">
        <f ca="1">(BM$3&gt;0)*$B19*(CF!BL105+CF!BL91)*BM$6</f>
        <v>0</v>
      </c>
      <c r="BN19" s="810">
        <f ca="1">(BN$3&gt;0)*$B19*(CF!BM105+CF!BM91)*BN$6</f>
        <v>0</v>
      </c>
      <c r="BO19" s="810">
        <f ca="1">(BO$3&gt;0)*$B19*(CF!BN105+CF!BN91)*BO$6</f>
        <v>0</v>
      </c>
      <c r="BP19" s="810"/>
      <c r="BQ19" s="810"/>
      <c r="BR19" s="810"/>
      <c r="BS19" s="810"/>
      <c r="BT19" s="810"/>
      <c r="BU19" s="810"/>
      <c r="BV19" s="810"/>
      <c r="BW19" s="810"/>
      <c r="BX19" s="810"/>
      <c r="BY19" s="810"/>
      <c r="BZ19" s="810"/>
      <c r="CA19" s="810"/>
      <c r="CB19" s="810"/>
      <c r="CC19" s="810"/>
      <c r="CD19" s="810"/>
      <c r="CE19" s="810"/>
      <c r="CF19" s="810"/>
      <c r="CG19" s="810"/>
      <c r="CH19" s="810"/>
      <c r="CI19" s="810"/>
      <c r="CJ19" s="810"/>
      <c r="CK19" s="810"/>
      <c r="CL19" s="810"/>
      <c r="CM19" s="810"/>
      <c r="CN19" s="810"/>
      <c r="CO19" s="810"/>
      <c r="CP19" s="810"/>
      <c r="CQ19" s="810"/>
      <c r="CR19" s="810"/>
      <c r="CS19" s="810"/>
      <c r="CT19" s="810"/>
      <c r="CU19" s="810"/>
      <c r="CV19" s="810"/>
      <c r="CW19" s="810"/>
      <c r="CX19" s="810"/>
      <c r="CY19" s="810"/>
      <c r="CZ19" s="810"/>
      <c r="DA19" s="810"/>
      <c r="DB19" s="810"/>
      <c r="DC19" s="810"/>
      <c r="DD19" s="810"/>
      <c r="DE19" s="810"/>
      <c r="DF19" s="810"/>
      <c r="DG19" s="810"/>
      <c r="DH19" s="810"/>
      <c r="DI19" s="810"/>
      <c r="DJ19" s="810"/>
      <c r="DK19" s="810"/>
      <c r="DL19" s="810"/>
      <c r="DM19" s="810"/>
      <c r="DN19" s="810"/>
      <c r="DO19" s="810"/>
      <c r="DP19" s="810"/>
      <c r="DQ19" s="810"/>
      <c r="DR19" s="810"/>
      <c r="DS19" s="810"/>
      <c r="DT19" s="810"/>
      <c r="DU19" s="810"/>
      <c r="DV19" s="810"/>
      <c r="DW19" s="810"/>
      <c r="DX19" s="304"/>
    </row>
    <row r="20" spans="1:128">
      <c r="A20" s="1386" t="s">
        <v>1188</v>
      </c>
      <c r="B20" s="1385"/>
      <c r="C20" s="1385"/>
      <c r="D20" s="1386"/>
      <c r="E20" s="1386"/>
      <c r="F20" s="576"/>
      <c r="G20" s="810">
        <f>(CF!F144&gt;0)*$B19*CF!F144*G$5*G$6</f>
        <v>0</v>
      </c>
      <c r="H20" s="810">
        <f ca="1">(CF!G144&gt;0)*$B19*CF!G144*H$5*H$6</f>
        <v>0</v>
      </c>
      <c r="I20" s="810">
        <f ca="1">(CF!H144&gt;0)*$B19*CF!H144*I$5*I$6</f>
        <v>0</v>
      </c>
      <c r="J20" s="810">
        <f ca="1">(CF!I144&gt;0)*$B19*CF!I144*J$5*J$6</f>
        <v>0</v>
      </c>
      <c r="K20" s="810">
        <f ca="1">(CF!J144&gt;0)*$B19*CF!J144*K$5*K$6</f>
        <v>0</v>
      </c>
      <c r="L20" s="810">
        <f ca="1">(CF!K144&gt;0)*$B19*CF!K144*L$5*L$6</f>
        <v>0</v>
      </c>
      <c r="M20" s="810">
        <f ca="1">(CF!L144&gt;0)*$B19*CF!L144*M$5*M$6</f>
        <v>0</v>
      </c>
      <c r="N20" s="810">
        <f ca="1">(CF!M144&gt;0)*$B19*CF!M144*N$5*N$6</f>
        <v>0</v>
      </c>
      <c r="O20" s="810">
        <f ca="1">(CF!N144&gt;0)*$B19*CF!N144*O$5*O$6</f>
        <v>0</v>
      </c>
      <c r="P20" s="810">
        <f ca="1">(CF!O144&gt;0)*$B19*CF!O144*P$5*P$6</f>
        <v>0</v>
      </c>
      <c r="Q20" s="810">
        <f ca="1">(CF!P144&gt;0)*$B19*CF!P144*Q$5*Q$6</f>
        <v>0</v>
      </c>
      <c r="R20" s="810">
        <f ca="1">(CF!Q144&gt;0)*$B19*CF!Q144*R$5*R$6</f>
        <v>0</v>
      </c>
      <c r="S20" s="810">
        <f ca="1">(CF!R144&gt;0)*$B19*CF!R144*S$5*S$6</f>
        <v>0</v>
      </c>
      <c r="T20" s="810">
        <f ca="1">(CF!S144&gt;0)*$B19*CF!S144*T$5*T$6</f>
        <v>0</v>
      </c>
      <c r="U20" s="810">
        <f ca="1">(CF!T144&gt;0)*$B19*CF!T144*U$5*U$6</f>
        <v>0</v>
      </c>
      <c r="V20" s="810">
        <f ca="1">(CF!U144&gt;0)*$B19*CF!U144*V$5*V$6</f>
        <v>0</v>
      </c>
      <c r="W20" s="810">
        <f ca="1">(CF!V144&gt;0)*$B19*CF!V144*W$5*W$6</f>
        <v>0</v>
      </c>
      <c r="X20" s="810">
        <f ca="1">(CF!W144&gt;0)*$B19*CF!W144*X$5*X$6</f>
        <v>0</v>
      </c>
      <c r="Y20" s="810">
        <f ca="1">(CF!X144&gt;0)*$B19*CF!X144*Y$5*Y$6</f>
        <v>0</v>
      </c>
      <c r="Z20" s="810">
        <f ca="1">(CF!Y144&gt;0)*$B19*CF!Y144*Z$5*Z$6</f>
        <v>0</v>
      </c>
      <c r="AA20" s="810">
        <f ca="1">(CF!Z144&gt;0)*$B19*CF!Z144*AA$5*AA$6</f>
        <v>0</v>
      </c>
      <c r="AB20" s="810">
        <f ca="1">(CF!AA144&gt;0)*$B19*CF!AA144*AB$5*AB$6</f>
        <v>0</v>
      </c>
      <c r="AC20" s="810">
        <f ca="1">(CF!AB144&gt;0)*$B19*CF!AB144*AC$5*AC$6</f>
        <v>0</v>
      </c>
      <c r="AD20" s="810">
        <f ca="1">(CF!AC144&gt;0)*$B19*CF!AC144*AD$5*AD$6</f>
        <v>0</v>
      </c>
      <c r="AE20" s="810">
        <f ca="1">(CF!AD144&gt;0)*$B19*CF!AD144*AE$5*AE$6</f>
        <v>0</v>
      </c>
      <c r="AF20" s="810">
        <f ca="1">(CF!AE144&gt;0)*$B19*CF!AE144*AF$5*AF$6</f>
        <v>0</v>
      </c>
      <c r="AG20" s="810">
        <f ca="1">(CF!AF144&gt;0)*$B19*CF!AF144*AG$5*AG$6</f>
        <v>0</v>
      </c>
      <c r="AH20" s="810">
        <f ca="1">(CF!AG144&gt;0)*$B19*CF!AG144*AH$5*AH$6</f>
        <v>0</v>
      </c>
      <c r="AI20" s="810">
        <f ca="1">(CF!AH144&gt;0)*$B19*CF!AH144*AI$5*AI$6</f>
        <v>0</v>
      </c>
      <c r="AJ20" s="810">
        <f ca="1">(CF!AI144&gt;0)*$B19*CF!AI144*AJ$5*AJ$6</f>
        <v>0</v>
      </c>
      <c r="AK20" s="810">
        <f ca="1">(CF!AJ144&gt;0)*$B19*CF!AJ144*AK$5*AK$6</f>
        <v>0</v>
      </c>
      <c r="AL20" s="810">
        <f ca="1">(CF!AK144&gt;0)*$B19*CF!AK144*AL$5*AL$6</f>
        <v>0</v>
      </c>
      <c r="AM20" s="810">
        <f ca="1">(CF!AL144&gt;0)*$B19*CF!AL144*AM$5*AM$6</f>
        <v>0</v>
      </c>
      <c r="AN20" s="810">
        <f ca="1">(CF!AM144&gt;0)*$B19*CF!AM144*AN$5*AN$6</f>
        <v>0</v>
      </c>
      <c r="AO20" s="810">
        <f ca="1">(CF!AN144&gt;0)*$B19*CF!AN144*AO$5*AO$6</f>
        <v>0</v>
      </c>
      <c r="AP20" s="810">
        <f ca="1">(CF!AO144&gt;0)*$B19*CF!AO144*AP$5*AP$6</f>
        <v>0</v>
      </c>
      <c r="AQ20" s="810">
        <f ca="1">(CF!AP144&gt;0)*$B19*CF!AP144*AQ$5*AQ$6</f>
        <v>0</v>
      </c>
      <c r="AR20" s="810">
        <f ca="1">(CF!AQ144&gt;0)*$B19*CF!AQ144*AR$5*AR$6</f>
        <v>0</v>
      </c>
      <c r="AS20" s="810">
        <f ca="1">(CF!AR144&gt;0)*$B19*CF!AR144*AS$5*AS$6</f>
        <v>0</v>
      </c>
      <c r="AT20" s="810">
        <f ca="1">(CF!AS144&gt;0)*$B19*CF!AS144*AT$5*AT$6</f>
        <v>0</v>
      </c>
      <c r="AU20" s="810">
        <f ca="1">(CF!AT144&gt;0)*$B19*CF!AT144*AU$5*AU$6</f>
        <v>0</v>
      </c>
      <c r="AV20" s="810">
        <f ca="1">(CF!AU144&gt;0)*$B19*CF!AU144*AV$5*AV$6</f>
        <v>2.7726027397261674</v>
      </c>
      <c r="AW20" s="810">
        <f ca="1">(CF!AV144&gt;0)*$B19*CF!AV144*AW$5*AW$6</f>
        <v>2.7273972602741101</v>
      </c>
      <c r="AX20" s="810">
        <f ca="1">(CF!AW144&gt;0)*$B19*CF!AW144*AX$5*AX$6</f>
        <v>2.765027322404511</v>
      </c>
      <c r="AY20" s="810">
        <f ca="1">(CF!AX144&gt;0)*$B19*CF!AX144*AY$5*AY$6</f>
        <v>2.7349726775957661</v>
      </c>
      <c r="AZ20" s="810">
        <f ca="1">(CF!AY144&gt;0)*$B19*CF!AY144*AZ$5*AZ$6</f>
        <v>2.7726027397261674</v>
      </c>
      <c r="BA20" s="810">
        <f ca="1">(CF!AZ144&gt;0)*$B19*CF!AZ144*BA$5*BA$6</f>
        <v>2.7273972602741101</v>
      </c>
      <c r="BB20" s="810">
        <f ca="1">(CF!BA144&gt;0)*$B19*CF!BA144*BB$5*BB$6</f>
        <v>2.7726027397261674</v>
      </c>
      <c r="BC20" s="810">
        <f ca="1">(CF!BB144&gt;0)*$B19*CF!BB144*BC$5*BC$6</f>
        <v>2.7273972602741101</v>
      </c>
      <c r="BD20" s="810">
        <f ca="1">(CF!BC144&gt;0)*$B19*CF!BC144*BD$5*BD$6</f>
        <v>2.7726027397261674</v>
      </c>
      <c r="BE20" s="810">
        <f ca="1">(CF!BD144&gt;0)*$B19*CF!BD144*BE$5*BE$6</f>
        <v>2.7273972602741101</v>
      </c>
      <c r="BF20" s="810">
        <f ca="1">(CF!BE144&gt;0)*$B19*CF!BE144*BF$5*BF$6</f>
        <v>2.765027322404511</v>
      </c>
      <c r="BG20" s="810">
        <f ca="1">(CF!BF144&gt;0)*$B19*CF!BF144*BG$5*BG$6</f>
        <v>2.7349726775957661</v>
      </c>
      <c r="BH20" s="810">
        <f ca="1">(CF!BG144&gt;0)*$B19*CF!BG144*BH$5*BH$6</f>
        <v>2.7726027397261674</v>
      </c>
      <c r="BI20" s="810">
        <f ca="1">(CF!BH144&gt;0)*$B19*CF!BH144*BI$5*BI$6</f>
        <v>2.7273972602741101</v>
      </c>
      <c r="BJ20" s="810">
        <f ca="1">(CF!BI144&gt;0)*$B19*CF!BI144*BJ$5*BJ$6</f>
        <v>2.7726027397261674</v>
      </c>
      <c r="BK20" s="810">
        <f ca="1">(CF!BJ144&gt;0)*$B19*CF!BJ144*BK$5*BK$6</f>
        <v>2.7273972602741101</v>
      </c>
      <c r="BL20" s="810">
        <f ca="1">(CF!BK144&gt;0)*$B19*CF!BK144*BL$5*BL$6</f>
        <v>2.7726027397261674</v>
      </c>
      <c r="BM20" s="810">
        <f ca="1">(CF!BL144&gt;0)*$B19*CF!BL144*BM$5*BM$6</f>
        <v>2.7273972602741101</v>
      </c>
      <c r="BN20" s="810">
        <f ca="1">(CF!BM144&gt;0)*$B19*CF!BM144*BN$5*BN$6</f>
        <v>2.765027322404511</v>
      </c>
      <c r="BO20" s="810">
        <f ca="1">(CF!BN144&gt;0)*$B19*CF!BN144*BO$5*BO$6</f>
        <v>2.7349726775957661</v>
      </c>
      <c r="BP20" s="810"/>
      <c r="BQ20" s="810"/>
      <c r="BR20" s="810"/>
      <c r="BS20" s="810"/>
      <c r="BT20" s="810"/>
      <c r="BU20" s="810"/>
      <c r="BV20" s="810"/>
      <c r="BW20" s="810"/>
      <c r="BX20" s="810"/>
      <c r="BY20" s="810"/>
      <c r="BZ20" s="810"/>
      <c r="CA20" s="810"/>
      <c r="CB20" s="810"/>
      <c r="CC20" s="810"/>
      <c r="CD20" s="810"/>
      <c r="CE20" s="810"/>
      <c r="CF20" s="810"/>
      <c r="CG20" s="810"/>
      <c r="CH20" s="810"/>
      <c r="CI20" s="810"/>
      <c r="CJ20" s="810"/>
      <c r="CK20" s="810"/>
      <c r="CL20" s="810"/>
      <c r="CM20" s="810"/>
      <c r="CN20" s="810"/>
      <c r="CO20" s="810"/>
      <c r="CP20" s="810"/>
      <c r="CQ20" s="810"/>
      <c r="CR20" s="810"/>
      <c r="CS20" s="810"/>
      <c r="CT20" s="810"/>
      <c r="CU20" s="810"/>
      <c r="CV20" s="810"/>
      <c r="CW20" s="810"/>
      <c r="CX20" s="810"/>
      <c r="CY20" s="810"/>
      <c r="CZ20" s="810"/>
      <c r="DA20" s="810"/>
      <c r="DB20" s="810"/>
      <c r="DC20" s="810"/>
      <c r="DD20" s="810"/>
      <c r="DE20" s="810"/>
      <c r="DF20" s="810"/>
      <c r="DG20" s="810"/>
      <c r="DH20" s="810"/>
      <c r="DI20" s="810"/>
      <c r="DJ20" s="810"/>
      <c r="DK20" s="810"/>
      <c r="DL20" s="810"/>
      <c r="DM20" s="810"/>
      <c r="DN20" s="810"/>
      <c r="DO20" s="810"/>
      <c r="DP20" s="810"/>
      <c r="DQ20" s="810"/>
      <c r="DR20" s="810"/>
      <c r="DS20" s="810"/>
      <c r="DT20" s="810"/>
      <c r="DU20" s="810"/>
      <c r="DV20" s="810"/>
      <c r="DW20" s="810"/>
      <c r="DX20" s="502"/>
    </row>
    <row r="21" spans="1:128">
      <c r="A21" s="1387" t="str">
        <f>Inputs!A420</f>
        <v>Withholding Tax</v>
      </c>
      <c r="B21" s="1385">
        <f>Inputs!$D$429</f>
        <v>0</v>
      </c>
      <c r="C21" s="1385"/>
      <c r="D21" s="1387"/>
      <c r="E21" s="1387"/>
      <c r="F21" s="576"/>
      <c r="G21" s="459">
        <f t="shared" ref="G21:AL21" si="2">-SUM(G19:G20)*$B21*G$6</f>
        <v>0</v>
      </c>
      <c r="H21" s="459">
        <f t="shared" ca="1" si="2"/>
        <v>0</v>
      </c>
      <c r="I21" s="459">
        <f t="shared" ca="1" si="2"/>
        <v>0</v>
      </c>
      <c r="J21" s="459">
        <f t="shared" ca="1" si="2"/>
        <v>0</v>
      </c>
      <c r="K21" s="459">
        <f t="shared" ca="1" si="2"/>
        <v>0</v>
      </c>
      <c r="L21" s="459">
        <f t="shared" ca="1" si="2"/>
        <v>0</v>
      </c>
      <c r="M21" s="459">
        <f t="shared" ca="1" si="2"/>
        <v>0</v>
      </c>
      <c r="N21" s="459">
        <f t="shared" ca="1" si="2"/>
        <v>0</v>
      </c>
      <c r="O21" s="459">
        <f t="shared" ca="1" si="2"/>
        <v>0</v>
      </c>
      <c r="P21" s="459">
        <f t="shared" ca="1" si="2"/>
        <v>0</v>
      </c>
      <c r="Q21" s="459">
        <f t="shared" ca="1" si="2"/>
        <v>0</v>
      </c>
      <c r="R21" s="459">
        <f t="shared" ca="1" si="2"/>
        <v>0</v>
      </c>
      <c r="S21" s="459">
        <f t="shared" ca="1" si="2"/>
        <v>0</v>
      </c>
      <c r="T21" s="459">
        <f t="shared" ca="1" si="2"/>
        <v>0</v>
      </c>
      <c r="U21" s="459">
        <f t="shared" ca="1" si="2"/>
        <v>0</v>
      </c>
      <c r="V21" s="459">
        <f t="shared" ca="1" si="2"/>
        <v>0</v>
      </c>
      <c r="W21" s="459">
        <f t="shared" ca="1" si="2"/>
        <v>0</v>
      </c>
      <c r="X21" s="459">
        <f t="shared" ca="1" si="2"/>
        <v>0</v>
      </c>
      <c r="Y21" s="459">
        <f t="shared" ca="1" si="2"/>
        <v>0</v>
      </c>
      <c r="Z21" s="459">
        <f t="shared" ca="1" si="2"/>
        <v>0</v>
      </c>
      <c r="AA21" s="459">
        <f t="shared" ca="1" si="2"/>
        <v>0</v>
      </c>
      <c r="AB21" s="459">
        <f t="shared" ca="1" si="2"/>
        <v>0</v>
      </c>
      <c r="AC21" s="459">
        <f t="shared" ca="1" si="2"/>
        <v>0</v>
      </c>
      <c r="AD21" s="459">
        <f t="shared" ca="1" si="2"/>
        <v>0</v>
      </c>
      <c r="AE21" s="459">
        <f t="shared" ca="1" si="2"/>
        <v>0</v>
      </c>
      <c r="AF21" s="459">
        <f t="shared" ca="1" si="2"/>
        <v>0</v>
      </c>
      <c r="AG21" s="459">
        <f t="shared" ca="1" si="2"/>
        <v>0</v>
      </c>
      <c r="AH21" s="459">
        <f t="shared" ca="1" si="2"/>
        <v>0</v>
      </c>
      <c r="AI21" s="459">
        <f t="shared" ca="1" si="2"/>
        <v>0</v>
      </c>
      <c r="AJ21" s="459">
        <f t="shared" ca="1" si="2"/>
        <v>0</v>
      </c>
      <c r="AK21" s="459">
        <f t="shared" ca="1" si="2"/>
        <v>0</v>
      </c>
      <c r="AL21" s="459">
        <f t="shared" ca="1" si="2"/>
        <v>0</v>
      </c>
      <c r="AM21" s="459">
        <f t="shared" ref="AM21:BO21" ca="1" si="3">-SUM(AM19:AM20)*$B21*AM$6</f>
        <v>0</v>
      </c>
      <c r="AN21" s="459">
        <f t="shared" ca="1" si="3"/>
        <v>0</v>
      </c>
      <c r="AO21" s="459">
        <f t="shared" ca="1" si="3"/>
        <v>0</v>
      </c>
      <c r="AP21" s="459">
        <f t="shared" ca="1" si="3"/>
        <v>0</v>
      </c>
      <c r="AQ21" s="459">
        <f t="shared" ca="1" si="3"/>
        <v>0</v>
      </c>
      <c r="AR21" s="459">
        <f t="shared" ca="1" si="3"/>
        <v>0</v>
      </c>
      <c r="AS21" s="459">
        <f t="shared" ca="1" si="3"/>
        <v>0</v>
      </c>
      <c r="AT21" s="459">
        <f t="shared" ca="1" si="3"/>
        <v>0</v>
      </c>
      <c r="AU21" s="459">
        <f t="shared" ca="1" si="3"/>
        <v>0</v>
      </c>
      <c r="AV21" s="459">
        <f t="shared" ca="1" si="3"/>
        <v>0</v>
      </c>
      <c r="AW21" s="459">
        <f t="shared" ca="1" si="3"/>
        <v>0</v>
      </c>
      <c r="AX21" s="459">
        <f t="shared" ca="1" si="3"/>
        <v>0</v>
      </c>
      <c r="AY21" s="459">
        <f t="shared" ca="1" si="3"/>
        <v>0</v>
      </c>
      <c r="AZ21" s="459">
        <f t="shared" ca="1" si="3"/>
        <v>0</v>
      </c>
      <c r="BA21" s="459">
        <f t="shared" ca="1" si="3"/>
        <v>0</v>
      </c>
      <c r="BB21" s="459">
        <f t="shared" ca="1" si="3"/>
        <v>0</v>
      </c>
      <c r="BC21" s="459">
        <f t="shared" ca="1" si="3"/>
        <v>0</v>
      </c>
      <c r="BD21" s="459">
        <f t="shared" ca="1" si="3"/>
        <v>0</v>
      </c>
      <c r="BE21" s="459">
        <f t="shared" ca="1" si="3"/>
        <v>0</v>
      </c>
      <c r="BF21" s="459">
        <f t="shared" ca="1" si="3"/>
        <v>0</v>
      </c>
      <c r="BG21" s="459">
        <f t="shared" ca="1" si="3"/>
        <v>0</v>
      </c>
      <c r="BH21" s="459">
        <f t="shared" ca="1" si="3"/>
        <v>0</v>
      </c>
      <c r="BI21" s="459">
        <f t="shared" ca="1" si="3"/>
        <v>0</v>
      </c>
      <c r="BJ21" s="459">
        <f t="shared" ca="1" si="3"/>
        <v>0</v>
      </c>
      <c r="BK21" s="459">
        <f t="shared" ca="1" si="3"/>
        <v>0</v>
      </c>
      <c r="BL21" s="459">
        <f t="shared" ca="1" si="3"/>
        <v>0</v>
      </c>
      <c r="BM21" s="459">
        <f t="shared" ca="1" si="3"/>
        <v>0</v>
      </c>
      <c r="BN21" s="459">
        <f t="shared" ca="1" si="3"/>
        <v>0</v>
      </c>
      <c r="BO21" s="459">
        <f t="shared" ca="1" si="3"/>
        <v>0</v>
      </c>
      <c r="BP21" s="459"/>
      <c r="BQ21" s="459"/>
      <c r="BR21" s="459"/>
      <c r="BS21" s="459"/>
      <c r="BT21" s="459"/>
      <c r="BU21" s="459"/>
      <c r="BV21" s="459"/>
      <c r="BW21" s="459"/>
      <c r="BX21" s="459"/>
      <c r="BY21" s="459"/>
      <c r="BZ21" s="459"/>
      <c r="CA21" s="459"/>
      <c r="CB21" s="459"/>
      <c r="CC21" s="459"/>
      <c r="CD21" s="459"/>
      <c r="CE21" s="459"/>
      <c r="CF21" s="459"/>
      <c r="CG21" s="459"/>
      <c r="CH21" s="459"/>
      <c r="CI21" s="459"/>
      <c r="CJ21" s="459"/>
      <c r="CK21" s="459"/>
      <c r="CL21" s="459"/>
      <c r="CM21" s="459"/>
      <c r="CN21" s="459"/>
      <c r="CO21" s="459"/>
      <c r="CP21" s="459"/>
      <c r="CQ21" s="459"/>
      <c r="CR21" s="459"/>
      <c r="CS21" s="459"/>
      <c r="CT21" s="459"/>
      <c r="CU21" s="459"/>
      <c r="CV21" s="459"/>
      <c r="CW21" s="459"/>
      <c r="CX21" s="459"/>
      <c r="CY21" s="459"/>
      <c r="CZ21" s="459"/>
      <c r="DA21" s="459"/>
      <c r="DB21" s="459"/>
      <c r="DC21" s="459"/>
      <c r="DD21" s="459"/>
      <c r="DE21" s="459"/>
      <c r="DF21" s="459"/>
      <c r="DG21" s="459"/>
      <c r="DH21" s="459"/>
      <c r="DI21" s="459"/>
      <c r="DJ21" s="459"/>
      <c r="DK21" s="459"/>
      <c r="DL21" s="459"/>
      <c r="DM21" s="459"/>
      <c r="DN21" s="459"/>
      <c r="DO21" s="459"/>
      <c r="DP21" s="459"/>
      <c r="DQ21" s="459"/>
      <c r="DR21" s="459"/>
      <c r="DS21" s="459"/>
      <c r="DT21" s="459"/>
      <c r="DU21" s="459"/>
      <c r="DV21" s="459"/>
      <c r="DW21" s="459"/>
      <c r="DX21" s="502"/>
    </row>
    <row r="22" spans="1:128">
      <c r="A22" s="1382"/>
      <c r="B22" s="1383"/>
      <c r="C22" s="1383"/>
      <c r="D22" s="1382"/>
      <c r="E22" s="1382"/>
      <c r="F22" s="576"/>
      <c r="G22" s="459"/>
      <c r="H22" s="459"/>
      <c r="I22" s="459"/>
      <c r="J22" s="459"/>
      <c r="K22" s="459"/>
      <c r="L22" s="459"/>
      <c r="M22" s="459"/>
      <c r="N22" s="459"/>
      <c r="O22" s="459"/>
      <c r="P22" s="459"/>
      <c r="Q22" s="459"/>
      <c r="R22" s="459"/>
      <c r="S22" s="459"/>
      <c r="T22" s="459"/>
      <c r="U22" s="459"/>
      <c r="V22" s="459"/>
      <c r="W22" s="459"/>
      <c r="X22" s="459"/>
      <c r="Y22" s="459"/>
      <c r="Z22" s="459"/>
      <c r="AA22" s="459"/>
      <c r="AB22" s="459"/>
      <c r="AC22" s="459"/>
      <c r="AD22" s="459"/>
      <c r="AE22" s="459"/>
      <c r="AF22" s="459"/>
      <c r="AG22" s="459"/>
      <c r="AH22" s="459"/>
      <c r="AI22" s="459"/>
      <c r="AJ22" s="459"/>
      <c r="AK22" s="459"/>
      <c r="AL22" s="459"/>
      <c r="AM22" s="459"/>
      <c r="AN22" s="459"/>
      <c r="AO22" s="459"/>
      <c r="AP22" s="459"/>
      <c r="AQ22" s="459"/>
      <c r="AR22" s="459"/>
      <c r="AS22" s="459"/>
      <c r="AT22" s="459"/>
      <c r="AU22" s="459"/>
      <c r="AV22" s="459"/>
      <c r="AW22" s="459"/>
      <c r="AX22" s="459"/>
      <c r="AY22" s="459"/>
      <c r="AZ22" s="459"/>
      <c r="BA22" s="459"/>
      <c r="BB22" s="459"/>
      <c r="BC22" s="459"/>
      <c r="BD22" s="459"/>
      <c r="BE22" s="459"/>
      <c r="BF22" s="459"/>
      <c r="BG22" s="459"/>
      <c r="BH22" s="459"/>
      <c r="BI22" s="459"/>
      <c r="BJ22" s="459"/>
      <c r="BK22" s="459"/>
      <c r="BL22" s="459"/>
      <c r="BM22" s="459"/>
      <c r="BN22" s="459"/>
      <c r="BO22" s="459"/>
      <c r="BP22" s="459"/>
      <c r="BQ22" s="459"/>
      <c r="BR22" s="459"/>
      <c r="BS22" s="459"/>
      <c r="BT22" s="459"/>
      <c r="BU22" s="459"/>
      <c r="BV22" s="459"/>
      <c r="BW22" s="459"/>
      <c r="BX22" s="459"/>
      <c r="BY22" s="459"/>
      <c r="BZ22" s="459"/>
      <c r="CA22" s="459"/>
      <c r="CB22" s="459"/>
      <c r="CC22" s="459"/>
      <c r="CD22" s="459"/>
      <c r="CE22" s="459"/>
      <c r="CF22" s="459"/>
      <c r="CG22" s="459"/>
      <c r="CH22" s="459"/>
      <c r="CI22" s="459"/>
      <c r="CJ22" s="459"/>
      <c r="CK22" s="459"/>
      <c r="CL22" s="459"/>
      <c r="CM22" s="459"/>
      <c r="CN22" s="459"/>
      <c r="CO22" s="459"/>
      <c r="CP22" s="459"/>
      <c r="CQ22" s="459"/>
      <c r="CR22" s="459"/>
      <c r="CS22" s="459"/>
      <c r="CT22" s="459"/>
      <c r="CU22" s="459"/>
      <c r="CV22" s="459"/>
      <c r="CW22" s="459"/>
      <c r="CX22" s="459"/>
      <c r="CY22" s="459"/>
      <c r="CZ22" s="459"/>
      <c r="DA22" s="459"/>
      <c r="DB22" s="459"/>
      <c r="DC22" s="459"/>
      <c r="DD22" s="459"/>
      <c r="DE22" s="459"/>
      <c r="DF22" s="459"/>
      <c r="DG22" s="459"/>
      <c r="DH22" s="459"/>
      <c r="DI22" s="459"/>
      <c r="DJ22" s="459"/>
      <c r="DK22" s="459"/>
      <c r="DL22" s="459"/>
      <c r="DM22" s="459"/>
      <c r="DN22" s="459"/>
      <c r="DO22" s="459"/>
      <c r="DP22" s="459"/>
      <c r="DQ22" s="459"/>
      <c r="DR22" s="459"/>
      <c r="DS22" s="459"/>
      <c r="DT22" s="459"/>
      <c r="DU22" s="459"/>
      <c r="DV22" s="459"/>
      <c r="DW22" s="459"/>
      <c r="DX22" s="304"/>
    </row>
    <row r="23" spans="1:128">
      <c r="A23" s="653" t="s">
        <v>1189</v>
      </c>
      <c r="B23" s="1378"/>
      <c r="C23" s="1378"/>
      <c r="D23" s="653"/>
      <c r="E23" s="653"/>
      <c r="F23" s="576"/>
      <c r="G23" s="473"/>
      <c r="H23" s="473"/>
      <c r="I23" s="473"/>
      <c r="J23" s="473"/>
      <c r="K23" s="473"/>
      <c r="L23" s="473"/>
      <c r="M23" s="473"/>
      <c r="N23" s="473"/>
      <c r="O23" s="473"/>
      <c r="P23" s="473"/>
      <c r="Q23" s="473"/>
      <c r="R23" s="473"/>
      <c r="S23" s="473"/>
      <c r="T23" s="473"/>
      <c r="U23" s="473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3"/>
      <c r="AH23" s="473"/>
      <c r="AI23" s="473"/>
      <c r="AJ23" s="473"/>
      <c r="AK23" s="473"/>
      <c r="AL23" s="473"/>
      <c r="AM23" s="473"/>
      <c r="AN23" s="473"/>
      <c r="AO23" s="473"/>
      <c r="AP23" s="473"/>
      <c r="AQ23" s="473"/>
      <c r="AR23" s="473"/>
      <c r="AS23" s="473"/>
      <c r="AT23" s="473"/>
      <c r="AU23" s="473"/>
      <c r="AV23" s="473"/>
      <c r="AW23" s="473"/>
      <c r="AX23" s="473"/>
      <c r="AY23" s="473"/>
      <c r="AZ23" s="473"/>
      <c r="BA23" s="473"/>
      <c r="BB23" s="473"/>
      <c r="BC23" s="473"/>
      <c r="BD23" s="473"/>
      <c r="BE23" s="473"/>
      <c r="BF23" s="473"/>
      <c r="BG23" s="473"/>
      <c r="BH23" s="473"/>
      <c r="BI23" s="473"/>
      <c r="BJ23" s="473"/>
      <c r="BK23" s="473"/>
      <c r="BL23" s="473"/>
      <c r="BM23" s="473"/>
      <c r="BN23" s="473"/>
      <c r="BO23" s="473"/>
      <c r="BP23" s="473"/>
      <c r="BQ23" s="473"/>
      <c r="BR23" s="473"/>
      <c r="BS23" s="473"/>
      <c r="BT23" s="473"/>
      <c r="BU23" s="473"/>
      <c r="BV23" s="473"/>
      <c r="BW23" s="473"/>
      <c r="BX23" s="473"/>
      <c r="BY23" s="473"/>
      <c r="BZ23" s="473"/>
      <c r="CA23" s="473"/>
      <c r="CB23" s="473"/>
      <c r="CC23" s="473"/>
      <c r="CD23" s="473"/>
      <c r="CE23" s="473"/>
      <c r="CF23" s="473"/>
      <c r="CG23" s="473"/>
      <c r="CH23" s="473"/>
      <c r="CI23" s="473"/>
      <c r="CJ23" s="473"/>
      <c r="CK23" s="473"/>
      <c r="CL23" s="473"/>
      <c r="CM23" s="473"/>
      <c r="CN23" s="473"/>
      <c r="CO23" s="473"/>
      <c r="CP23" s="473"/>
      <c r="CQ23" s="473"/>
      <c r="CR23" s="473"/>
      <c r="CS23" s="473"/>
      <c r="CT23" s="473"/>
      <c r="CU23" s="473"/>
      <c r="CV23" s="473"/>
      <c r="CW23" s="473"/>
      <c r="CX23" s="473"/>
      <c r="CY23" s="473"/>
      <c r="CZ23" s="473"/>
      <c r="DA23" s="473"/>
      <c r="DB23" s="473"/>
      <c r="DC23" s="473"/>
      <c r="DD23" s="473"/>
      <c r="DE23" s="473"/>
      <c r="DF23" s="473"/>
      <c r="DG23" s="473"/>
      <c r="DH23" s="473"/>
      <c r="DI23" s="473"/>
      <c r="DJ23" s="473"/>
      <c r="DK23" s="473"/>
      <c r="DL23" s="473"/>
      <c r="DM23" s="473"/>
      <c r="DN23" s="473"/>
      <c r="DO23" s="473"/>
      <c r="DP23" s="473"/>
      <c r="DQ23" s="473"/>
      <c r="DR23" s="473"/>
      <c r="DS23" s="473"/>
      <c r="DT23" s="473"/>
      <c r="DU23" s="473"/>
      <c r="DV23" s="473"/>
      <c r="DW23" s="473"/>
      <c r="DX23" s="304"/>
    </row>
    <row r="24" spans="1:128">
      <c r="A24" s="1124" t="s">
        <v>1190</v>
      </c>
      <c r="B24" s="1379"/>
      <c r="C24" s="1379"/>
      <c r="D24" s="1124"/>
      <c r="E24" s="1124"/>
      <c r="F24" s="576"/>
      <c r="G24" s="810">
        <f>DS!G53-CF!G83</f>
        <v>0</v>
      </c>
      <c r="H24" s="810">
        <f ca="1">DS!H53-CF!H83</f>
        <v>1303.4832817636529</v>
      </c>
      <c r="I24" s="810">
        <f ca="1">DS!I53-CF!I83</f>
        <v>1254.2342056102223</v>
      </c>
      <c r="J24" s="810">
        <f ca="1">DS!J53-CF!J83</f>
        <v>1222.5045746127719</v>
      </c>
      <c r="K24" s="810">
        <f ca="1">DS!K53-CF!K83</f>
        <v>1179.1686397568308</v>
      </c>
      <c r="L24" s="810">
        <f ca="1">DS!L53-CF!L83</f>
        <v>1150.7491055158007</v>
      </c>
      <c r="M24" s="810">
        <f ca="1">DS!M53-CF!M83</f>
        <v>1098.6922268152643</v>
      </c>
      <c r="N24" s="810">
        <f ca="1">DS!N53-CF!N83</f>
        <v>1079.3918774202323</v>
      </c>
      <c r="O24" s="810">
        <f ca="1">DS!O53-CF!O83</f>
        <v>1025.4759121867562</v>
      </c>
      <c r="P24" s="810">
        <f ca="1">DS!P53-CF!P83</f>
        <v>1005.2830826443115</v>
      </c>
      <c r="Q24" s="810">
        <f ca="1">DS!Q53-CF!Q83</f>
        <v>949.36034772819858</v>
      </c>
      <c r="R24" s="810">
        <f ca="1">DS!R53-CF!R83</f>
        <v>926.22742664951272</v>
      </c>
      <c r="S24" s="810">
        <f ca="1">DS!S53-CF!S83</f>
        <v>873.14801318911304</v>
      </c>
      <c r="T24" s="810">
        <f ca="1">DS!T53-CF!T83</f>
        <v>841.08760754281479</v>
      </c>
      <c r="U24" s="810">
        <f ca="1">DS!U53-CF!U83</f>
        <v>780.74145787641362</v>
      </c>
      <c r="V24" s="810">
        <f ca="1">DS!V53-CF!V83</f>
        <v>748.50120962724725</v>
      </c>
      <c r="W24" s="810">
        <f ca="1">DS!W53-CF!W83</f>
        <v>685.75706943464161</v>
      </c>
      <c r="X24" s="810">
        <f ca="1">DS!X53-CF!X83</f>
        <v>648.07395825226217</v>
      </c>
      <c r="Y24" s="810">
        <f ca="1">DS!Y53-CF!Y83</f>
        <v>582.81645649261293</v>
      </c>
      <c r="Z24" s="810">
        <f ca="1">DS!Z53-CF!Z83</f>
        <v>539.46979417363889</v>
      </c>
      <c r="AA24" s="810">
        <f ca="1">DS!AA53-CF!AA83</f>
        <v>474.38890299858372</v>
      </c>
      <c r="AB24" s="810">
        <f ca="1">DS!AB53-CF!AB83</f>
        <v>422.19244610535924</v>
      </c>
      <c r="AC24" s="810">
        <f ca="1">DS!AC53-CF!AC83</f>
        <v>356.5746678738235</v>
      </c>
      <c r="AD24" s="810">
        <f ca="1">DS!AD53-CF!AD83</f>
        <v>304.89519290119813</v>
      </c>
      <c r="AE24" s="810">
        <f ca="1">DS!AE53-CF!AE83</f>
        <v>236.59445037416731</v>
      </c>
      <c r="AF24" s="810">
        <f ca="1">DS!AF53-CF!AF83</f>
        <v>178.8331220524592</v>
      </c>
      <c r="AG24" s="810">
        <f ca="1">DS!AG53-CF!AG83</f>
        <v>131.47044194950257</v>
      </c>
      <c r="AH24" s="810">
        <f ca="1">DS!AH53-CF!AH83</f>
        <v>90.72868608476189</v>
      </c>
      <c r="AI24" s="810">
        <f ca="1">DS!AI53-CF!AI83</f>
        <v>43.23513268617058</v>
      </c>
      <c r="AJ24" s="810">
        <f ca="1">DS!AJ53-CF!AJ83</f>
        <v>0</v>
      </c>
      <c r="AK24" s="810">
        <f ca="1">DS!AK53-CF!AK83</f>
        <v>0</v>
      </c>
      <c r="AL24" s="810">
        <f ca="1">DS!AL53-CF!AL83</f>
        <v>0</v>
      </c>
      <c r="AM24" s="810">
        <f ca="1">DS!AM53-CF!AM83</f>
        <v>0</v>
      </c>
      <c r="AN24" s="810">
        <f ca="1">DS!AN53-CF!AN83</f>
        <v>0</v>
      </c>
      <c r="AO24" s="810">
        <f ca="1">DS!AO53-CF!AO83</f>
        <v>0</v>
      </c>
      <c r="AP24" s="810">
        <f ca="1">DS!AP53-CF!AP83</f>
        <v>0</v>
      </c>
      <c r="AQ24" s="810">
        <f ca="1">DS!AQ53-CF!AQ83</f>
        <v>0</v>
      </c>
      <c r="AR24" s="810">
        <f ca="1">DS!AR53-CF!AR83</f>
        <v>0</v>
      </c>
      <c r="AS24" s="810">
        <f ca="1">DS!AS53-CF!AS83</f>
        <v>0</v>
      </c>
      <c r="AT24" s="810">
        <f ca="1">DS!AT53-CF!AT83</f>
        <v>0</v>
      </c>
      <c r="AU24" s="810">
        <f ca="1">DS!AU53-CF!AU83</f>
        <v>0</v>
      </c>
      <c r="AV24" s="810">
        <f ca="1">DS!AV53-CF!AV83</f>
        <v>0</v>
      </c>
      <c r="AW24" s="810">
        <f ca="1">DS!AW53-CF!AW83</f>
        <v>0</v>
      </c>
      <c r="AX24" s="810">
        <f ca="1">DS!AX53-CF!AX83</f>
        <v>0</v>
      </c>
      <c r="AY24" s="810">
        <f ca="1">DS!AY53-CF!AY83</f>
        <v>0</v>
      </c>
      <c r="AZ24" s="810">
        <f ca="1">DS!AZ53-CF!AZ83</f>
        <v>0</v>
      </c>
      <c r="BA24" s="810">
        <f ca="1">DS!BA53-CF!BA83</f>
        <v>0</v>
      </c>
      <c r="BB24" s="810">
        <f ca="1">DS!BB53-CF!BB83</f>
        <v>0</v>
      </c>
      <c r="BC24" s="810">
        <f ca="1">DS!BC53-CF!BC83</f>
        <v>0</v>
      </c>
      <c r="BD24" s="810">
        <f ca="1">DS!BD53-CF!BD83</f>
        <v>0</v>
      </c>
      <c r="BE24" s="810">
        <f ca="1">DS!BE53-CF!BE83</f>
        <v>0</v>
      </c>
      <c r="BF24" s="810">
        <f ca="1">DS!BF53-CF!BF83</f>
        <v>0</v>
      </c>
      <c r="BG24" s="810">
        <f ca="1">DS!BG53-CF!BG83</f>
        <v>0</v>
      </c>
      <c r="BH24" s="810">
        <f ca="1">DS!BH53-CF!BH83</f>
        <v>0</v>
      </c>
      <c r="BI24" s="810">
        <f ca="1">DS!BI53-CF!BI83</f>
        <v>0</v>
      </c>
      <c r="BJ24" s="810">
        <f ca="1">DS!BJ53-CF!BJ83</f>
        <v>0</v>
      </c>
      <c r="BK24" s="810">
        <f ca="1">DS!BK53-CF!BK83</f>
        <v>0</v>
      </c>
      <c r="BL24" s="810">
        <f ca="1">DS!BL53-CF!BL83</f>
        <v>0</v>
      </c>
      <c r="BM24" s="810">
        <f ca="1">DS!BM53-CF!BM83</f>
        <v>0</v>
      </c>
      <c r="BN24" s="810">
        <f ca="1">DS!BN53-CF!BN83</f>
        <v>0</v>
      </c>
      <c r="BO24" s="810">
        <f ca="1">DS!BO53-CF!BO83</f>
        <v>0</v>
      </c>
      <c r="BP24" s="810"/>
      <c r="BQ24" s="810"/>
      <c r="BR24" s="810"/>
      <c r="BS24" s="810"/>
      <c r="BT24" s="810"/>
      <c r="BU24" s="810"/>
      <c r="BV24" s="810"/>
      <c r="BW24" s="810"/>
      <c r="BX24" s="810"/>
      <c r="BY24" s="810"/>
      <c r="BZ24" s="810"/>
      <c r="CA24" s="810"/>
      <c r="CB24" s="810"/>
      <c r="CC24" s="810"/>
      <c r="CD24" s="810"/>
      <c r="CE24" s="810"/>
      <c r="CF24" s="810"/>
      <c r="CG24" s="810"/>
      <c r="CH24" s="810"/>
      <c r="CI24" s="810"/>
      <c r="CJ24" s="810"/>
      <c r="CK24" s="810"/>
      <c r="CL24" s="810"/>
      <c r="CM24" s="810"/>
      <c r="CN24" s="810"/>
      <c r="CO24" s="810"/>
      <c r="CP24" s="810"/>
      <c r="CQ24" s="810"/>
      <c r="CR24" s="810"/>
      <c r="CS24" s="810"/>
      <c r="CT24" s="810"/>
      <c r="CU24" s="810"/>
      <c r="CV24" s="810"/>
      <c r="CW24" s="810"/>
      <c r="CX24" s="810"/>
      <c r="CY24" s="810"/>
      <c r="CZ24" s="810"/>
      <c r="DA24" s="810"/>
      <c r="DB24" s="810"/>
      <c r="DC24" s="810"/>
      <c r="DD24" s="810"/>
      <c r="DE24" s="810"/>
      <c r="DF24" s="810"/>
      <c r="DG24" s="810"/>
      <c r="DH24" s="810"/>
      <c r="DI24" s="810"/>
      <c r="DJ24" s="810"/>
      <c r="DK24" s="810"/>
      <c r="DL24" s="810"/>
      <c r="DM24" s="810"/>
      <c r="DN24" s="810"/>
      <c r="DO24" s="810"/>
      <c r="DP24" s="810"/>
      <c r="DQ24" s="810"/>
      <c r="DR24" s="810"/>
      <c r="DS24" s="810"/>
      <c r="DT24" s="810"/>
      <c r="DU24" s="810"/>
      <c r="DV24" s="810"/>
      <c r="DW24" s="810"/>
      <c r="DX24" s="304"/>
    </row>
    <row r="25" spans="1:128">
      <c r="A25" s="1124" t="s">
        <v>1191</v>
      </c>
      <c r="B25" s="1379"/>
      <c r="C25" s="1379"/>
      <c r="D25" s="1124"/>
      <c r="E25" s="1124"/>
      <c r="F25" s="576"/>
      <c r="G25" s="810">
        <f>DS!G88</f>
        <v>0</v>
      </c>
      <c r="H25" s="810">
        <f ca="1">DS!H88</f>
        <v>0</v>
      </c>
      <c r="I25" s="810">
        <f ca="1">DS!I88</f>
        <v>0</v>
      </c>
      <c r="J25" s="810">
        <f ca="1">DS!J88</f>
        <v>0</v>
      </c>
      <c r="K25" s="810">
        <f ca="1">DS!K88</f>
        <v>0</v>
      </c>
      <c r="L25" s="810">
        <f ca="1">DS!L88</f>
        <v>0</v>
      </c>
      <c r="M25" s="810">
        <f ca="1">DS!M88</f>
        <v>0</v>
      </c>
      <c r="N25" s="810">
        <f ca="1">DS!N88</f>
        <v>0</v>
      </c>
      <c r="O25" s="810">
        <f ca="1">DS!O88</f>
        <v>0</v>
      </c>
      <c r="P25" s="810">
        <f ca="1">DS!P88</f>
        <v>0</v>
      </c>
      <c r="Q25" s="810">
        <f ca="1">DS!Q88</f>
        <v>0</v>
      </c>
      <c r="R25" s="810">
        <f ca="1">DS!R88</f>
        <v>0</v>
      </c>
      <c r="S25" s="810">
        <f ca="1">DS!S88</f>
        <v>0</v>
      </c>
      <c r="T25" s="810">
        <f ca="1">DS!T88</f>
        <v>0</v>
      </c>
      <c r="U25" s="810">
        <f ca="1">DS!U88</f>
        <v>0</v>
      </c>
      <c r="V25" s="810">
        <f ca="1">DS!V88</f>
        <v>0</v>
      </c>
      <c r="W25" s="810">
        <f ca="1">DS!W88</f>
        <v>0</v>
      </c>
      <c r="X25" s="810">
        <f ca="1">DS!X88</f>
        <v>0</v>
      </c>
      <c r="Y25" s="810">
        <f ca="1">DS!Y88</f>
        <v>0</v>
      </c>
      <c r="Z25" s="810">
        <f ca="1">DS!Z88</f>
        <v>0</v>
      </c>
      <c r="AA25" s="810">
        <f ca="1">DS!AA88</f>
        <v>0</v>
      </c>
      <c r="AB25" s="810">
        <f ca="1">DS!AB88</f>
        <v>0</v>
      </c>
      <c r="AC25" s="810">
        <f ca="1">DS!AC88</f>
        <v>0</v>
      </c>
      <c r="AD25" s="810">
        <f ca="1">DS!AD88</f>
        <v>0</v>
      </c>
      <c r="AE25" s="810">
        <f ca="1">DS!AE88</f>
        <v>0</v>
      </c>
      <c r="AF25" s="810">
        <f ca="1">DS!AF88</f>
        <v>0</v>
      </c>
      <c r="AG25" s="810">
        <f ca="1">DS!AG88</f>
        <v>0</v>
      </c>
      <c r="AH25" s="810">
        <f ca="1">DS!AH88</f>
        <v>0</v>
      </c>
      <c r="AI25" s="810">
        <f ca="1">DS!AI88</f>
        <v>0</v>
      </c>
      <c r="AJ25" s="810">
        <f ca="1">DS!AJ88</f>
        <v>0</v>
      </c>
      <c r="AK25" s="810">
        <f ca="1">DS!AK88</f>
        <v>0</v>
      </c>
      <c r="AL25" s="810">
        <f ca="1">DS!AL88</f>
        <v>0</v>
      </c>
      <c r="AM25" s="810">
        <f ca="1">DS!AM88</f>
        <v>0</v>
      </c>
      <c r="AN25" s="810">
        <f ca="1">DS!AN88</f>
        <v>0</v>
      </c>
      <c r="AO25" s="810">
        <f ca="1">DS!AO88</f>
        <v>0</v>
      </c>
      <c r="AP25" s="810">
        <f ca="1">DS!AP88</f>
        <v>0</v>
      </c>
      <c r="AQ25" s="810">
        <f ca="1">DS!AQ88</f>
        <v>0</v>
      </c>
      <c r="AR25" s="810">
        <f ca="1">DS!AR88</f>
        <v>0</v>
      </c>
      <c r="AS25" s="810">
        <f ca="1">DS!AS88</f>
        <v>0</v>
      </c>
      <c r="AT25" s="810">
        <f ca="1">DS!AT88</f>
        <v>0</v>
      </c>
      <c r="AU25" s="810">
        <f ca="1">DS!AU88</f>
        <v>0</v>
      </c>
      <c r="AV25" s="810">
        <f ca="1">DS!AV88</f>
        <v>0</v>
      </c>
      <c r="AW25" s="810">
        <f ca="1">DS!AW88</f>
        <v>0</v>
      </c>
      <c r="AX25" s="810">
        <f ca="1">DS!AX88</f>
        <v>0</v>
      </c>
      <c r="AY25" s="810">
        <f ca="1">DS!AY88</f>
        <v>0</v>
      </c>
      <c r="AZ25" s="810">
        <f ca="1">DS!AZ88</f>
        <v>0</v>
      </c>
      <c r="BA25" s="810">
        <f ca="1">DS!BA88</f>
        <v>0</v>
      </c>
      <c r="BB25" s="810">
        <f ca="1">DS!BB88</f>
        <v>0</v>
      </c>
      <c r="BC25" s="810">
        <f ca="1">DS!BC88</f>
        <v>0</v>
      </c>
      <c r="BD25" s="810">
        <f ca="1">DS!BD88</f>
        <v>0</v>
      </c>
      <c r="BE25" s="810">
        <f ca="1">DS!BE88</f>
        <v>0</v>
      </c>
      <c r="BF25" s="810">
        <f ca="1">DS!BF88</f>
        <v>0</v>
      </c>
      <c r="BG25" s="810">
        <f ca="1">DS!BG88</f>
        <v>0</v>
      </c>
      <c r="BH25" s="810">
        <f ca="1">DS!BH88</f>
        <v>0</v>
      </c>
      <c r="BI25" s="810">
        <f ca="1">DS!BI88</f>
        <v>0</v>
      </c>
      <c r="BJ25" s="810">
        <f ca="1">DS!BJ88</f>
        <v>0</v>
      </c>
      <c r="BK25" s="810">
        <f ca="1">DS!BK88</f>
        <v>0</v>
      </c>
      <c r="BL25" s="810">
        <f ca="1">DS!BL88</f>
        <v>0</v>
      </c>
      <c r="BM25" s="810">
        <f ca="1">DS!BM88</f>
        <v>0</v>
      </c>
      <c r="BN25" s="810">
        <f ca="1">DS!BN88</f>
        <v>0</v>
      </c>
      <c r="BO25" s="810">
        <f ca="1">DS!BO88</f>
        <v>0</v>
      </c>
      <c r="BP25" s="810"/>
      <c r="BQ25" s="810"/>
      <c r="BR25" s="810"/>
      <c r="BS25" s="810"/>
      <c r="BT25" s="810"/>
      <c r="BU25" s="810"/>
      <c r="BV25" s="810"/>
      <c r="BW25" s="810"/>
      <c r="BX25" s="810"/>
      <c r="BY25" s="810"/>
      <c r="BZ25" s="810"/>
      <c r="CA25" s="810"/>
      <c r="CB25" s="810"/>
      <c r="CC25" s="810"/>
      <c r="CD25" s="810"/>
      <c r="CE25" s="810"/>
      <c r="CF25" s="810"/>
      <c r="CG25" s="810"/>
      <c r="CH25" s="810"/>
      <c r="CI25" s="810"/>
      <c r="CJ25" s="810"/>
      <c r="CK25" s="810"/>
      <c r="CL25" s="810"/>
      <c r="CM25" s="810"/>
      <c r="CN25" s="810"/>
      <c r="CO25" s="810"/>
      <c r="CP25" s="810"/>
      <c r="CQ25" s="810"/>
      <c r="CR25" s="810"/>
      <c r="CS25" s="810"/>
      <c r="CT25" s="810"/>
      <c r="CU25" s="810"/>
      <c r="CV25" s="810"/>
      <c r="CW25" s="810"/>
      <c r="CX25" s="810"/>
      <c r="CY25" s="810"/>
      <c r="CZ25" s="810"/>
      <c r="DA25" s="810"/>
      <c r="DB25" s="810"/>
      <c r="DC25" s="810"/>
      <c r="DD25" s="810"/>
      <c r="DE25" s="810"/>
      <c r="DF25" s="810"/>
      <c r="DG25" s="810"/>
      <c r="DH25" s="810"/>
      <c r="DI25" s="810"/>
      <c r="DJ25" s="810"/>
      <c r="DK25" s="810"/>
      <c r="DL25" s="810"/>
      <c r="DM25" s="810"/>
      <c r="DN25" s="810"/>
      <c r="DO25" s="810"/>
      <c r="DP25" s="810"/>
      <c r="DQ25" s="810"/>
      <c r="DR25" s="810"/>
      <c r="DS25" s="810"/>
      <c r="DT25" s="810"/>
      <c r="DU25" s="810"/>
      <c r="DV25" s="810"/>
      <c r="DW25" s="810"/>
      <c r="DX25" s="304"/>
    </row>
    <row r="26" spans="1:128">
      <c r="A26" s="1124" t="s">
        <v>1192</v>
      </c>
      <c r="B26" s="1379"/>
      <c r="C26" s="1379"/>
      <c r="D26" s="1124"/>
      <c r="E26" s="1124"/>
      <c r="F26" s="576"/>
      <c r="G26" s="810">
        <f>DS!G110</f>
        <v>0</v>
      </c>
      <c r="H26" s="810">
        <f ca="1">DS!H110</f>
        <v>0</v>
      </c>
      <c r="I26" s="810">
        <f ca="1">DS!I110</f>
        <v>0</v>
      </c>
      <c r="J26" s="810">
        <f ca="1">DS!J110</f>
        <v>0</v>
      </c>
      <c r="K26" s="810">
        <f ca="1">DS!K110</f>
        <v>0</v>
      </c>
      <c r="L26" s="810">
        <f ca="1">DS!L110</f>
        <v>0</v>
      </c>
      <c r="M26" s="810">
        <f ca="1">DS!M110</f>
        <v>0</v>
      </c>
      <c r="N26" s="810">
        <f ca="1">DS!N110</f>
        <v>0</v>
      </c>
      <c r="O26" s="810">
        <f ca="1">DS!O110</f>
        <v>0</v>
      </c>
      <c r="P26" s="810">
        <f ca="1">DS!P110</f>
        <v>0</v>
      </c>
      <c r="Q26" s="810">
        <f ca="1">DS!Q110</f>
        <v>0</v>
      </c>
      <c r="R26" s="810">
        <f ca="1">DS!R110</f>
        <v>0</v>
      </c>
      <c r="S26" s="810">
        <f ca="1">DS!S110</f>
        <v>0</v>
      </c>
      <c r="T26" s="810">
        <f ca="1">DS!T110</f>
        <v>0</v>
      </c>
      <c r="U26" s="810">
        <f ca="1">DS!U110</f>
        <v>0</v>
      </c>
      <c r="V26" s="810">
        <f ca="1">DS!V110</f>
        <v>0</v>
      </c>
      <c r="W26" s="810">
        <f ca="1">DS!W110</f>
        <v>0</v>
      </c>
      <c r="X26" s="810">
        <f ca="1">DS!X110</f>
        <v>0</v>
      </c>
      <c r="Y26" s="810">
        <f ca="1">DS!Y110</f>
        <v>0</v>
      </c>
      <c r="Z26" s="810">
        <f ca="1">DS!Z110</f>
        <v>0</v>
      </c>
      <c r="AA26" s="810">
        <f ca="1">DS!AA110</f>
        <v>0</v>
      </c>
      <c r="AB26" s="810">
        <f ca="1">DS!AB110</f>
        <v>0</v>
      </c>
      <c r="AC26" s="810">
        <f ca="1">DS!AC110</f>
        <v>0</v>
      </c>
      <c r="AD26" s="810">
        <f ca="1">DS!AD110</f>
        <v>0</v>
      </c>
      <c r="AE26" s="810">
        <f ca="1">DS!AE110</f>
        <v>0</v>
      </c>
      <c r="AF26" s="810">
        <f ca="1">DS!AF110</f>
        <v>0</v>
      </c>
      <c r="AG26" s="810">
        <f ca="1">DS!AG110</f>
        <v>0</v>
      </c>
      <c r="AH26" s="810">
        <f ca="1">DS!AH110</f>
        <v>0</v>
      </c>
      <c r="AI26" s="810">
        <f ca="1">DS!AI110</f>
        <v>0</v>
      </c>
      <c r="AJ26" s="810">
        <f ca="1">DS!AJ110</f>
        <v>0</v>
      </c>
      <c r="AK26" s="810">
        <f ca="1">DS!AK110</f>
        <v>0</v>
      </c>
      <c r="AL26" s="810">
        <f ca="1">DS!AL110</f>
        <v>0</v>
      </c>
      <c r="AM26" s="810">
        <f ca="1">DS!AM110</f>
        <v>0</v>
      </c>
      <c r="AN26" s="810">
        <f ca="1">DS!AN110</f>
        <v>0</v>
      </c>
      <c r="AO26" s="810">
        <f ca="1">DS!AO110</f>
        <v>0</v>
      </c>
      <c r="AP26" s="810">
        <f ca="1">DS!AP110</f>
        <v>0</v>
      </c>
      <c r="AQ26" s="810">
        <f ca="1">DS!AQ110</f>
        <v>0</v>
      </c>
      <c r="AR26" s="810">
        <f ca="1">DS!AR110</f>
        <v>0</v>
      </c>
      <c r="AS26" s="810">
        <f ca="1">DS!AS110</f>
        <v>0</v>
      </c>
      <c r="AT26" s="810">
        <f ca="1">DS!AT110</f>
        <v>0</v>
      </c>
      <c r="AU26" s="810">
        <f ca="1">DS!AU110</f>
        <v>0</v>
      </c>
      <c r="AV26" s="810">
        <f ca="1">DS!AV110</f>
        <v>0</v>
      </c>
      <c r="AW26" s="810">
        <f ca="1">DS!AW110</f>
        <v>0</v>
      </c>
      <c r="AX26" s="810">
        <f ca="1">DS!AX110</f>
        <v>0</v>
      </c>
      <c r="AY26" s="810">
        <f ca="1">DS!AY110</f>
        <v>0</v>
      </c>
      <c r="AZ26" s="810">
        <f ca="1">DS!AZ110</f>
        <v>0</v>
      </c>
      <c r="BA26" s="810">
        <f ca="1">DS!BA110</f>
        <v>0</v>
      </c>
      <c r="BB26" s="810">
        <f ca="1">DS!BB110</f>
        <v>0</v>
      </c>
      <c r="BC26" s="810">
        <f ca="1">DS!BC110</f>
        <v>0</v>
      </c>
      <c r="BD26" s="810">
        <f ca="1">DS!BD110</f>
        <v>0</v>
      </c>
      <c r="BE26" s="810">
        <f ca="1">DS!BE110</f>
        <v>0</v>
      </c>
      <c r="BF26" s="810">
        <f ca="1">DS!BF110</f>
        <v>0</v>
      </c>
      <c r="BG26" s="810">
        <f ca="1">DS!BG110</f>
        <v>0</v>
      </c>
      <c r="BH26" s="810">
        <f ca="1">DS!BH110</f>
        <v>0</v>
      </c>
      <c r="BI26" s="810">
        <f ca="1">DS!BI110</f>
        <v>0</v>
      </c>
      <c r="BJ26" s="810">
        <f ca="1">DS!BJ110</f>
        <v>0</v>
      </c>
      <c r="BK26" s="810">
        <f ca="1">DS!BK110</f>
        <v>0</v>
      </c>
      <c r="BL26" s="810">
        <f ca="1">DS!BL110</f>
        <v>0</v>
      </c>
      <c r="BM26" s="810">
        <f ca="1">DS!BM110</f>
        <v>0</v>
      </c>
      <c r="BN26" s="810">
        <f ca="1">DS!BN110</f>
        <v>0</v>
      </c>
      <c r="BO26" s="810">
        <f ca="1">DS!BO110</f>
        <v>0</v>
      </c>
      <c r="BP26" s="810"/>
      <c r="BQ26" s="810"/>
      <c r="BR26" s="810"/>
      <c r="BS26" s="810"/>
      <c r="BT26" s="810"/>
      <c r="BU26" s="810"/>
      <c r="BV26" s="810"/>
      <c r="BW26" s="810"/>
      <c r="BX26" s="810"/>
      <c r="BY26" s="810"/>
      <c r="BZ26" s="810"/>
      <c r="CA26" s="810"/>
      <c r="CB26" s="810"/>
      <c r="CC26" s="810"/>
      <c r="CD26" s="810"/>
      <c r="CE26" s="810"/>
      <c r="CF26" s="810"/>
      <c r="CG26" s="810"/>
      <c r="CH26" s="810"/>
      <c r="CI26" s="810"/>
      <c r="CJ26" s="810"/>
      <c r="CK26" s="810"/>
      <c r="CL26" s="810"/>
      <c r="CM26" s="810"/>
      <c r="CN26" s="810"/>
      <c r="CO26" s="810"/>
      <c r="CP26" s="810"/>
      <c r="CQ26" s="810"/>
      <c r="CR26" s="810"/>
      <c r="CS26" s="810"/>
      <c r="CT26" s="810"/>
      <c r="CU26" s="810"/>
      <c r="CV26" s="810"/>
      <c r="CW26" s="810"/>
      <c r="CX26" s="810"/>
      <c r="CY26" s="810"/>
      <c r="CZ26" s="810"/>
      <c r="DA26" s="810"/>
      <c r="DB26" s="810"/>
      <c r="DC26" s="810"/>
      <c r="DD26" s="810"/>
      <c r="DE26" s="810"/>
      <c r="DF26" s="810"/>
      <c r="DG26" s="810"/>
      <c r="DH26" s="810"/>
      <c r="DI26" s="810"/>
      <c r="DJ26" s="810"/>
      <c r="DK26" s="810"/>
      <c r="DL26" s="810"/>
      <c r="DM26" s="810"/>
      <c r="DN26" s="810"/>
      <c r="DO26" s="810"/>
      <c r="DP26" s="810"/>
      <c r="DQ26" s="810"/>
      <c r="DR26" s="810"/>
      <c r="DS26" s="810"/>
      <c r="DT26" s="810"/>
      <c r="DU26" s="810"/>
      <c r="DV26" s="810"/>
      <c r="DW26" s="810"/>
      <c r="DX26" s="304"/>
    </row>
    <row r="27" spans="1:128">
      <c r="A27" s="1124" t="s">
        <v>1193</v>
      </c>
      <c r="B27" s="1379"/>
      <c r="C27" s="1379"/>
      <c r="D27" s="1124"/>
      <c r="E27" s="1124"/>
      <c r="F27" s="576"/>
      <c r="G27" s="810">
        <f ca="1">DS!G125</f>
        <v>1169.6619115852516</v>
      </c>
      <c r="H27" s="810">
        <f ca="1">DS!H125</f>
        <v>636.80880841156454</v>
      </c>
      <c r="I27" s="810">
        <f ca="1">DS!I125</f>
        <v>638.36466917743735</v>
      </c>
      <c r="J27" s="810">
        <f ca="1">DS!J125</f>
        <v>661.36538167679203</v>
      </c>
      <c r="K27" s="810">
        <f ca="1">DS!K125</f>
        <v>667.15244483410731</v>
      </c>
      <c r="L27" s="810">
        <f ca="1">DS!L125</f>
        <v>687.65560485565209</v>
      </c>
      <c r="M27" s="810">
        <f ca="1">DS!M125</f>
        <v>690.07491164320265</v>
      </c>
      <c r="N27" s="810">
        <f ca="1">DS!N125</f>
        <v>715.40845403250773</v>
      </c>
      <c r="O27" s="810">
        <f ca="1">DS!O125</f>
        <v>718.27083221196267</v>
      </c>
      <c r="P27" s="810">
        <f ca="1">DS!P125</f>
        <v>745.11613763231446</v>
      </c>
      <c r="Q27" s="810">
        <f ca="1">DS!Q125</f>
        <v>748.46419290816721</v>
      </c>
      <c r="R27" s="810">
        <f ca="1">DS!R125</f>
        <v>776.93536429348069</v>
      </c>
      <c r="S27" s="810">
        <f ca="1">DS!S125</f>
        <v>785.1684339414179</v>
      </c>
      <c r="T27" s="810">
        <f ca="1">DS!T125</f>
        <v>811.20991410080865</v>
      </c>
      <c r="U27" s="810">
        <f ca="1">DS!U125</f>
        <v>815.67598193946344</v>
      </c>
      <c r="V27" s="810">
        <f ca="1">DS!V125</f>
        <v>847.79654203567486</v>
      </c>
      <c r="W27" s="810">
        <f ca="1">DS!W125</f>
        <v>852.89954109043913</v>
      </c>
      <c r="X27" s="810">
        <f ca="1">DS!X125</f>
        <v>887.05784180853095</v>
      </c>
      <c r="Y27" s="810">
        <f ca="1">DS!Y125</f>
        <v>892.8570178659445</v>
      </c>
      <c r="Z27" s="810">
        <f ca="1">DS!Z125</f>
        <v>929.21425807705657</v>
      </c>
      <c r="AA27" s="810">
        <f ca="1">DS!AA125</f>
        <v>940.98561404032034</v>
      </c>
      <c r="AB27" s="810">
        <f ca="1">DS!AB125</f>
        <v>974.71226715970897</v>
      </c>
      <c r="AC27" s="810">
        <f ca="1">DS!AC125</f>
        <v>983.11886555325827</v>
      </c>
      <c r="AD27" s="810">
        <f ca="1">DS!AD125</f>
        <v>1025.2860661299587</v>
      </c>
      <c r="AE27" s="810">
        <f ca="1">DS!AE125</f>
        <v>1034.6431381159011</v>
      </c>
      <c r="AF27" s="810">
        <f ca="1">DS!AF125</f>
        <v>1079.6770300090795</v>
      </c>
      <c r="AG27" s="810">
        <f ca="1">DS!AG125</f>
        <v>1053.1826196147904</v>
      </c>
      <c r="AH27" s="810">
        <f ca="1">DS!AH125</f>
        <v>1067.2828534922648</v>
      </c>
      <c r="AI27" s="810">
        <f ca="1">DS!AI125</f>
        <v>1045.362070318816</v>
      </c>
      <c r="AJ27" s="810">
        <f ca="1">DS!AJ125</f>
        <v>1052.2100644472955</v>
      </c>
      <c r="AK27" s="810">
        <f ca="1">DS!AK125</f>
        <v>957.99951666674417</v>
      </c>
      <c r="AL27" s="810">
        <f ca="1">DS!AL125</f>
        <v>909.85940279784518</v>
      </c>
      <c r="AM27" s="810">
        <f ca="1">DS!AM125</f>
        <v>817.39442151993831</v>
      </c>
      <c r="AN27" s="810">
        <f ca="1">DS!AN125</f>
        <v>758.71455687973287</v>
      </c>
      <c r="AO27" s="810">
        <f ca="1">DS!AO125</f>
        <v>660.49171338511303</v>
      </c>
      <c r="AP27" s="810">
        <f ca="1">DS!AP125</f>
        <v>591.10565241267363</v>
      </c>
      <c r="AQ27" s="810">
        <f ca="1">DS!AQ125</f>
        <v>489.7754845300833</v>
      </c>
      <c r="AR27" s="810">
        <f ca="1">DS!AR125</f>
        <v>405.87277286536892</v>
      </c>
      <c r="AS27" s="810">
        <f ca="1">DS!AS125</f>
        <v>295.05129364478694</v>
      </c>
      <c r="AT27" s="810">
        <f ca="1">DS!AT125</f>
        <v>201.39388901789349</v>
      </c>
      <c r="AU27" s="810">
        <f ca="1">DS!AU125</f>
        <v>83.63357195822519</v>
      </c>
      <c r="AV27" s="810">
        <f ca="1">DS!AV125</f>
        <v>0</v>
      </c>
      <c r="AW27" s="810">
        <f ca="1">DS!AW125</f>
        <v>0</v>
      </c>
      <c r="AX27" s="810">
        <f ca="1">DS!AX125</f>
        <v>0</v>
      </c>
      <c r="AY27" s="810">
        <f ca="1">DS!AY125</f>
        <v>0</v>
      </c>
      <c r="AZ27" s="810">
        <f ca="1">DS!AZ125</f>
        <v>0</v>
      </c>
      <c r="BA27" s="810">
        <f ca="1">DS!BA125</f>
        <v>0</v>
      </c>
      <c r="BB27" s="810">
        <f ca="1">DS!BB125</f>
        <v>0</v>
      </c>
      <c r="BC27" s="810">
        <f ca="1">DS!BC125</f>
        <v>0</v>
      </c>
      <c r="BD27" s="810">
        <f ca="1">DS!BD125</f>
        <v>0</v>
      </c>
      <c r="BE27" s="810">
        <f ca="1">DS!BE125</f>
        <v>0</v>
      </c>
      <c r="BF27" s="810">
        <f ca="1">DS!BF125</f>
        <v>0</v>
      </c>
      <c r="BG27" s="810">
        <f ca="1">DS!BG125</f>
        <v>0</v>
      </c>
      <c r="BH27" s="810">
        <f ca="1">DS!BH125</f>
        <v>0</v>
      </c>
      <c r="BI27" s="810">
        <f ca="1">DS!BI125</f>
        <v>0</v>
      </c>
      <c r="BJ27" s="810">
        <f ca="1">DS!BJ125</f>
        <v>0</v>
      </c>
      <c r="BK27" s="810">
        <f ca="1">DS!BK125</f>
        <v>0</v>
      </c>
      <c r="BL27" s="810">
        <f ca="1">DS!BL125</f>
        <v>0</v>
      </c>
      <c r="BM27" s="810">
        <f ca="1">DS!BM125</f>
        <v>0</v>
      </c>
      <c r="BN27" s="810">
        <f ca="1">DS!BN125</f>
        <v>0</v>
      </c>
      <c r="BO27" s="810">
        <f ca="1">DS!BO125</f>
        <v>0</v>
      </c>
      <c r="BP27" s="810"/>
      <c r="BQ27" s="810"/>
      <c r="BR27" s="810"/>
      <c r="BS27" s="810"/>
      <c r="BT27" s="810"/>
      <c r="BU27" s="810"/>
      <c r="BV27" s="810"/>
      <c r="BW27" s="810"/>
      <c r="BX27" s="810"/>
      <c r="BY27" s="810"/>
      <c r="BZ27" s="810"/>
      <c r="CA27" s="810"/>
      <c r="CB27" s="810"/>
      <c r="CC27" s="810"/>
      <c r="CD27" s="810"/>
      <c r="CE27" s="810"/>
      <c r="CF27" s="810"/>
      <c r="CG27" s="810"/>
      <c r="CH27" s="810"/>
      <c r="CI27" s="810"/>
      <c r="CJ27" s="810"/>
      <c r="CK27" s="810"/>
      <c r="CL27" s="810"/>
      <c r="CM27" s="810"/>
      <c r="CN27" s="810"/>
      <c r="CO27" s="810"/>
      <c r="CP27" s="810"/>
      <c r="CQ27" s="810"/>
      <c r="CR27" s="810"/>
      <c r="CS27" s="810"/>
      <c r="CT27" s="810"/>
      <c r="CU27" s="810"/>
      <c r="CV27" s="810"/>
      <c r="CW27" s="810"/>
      <c r="CX27" s="810"/>
      <c r="CY27" s="810"/>
      <c r="CZ27" s="810"/>
      <c r="DA27" s="810"/>
      <c r="DB27" s="810"/>
      <c r="DC27" s="810"/>
      <c r="DD27" s="810"/>
      <c r="DE27" s="810"/>
      <c r="DF27" s="810"/>
      <c r="DG27" s="810"/>
      <c r="DH27" s="810"/>
      <c r="DI27" s="810"/>
      <c r="DJ27" s="810"/>
      <c r="DK27" s="810"/>
      <c r="DL27" s="810"/>
      <c r="DM27" s="810"/>
      <c r="DN27" s="810"/>
      <c r="DO27" s="810"/>
      <c r="DP27" s="810"/>
      <c r="DQ27" s="810"/>
      <c r="DR27" s="810"/>
      <c r="DS27" s="810"/>
      <c r="DT27" s="810"/>
      <c r="DU27" s="810"/>
      <c r="DV27" s="810"/>
      <c r="DW27" s="810"/>
      <c r="DX27" s="304"/>
    </row>
    <row r="28" spans="1:128">
      <c r="A28" s="1124" t="s">
        <v>1194</v>
      </c>
      <c r="B28" s="1385">
        <f>Inputs!$D$456</f>
        <v>0.02</v>
      </c>
      <c r="C28" s="1385"/>
      <c r="D28" s="1124"/>
      <c r="E28" s="1124"/>
      <c r="F28" s="576"/>
      <c r="G28" s="810">
        <f>-(CF!F144&lt;0)*$B28*CF!F144*G$5*G$6</f>
        <v>0</v>
      </c>
      <c r="H28" s="810">
        <f ca="1">-(CF!G144&lt;0)*$B28*CF!G144*H$5*H$6</f>
        <v>0</v>
      </c>
      <c r="I28" s="810">
        <f ca="1">-(CF!H144&lt;0)*$B28*CF!H144*I$5*I$6</f>
        <v>0</v>
      </c>
      <c r="J28" s="810">
        <f ca="1">-(CF!I144&lt;0)*$B28*CF!I144*J$5*J$6</f>
        <v>0</v>
      </c>
      <c r="K28" s="810">
        <f ca="1">-(CF!J144&lt;0)*$B28*CF!J144*K$5*K$6</f>
        <v>0</v>
      </c>
      <c r="L28" s="810">
        <f ca="1">-(CF!K144&lt;0)*$B28*CF!K144*L$5*L$6</f>
        <v>0</v>
      </c>
      <c r="M28" s="810">
        <f ca="1">-(CF!L144&lt;0)*$B28*CF!L144*M$5*M$6</f>
        <v>0</v>
      </c>
      <c r="N28" s="810">
        <f ca="1">-(CF!M144&lt;0)*$B28*CF!M144*N$5*N$6</f>
        <v>0</v>
      </c>
      <c r="O28" s="810">
        <f ca="1">-(CF!N144&lt;0)*$B28*CF!N144*O$5*O$6</f>
        <v>0</v>
      </c>
      <c r="P28" s="810">
        <f ca="1">-(CF!O144&lt;0)*$B28*CF!O144*P$5*P$6</f>
        <v>0</v>
      </c>
      <c r="Q28" s="810">
        <f ca="1">-(CF!P144&lt;0)*$B28*CF!P144*Q$5*Q$6</f>
        <v>0</v>
      </c>
      <c r="R28" s="810">
        <f ca="1">-(CF!Q144&lt;0)*$B28*CF!Q144*R$5*R$6</f>
        <v>0</v>
      </c>
      <c r="S28" s="810">
        <f ca="1">-(CF!R144&lt;0)*$B28*CF!R144*S$5*S$6</f>
        <v>0</v>
      </c>
      <c r="T28" s="810">
        <f ca="1">-(CF!S144&lt;0)*$B28*CF!S144*T$5*T$6</f>
        <v>0</v>
      </c>
      <c r="U28" s="810">
        <f ca="1">-(CF!T144&lt;0)*$B28*CF!T144*U$5*U$6</f>
        <v>0</v>
      </c>
      <c r="V28" s="810">
        <f ca="1">-(CF!U144&lt;0)*$B28*CF!U144*V$5*V$6</f>
        <v>0</v>
      </c>
      <c r="W28" s="810">
        <f ca="1">-(CF!V144&lt;0)*$B28*CF!V144*W$5*W$6</f>
        <v>0</v>
      </c>
      <c r="X28" s="810">
        <f ca="1">-(CF!W144&lt;0)*$B28*CF!W144*X$5*X$6</f>
        <v>0</v>
      </c>
      <c r="Y28" s="810">
        <f ca="1">-(CF!X144&lt;0)*$B28*CF!X144*Y$5*Y$6</f>
        <v>0</v>
      </c>
      <c r="Z28" s="810">
        <f ca="1">-(CF!Y144&lt;0)*$B28*CF!Y144*Z$5*Z$6</f>
        <v>0</v>
      </c>
      <c r="AA28" s="810">
        <f ca="1">-(CF!Z144&lt;0)*$B28*CF!Z144*AA$5*AA$6</f>
        <v>0</v>
      </c>
      <c r="AB28" s="810">
        <f ca="1">-(CF!AA144&lt;0)*$B28*CF!AA144*AB$5*AB$6</f>
        <v>0</v>
      </c>
      <c r="AC28" s="810">
        <f ca="1">-(CF!AB144&lt;0)*$B28*CF!AB144*AC$5*AC$6</f>
        <v>0</v>
      </c>
      <c r="AD28" s="810">
        <f ca="1">-(CF!AC144&lt;0)*$B28*CF!AC144*AD$5*AD$6</f>
        <v>0</v>
      </c>
      <c r="AE28" s="810">
        <f ca="1">-(CF!AD144&lt;0)*$B28*CF!AD144*AE$5*AE$6</f>
        <v>0</v>
      </c>
      <c r="AF28" s="810">
        <f ca="1">-(CF!AE144&lt;0)*$B28*CF!AE144*AF$5*AF$6</f>
        <v>0</v>
      </c>
      <c r="AG28" s="810">
        <f ca="1">-(CF!AF144&lt;0)*$B28*CF!AF144*AG$5*AG$6</f>
        <v>0</v>
      </c>
      <c r="AH28" s="810">
        <f ca="1">-(CF!AG144&lt;0)*$B28*CF!AG144*AH$5*AH$6</f>
        <v>0</v>
      </c>
      <c r="AI28" s="810">
        <f ca="1">-(CF!AH144&lt;0)*$B28*CF!AH144*AI$5*AI$6</f>
        <v>0</v>
      </c>
      <c r="AJ28" s="810">
        <f ca="1">-(CF!AI144&lt;0)*$B28*CF!AI144*AJ$5*AJ$6</f>
        <v>0</v>
      </c>
      <c r="AK28" s="810">
        <f ca="1">-(CF!AJ144&lt;0)*$B28*CF!AJ144*AK$5*AK$6</f>
        <v>0</v>
      </c>
      <c r="AL28" s="810">
        <f ca="1">-(CF!AK144&lt;0)*$B28*CF!AK144*AL$5*AL$6</f>
        <v>0</v>
      </c>
      <c r="AM28" s="810">
        <f ca="1">-(CF!AL144&lt;0)*$B28*CF!AL144*AM$5*AM$6</f>
        <v>0</v>
      </c>
      <c r="AN28" s="810">
        <f ca="1">-(CF!AM144&lt;0)*$B28*CF!AM144*AN$5*AN$6</f>
        <v>0</v>
      </c>
      <c r="AO28" s="810">
        <f ca="1">-(CF!AN144&lt;0)*$B28*CF!AN144*AO$5*AO$6</f>
        <v>0</v>
      </c>
      <c r="AP28" s="810">
        <f ca="1">-(CF!AO144&lt;0)*$B28*CF!AO144*AP$5*AP$6</f>
        <v>0</v>
      </c>
      <c r="AQ28" s="810">
        <f ca="1">-(CF!AP144&lt;0)*$B28*CF!AP144*AQ$5*AQ$6</f>
        <v>0</v>
      </c>
      <c r="AR28" s="810">
        <f ca="1">-(CF!AQ144&lt;0)*$B28*CF!AQ144*AR$5*AR$6</f>
        <v>0</v>
      </c>
      <c r="AS28" s="810">
        <f ca="1">-(CF!AR144&lt;0)*$B28*CF!AR144*AS$5*AS$6</f>
        <v>0</v>
      </c>
      <c r="AT28" s="810">
        <f ca="1">-(CF!AS144&lt;0)*$B28*CF!AS144*AT$5*AT$6</f>
        <v>0</v>
      </c>
      <c r="AU28" s="810">
        <f ca="1">-(CF!AT144&lt;0)*$B28*CF!AT144*AU$5*AU$6</f>
        <v>0</v>
      </c>
      <c r="AV28" s="810">
        <f ca="1">-(CF!AU144&lt;0)*$B28*CF!AU144*AV$5*AV$6</f>
        <v>0</v>
      </c>
      <c r="AW28" s="810">
        <f ca="1">-(CF!AV144&lt;0)*$B28*CF!AV144*AW$5*AW$6</f>
        <v>0</v>
      </c>
      <c r="AX28" s="810">
        <f ca="1">-(CF!AW144&lt;0)*$B28*CF!AW144*AX$5*AX$6</f>
        <v>0</v>
      </c>
      <c r="AY28" s="810">
        <f ca="1">-(CF!AX144&lt;0)*$B28*CF!AX144*AY$5*AY$6</f>
        <v>0</v>
      </c>
      <c r="AZ28" s="810">
        <f ca="1">-(CF!AY144&lt;0)*$B28*CF!AY144*AZ$5*AZ$6</f>
        <v>0</v>
      </c>
      <c r="BA28" s="810">
        <f ca="1">-(CF!AZ144&lt;0)*$B28*CF!AZ144*BA$5*BA$6</f>
        <v>0</v>
      </c>
      <c r="BB28" s="810">
        <f ca="1">-(CF!BA144&lt;0)*$B28*CF!BA144*BB$5*BB$6</f>
        <v>0</v>
      </c>
      <c r="BC28" s="810">
        <f ca="1">-(CF!BB144&lt;0)*$B28*CF!BB144*BC$5*BC$6</f>
        <v>0</v>
      </c>
      <c r="BD28" s="810">
        <f ca="1">-(CF!BC144&lt;0)*$B28*CF!BC144*BD$5*BD$6</f>
        <v>0</v>
      </c>
      <c r="BE28" s="810">
        <f ca="1">-(CF!BD144&lt;0)*$B28*CF!BD144*BE$5*BE$6</f>
        <v>0</v>
      </c>
      <c r="BF28" s="810">
        <f ca="1">-(CF!BE144&lt;0)*$B28*CF!BE144*BF$5*BF$6</f>
        <v>0</v>
      </c>
      <c r="BG28" s="810">
        <f ca="1">-(CF!BF144&lt;0)*$B28*CF!BF144*BG$5*BG$6</f>
        <v>0</v>
      </c>
      <c r="BH28" s="810">
        <f ca="1">-(CF!BG144&lt;0)*$B28*CF!BG144*BH$5*BH$6</f>
        <v>0</v>
      </c>
      <c r="BI28" s="810">
        <f ca="1">-(CF!BH144&lt;0)*$B28*CF!BH144*BI$5*BI$6</f>
        <v>0</v>
      </c>
      <c r="BJ28" s="810">
        <f ca="1">-(CF!BI144&lt;0)*$B28*CF!BI144*BJ$5*BJ$6</f>
        <v>0</v>
      </c>
      <c r="BK28" s="810">
        <f ca="1">-(CF!BJ144&lt;0)*$B28*CF!BJ144*BK$5*BK$6</f>
        <v>0</v>
      </c>
      <c r="BL28" s="810">
        <f ca="1">-(CF!BK144&lt;0)*$B28*CF!BK144*BL$5*BL$6</f>
        <v>0</v>
      </c>
      <c r="BM28" s="810">
        <f ca="1">-(CF!BL144&lt;0)*$B28*CF!BL144*BM$5*BM$6</f>
        <v>0</v>
      </c>
      <c r="BN28" s="810">
        <f ca="1">-(CF!BM144&lt;0)*$B28*CF!BM144*BN$5*BN$6</f>
        <v>0</v>
      </c>
      <c r="BO28" s="810">
        <f ca="1">-(CF!BN144&lt;0)*$B28*CF!BN144*BO$5*BO$6</f>
        <v>0</v>
      </c>
      <c r="BP28" s="810"/>
      <c r="BQ28" s="810"/>
      <c r="BR28" s="810"/>
      <c r="BS28" s="810"/>
      <c r="BT28" s="810"/>
      <c r="BU28" s="810"/>
      <c r="BV28" s="810"/>
      <c r="BW28" s="810"/>
      <c r="BX28" s="810"/>
      <c r="BY28" s="810"/>
      <c r="BZ28" s="810"/>
      <c r="CA28" s="810"/>
      <c r="CB28" s="810"/>
      <c r="CC28" s="810"/>
      <c r="CD28" s="810"/>
      <c r="CE28" s="810"/>
      <c r="CF28" s="810"/>
      <c r="CG28" s="810"/>
      <c r="CH28" s="810"/>
      <c r="CI28" s="810"/>
      <c r="CJ28" s="810"/>
      <c r="CK28" s="810"/>
      <c r="CL28" s="810"/>
      <c r="CM28" s="810"/>
      <c r="CN28" s="810"/>
      <c r="CO28" s="810"/>
      <c r="CP28" s="810"/>
      <c r="CQ28" s="810"/>
      <c r="CR28" s="810"/>
      <c r="CS28" s="810"/>
      <c r="CT28" s="810"/>
      <c r="CU28" s="810"/>
      <c r="CV28" s="810"/>
      <c r="CW28" s="810"/>
      <c r="CX28" s="810"/>
      <c r="CY28" s="810"/>
      <c r="CZ28" s="810"/>
      <c r="DA28" s="810"/>
      <c r="DB28" s="810"/>
      <c r="DC28" s="810"/>
      <c r="DD28" s="810"/>
      <c r="DE28" s="810"/>
      <c r="DF28" s="810"/>
      <c r="DG28" s="810"/>
      <c r="DH28" s="810"/>
      <c r="DI28" s="810"/>
      <c r="DJ28" s="810"/>
      <c r="DK28" s="810"/>
      <c r="DL28" s="810"/>
      <c r="DM28" s="810"/>
      <c r="DN28" s="810"/>
      <c r="DO28" s="810"/>
      <c r="DP28" s="810"/>
      <c r="DQ28" s="810"/>
      <c r="DR28" s="810"/>
      <c r="DS28" s="810"/>
      <c r="DT28" s="810"/>
      <c r="DU28" s="810"/>
      <c r="DV28" s="810"/>
      <c r="DW28" s="810"/>
      <c r="DX28" s="304"/>
    </row>
    <row r="29" spans="1:128">
      <c r="A29" s="1124"/>
      <c r="B29" s="1379"/>
      <c r="C29" s="1379"/>
      <c r="D29" s="1124"/>
      <c r="E29" s="1124"/>
      <c r="F29" s="576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  <c r="AL29" s="473"/>
      <c r="AM29" s="473"/>
      <c r="AN29" s="473"/>
      <c r="AO29" s="473"/>
      <c r="AP29" s="473"/>
      <c r="AQ29" s="473"/>
      <c r="AR29" s="473"/>
      <c r="AS29" s="473"/>
      <c r="AT29" s="473"/>
      <c r="AU29" s="473"/>
      <c r="AV29" s="473"/>
      <c r="AW29" s="473"/>
      <c r="AX29" s="473"/>
      <c r="AY29" s="473"/>
      <c r="AZ29" s="473"/>
      <c r="BA29" s="473"/>
      <c r="BB29" s="473"/>
      <c r="BC29" s="473"/>
      <c r="BD29" s="473"/>
      <c r="BE29" s="473"/>
      <c r="BF29" s="473"/>
      <c r="BG29" s="473"/>
      <c r="BH29" s="473"/>
      <c r="BI29" s="473"/>
      <c r="BJ29" s="473"/>
      <c r="BK29" s="473"/>
      <c r="BL29" s="473"/>
      <c r="BM29" s="473"/>
      <c r="BN29" s="473"/>
      <c r="BO29" s="473"/>
      <c r="BP29" s="473"/>
      <c r="BQ29" s="473"/>
      <c r="BR29" s="473"/>
      <c r="BS29" s="473"/>
      <c r="BT29" s="473"/>
      <c r="BU29" s="473"/>
      <c r="BV29" s="473"/>
      <c r="BW29" s="473"/>
      <c r="BX29" s="473"/>
      <c r="BY29" s="473"/>
      <c r="BZ29" s="473"/>
      <c r="CA29" s="473"/>
      <c r="CB29" s="473"/>
      <c r="CC29" s="473"/>
      <c r="CD29" s="473"/>
      <c r="CE29" s="473"/>
      <c r="CF29" s="473"/>
      <c r="CG29" s="473"/>
      <c r="CH29" s="473"/>
      <c r="CI29" s="473"/>
      <c r="CJ29" s="473"/>
      <c r="CK29" s="473"/>
      <c r="CL29" s="473"/>
      <c r="CM29" s="473"/>
      <c r="CN29" s="473"/>
      <c r="CO29" s="473"/>
      <c r="CP29" s="473"/>
      <c r="CQ29" s="473"/>
      <c r="CR29" s="473"/>
      <c r="CS29" s="473"/>
      <c r="CT29" s="473"/>
      <c r="CU29" s="473"/>
      <c r="CV29" s="473"/>
      <c r="CW29" s="473"/>
      <c r="CX29" s="473"/>
      <c r="CY29" s="473"/>
      <c r="CZ29" s="473"/>
      <c r="DA29" s="473"/>
      <c r="DB29" s="473"/>
      <c r="DC29" s="473"/>
      <c r="DD29" s="473"/>
      <c r="DE29" s="473"/>
      <c r="DF29" s="473"/>
      <c r="DG29" s="473"/>
      <c r="DH29" s="473"/>
      <c r="DI29" s="473"/>
      <c r="DJ29" s="473"/>
      <c r="DK29" s="473"/>
      <c r="DL29" s="473"/>
      <c r="DM29" s="473"/>
      <c r="DN29" s="473"/>
      <c r="DO29" s="473"/>
      <c r="DP29" s="473"/>
      <c r="DQ29" s="473"/>
      <c r="DR29" s="473"/>
      <c r="DS29" s="473"/>
      <c r="DT29" s="473"/>
      <c r="DU29" s="473"/>
      <c r="DV29" s="473"/>
      <c r="DW29" s="473"/>
      <c r="DX29" s="304"/>
    </row>
    <row r="30" spans="1:128">
      <c r="A30" s="861" t="s">
        <v>1195</v>
      </c>
      <c r="B30" s="862"/>
      <c r="C30" s="862"/>
      <c r="D30" s="864"/>
      <c r="E30" s="864"/>
      <c r="F30" s="863"/>
      <c r="G30" s="534">
        <f ca="1">SUM(G19:G21)-SUM(G24:G28)</f>
        <v>-1169.6619115852516</v>
      </c>
      <c r="H30" s="534">
        <f t="shared" ref="H30:BO30" ca="1" si="4">SUM(H19:H21)-SUM(H24:H28)</f>
        <v>-1940.2920901752175</v>
      </c>
      <c r="I30" s="534">
        <f t="shared" ca="1" si="4"/>
        <v>-1892.5988747876595</v>
      </c>
      <c r="J30" s="534">
        <f t="shared" ca="1" si="4"/>
        <v>-1883.869956289564</v>
      </c>
      <c r="K30" s="534">
        <f t="shared" ca="1" si="4"/>
        <v>-1846.321084590938</v>
      </c>
      <c r="L30" s="534">
        <f t="shared" ca="1" si="4"/>
        <v>-1838.4047103714529</v>
      </c>
      <c r="M30" s="534">
        <f t="shared" ca="1" si="4"/>
        <v>-1788.7671384584669</v>
      </c>
      <c r="N30" s="534">
        <f t="shared" ca="1" si="4"/>
        <v>-1794.80033145274</v>
      </c>
      <c r="O30" s="534">
        <f t="shared" ca="1" si="4"/>
        <v>-1743.7467443987189</v>
      </c>
      <c r="P30" s="534">
        <f t="shared" ca="1" si="4"/>
        <v>-1750.399220276626</v>
      </c>
      <c r="Q30" s="534">
        <f t="shared" ca="1" si="4"/>
        <v>-1697.8245406363658</v>
      </c>
      <c r="R30" s="534">
        <f t="shared" ca="1" si="4"/>
        <v>-1703.1627909429935</v>
      </c>
      <c r="S30" s="534">
        <f t="shared" ca="1" si="4"/>
        <v>-1658.3164471305308</v>
      </c>
      <c r="T30" s="534">
        <f t="shared" ca="1" si="4"/>
        <v>-1652.2975216436234</v>
      </c>
      <c r="U30" s="534">
        <f t="shared" ca="1" si="4"/>
        <v>-1596.4174398158771</v>
      </c>
      <c r="V30" s="534">
        <f t="shared" ca="1" si="4"/>
        <v>-1596.2977516629221</v>
      </c>
      <c r="W30" s="534">
        <f t="shared" ca="1" si="4"/>
        <v>-1538.6566105250809</v>
      </c>
      <c r="X30" s="534">
        <f t="shared" ca="1" si="4"/>
        <v>-1535.131800060793</v>
      </c>
      <c r="Y30" s="534">
        <f t="shared" ca="1" si="4"/>
        <v>-1475.6734743585575</v>
      </c>
      <c r="Z30" s="534">
        <f t="shared" ca="1" si="4"/>
        <v>-1468.6840522506955</v>
      </c>
      <c r="AA30" s="534">
        <f t="shared" ca="1" si="4"/>
        <v>-1415.3745170389041</v>
      </c>
      <c r="AB30" s="534">
        <f t="shared" ca="1" si="4"/>
        <v>-1396.9047132650683</v>
      </c>
      <c r="AC30" s="534">
        <f t="shared" ca="1" si="4"/>
        <v>-1339.6935334270818</v>
      </c>
      <c r="AD30" s="534">
        <f t="shared" ca="1" si="4"/>
        <v>-1330.181259031157</v>
      </c>
      <c r="AE30" s="534">
        <f t="shared" ca="1" si="4"/>
        <v>-1271.2375884900684</v>
      </c>
      <c r="AF30" s="534">
        <f ca="1">SUM(AF19:AF21)-SUM(AF24:AF28)</f>
        <v>-1258.5101520615387</v>
      </c>
      <c r="AG30" s="534">
        <f t="shared" ca="1" si="4"/>
        <v>-1184.653061564293</v>
      </c>
      <c r="AH30" s="534">
        <f t="shared" ca="1" si="4"/>
        <v>-1158.0115395770267</v>
      </c>
      <c r="AI30" s="534">
        <f t="shared" ca="1" si="4"/>
        <v>-1088.5972030049866</v>
      </c>
      <c r="AJ30" s="534">
        <f t="shared" ca="1" si="4"/>
        <v>-1052.2100644472955</v>
      </c>
      <c r="AK30" s="534">
        <f t="shared" ca="1" si="4"/>
        <v>-957.99951666674417</v>
      </c>
      <c r="AL30" s="534">
        <f t="shared" ca="1" si="4"/>
        <v>-909.85940279784518</v>
      </c>
      <c r="AM30" s="534">
        <f t="shared" ca="1" si="4"/>
        <v>-817.39442151993831</v>
      </c>
      <c r="AN30" s="534">
        <f t="shared" ca="1" si="4"/>
        <v>-758.71455687973287</v>
      </c>
      <c r="AO30" s="534">
        <f t="shared" ca="1" si="4"/>
        <v>-660.49171338511303</v>
      </c>
      <c r="AP30" s="534">
        <f t="shared" ca="1" si="4"/>
        <v>-591.10565241267363</v>
      </c>
      <c r="AQ30" s="534">
        <f t="shared" ca="1" si="4"/>
        <v>-489.7754845300833</v>
      </c>
      <c r="AR30" s="534">
        <f t="shared" ca="1" si="4"/>
        <v>-405.87277286536892</v>
      </c>
      <c r="AS30" s="534">
        <f t="shared" ca="1" si="4"/>
        <v>-295.05129364478694</v>
      </c>
      <c r="AT30" s="534">
        <f t="shared" ca="1" si="4"/>
        <v>-201.39388901789349</v>
      </c>
      <c r="AU30" s="534">
        <f t="shared" ca="1" si="4"/>
        <v>-83.63357195822519</v>
      </c>
      <c r="AV30" s="534">
        <f t="shared" ca="1" si="4"/>
        <v>2.7726027397261674</v>
      </c>
      <c r="AW30" s="534">
        <f t="shared" ca="1" si="4"/>
        <v>2.7273972602741101</v>
      </c>
      <c r="AX30" s="534">
        <f t="shared" ca="1" si="4"/>
        <v>2.765027322404511</v>
      </c>
      <c r="AY30" s="534">
        <f t="shared" ca="1" si="4"/>
        <v>2.7349726775957661</v>
      </c>
      <c r="AZ30" s="534">
        <f t="shared" ca="1" si="4"/>
        <v>2.7726027397261674</v>
      </c>
      <c r="BA30" s="534">
        <f t="shared" ca="1" si="4"/>
        <v>2.7273972602741101</v>
      </c>
      <c r="BB30" s="534">
        <f t="shared" ca="1" si="4"/>
        <v>2.7726027397261674</v>
      </c>
      <c r="BC30" s="534">
        <f t="shared" ca="1" si="4"/>
        <v>2.7273972602741101</v>
      </c>
      <c r="BD30" s="534">
        <f t="shared" ca="1" si="4"/>
        <v>2.7726027397261674</v>
      </c>
      <c r="BE30" s="534">
        <f t="shared" ca="1" si="4"/>
        <v>2.7273972602741101</v>
      </c>
      <c r="BF30" s="534">
        <f t="shared" ca="1" si="4"/>
        <v>2.765027322404511</v>
      </c>
      <c r="BG30" s="534">
        <f t="shared" ca="1" si="4"/>
        <v>2.7349726775957661</v>
      </c>
      <c r="BH30" s="534">
        <f t="shared" ca="1" si="4"/>
        <v>2.7726027397261674</v>
      </c>
      <c r="BI30" s="534">
        <f t="shared" ca="1" si="4"/>
        <v>2.7273972602741101</v>
      </c>
      <c r="BJ30" s="534">
        <f t="shared" ca="1" si="4"/>
        <v>2.7726027397261674</v>
      </c>
      <c r="BK30" s="534">
        <f t="shared" ca="1" si="4"/>
        <v>2.7273972602741101</v>
      </c>
      <c r="BL30" s="534">
        <f t="shared" ca="1" si="4"/>
        <v>2.7726027397261674</v>
      </c>
      <c r="BM30" s="534">
        <f t="shared" ca="1" si="4"/>
        <v>2.7273972602741101</v>
      </c>
      <c r="BN30" s="534">
        <f t="shared" ca="1" si="4"/>
        <v>2.765027322404511</v>
      </c>
      <c r="BO30" s="534">
        <f t="shared" ca="1" si="4"/>
        <v>2.7349726775957661</v>
      </c>
      <c r="BP30" s="534"/>
      <c r="BQ30" s="534"/>
      <c r="BR30" s="534"/>
      <c r="BS30" s="534"/>
      <c r="BT30" s="534"/>
      <c r="BU30" s="534"/>
      <c r="BV30" s="534"/>
      <c r="BW30" s="534"/>
      <c r="BX30" s="534"/>
      <c r="BY30" s="534"/>
      <c r="BZ30" s="534"/>
      <c r="CA30" s="534"/>
      <c r="CB30" s="534"/>
      <c r="CC30" s="534"/>
      <c r="CD30" s="534"/>
      <c r="CE30" s="534"/>
      <c r="CF30" s="534"/>
      <c r="CG30" s="534"/>
      <c r="CH30" s="534"/>
      <c r="CI30" s="534"/>
      <c r="CJ30" s="534"/>
      <c r="CK30" s="534"/>
      <c r="CL30" s="534"/>
      <c r="CM30" s="534"/>
      <c r="CN30" s="534"/>
      <c r="CO30" s="534"/>
      <c r="CP30" s="534"/>
      <c r="CQ30" s="534"/>
      <c r="CR30" s="534"/>
      <c r="CS30" s="534"/>
      <c r="CT30" s="534"/>
      <c r="CU30" s="534"/>
      <c r="CV30" s="534"/>
      <c r="CW30" s="534"/>
      <c r="CX30" s="534"/>
      <c r="CY30" s="534"/>
      <c r="CZ30" s="534"/>
      <c r="DA30" s="534"/>
      <c r="DB30" s="534"/>
      <c r="DC30" s="534"/>
      <c r="DD30" s="534"/>
      <c r="DE30" s="534"/>
      <c r="DF30" s="534"/>
      <c r="DG30" s="534"/>
      <c r="DH30" s="534"/>
      <c r="DI30" s="534"/>
      <c r="DJ30" s="534"/>
      <c r="DK30" s="534"/>
      <c r="DL30" s="534"/>
      <c r="DM30" s="534"/>
      <c r="DN30" s="534"/>
      <c r="DO30" s="534"/>
      <c r="DP30" s="534"/>
      <c r="DQ30" s="534"/>
      <c r="DR30" s="534"/>
      <c r="DS30" s="534"/>
      <c r="DT30" s="534"/>
      <c r="DU30" s="534"/>
      <c r="DV30" s="534"/>
      <c r="DW30" s="534"/>
      <c r="DX30" s="304"/>
    </row>
    <row r="31" spans="1:128">
      <c r="A31" s="1124"/>
      <c r="B31" s="1379"/>
      <c r="C31" s="1379"/>
      <c r="D31" s="1124"/>
      <c r="E31" s="1124"/>
      <c r="F31" s="576"/>
      <c r="G31" s="473"/>
      <c r="H31" s="473"/>
      <c r="I31" s="473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3"/>
      <c r="AH31" s="473"/>
      <c r="AI31" s="473"/>
      <c r="AJ31" s="473"/>
      <c r="AK31" s="473"/>
      <c r="AL31" s="473"/>
      <c r="AM31" s="473"/>
      <c r="AN31" s="473"/>
      <c r="AO31" s="473"/>
      <c r="AP31" s="473"/>
      <c r="AQ31" s="473"/>
      <c r="AR31" s="473"/>
      <c r="AS31" s="473"/>
      <c r="AT31" s="473"/>
      <c r="AU31" s="473"/>
      <c r="AV31" s="473"/>
      <c r="AW31" s="473"/>
      <c r="AX31" s="473"/>
      <c r="AY31" s="473"/>
      <c r="AZ31" s="473"/>
      <c r="BA31" s="473"/>
      <c r="BB31" s="473"/>
      <c r="BC31" s="473"/>
      <c r="BD31" s="473"/>
      <c r="BE31" s="473"/>
      <c r="BF31" s="473"/>
      <c r="BG31" s="473"/>
      <c r="BH31" s="473"/>
      <c r="BI31" s="473"/>
      <c r="BJ31" s="473"/>
      <c r="BK31" s="473"/>
      <c r="BL31" s="473"/>
      <c r="BM31" s="473"/>
      <c r="BN31" s="473"/>
      <c r="BO31" s="473"/>
      <c r="BP31" s="473"/>
      <c r="BQ31" s="473"/>
      <c r="BR31" s="473"/>
      <c r="BS31" s="473"/>
      <c r="BT31" s="473"/>
      <c r="BU31" s="473"/>
      <c r="BV31" s="473"/>
      <c r="BW31" s="473"/>
      <c r="BX31" s="473"/>
      <c r="BY31" s="473"/>
      <c r="BZ31" s="473"/>
      <c r="CA31" s="473"/>
      <c r="CB31" s="473"/>
      <c r="CC31" s="473"/>
      <c r="CD31" s="473"/>
      <c r="CE31" s="473"/>
      <c r="CF31" s="473"/>
      <c r="CG31" s="473"/>
      <c r="CH31" s="473"/>
      <c r="CI31" s="473"/>
      <c r="CJ31" s="473"/>
      <c r="CK31" s="473"/>
      <c r="CL31" s="473"/>
      <c r="CM31" s="473"/>
      <c r="CN31" s="473"/>
      <c r="CO31" s="473"/>
      <c r="CP31" s="473"/>
      <c r="CQ31" s="473"/>
      <c r="CR31" s="473"/>
      <c r="CS31" s="473"/>
      <c r="CT31" s="473"/>
      <c r="CU31" s="473"/>
      <c r="CV31" s="473"/>
      <c r="CW31" s="473"/>
      <c r="CX31" s="473"/>
      <c r="CY31" s="473"/>
      <c r="CZ31" s="473"/>
      <c r="DA31" s="473"/>
      <c r="DB31" s="473"/>
      <c r="DC31" s="473"/>
      <c r="DD31" s="473"/>
      <c r="DE31" s="473"/>
      <c r="DF31" s="473"/>
      <c r="DG31" s="473"/>
      <c r="DH31" s="473"/>
      <c r="DI31" s="473"/>
      <c r="DJ31" s="473"/>
      <c r="DK31" s="473"/>
      <c r="DL31" s="473"/>
      <c r="DM31" s="473"/>
      <c r="DN31" s="473"/>
      <c r="DO31" s="473"/>
      <c r="DP31" s="473"/>
      <c r="DQ31" s="473"/>
      <c r="DR31" s="473"/>
      <c r="DS31" s="473"/>
      <c r="DT31" s="473"/>
      <c r="DU31" s="473"/>
      <c r="DV31" s="473"/>
      <c r="DW31" s="473"/>
      <c r="DX31" s="304"/>
    </row>
    <row r="32" spans="1:128">
      <c r="A32" s="861" t="s">
        <v>1196</v>
      </c>
      <c r="B32" s="862"/>
      <c r="C32" s="862"/>
      <c r="D32" s="864"/>
      <c r="E32" s="864"/>
      <c r="F32" s="863"/>
      <c r="G32" s="534">
        <f ca="1">G16+G30</f>
        <v>-1169.6619115852516</v>
      </c>
      <c r="H32" s="534">
        <f t="shared" ref="H32:BO32" ca="1" si="5">H16+H30</f>
        <v>-855.96553199374398</v>
      </c>
      <c r="I32" s="534">
        <f t="shared" ca="1" si="5"/>
        <v>-825.95155396783957</v>
      </c>
      <c r="J32" s="534">
        <f t="shared" ca="1" si="5"/>
        <v>-793.87016393409021</v>
      </c>
      <c r="K32" s="534">
        <f t="shared" ca="1" si="5"/>
        <v>-705.94772833340357</v>
      </c>
      <c r="L32" s="534">
        <f t="shared" ca="1" si="5"/>
        <v>-691.33108790663846</v>
      </c>
      <c r="M32" s="534">
        <f t="shared" ca="1" si="5"/>
        <v>-597.35893763712147</v>
      </c>
      <c r="N32" s="534">
        <f t="shared" ca="1" si="5"/>
        <v>-608.02704683917227</v>
      </c>
      <c r="O32" s="534">
        <f t="shared" ca="1" si="5"/>
        <v>-512.28261162725539</v>
      </c>
      <c r="P32" s="534">
        <f t="shared" ca="1" si="5"/>
        <v>-523.33246123634649</v>
      </c>
      <c r="Q32" s="534">
        <f t="shared" ca="1" si="5"/>
        <v>-425.70436889207758</v>
      </c>
      <c r="R32" s="534">
        <f t="shared" ca="1" si="5"/>
        <v>-438.66459254056872</v>
      </c>
      <c r="S32" s="534">
        <f t="shared" ca="1" si="5"/>
        <v>-341.28352172297309</v>
      </c>
      <c r="T32" s="534">
        <f t="shared" ca="1" si="5"/>
        <v>-342.82813377690945</v>
      </c>
      <c r="U32" s="534">
        <f t="shared" ca="1" si="5"/>
        <v>-241.15016280015016</v>
      </c>
      <c r="V32" s="534">
        <f t="shared" ca="1" si="5"/>
        <v>-244.7017912915494</v>
      </c>
      <c r="W32" s="534">
        <f t="shared" ca="1" si="5"/>
        <v>-140.88061219395195</v>
      </c>
      <c r="X32" s="534">
        <f t="shared" ca="1" si="5"/>
        <v>-140.7806156401175</v>
      </c>
      <c r="Y32" s="534">
        <f t="shared" ca="1" si="5"/>
        <v>-34.753334518807605</v>
      </c>
      <c r="Z32" s="534">
        <f t="shared" ca="1" si="5"/>
        <v>-34.868242233661931</v>
      </c>
      <c r="AA32" s="534">
        <f t="shared" ca="1" si="5"/>
        <v>73.458138670918061</v>
      </c>
      <c r="AB32" s="534">
        <f t="shared" ca="1" si="5"/>
        <v>-110.62397458206283</v>
      </c>
      <c r="AC32" s="534">
        <f t="shared" ca="1" si="5"/>
        <v>-2.8576509296347012</v>
      </c>
      <c r="AD32" s="534">
        <f t="shared" ca="1" si="5"/>
        <v>0.79523165133696239</v>
      </c>
      <c r="AE32" s="534">
        <f t="shared" ca="1" si="5"/>
        <v>110.70402254900819</v>
      </c>
      <c r="AF32" s="534">
        <f t="shared" ca="1" si="5"/>
        <v>316.93345222264702</v>
      </c>
      <c r="AG32" s="534">
        <f t="shared" ca="1" si="5"/>
        <v>401.27425768509488</v>
      </c>
      <c r="AH32" s="534">
        <f t="shared" ca="1" si="5"/>
        <v>420.51812686496987</v>
      </c>
      <c r="AI32" s="534">
        <f t="shared" ca="1" si="5"/>
        <v>483.01518479094966</v>
      </c>
      <c r="AJ32" s="534">
        <f t="shared" ca="1" si="5"/>
        <v>525.25697678817255</v>
      </c>
      <c r="AK32" s="534">
        <f t="shared" ca="1" si="5"/>
        <v>496.65198101662543</v>
      </c>
      <c r="AL32" s="534">
        <f t="shared" ca="1" si="5"/>
        <v>539.76038786061554</v>
      </c>
      <c r="AM32" s="534">
        <f t="shared" ca="1" si="5"/>
        <v>693.00050110793813</v>
      </c>
      <c r="AN32" s="534">
        <f t="shared" ca="1" si="5"/>
        <v>747.01838718306124</v>
      </c>
      <c r="AO32" s="534">
        <f t="shared" ca="1" si="5"/>
        <v>905.12168134465003</v>
      </c>
      <c r="AP32" s="534">
        <f t="shared" ca="1" si="5"/>
        <v>965.93650649606184</v>
      </c>
      <c r="AQ32" s="534">
        <f t="shared" ca="1" si="5"/>
        <v>1134.1758075056437</v>
      </c>
      <c r="AR32" s="534">
        <f t="shared" ca="1" si="5"/>
        <v>1209.6077641540537</v>
      </c>
      <c r="AS32" s="534">
        <f t="shared" ca="1" si="5"/>
        <v>1378.5400844102694</v>
      </c>
      <c r="AT32" s="534">
        <f t="shared" ca="1" si="5"/>
        <v>1468.5544098595326</v>
      </c>
      <c r="AU32" s="534">
        <f t="shared" ca="1" si="5"/>
        <v>1643.5532768246012</v>
      </c>
      <c r="AV32" s="534">
        <f t="shared" ca="1" si="5"/>
        <v>3143.7134037943556</v>
      </c>
      <c r="AW32" s="534">
        <f t="shared" ca="1" si="5"/>
        <v>3201.0175166894833</v>
      </c>
      <c r="AX32" s="534">
        <f t="shared" ca="1" si="5"/>
        <v>3212.641439658667</v>
      </c>
      <c r="AY32" s="534">
        <f t="shared" ca="1" si="5"/>
        <v>3262.4918264826756</v>
      </c>
      <c r="AZ32" s="534">
        <f t="shared" ca="1" si="5"/>
        <v>3274.1680082495322</v>
      </c>
      <c r="BA32" s="534">
        <f t="shared" ca="1" si="5"/>
        <v>3304.4159319164969</v>
      </c>
      <c r="BB32" s="534">
        <f t="shared" ca="1" si="5"/>
        <v>3325.3898767289238</v>
      </c>
      <c r="BC32" s="534">
        <f t="shared" ca="1" si="5"/>
        <v>3380.5483993913758</v>
      </c>
      <c r="BD32" s="534">
        <f t="shared" ca="1" si="5"/>
        <v>3402.0908817008876</v>
      </c>
      <c r="BE32" s="534">
        <f t="shared" ca="1" si="5"/>
        <v>3430.2837583483301</v>
      </c>
      <c r="BF32" s="534">
        <f t="shared" ca="1" si="5"/>
        <v>3442.6250710426143</v>
      </c>
      <c r="BG32" s="534">
        <f t="shared" ca="1" si="5"/>
        <v>3474.3260288550046</v>
      </c>
      <c r="BH32" s="534">
        <f t="shared" ca="1" si="5"/>
        <v>3486.5071580853587</v>
      </c>
      <c r="BI32" s="534">
        <f t="shared" ca="1" si="5"/>
        <v>3496.0444667100755</v>
      </c>
      <c r="BJ32" s="534">
        <f t="shared" ca="1" si="5"/>
        <v>3517.833692193351</v>
      </c>
      <c r="BK32" s="534">
        <f t="shared" ca="1" si="5"/>
        <v>3502.257387330063</v>
      </c>
      <c r="BL32" s="534">
        <f t="shared" ca="1" si="5"/>
        <v>3523.7089432490652</v>
      </c>
      <c r="BM32" s="534">
        <f t="shared" ca="1" si="5"/>
        <v>3529.650050720943</v>
      </c>
      <c r="BN32" s="534">
        <f t="shared" ca="1" si="5"/>
        <v>3541.3183097872079</v>
      </c>
      <c r="BO32" s="534">
        <f t="shared" ca="1" si="5"/>
        <v>3565.8462279014893</v>
      </c>
      <c r="BP32" s="534"/>
      <c r="BQ32" s="534"/>
      <c r="BR32" s="534"/>
      <c r="BS32" s="534"/>
      <c r="BT32" s="534"/>
      <c r="BU32" s="534"/>
      <c r="BV32" s="534"/>
      <c r="BW32" s="534"/>
      <c r="BX32" s="534"/>
      <c r="BY32" s="534"/>
      <c r="BZ32" s="534"/>
      <c r="CA32" s="534"/>
      <c r="CB32" s="534"/>
      <c r="CC32" s="534"/>
      <c r="CD32" s="534"/>
      <c r="CE32" s="534"/>
      <c r="CF32" s="534"/>
      <c r="CG32" s="534"/>
      <c r="CH32" s="534"/>
      <c r="CI32" s="534"/>
      <c r="CJ32" s="534"/>
      <c r="CK32" s="534"/>
      <c r="CL32" s="534"/>
      <c r="CM32" s="534"/>
      <c r="CN32" s="534"/>
      <c r="CO32" s="534"/>
      <c r="CP32" s="534"/>
      <c r="CQ32" s="534"/>
      <c r="CR32" s="534"/>
      <c r="CS32" s="534"/>
      <c r="CT32" s="534"/>
      <c r="CU32" s="534"/>
      <c r="CV32" s="534"/>
      <c r="CW32" s="534"/>
      <c r="CX32" s="534"/>
      <c r="CY32" s="534"/>
      <c r="CZ32" s="534"/>
      <c r="DA32" s="534"/>
      <c r="DB32" s="534"/>
      <c r="DC32" s="534"/>
      <c r="DD32" s="534"/>
      <c r="DE32" s="534"/>
      <c r="DF32" s="534"/>
      <c r="DG32" s="534"/>
      <c r="DH32" s="534"/>
      <c r="DI32" s="534"/>
      <c r="DJ32" s="534"/>
      <c r="DK32" s="534"/>
      <c r="DL32" s="534"/>
      <c r="DM32" s="534"/>
      <c r="DN32" s="534"/>
      <c r="DO32" s="534"/>
      <c r="DP32" s="534"/>
      <c r="DQ32" s="534"/>
      <c r="DR32" s="534"/>
      <c r="DS32" s="534"/>
      <c r="DT32" s="534"/>
      <c r="DU32" s="534"/>
      <c r="DV32" s="534"/>
      <c r="DW32" s="534"/>
      <c r="DX32" s="304"/>
    </row>
    <row r="33" spans="1:127">
      <c r="A33" s="1382"/>
      <c r="B33" s="1383"/>
      <c r="C33" s="1383"/>
      <c r="D33" s="1382"/>
      <c r="E33" s="1382"/>
      <c r="F33" s="576"/>
      <c r="G33" s="1388"/>
      <c r="H33" s="1388"/>
      <c r="I33" s="1388"/>
      <c r="J33" s="1388"/>
      <c r="K33" s="1388"/>
      <c r="L33" s="1388"/>
      <c r="M33" s="1388"/>
      <c r="N33" s="1388"/>
      <c r="O33" s="1388"/>
      <c r="P33" s="1388"/>
      <c r="Q33" s="1388"/>
      <c r="R33" s="1388"/>
      <c r="S33" s="1388"/>
      <c r="T33" s="1388"/>
      <c r="U33" s="1388"/>
      <c r="V33" s="1388"/>
      <c r="W33" s="1388"/>
      <c r="X33" s="1388"/>
      <c r="Y33" s="1388"/>
      <c r="Z33" s="1388"/>
      <c r="AA33" s="1388"/>
      <c r="AB33" s="1388"/>
      <c r="AC33" s="1388"/>
      <c r="AD33" s="1388"/>
      <c r="AE33" s="1388"/>
      <c r="AF33" s="1388"/>
      <c r="AG33" s="1388"/>
      <c r="AH33" s="1388"/>
      <c r="AI33" s="1388"/>
      <c r="AJ33" s="1388"/>
      <c r="AK33" s="1388"/>
      <c r="AL33" s="1388"/>
      <c r="AM33" s="1388"/>
      <c r="AN33" s="1388"/>
      <c r="AO33" s="1388"/>
      <c r="AP33" s="1388"/>
      <c r="AQ33" s="1388"/>
      <c r="AR33" s="1388"/>
      <c r="AS33" s="1388"/>
      <c r="AT33" s="1388"/>
      <c r="AU33" s="1388"/>
      <c r="AV33" s="1388"/>
      <c r="AW33" s="1388"/>
      <c r="AX33" s="1388"/>
      <c r="AY33" s="1388"/>
      <c r="AZ33" s="1388"/>
      <c r="BA33" s="1388"/>
      <c r="BB33" s="1388"/>
      <c r="BC33" s="1388"/>
      <c r="BD33" s="1388"/>
      <c r="BE33" s="1388"/>
      <c r="BF33" s="1388"/>
      <c r="BG33" s="1388"/>
      <c r="BH33" s="1388"/>
      <c r="BI33" s="1388"/>
      <c r="BJ33" s="1388"/>
      <c r="BK33" s="1388"/>
      <c r="BL33" s="1388"/>
      <c r="BM33" s="1388"/>
      <c r="BN33" s="1388"/>
      <c r="BO33" s="1388"/>
      <c r="BP33" s="1388"/>
      <c r="BQ33" s="1388"/>
      <c r="BR33" s="1388"/>
      <c r="BS33" s="1388"/>
      <c r="BT33" s="1388"/>
      <c r="BU33" s="1388"/>
      <c r="BV33" s="1388"/>
      <c r="BW33" s="1388"/>
      <c r="BX33" s="1388"/>
      <c r="BY33" s="1388"/>
      <c r="BZ33" s="1388"/>
      <c r="CA33" s="1388"/>
      <c r="CB33" s="1388"/>
      <c r="CC33" s="1388"/>
      <c r="CD33" s="1388"/>
      <c r="CE33" s="1388"/>
      <c r="CF33" s="1388"/>
      <c r="CG33" s="1388"/>
      <c r="CH33" s="1388"/>
      <c r="CI33" s="1388"/>
      <c r="CJ33" s="1388"/>
      <c r="CK33" s="1388"/>
      <c r="CL33" s="1388"/>
      <c r="CM33" s="1388"/>
      <c r="CN33" s="1388"/>
      <c r="CO33" s="1388"/>
      <c r="CP33" s="1388"/>
      <c r="CQ33" s="1388"/>
      <c r="CR33" s="1388"/>
      <c r="CS33" s="1388"/>
      <c r="CT33" s="1388"/>
      <c r="CU33" s="1388"/>
      <c r="CV33" s="1388"/>
      <c r="CW33" s="1388"/>
      <c r="CX33" s="1388"/>
      <c r="CY33" s="1388"/>
      <c r="CZ33" s="1388"/>
      <c r="DA33" s="1388"/>
      <c r="DB33" s="1388"/>
      <c r="DC33" s="1388"/>
      <c r="DD33" s="1388"/>
      <c r="DE33" s="1388"/>
      <c r="DF33" s="1388"/>
      <c r="DG33" s="1388"/>
      <c r="DH33" s="1388"/>
      <c r="DI33" s="1388"/>
      <c r="DJ33" s="1388"/>
      <c r="DK33" s="1388"/>
      <c r="DL33" s="1388"/>
      <c r="DM33" s="1388"/>
      <c r="DN33" s="1388"/>
      <c r="DO33" s="1388"/>
      <c r="DP33" s="1388"/>
      <c r="DQ33" s="1388"/>
      <c r="DR33" s="1388"/>
      <c r="DS33" s="1388"/>
      <c r="DT33" s="1388"/>
      <c r="DU33" s="1388"/>
      <c r="DV33" s="1388"/>
      <c r="DW33" s="1388"/>
    </row>
    <row r="34" spans="1:127">
      <c r="A34" s="1124" t="s">
        <v>1197</v>
      </c>
      <c r="B34" s="1383"/>
      <c r="C34" s="1383"/>
      <c r="D34" s="1382"/>
      <c r="E34" s="1382"/>
      <c r="F34" s="576"/>
      <c r="G34" s="459">
        <f ca="1">-G54</f>
        <v>1169.6619115852516</v>
      </c>
      <c r="H34" s="459">
        <f t="shared" ref="H34:BO34" ca="1" si="6">-H54</f>
        <v>636.80880841156454</v>
      </c>
      <c r="I34" s="459">
        <f t="shared" ca="1" si="6"/>
        <v>638.36466917743735</v>
      </c>
      <c r="J34" s="459">
        <f t="shared" ca="1" si="6"/>
        <v>661.36538167679203</v>
      </c>
      <c r="K34" s="459">
        <f t="shared" ca="1" si="6"/>
        <v>667.15244483410731</v>
      </c>
      <c r="L34" s="459">
        <f t="shared" ca="1" si="6"/>
        <v>687.65560485565209</v>
      </c>
      <c r="M34" s="459">
        <f t="shared" ca="1" si="6"/>
        <v>690.07491164320265</v>
      </c>
      <c r="N34" s="459">
        <f t="shared" ca="1" si="6"/>
        <v>715.40845403250773</v>
      </c>
      <c r="O34" s="459">
        <f t="shared" ca="1" si="6"/>
        <v>718.27083221196267</v>
      </c>
      <c r="P34" s="459">
        <f t="shared" ca="1" si="6"/>
        <v>745.11613763231446</v>
      </c>
      <c r="Q34" s="459">
        <f t="shared" ca="1" si="6"/>
        <v>748.46419290816721</v>
      </c>
      <c r="R34" s="459">
        <f t="shared" ca="1" si="6"/>
        <v>776.93536429348069</v>
      </c>
      <c r="S34" s="459">
        <f t="shared" ca="1" si="6"/>
        <v>785.1684339414179</v>
      </c>
      <c r="T34" s="459">
        <f t="shared" ca="1" si="6"/>
        <v>811.20991410080865</v>
      </c>
      <c r="U34" s="459">
        <f t="shared" ca="1" si="6"/>
        <v>815.67598193946344</v>
      </c>
      <c r="V34" s="459">
        <f t="shared" ca="1" si="6"/>
        <v>847.79654203567486</v>
      </c>
      <c r="W34" s="459">
        <f t="shared" ca="1" si="6"/>
        <v>852.89954109043913</v>
      </c>
      <c r="X34" s="459">
        <f t="shared" ca="1" si="6"/>
        <v>887.05784180853095</v>
      </c>
      <c r="Y34" s="459">
        <f t="shared" ca="1" si="6"/>
        <v>892.8570178659445</v>
      </c>
      <c r="Z34" s="459">
        <f t="shared" ca="1" si="6"/>
        <v>929.21425807705657</v>
      </c>
      <c r="AA34" s="459">
        <f t="shared" ca="1" si="6"/>
        <v>940.98561404032034</v>
      </c>
      <c r="AB34" s="459">
        <f t="shared" ca="1" si="6"/>
        <v>974.71226715970897</v>
      </c>
      <c r="AC34" s="459">
        <f t="shared" ca="1" si="6"/>
        <v>983.11886555325827</v>
      </c>
      <c r="AD34" s="459">
        <f t="shared" ca="1" si="6"/>
        <v>1025.2860661299587</v>
      </c>
      <c r="AE34" s="459">
        <f t="shared" ca="1" si="6"/>
        <v>1034.6431381159011</v>
      </c>
      <c r="AF34" s="459">
        <f t="shared" ca="1" si="6"/>
        <v>1079.6770300090795</v>
      </c>
      <c r="AG34" s="459">
        <f t="shared" ca="1" si="6"/>
        <v>1053.1826196147904</v>
      </c>
      <c r="AH34" s="459">
        <f t="shared" ca="1" si="6"/>
        <v>1067.2828534922648</v>
      </c>
      <c r="AI34" s="459">
        <f t="shared" ca="1" si="6"/>
        <v>1045.362070318816</v>
      </c>
      <c r="AJ34" s="459">
        <f t="shared" ca="1" si="6"/>
        <v>1052.2100644472955</v>
      </c>
      <c r="AK34" s="459">
        <f t="shared" ca="1" si="6"/>
        <v>957.99951666674417</v>
      </c>
      <c r="AL34" s="459">
        <f t="shared" ca="1" si="6"/>
        <v>909.85940279784518</v>
      </c>
      <c r="AM34" s="459">
        <f t="shared" ca="1" si="6"/>
        <v>817.39442151993831</v>
      </c>
      <c r="AN34" s="459">
        <f t="shared" ca="1" si="6"/>
        <v>758.71455687973287</v>
      </c>
      <c r="AO34" s="459">
        <f t="shared" ca="1" si="6"/>
        <v>660.49171338511303</v>
      </c>
      <c r="AP34" s="459">
        <f t="shared" ca="1" si="6"/>
        <v>591.10565241267363</v>
      </c>
      <c r="AQ34" s="459">
        <f t="shared" ca="1" si="6"/>
        <v>489.7754845300833</v>
      </c>
      <c r="AR34" s="459">
        <f t="shared" ca="1" si="6"/>
        <v>405.87277286536892</v>
      </c>
      <c r="AS34" s="459">
        <f t="shared" ca="1" si="6"/>
        <v>295.05129364478694</v>
      </c>
      <c r="AT34" s="459">
        <f t="shared" ca="1" si="6"/>
        <v>201.39388901789349</v>
      </c>
      <c r="AU34" s="459">
        <f t="shared" ca="1" si="6"/>
        <v>83.63357195822519</v>
      </c>
      <c r="AV34" s="459">
        <f t="shared" ca="1" si="6"/>
        <v>0</v>
      </c>
      <c r="AW34" s="459">
        <f t="shared" ca="1" si="6"/>
        <v>0</v>
      </c>
      <c r="AX34" s="459">
        <f t="shared" ca="1" si="6"/>
        <v>0</v>
      </c>
      <c r="AY34" s="459">
        <f t="shared" ca="1" si="6"/>
        <v>0</v>
      </c>
      <c r="AZ34" s="459">
        <f t="shared" ca="1" si="6"/>
        <v>0</v>
      </c>
      <c r="BA34" s="459">
        <f t="shared" ca="1" si="6"/>
        <v>0</v>
      </c>
      <c r="BB34" s="459">
        <f t="shared" ca="1" si="6"/>
        <v>0</v>
      </c>
      <c r="BC34" s="459">
        <f t="shared" ca="1" si="6"/>
        <v>0</v>
      </c>
      <c r="BD34" s="459">
        <f t="shared" ca="1" si="6"/>
        <v>0</v>
      </c>
      <c r="BE34" s="459">
        <f t="shared" ca="1" si="6"/>
        <v>0</v>
      </c>
      <c r="BF34" s="459">
        <f t="shared" ca="1" si="6"/>
        <v>0</v>
      </c>
      <c r="BG34" s="459">
        <f t="shared" ca="1" si="6"/>
        <v>0</v>
      </c>
      <c r="BH34" s="459">
        <f t="shared" ca="1" si="6"/>
        <v>0</v>
      </c>
      <c r="BI34" s="459">
        <f t="shared" ca="1" si="6"/>
        <v>0</v>
      </c>
      <c r="BJ34" s="459">
        <f t="shared" ca="1" si="6"/>
        <v>0</v>
      </c>
      <c r="BK34" s="459">
        <f t="shared" ca="1" si="6"/>
        <v>0</v>
      </c>
      <c r="BL34" s="459">
        <f t="shared" ca="1" si="6"/>
        <v>0</v>
      </c>
      <c r="BM34" s="459">
        <f t="shared" ca="1" si="6"/>
        <v>0</v>
      </c>
      <c r="BN34" s="459">
        <f t="shared" ca="1" si="6"/>
        <v>0</v>
      </c>
      <c r="BO34" s="459">
        <f t="shared" ca="1" si="6"/>
        <v>0</v>
      </c>
      <c r="BP34" s="459"/>
      <c r="BQ34" s="459"/>
      <c r="BR34" s="459"/>
      <c r="BS34" s="459"/>
      <c r="BT34" s="459"/>
      <c r="BU34" s="459"/>
      <c r="BV34" s="459"/>
      <c r="BW34" s="459"/>
      <c r="BX34" s="459"/>
      <c r="BY34" s="459"/>
      <c r="BZ34" s="459"/>
      <c r="CA34" s="459"/>
      <c r="CB34" s="459"/>
      <c r="CC34" s="459"/>
      <c r="CD34" s="459"/>
      <c r="CE34" s="459"/>
      <c r="CF34" s="459"/>
      <c r="CG34" s="459"/>
      <c r="CH34" s="459"/>
      <c r="CI34" s="459"/>
      <c r="CJ34" s="459"/>
      <c r="CK34" s="459"/>
      <c r="CL34" s="459"/>
      <c r="CM34" s="459"/>
      <c r="CN34" s="459"/>
      <c r="CO34" s="459"/>
      <c r="CP34" s="459"/>
      <c r="CQ34" s="459"/>
      <c r="CR34" s="459"/>
      <c r="CS34" s="459"/>
      <c r="CT34" s="459"/>
      <c r="CU34" s="459"/>
      <c r="CV34" s="459"/>
      <c r="CW34" s="459"/>
      <c r="CX34" s="459"/>
      <c r="CY34" s="459"/>
      <c r="CZ34" s="459"/>
      <c r="DA34" s="459"/>
      <c r="DB34" s="459"/>
      <c r="DC34" s="459"/>
      <c r="DD34" s="459"/>
      <c r="DE34" s="459"/>
      <c r="DF34" s="459"/>
      <c r="DG34" s="459"/>
      <c r="DH34" s="459"/>
      <c r="DI34" s="459"/>
      <c r="DJ34" s="459"/>
      <c r="DK34" s="459"/>
      <c r="DL34" s="459"/>
      <c r="DM34" s="459"/>
      <c r="DN34" s="459"/>
      <c r="DO34" s="459"/>
      <c r="DP34" s="459"/>
      <c r="DQ34" s="459"/>
      <c r="DR34" s="459"/>
      <c r="DS34" s="459"/>
      <c r="DT34" s="459"/>
      <c r="DU34" s="459"/>
      <c r="DV34" s="459"/>
      <c r="DW34" s="459"/>
    </row>
    <row r="35" spans="1:127">
      <c r="A35" s="1124" t="s">
        <v>1198</v>
      </c>
      <c r="B35" s="673"/>
      <c r="C35" s="673"/>
      <c r="D35" s="1382"/>
      <c r="E35" s="1382"/>
      <c r="F35" s="576"/>
      <c r="G35" s="459">
        <f ca="1">G34+G32</f>
        <v>0</v>
      </c>
      <c r="H35" s="459">
        <f ca="1">H34+H32</f>
        <v>-219.15672358217944</v>
      </c>
      <c r="I35" s="459">
        <f t="shared" ref="I35:BO35" ca="1" si="7">I34+I32</f>
        <v>-187.58688479040222</v>
      </c>
      <c r="J35" s="459">
        <f t="shared" ca="1" si="7"/>
        <v>-132.50478225729819</v>
      </c>
      <c r="K35" s="459">
        <f t="shared" ca="1" si="7"/>
        <v>-38.795283499296261</v>
      </c>
      <c r="L35" s="459">
        <f t="shared" ca="1" si="7"/>
        <v>-3.6754830509863723</v>
      </c>
      <c r="M35" s="459">
        <f t="shared" ca="1" si="7"/>
        <v>92.715974006081183</v>
      </c>
      <c r="N35" s="459">
        <f t="shared" ca="1" si="7"/>
        <v>107.38140719333546</v>
      </c>
      <c r="O35" s="459">
        <f t="shared" ref="O35:U35" ca="1" si="8">O34+O32</f>
        <v>205.98822058470728</v>
      </c>
      <c r="P35" s="459">
        <f t="shared" ca="1" si="8"/>
        <v>221.78367639596797</v>
      </c>
      <c r="Q35" s="459">
        <f t="shared" ca="1" si="8"/>
        <v>322.75982401608962</v>
      </c>
      <c r="R35" s="459">
        <f t="shared" ca="1" si="8"/>
        <v>338.27077175291197</v>
      </c>
      <c r="S35" s="459">
        <f t="shared" ca="1" si="8"/>
        <v>443.88491221844481</v>
      </c>
      <c r="T35" s="459">
        <f t="shared" ca="1" si="8"/>
        <v>468.38178032389919</v>
      </c>
      <c r="U35" s="459">
        <f t="shared" ca="1" si="8"/>
        <v>574.52581913931328</v>
      </c>
      <c r="V35" s="459">
        <f t="shared" ref="V35:AM35" ca="1" si="9">V34+V32</f>
        <v>603.09475074412546</v>
      </c>
      <c r="W35" s="459">
        <f t="shared" ca="1" si="9"/>
        <v>712.01892889648718</v>
      </c>
      <c r="X35" s="459">
        <f t="shared" ca="1" si="9"/>
        <v>746.27722616841345</v>
      </c>
      <c r="Y35" s="459">
        <f t="shared" ca="1" si="9"/>
        <v>858.10368334713689</v>
      </c>
      <c r="Z35" s="459">
        <f t="shared" ca="1" si="9"/>
        <v>894.34601584339464</v>
      </c>
      <c r="AA35" s="459">
        <f t="shared" ca="1" si="9"/>
        <v>1014.4437527112384</v>
      </c>
      <c r="AB35" s="459">
        <f t="shared" ca="1" si="9"/>
        <v>864.08829257764614</v>
      </c>
      <c r="AC35" s="459">
        <f t="shared" ca="1" si="9"/>
        <v>980.26121462362357</v>
      </c>
      <c r="AD35" s="459">
        <f t="shared" ca="1" si="9"/>
        <v>1026.0812977812957</v>
      </c>
      <c r="AE35" s="459">
        <f t="shared" ca="1" si="9"/>
        <v>1145.3471606649093</v>
      </c>
      <c r="AF35" s="459">
        <f t="shared" ca="1" si="9"/>
        <v>1396.6104822317266</v>
      </c>
      <c r="AG35" s="459">
        <f t="shared" ca="1" si="9"/>
        <v>1454.4568772998853</v>
      </c>
      <c r="AH35" s="459">
        <f t="shared" ca="1" si="9"/>
        <v>1487.8009803572347</v>
      </c>
      <c r="AI35" s="459">
        <f t="shared" ca="1" si="9"/>
        <v>1528.3772551097657</v>
      </c>
      <c r="AJ35" s="459">
        <f t="shared" ca="1" si="9"/>
        <v>1577.4670412354681</v>
      </c>
      <c r="AK35" s="459">
        <f t="shared" ca="1" si="9"/>
        <v>1454.6514976833696</v>
      </c>
      <c r="AL35" s="459">
        <f t="shared" ca="1" si="9"/>
        <v>1449.6197906584607</v>
      </c>
      <c r="AM35" s="459">
        <f t="shared" ca="1" si="9"/>
        <v>1510.3949226278764</v>
      </c>
      <c r="AN35" s="459">
        <f t="shared" ca="1" si="7"/>
        <v>1505.7329440627941</v>
      </c>
      <c r="AO35" s="459">
        <f t="shared" ca="1" si="7"/>
        <v>1565.6133947297631</v>
      </c>
      <c r="AP35" s="459">
        <f t="shared" ca="1" si="7"/>
        <v>1557.0421589087355</v>
      </c>
      <c r="AQ35" s="459">
        <f t="shared" ca="1" si="7"/>
        <v>1623.951292035727</v>
      </c>
      <c r="AR35" s="459">
        <f t="shared" ca="1" si="7"/>
        <v>1615.4805370194226</v>
      </c>
      <c r="AS35" s="459">
        <f t="shared" ca="1" si="7"/>
        <v>1673.5913780550563</v>
      </c>
      <c r="AT35" s="459">
        <f t="shared" ca="1" si="7"/>
        <v>1669.9482988774262</v>
      </c>
      <c r="AU35" s="459">
        <f t="shared" ca="1" si="7"/>
        <v>1727.1868487828265</v>
      </c>
      <c r="AV35" s="459">
        <f ca="1">AV34+AV32</f>
        <v>3143.7134037943556</v>
      </c>
      <c r="AW35" s="459">
        <f t="shared" ca="1" si="7"/>
        <v>3201.0175166894833</v>
      </c>
      <c r="AX35" s="459">
        <f t="shared" ca="1" si="7"/>
        <v>3212.641439658667</v>
      </c>
      <c r="AY35" s="459">
        <f t="shared" ca="1" si="7"/>
        <v>3262.4918264826756</v>
      </c>
      <c r="AZ35" s="459">
        <f t="shared" ca="1" si="7"/>
        <v>3274.1680082495322</v>
      </c>
      <c r="BA35" s="459">
        <f t="shared" ca="1" si="7"/>
        <v>3304.4159319164969</v>
      </c>
      <c r="BB35" s="459">
        <f t="shared" ca="1" si="7"/>
        <v>3325.3898767289238</v>
      </c>
      <c r="BC35" s="459">
        <f t="shared" ca="1" si="7"/>
        <v>3380.5483993913758</v>
      </c>
      <c r="BD35" s="459">
        <f t="shared" ca="1" si="7"/>
        <v>3402.0908817008876</v>
      </c>
      <c r="BE35" s="459">
        <f t="shared" ca="1" si="7"/>
        <v>3430.2837583483301</v>
      </c>
      <c r="BF35" s="459">
        <f t="shared" ca="1" si="7"/>
        <v>3442.6250710426143</v>
      </c>
      <c r="BG35" s="459">
        <f t="shared" ca="1" si="7"/>
        <v>3474.3260288550046</v>
      </c>
      <c r="BH35" s="459">
        <f t="shared" ca="1" si="7"/>
        <v>3486.5071580853587</v>
      </c>
      <c r="BI35" s="459">
        <f t="shared" ca="1" si="7"/>
        <v>3496.0444667100755</v>
      </c>
      <c r="BJ35" s="459">
        <f t="shared" ca="1" si="7"/>
        <v>3517.833692193351</v>
      </c>
      <c r="BK35" s="459">
        <f t="shared" ca="1" si="7"/>
        <v>3502.257387330063</v>
      </c>
      <c r="BL35" s="459">
        <f t="shared" ca="1" si="7"/>
        <v>3523.7089432490652</v>
      </c>
      <c r="BM35" s="459">
        <f t="shared" ca="1" si="7"/>
        <v>3529.650050720943</v>
      </c>
      <c r="BN35" s="459">
        <f t="shared" ca="1" si="7"/>
        <v>3541.3183097872079</v>
      </c>
      <c r="BO35" s="459">
        <f t="shared" ca="1" si="7"/>
        <v>3565.8462279014893</v>
      </c>
      <c r="BP35" s="459"/>
      <c r="BQ35" s="459"/>
      <c r="BR35" s="459"/>
      <c r="BS35" s="459"/>
      <c r="BT35" s="459"/>
      <c r="BU35" s="459"/>
      <c r="BV35" s="459"/>
      <c r="BW35" s="459"/>
      <c r="BX35" s="459"/>
      <c r="BY35" s="459"/>
      <c r="BZ35" s="459"/>
      <c r="CA35" s="459"/>
      <c r="CB35" s="459"/>
      <c r="CC35" s="459"/>
      <c r="CD35" s="459"/>
      <c r="CE35" s="459"/>
      <c r="CF35" s="459"/>
      <c r="CG35" s="459"/>
      <c r="CH35" s="459"/>
      <c r="CI35" s="459"/>
      <c r="CJ35" s="459"/>
      <c r="CK35" s="459"/>
      <c r="CL35" s="459"/>
      <c r="CM35" s="459"/>
      <c r="CN35" s="459"/>
      <c r="CO35" s="459"/>
      <c r="CP35" s="459"/>
      <c r="CQ35" s="459"/>
      <c r="CR35" s="459"/>
      <c r="CS35" s="459"/>
      <c r="CT35" s="459"/>
      <c r="CU35" s="459"/>
      <c r="CV35" s="459"/>
      <c r="CW35" s="459"/>
      <c r="CX35" s="459"/>
      <c r="CY35" s="459"/>
      <c r="CZ35" s="459"/>
      <c r="DA35" s="459"/>
      <c r="DB35" s="459"/>
      <c r="DC35" s="459"/>
      <c r="DD35" s="459"/>
      <c r="DE35" s="459"/>
      <c r="DF35" s="459"/>
      <c r="DG35" s="459"/>
      <c r="DH35" s="459"/>
      <c r="DI35" s="459"/>
      <c r="DJ35" s="459"/>
      <c r="DK35" s="459"/>
      <c r="DL35" s="459"/>
      <c r="DM35" s="459"/>
      <c r="DN35" s="459"/>
      <c r="DO35" s="459"/>
      <c r="DP35" s="459"/>
      <c r="DQ35" s="459"/>
      <c r="DR35" s="459"/>
      <c r="DS35" s="459"/>
      <c r="DT35" s="459"/>
      <c r="DU35" s="459"/>
      <c r="DV35" s="459"/>
      <c r="DW35" s="459"/>
    </row>
    <row r="36" spans="1:127">
      <c r="A36" s="1389" t="s">
        <v>1199</v>
      </c>
      <c r="B36" s="991">
        <f>Inputs!$D$407</f>
        <v>5</v>
      </c>
      <c r="C36" s="991"/>
      <c r="D36" s="1382"/>
      <c r="E36" s="1382"/>
      <c r="F36" s="576"/>
      <c r="G36" s="459">
        <f ca="1">SUMIF(IF(G4&lt;=$B$36,$F35:F35,F35:OFFSET(F35,0,-$B$36+1)),"&lt;0")+SUM($F$37:F$37)</f>
        <v>0</v>
      </c>
      <c r="H36" s="459">
        <f ca="1">SUMIF(IF(H4&lt;=$B$36,$F35:G35,G35:OFFSET(G35,0,-$B$36+1)),"&lt;0")+SUM($F$37:G$37)</f>
        <v>0</v>
      </c>
      <c r="I36" s="459">
        <f ca="1">SUMIF(IF(I4&lt;=$B$36,$F35:H35,H35:OFFSET(H35,0,-$B$36+1)),"&lt;0")+SUM($F$37:H$37)</f>
        <v>-219.15672358217944</v>
      </c>
      <c r="J36" s="459">
        <f ca="1">SUMIF(IF(J4&lt;=$B$36,$F35:I35,I35:OFFSET(I35,0,-$B$36+1)),"&lt;0")+SUM($F$37:I$37)</f>
        <v>-406.74360837258166</v>
      </c>
      <c r="K36" s="459">
        <f ca="1">SUMIF(IF(K4&lt;=$B$36,$F35:J35,J35:OFFSET(J35,0,-$B$36+1)),"&lt;0")+SUM($F$37:J$37)</f>
        <v>-539.24839062987985</v>
      </c>
      <c r="L36" s="459">
        <f ca="1">SUMIF(IF(L4&lt;=$B$36,$F35:K35,K35:OFFSET(K35,0,-$B$36+1)),"&lt;0")+SUM($F$37:K$37)</f>
        <v>-578.04367412917611</v>
      </c>
      <c r="M36" s="459">
        <f ca="1">SUMIF(IF(M4&lt;=$B$36,$F35:L35,L35:OFFSET(L35,0,-$B$36+1)),"&lt;0")+SUM($F$37:L$37)</f>
        <v>-581.71915718016248</v>
      </c>
      <c r="N36" s="459">
        <f ca="1">SUMIF(IF(N4&lt;=$B$36,$F35:M35,M35:OFFSET(M35,0,-$B$36+1)),"&lt;0")+SUM($F$37:M$37)</f>
        <v>-362.56243359798304</v>
      </c>
      <c r="O36" s="459">
        <f ca="1">SUMIF(IF(O4&lt;=$B$36,$F35:N35,N35:OFFSET(N35,0,-$B$36+1)),"&lt;0")+SUM($F$37:N$37)</f>
        <v>-174.97554880758082</v>
      </c>
      <c r="P36" s="459">
        <f ca="1">SUMIF(IF(P4&lt;=$B$36,$F35:O35,O35:OFFSET(O35,0,-$B$36+1)),"&lt;0")+SUM($F$37:O$37)</f>
        <v>-42.470766550282633</v>
      </c>
      <c r="Q36" s="459">
        <f ca="1">SUMIF(IF(Q4&lt;=$B$36,$F35:P35,P35:OFFSET(P35,0,-$B$36+1)),"&lt;0")+SUM($F$37:P$37)</f>
        <v>-3.6754830509863723</v>
      </c>
      <c r="R36" s="459">
        <f ca="1">SUMIF(IF(R4&lt;=$B$36,$F35:Q35,Q35:OFFSET(Q35,0,-$B$36+1)),"&lt;0")+SUM($F$37:Q$37)</f>
        <v>0</v>
      </c>
      <c r="S36" s="459">
        <f ca="1">SUMIF(IF(S4&lt;=$B$36,$F35:R35,R35:OFFSET(R35,0,-$B$36+1)),"&lt;0")+SUM($F$37:R$37)</f>
        <v>0</v>
      </c>
      <c r="T36" s="459">
        <f ca="1">SUMIF(IF(T4&lt;=$B$36,$F35:S35,S35:OFFSET(S35,0,-$B$36+1)),"&lt;0")+SUM($F$37:S$37)</f>
        <v>0</v>
      </c>
      <c r="U36" s="459">
        <f ca="1">SUMIF(IF(U4&lt;=$B$36,$F35:T35,T35:OFFSET(T35,0,-$B$36+1)),"&lt;0")+SUM($F$37:T$37)</f>
        <v>0</v>
      </c>
      <c r="V36" s="459">
        <f ca="1">SUMIF(IF(V4&lt;=$B$36,$F35:U35,U35:OFFSET(U35,0,-$B$36+1)),"&lt;0")+SUM($F$37:U$37)</f>
        <v>0</v>
      </c>
      <c r="W36" s="459">
        <f ca="1">SUMIF(IF(W4&lt;=$B$36,$F35:V35,V35:OFFSET(V35,0,-$B$36+1)),"&lt;0")+SUM($F$37:V$37)</f>
        <v>0</v>
      </c>
      <c r="X36" s="459">
        <f ca="1">SUMIF(IF(X4&lt;=$B$36,$F35:W35,W35:OFFSET(W35,0,-$B$36+1)),"&lt;0")+SUM($F$37:W$37)</f>
        <v>0</v>
      </c>
      <c r="Y36" s="459">
        <f ca="1">SUMIF(IF(Y4&lt;=$B$36,$F35:X35,X35:OFFSET(X35,0,-$B$36+1)),"&lt;0")+SUM($F$37:X$37)</f>
        <v>0</v>
      </c>
      <c r="Z36" s="459">
        <f ca="1">SUMIF(IF(Z4&lt;=$B$36,$F35:Y35,Y35:OFFSET(Y35,0,-$B$36+1)),"&lt;0")+SUM($F$37:Y$37)</f>
        <v>0</v>
      </c>
      <c r="AA36" s="459">
        <f ca="1">SUMIF(IF(AA4&lt;=$B$36,$F35:Z35,Z35:OFFSET(Z35,0,-$B$36+1)),"&lt;0")+SUM($F$37:Z$37)</f>
        <v>0</v>
      </c>
      <c r="AB36" s="459">
        <f ca="1">SUMIF(IF(AB4&lt;=$B$36,$F35:AA35,AA35:OFFSET(AA35,0,-$B$36+1)),"&lt;0")+SUM($F$37:AA$37)</f>
        <v>0</v>
      </c>
      <c r="AC36" s="459">
        <f ca="1">SUMIF(IF(AC4&lt;=$B$36,$F35:AB35,AB35:OFFSET(AB35,0,-$B$36+1)),"&lt;0")+SUM($F$37:AB$37)</f>
        <v>0</v>
      </c>
      <c r="AD36" s="459">
        <f ca="1">SUMIF(IF(AD4&lt;=$B$36,$F35:AC35,AC35:OFFSET(AC35,0,-$B$36+1)),"&lt;0")+SUM($F$37:AC$37)</f>
        <v>0</v>
      </c>
      <c r="AE36" s="459">
        <f ca="1">SUMIF(IF(AE4&lt;=$B$36,$F35:AD35,AD35:OFFSET(AD35,0,-$B$36+1)),"&lt;0")+SUM($F$37:AD$37)</f>
        <v>0</v>
      </c>
      <c r="AF36" s="459">
        <f ca="1">SUMIF(IF(AF4&lt;=$B$36,$F35:AE35,AE35:OFFSET(AE35,0,-$B$36+1)),"&lt;0")+SUM($F$37:AE$37)</f>
        <v>0</v>
      </c>
      <c r="AG36" s="459">
        <f ca="1">SUMIF(IF(AG4&lt;=$B$36,$F35:AF35,AF35:OFFSET(AF35,0,-$B$36+1)),"&lt;0")+SUM($F$37:AF$37)</f>
        <v>0</v>
      </c>
      <c r="AH36" s="459">
        <f ca="1">SUMIF(IF(AH4&lt;=$B$36,$F35:AG35,AG35:OFFSET(AG35,0,-$B$36+1)),"&lt;0")+SUM($F$37:AG$37)</f>
        <v>0</v>
      </c>
      <c r="AI36" s="459">
        <f ca="1">SUMIF(IF(AI4&lt;=$B$36,$F35:AH35,AH35:OFFSET(AH35,0,-$B$36+1)),"&lt;0")+SUM($F$37:AH$37)</f>
        <v>0</v>
      </c>
      <c r="AJ36" s="459">
        <f ca="1">SUMIF(IF(AJ4&lt;=$B$36,$F35:AI35,AI35:OFFSET(AI35,0,-$B$36+1)),"&lt;0")+SUM($F$37:AI$37)</f>
        <v>0</v>
      </c>
      <c r="AK36" s="459">
        <f ca="1">SUMIF(IF(AK4&lt;=$B$36,$F35:AJ35,AJ35:OFFSET(AJ35,0,-$B$36+1)),"&lt;0")+SUM($F$37:AJ$37)</f>
        <v>0</v>
      </c>
      <c r="AL36" s="459">
        <f ca="1">SUMIF(IF(AL4&lt;=$B$36,$F35:AK35,AK35:OFFSET(AK35,0,-$B$36+1)),"&lt;0")+SUM($F$37:AK$37)</f>
        <v>0</v>
      </c>
      <c r="AM36" s="459">
        <f ca="1">SUMIF(IF(AM4&lt;=$B$36,$F35:AL35,AL35:OFFSET(AL35,0,-$B$36+1)),"&lt;0")+SUM($F$37:AL$37)</f>
        <v>0</v>
      </c>
      <c r="AN36" s="459">
        <f ca="1">SUMIF(IF(AN4&lt;=$B$36,$F35:AM35,AM35:OFFSET(AM35,0,-$B$36+1)),"&lt;0")+SUM($F$37:AM$37)</f>
        <v>0</v>
      </c>
      <c r="AO36" s="459">
        <f ca="1">SUMIF(IF(AO4&lt;=$B$36,$F35:AN35,AN35:OFFSET(AN35,0,-$B$36+1)),"&lt;0")+SUM($F$37:AN$37)</f>
        <v>0</v>
      </c>
      <c r="AP36" s="459">
        <f ca="1">SUMIF(IF(AP4&lt;=$B$36,$F35:AO35,AO35:OFFSET(AO35,0,-$B$36+1)),"&lt;0")+SUM($F$37:AO$37)</f>
        <v>0</v>
      </c>
      <c r="AQ36" s="459">
        <f ca="1">SUMIF(IF(AQ4&lt;=$B$36,$F35:AP35,AP35:OFFSET(AP35,0,-$B$36+1)),"&lt;0")+SUM($F$37:AP$37)</f>
        <v>0</v>
      </c>
      <c r="AR36" s="459">
        <f ca="1">SUMIF(IF(AR4&lt;=$B$36,$F35:AQ35,AQ35:OFFSET(AQ35,0,-$B$36+1)),"&lt;0")+SUM($F$37:AQ$37)</f>
        <v>0</v>
      </c>
      <c r="AS36" s="459">
        <f ca="1">SUMIF(IF(AS4&lt;=$B$36,$F35:AR35,AR35:OFFSET(AR35,0,-$B$36+1)),"&lt;0")+SUM($F$37:AR$37)</f>
        <v>0</v>
      </c>
      <c r="AT36" s="459">
        <f ca="1">SUMIF(IF(AT4&lt;=$B$36,$F35:AS35,AS35:OFFSET(AS35,0,-$B$36+1)),"&lt;0")+SUM($F$37:AS$37)</f>
        <v>0</v>
      </c>
      <c r="AU36" s="459">
        <f ca="1">SUMIF(IF(AU4&lt;=$B$36,$F35:AT35,AT35:OFFSET(AT35,0,-$B$36+1)),"&lt;0")+SUM($F$37:AT$37)</f>
        <v>0</v>
      </c>
      <c r="AV36" s="459">
        <f ca="1">SUMIF(IF(AV4&lt;=$B$36,$F35:AU35,AU35:OFFSET(AU35,0,-$B$36+1)),"&lt;0")+SUM($F$37:AU$37)</f>
        <v>0</v>
      </c>
      <c r="AW36" s="459">
        <f ca="1">SUMIF(IF(AW4&lt;=$B$36,$F35:AV35,AV35:OFFSET(AV35,0,-$B$36+1)),"&lt;0")+SUM($F$37:AV$37)</f>
        <v>0</v>
      </c>
      <c r="AX36" s="459">
        <f ca="1">SUMIF(IF(AX4&lt;=$B$36,$F35:AW35,AW35:OFFSET(AW35,0,-$B$36+1)),"&lt;0")+SUM($F$37:AW$37)</f>
        <v>0</v>
      </c>
      <c r="AY36" s="459">
        <f ca="1">SUMIF(IF(AY4&lt;=$B$36,$F35:AX35,AX35:OFFSET(AX35,0,-$B$36+1)),"&lt;0")+SUM($F$37:AX$37)</f>
        <v>0</v>
      </c>
      <c r="AZ36" s="459">
        <f ca="1">SUMIF(IF(AZ4&lt;=$B$36,$F35:AY35,AY35:OFFSET(AY35,0,-$B$36+1)),"&lt;0")+SUM($F$37:AY$37)</f>
        <v>0</v>
      </c>
      <c r="BA36" s="459">
        <f ca="1">SUMIF(IF(BA4&lt;=$B$36,$F35:AZ35,AZ35:OFFSET(AZ35,0,-$B$36+1)),"&lt;0")+SUM($F$37:AZ$37)</f>
        <v>0</v>
      </c>
      <c r="BB36" s="459">
        <f ca="1">SUMIF(IF(BB4&lt;=$B$36,$F35:BA35,BA35:OFFSET(BA35,0,-$B$36+1)),"&lt;0")+SUM($F$37:BA$37)</f>
        <v>0</v>
      </c>
      <c r="BC36" s="459">
        <f ca="1">SUMIF(IF(BC4&lt;=$B$36,$F35:BB35,BB35:OFFSET(BB35,0,-$B$36+1)),"&lt;0")+SUM($F$37:BB$37)</f>
        <v>0</v>
      </c>
      <c r="BD36" s="459">
        <f ca="1">SUMIF(IF(BD4&lt;=$B$36,$F35:BC35,BC35:OFFSET(BC35,0,-$B$36+1)),"&lt;0")+SUM($F$37:BC$37)</f>
        <v>0</v>
      </c>
      <c r="BE36" s="459">
        <f ca="1">SUMIF(IF(BE4&lt;=$B$36,$F35:BD35,BD35:OFFSET(BD35,0,-$B$36+1)),"&lt;0")+SUM($F$37:BD$37)</f>
        <v>0</v>
      </c>
      <c r="BF36" s="459">
        <f ca="1">SUMIF(IF(BF4&lt;=$B$36,$F35:BE35,BE35:OFFSET(BE35,0,-$B$36+1)),"&lt;0")+SUM($F$37:BE$37)</f>
        <v>0</v>
      </c>
      <c r="BG36" s="459">
        <f ca="1">SUMIF(IF(BG4&lt;=$B$36,$F35:BF35,BF35:OFFSET(BF35,0,-$B$36+1)),"&lt;0")+SUM($F$37:BF$37)</f>
        <v>0</v>
      </c>
      <c r="BH36" s="459">
        <f ca="1">SUMIF(IF(BH4&lt;=$B$36,$F35:BG35,BG35:OFFSET(BG35,0,-$B$36+1)),"&lt;0")+SUM($F$37:BG$37)</f>
        <v>0</v>
      </c>
      <c r="BI36" s="459">
        <f ca="1">SUMIF(IF(BI4&lt;=$B$36,$F35:BH35,BH35:OFFSET(BH35,0,-$B$36+1)),"&lt;0")+SUM($F$37:BH$37)</f>
        <v>0</v>
      </c>
      <c r="BJ36" s="459">
        <f ca="1">SUMIF(IF(BJ4&lt;=$B$36,$F35:BI35,BI35:OFFSET(BI35,0,-$B$36+1)),"&lt;0")+SUM($F$37:BI$37)</f>
        <v>0</v>
      </c>
      <c r="BK36" s="459">
        <f ca="1">SUMIF(IF(BK4&lt;=$B$36,$F35:BJ35,BJ35:OFFSET(BJ35,0,-$B$36+1)),"&lt;0")+SUM($F$37:BJ$37)</f>
        <v>0</v>
      </c>
      <c r="BL36" s="459">
        <f ca="1">SUMIF(IF(BL4&lt;=$B$36,$F35:BK35,BK35:OFFSET(BK35,0,-$B$36+1)),"&lt;0")+SUM($F$37:BK$37)</f>
        <v>0</v>
      </c>
      <c r="BM36" s="459">
        <f ca="1">SUMIF(IF(BM4&lt;=$B$36,$F35:BL35,BL35:OFFSET(BL35,0,-$B$36+1)),"&lt;0")+SUM($F$37:BL$37)</f>
        <v>0</v>
      </c>
      <c r="BN36" s="459">
        <f ca="1">SUMIF(IF(BN4&lt;=$B$36,$F35:BM35,BM35:OFFSET(BM35,0,-$B$36+1)),"&lt;0")+SUM($F$37:BM$37)</f>
        <v>0</v>
      </c>
      <c r="BO36" s="459">
        <f ca="1">SUMIF(IF(BO4&lt;=$B$36,$F35:BN35,BN35:OFFSET(BN35,0,-$B$36+1)),"&lt;0")+SUM($F$37:BN$37)</f>
        <v>0</v>
      </c>
      <c r="BP36" s="459"/>
      <c r="BQ36" s="459"/>
      <c r="BR36" s="459"/>
      <c r="BS36" s="459"/>
      <c r="BT36" s="459"/>
      <c r="BU36" s="459"/>
      <c r="BV36" s="459"/>
      <c r="BW36" s="459"/>
      <c r="BX36" s="459"/>
      <c r="BY36" s="459"/>
      <c r="BZ36" s="459"/>
      <c r="CA36" s="459"/>
      <c r="CB36" s="459"/>
      <c r="CC36" s="459"/>
      <c r="CD36" s="459"/>
      <c r="CE36" s="459"/>
      <c r="CF36" s="459"/>
      <c r="CG36" s="459"/>
      <c r="CH36" s="459"/>
      <c r="CI36" s="459"/>
      <c r="CJ36" s="459"/>
      <c r="CK36" s="459"/>
      <c r="CL36" s="459"/>
      <c r="CM36" s="459"/>
      <c r="CN36" s="459"/>
      <c r="CO36" s="459"/>
      <c r="CP36" s="459"/>
      <c r="CQ36" s="459"/>
      <c r="CR36" s="459"/>
      <c r="CS36" s="459"/>
      <c r="CT36" s="459"/>
      <c r="CU36" s="459"/>
      <c r="CV36" s="459"/>
      <c r="CW36" s="459"/>
      <c r="CX36" s="459"/>
      <c r="CY36" s="459"/>
      <c r="CZ36" s="459"/>
      <c r="DA36" s="459"/>
      <c r="DB36" s="459"/>
      <c r="DC36" s="459"/>
      <c r="DD36" s="459"/>
      <c r="DE36" s="459"/>
      <c r="DF36" s="459"/>
      <c r="DG36" s="459"/>
      <c r="DH36" s="459"/>
      <c r="DI36" s="459"/>
      <c r="DJ36" s="459"/>
      <c r="DK36" s="459"/>
      <c r="DL36" s="459"/>
      <c r="DM36" s="459"/>
      <c r="DN36" s="459"/>
      <c r="DO36" s="459"/>
      <c r="DP36" s="459"/>
      <c r="DQ36" s="459"/>
      <c r="DR36" s="459"/>
      <c r="DS36" s="459"/>
      <c r="DT36" s="459"/>
      <c r="DU36" s="459"/>
      <c r="DV36" s="459"/>
      <c r="DW36" s="459"/>
    </row>
    <row r="37" spans="1:127">
      <c r="A37" s="1389" t="s">
        <v>1200</v>
      </c>
      <c r="B37" s="1390">
        <f>Inputs!$D$408</f>
        <v>1</v>
      </c>
      <c r="C37" s="1390"/>
      <c r="D37" s="1382"/>
      <c r="E37" s="1382"/>
      <c r="F37" s="576"/>
      <c r="G37" s="459">
        <f ca="1">IF(AND(G36&lt;=0,G32&gt;0),MIN(ABS(G36),G32),0)</f>
        <v>0</v>
      </c>
      <c r="H37" s="459">
        <f t="shared" ref="H37:BO37" ca="1" si="10">IF(AND(H36&lt;=0,H32&gt;0),MIN(ABS(H36),H32),0)</f>
        <v>0</v>
      </c>
      <c r="I37" s="459">
        <f t="shared" ca="1" si="10"/>
        <v>0</v>
      </c>
      <c r="J37" s="459">
        <f t="shared" ca="1" si="10"/>
        <v>0</v>
      </c>
      <c r="K37" s="459">
        <f t="shared" ca="1" si="10"/>
        <v>0</v>
      </c>
      <c r="L37" s="459">
        <f t="shared" ca="1" si="10"/>
        <v>0</v>
      </c>
      <c r="M37" s="459">
        <f t="shared" ca="1" si="10"/>
        <v>0</v>
      </c>
      <c r="N37" s="459">
        <f t="shared" ca="1" si="10"/>
        <v>0</v>
      </c>
      <c r="O37" s="459">
        <f t="shared" ca="1" si="10"/>
        <v>0</v>
      </c>
      <c r="P37" s="459">
        <f t="shared" ca="1" si="10"/>
        <v>0</v>
      </c>
      <c r="Q37" s="459">
        <f t="shared" ca="1" si="10"/>
        <v>0</v>
      </c>
      <c r="R37" s="459">
        <f t="shared" ca="1" si="10"/>
        <v>0</v>
      </c>
      <c r="S37" s="459">
        <f t="shared" ca="1" si="10"/>
        <v>0</v>
      </c>
      <c r="T37" s="459">
        <f t="shared" ca="1" si="10"/>
        <v>0</v>
      </c>
      <c r="U37" s="459">
        <f t="shared" ca="1" si="10"/>
        <v>0</v>
      </c>
      <c r="V37" s="459">
        <f t="shared" ca="1" si="10"/>
        <v>0</v>
      </c>
      <c r="W37" s="459">
        <f t="shared" ca="1" si="10"/>
        <v>0</v>
      </c>
      <c r="X37" s="459">
        <f t="shared" ca="1" si="10"/>
        <v>0</v>
      </c>
      <c r="Y37" s="459">
        <f t="shared" ca="1" si="10"/>
        <v>0</v>
      </c>
      <c r="Z37" s="459">
        <f t="shared" ca="1" si="10"/>
        <v>0</v>
      </c>
      <c r="AA37" s="459">
        <f t="shared" ca="1" si="10"/>
        <v>0</v>
      </c>
      <c r="AB37" s="459">
        <f t="shared" ca="1" si="10"/>
        <v>0</v>
      </c>
      <c r="AC37" s="459">
        <f t="shared" ca="1" si="10"/>
        <v>0</v>
      </c>
      <c r="AD37" s="459">
        <f t="shared" ca="1" si="10"/>
        <v>0</v>
      </c>
      <c r="AE37" s="459">
        <f t="shared" ca="1" si="10"/>
        <v>0</v>
      </c>
      <c r="AF37" s="459">
        <f t="shared" ca="1" si="10"/>
        <v>0</v>
      </c>
      <c r="AG37" s="459">
        <f t="shared" ca="1" si="10"/>
        <v>0</v>
      </c>
      <c r="AH37" s="459">
        <f t="shared" ca="1" si="10"/>
        <v>0</v>
      </c>
      <c r="AI37" s="459">
        <f t="shared" ca="1" si="10"/>
        <v>0</v>
      </c>
      <c r="AJ37" s="459">
        <f t="shared" ca="1" si="10"/>
        <v>0</v>
      </c>
      <c r="AK37" s="459">
        <f t="shared" ca="1" si="10"/>
        <v>0</v>
      </c>
      <c r="AL37" s="459">
        <f t="shared" ca="1" si="10"/>
        <v>0</v>
      </c>
      <c r="AM37" s="459">
        <f t="shared" ca="1" si="10"/>
        <v>0</v>
      </c>
      <c r="AN37" s="459">
        <f t="shared" ca="1" si="10"/>
        <v>0</v>
      </c>
      <c r="AO37" s="459">
        <f t="shared" ca="1" si="10"/>
        <v>0</v>
      </c>
      <c r="AP37" s="459">
        <f t="shared" ca="1" si="10"/>
        <v>0</v>
      </c>
      <c r="AQ37" s="459">
        <f t="shared" ca="1" si="10"/>
        <v>0</v>
      </c>
      <c r="AR37" s="459">
        <f t="shared" ca="1" si="10"/>
        <v>0</v>
      </c>
      <c r="AS37" s="459">
        <f t="shared" ca="1" si="10"/>
        <v>0</v>
      </c>
      <c r="AT37" s="459">
        <f t="shared" ca="1" si="10"/>
        <v>0</v>
      </c>
      <c r="AU37" s="459">
        <f t="shared" ca="1" si="10"/>
        <v>0</v>
      </c>
      <c r="AV37" s="459">
        <f t="shared" ca="1" si="10"/>
        <v>0</v>
      </c>
      <c r="AW37" s="459">
        <f t="shared" ca="1" si="10"/>
        <v>0</v>
      </c>
      <c r="AX37" s="459">
        <f t="shared" ca="1" si="10"/>
        <v>0</v>
      </c>
      <c r="AY37" s="459">
        <f t="shared" ca="1" si="10"/>
        <v>0</v>
      </c>
      <c r="AZ37" s="459">
        <f t="shared" ca="1" si="10"/>
        <v>0</v>
      </c>
      <c r="BA37" s="459">
        <f t="shared" ca="1" si="10"/>
        <v>0</v>
      </c>
      <c r="BB37" s="459">
        <f t="shared" ca="1" si="10"/>
        <v>0</v>
      </c>
      <c r="BC37" s="459">
        <f t="shared" ca="1" si="10"/>
        <v>0</v>
      </c>
      <c r="BD37" s="459">
        <f t="shared" ca="1" si="10"/>
        <v>0</v>
      </c>
      <c r="BE37" s="459">
        <f t="shared" ca="1" si="10"/>
        <v>0</v>
      </c>
      <c r="BF37" s="459">
        <f t="shared" ca="1" si="10"/>
        <v>0</v>
      </c>
      <c r="BG37" s="459">
        <f t="shared" ca="1" si="10"/>
        <v>0</v>
      </c>
      <c r="BH37" s="459">
        <f t="shared" ca="1" si="10"/>
        <v>0</v>
      </c>
      <c r="BI37" s="459">
        <f t="shared" ca="1" si="10"/>
        <v>0</v>
      </c>
      <c r="BJ37" s="459">
        <f t="shared" ca="1" si="10"/>
        <v>0</v>
      </c>
      <c r="BK37" s="459">
        <f t="shared" ca="1" si="10"/>
        <v>0</v>
      </c>
      <c r="BL37" s="459">
        <f t="shared" ca="1" si="10"/>
        <v>0</v>
      </c>
      <c r="BM37" s="459">
        <f t="shared" ca="1" si="10"/>
        <v>0</v>
      </c>
      <c r="BN37" s="459">
        <f t="shared" ca="1" si="10"/>
        <v>0</v>
      </c>
      <c r="BO37" s="459">
        <f t="shared" ca="1" si="10"/>
        <v>0</v>
      </c>
      <c r="BP37" s="459"/>
      <c r="BQ37" s="459"/>
      <c r="BR37" s="459"/>
      <c r="BS37" s="459"/>
      <c r="BT37" s="459"/>
      <c r="BU37" s="459"/>
      <c r="BV37" s="459"/>
      <c r="BW37" s="459"/>
      <c r="BX37" s="459"/>
      <c r="BY37" s="459"/>
      <c r="BZ37" s="459"/>
      <c r="CA37" s="459"/>
      <c r="CB37" s="459"/>
      <c r="CC37" s="459"/>
      <c r="CD37" s="459"/>
      <c r="CE37" s="459"/>
      <c r="CF37" s="459"/>
      <c r="CG37" s="459"/>
      <c r="CH37" s="459"/>
      <c r="CI37" s="459"/>
      <c r="CJ37" s="459"/>
      <c r="CK37" s="459"/>
      <c r="CL37" s="459"/>
      <c r="CM37" s="459"/>
      <c r="CN37" s="459"/>
      <c r="CO37" s="459"/>
      <c r="CP37" s="459"/>
      <c r="CQ37" s="459"/>
      <c r="CR37" s="459"/>
      <c r="CS37" s="459"/>
      <c r="CT37" s="459"/>
      <c r="CU37" s="459"/>
      <c r="CV37" s="459"/>
      <c r="CW37" s="459"/>
      <c r="CX37" s="459"/>
      <c r="CY37" s="459"/>
      <c r="CZ37" s="459"/>
      <c r="DA37" s="459"/>
      <c r="DB37" s="459"/>
      <c r="DC37" s="459"/>
      <c r="DD37" s="459"/>
      <c r="DE37" s="459"/>
      <c r="DF37" s="459"/>
      <c r="DG37" s="459"/>
      <c r="DH37" s="459"/>
      <c r="DI37" s="459"/>
      <c r="DJ37" s="459"/>
      <c r="DK37" s="459"/>
      <c r="DL37" s="459"/>
      <c r="DM37" s="459"/>
      <c r="DN37" s="459"/>
      <c r="DO37" s="459"/>
      <c r="DP37" s="459"/>
      <c r="DQ37" s="459"/>
      <c r="DR37" s="459"/>
      <c r="DS37" s="459"/>
      <c r="DT37" s="459"/>
      <c r="DU37" s="459"/>
      <c r="DV37" s="459"/>
      <c r="DW37" s="459"/>
    </row>
    <row r="38" spans="1:127">
      <c r="A38" s="1389" t="s">
        <v>1201</v>
      </c>
      <c r="B38" s="1383"/>
      <c r="C38" s="1383"/>
      <c r="D38" s="1382"/>
      <c r="E38" s="1382"/>
      <c r="F38" s="576"/>
      <c r="G38" s="459">
        <f ca="1">MIN(G37+G36,0)</f>
        <v>0</v>
      </c>
      <c r="H38" s="459">
        <f ca="1">MIN(H37+H36,0)</f>
        <v>0</v>
      </c>
      <c r="I38" s="459">
        <f t="shared" ref="I38:BO38" ca="1" si="11">MIN(I37+I36,0)</f>
        <v>-219.15672358217944</v>
      </c>
      <c r="J38" s="459">
        <f t="shared" ca="1" si="11"/>
        <v>-406.74360837258166</v>
      </c>
      <c r="K38" s="459">
        <f t="shared" ca="1" si="11"/>
        <v>-539.24839062987985</v>
      </c>
      <c r="L38" s="459">
        <f t="shared" ca="1" si="11"/>
        <v>-578.04367412917611</v>
      </c>
      <c r="M38" s="459">
        <f t="shared" ca="1" si="11"/>
        <v>-581.71915718016248</v>
      </c>
      <c r="N38" s="459">
        <f t="shared" ca="1" si="11"/>
        <v>-362.56243359798304</v>
      </c>
      <c r="O38" s="459">
        <f t="shared" ref="O38:U38" ca="1" si="12">MIN(O37+O36,0)</f>
        <v>-174.97554880758082</v>
      </c>
      <c r="P38" s="459">
        <f t="shared" ca="1" si="12"/>
        <v>-42.470766550282633</v>
      </c>
      <c r="Q38" s="459">
        <f t="shared" ca="1" si="12"/>
        <v>-3.6754830509863723</v>
      </c>
      <c r="R38" s="459">
        <f t="shared" ca="1" si="12"/>
        <v>0</v>
      </c>
      <c r="S38" s="459">
        <f t="shared" ca="1" si="12"/>
        <v>0</v>
      </c>
      <c r="T38" s="459">
        <f t="shared" ca="1" si="12"/>
        <v>0</v>
      </c>
      <c r="U38" s="459">
        <f t="shared" ca="1" si="12"/>
        <v>0</v>
      </c>
      <c r="V38" s="459">
        <f t="shared" ref="V38:AM38" ca="1" si="13">MIN(V37+V36,0)</f>
        <v>0</v>
      </c>
      <c r="W38" s="459">
        <f t="shared" ca="1" si="13"/>
        <v>0</v>
      </c>
      <c r="X38" s="459">
        <f t="shared" ca="1" si="13"/>
        <v>0</v>
      </c>
      <c r="Y38" s="459">
        <f t="shared" ca="1" si="13"/>
        <v>0</v>
      </c>
      <c r="Z38" s="459">
        <f t="shared" ca="1" si="13"/>
        <v>0</v>
      </c>
      <c r="AA38" s="459">
        <f t="shared" ca="1" si="13"/>
        <v>0</v>
      </c>
      <c r="AB38" s="459">
        <f t="shared" ca="1" si="13"/>
        <v>0</v>
      </c>
      <c r="AC38" s="459">
        <f t="shared" ca="1" si="13"/>
        <v>0</v>
      </c>
      <c r="AD38" s="459">
        <f t="shared" ca="1" si="13"/>
        <v>0</v>
      </c>
      <c r="AE38" s="459">
        <f t="shared" ca="1" si="13"/>
        <v>0</v>
      </c>
      <c r="AF38" s="459">
        <f t="shared" ca="1" si="13"/>
        <v>0</v>
      </c>
      <c r="AG38" s="459">
        <f t="shared" ca="1" si="13"/>
        <v>0</v>
      </c>
      <c r="AH38" s="459">
        <f t="shared" ca="1" si="13"/>
        <v>0</v>
      </c>
      <c r="AI38" s="459">
        <f t="shared" ca="1" si="13"/>
        <v>0</v>
      </c>
      <c r="AJ38" s="459">
        <f t="shared" ca="1" si="13"/>
        <v>0</v>
      </c>
      <c r="AK38" s="459">
        <f t="shared" ca="1" si="13"/>
        <v>0</v>
      </c>
      <c r="AL38" s="459">
        <f t="shared" ca="1" si="13"/>
        <v>0</v>
      </c>
      <c r="AM38" s="459">
        <f t="shared" ca="1" si="13"/>
        <v>0</v>
      </c>
      <c r="AN38" s="459">
        <f t="shared" ca="1" si="11"/>
        <v>0</v>
      </c>
      <c r="AO38" s="459">
        <f t="shared" ca="1" si="11"/>
        <v>0</v>
      </c>
      <c r="AP38" s="459">
        <f t="shared" ca="1" si="11"/>
        <v>0</v>
      </c>
      <c r="AQ38" s="459">
        <f t="shared" ca="1" si="11"/>
        <v>0</v>
      </c>
      <c r="AR38" s="459">
        <f t="shared" ca="1" si="11"/>
        <v>0</v>
      </c>
      <c r="AS38" s="459">
        <f t="shared" ca="1" si="11"/>
        <v>0</v>
      </c>
      <c r="AT38" s="459">
        <f t="shared" ca="1" si="11"/>
        <v>0</v>
      </c>
      <c r="AU38" s="459">
        <f t="shared" ca="1" si="11"/>
        <v>0</v>
      </c>
      <c r="AV38" s="459">
        <f t="shared" ca="1" si="11"/>
        <v>0</v>
      </c>
      <c r="AW38" s="459">
        <f t="shared" ca="1" si="11"/>
        <v>0</v>
      </c>
      <c r="AX38" s="459">
        <f t="shared" ca="1" si="11"/>
        <v>0</v>
      </c>
      <c r="AY38" s="459">
        <f t="shared" ca="1" si="11"/>
        <v>0</v>
      </c>
      <c r="AZ38" s="459">
        <f t="shared" ca="1" si="11"/>
        <v>0</v>
      </c>
      <c r="BA38" s="459">
        <f t="shared" ca="1" si="11"/>
        <v>0</v>
      </c>
      <c r="BB38" s="459">
        <f t="shared" ca="1" si="11"/>
        <v>0</v>
      </c>
      <c r="BC38" s="459">
        <f t="shared" ca="1" si="11"/>
        <v>0</v>
      </c>
      <c r="BD38" s="459">
        <f t="shared" ca="1" si="11"/>
        <v>0</v>
      </c>
      <c r="BE38" s="459">
        <f t="shared" ca="1" si="11"/>
        <v>0</v>
      </c>
      <c r="BF38" s="459">
        <f t="shared" ca="1" si="11"/>
        <v>0</v>
      </c>
      <c r="BG38" s="459">
        <f t="shared" ca="1" si="11"/>
        <v>0</v>
      </c>
      <c r="BH38" s="459">
        <f t="shared" ca="1" si="11"/>
        <v>0</v>
      </c>
      <c r="BI38" s="459">
        <f t="shared" ca="1" si="11"/>
        <v>0</v>
      </c>
      <c r="BJ38" s="459">
        <f t="shared" ca="1" si="11"/>
        <v>0</v>
      </c>
      <c r="BK38" s="459">
        <f t="shared" ca="1" si="11"/>
        <v>0</v>
      </c>
      <c r="BL38" s="459">
        <f t="shared" ca="1" si="11"/>
        <v>0</v>
      </c>
      <c r="BM38" s="459">
        <f t="shared" ca="1" si="11"/>
        <v>0</v>
      </c>
      <c r="BN38" s="459">
        <f t="shared" ca="1" si="11"/>
        <v>0</v>
      </c>
      <c r="BO38" s="459">
        <f t="shared" ca="1" si="11"/>
        <v>0</v>
      </c>
      <c r="BP38" s="459"/>
      <c r="BQ38" s="459"/>
      <c r="BR38" s="459"/>
      <c r="BS38" s="459"/>
      <c r="BT38" s="459"/>
      <c r="BU38" s="459"/>
      <c r="BV38" s="459"/>
      <c r="BW38" s="459"/>
      <c r="BX38" s="459"/>
      <c r="BY38" s="459"/>
      <c r="BZ38" s="459"/>
      <c r="CA38" s="459"/>
      <c r="CB38" s="459"/>
      <c r="CC38" s="459"/>
      <c r="CD38" s="459"/>
      <c r="CE38" s="459"/>
      <c r="CF38" s="459"/>
      <c r="CG38" s="459"/>
      <c r="CH38" s="459"/>
      <c r="CI38" s="459"/>
      <c r="CJ38" s="459"/>
      <c r="CK38" s="459"/>
      <c r="CL38" s="459"/>
      <c r="CM38" s="459"/>
      <c r="CN38" s="459"/>
      <c r="CO38" s="459"/>
      <c r="CP38" s="459"/>
      <c r="CQ38" s="459"/>
      <c r="CR38" s="459"/>
      <c r="CS38" s="459"/>
      <c r="CT38" s="459"/>
      <c r="CU38" s="459"/>
      <c r="CV38" s="459"/>
      <c r="CW38" s="459"/>
      <c r="CX38" s="459"/>
      <c r="CY38" s="459"/>
      <c r="CZ38" s="459"/>
      <c r="DA38" s="459"/>
      <c r="DB38" s="459"/>
      <c r="DC38" s="459"/>
      <c r="DD38" s="459"/>
      <c r="DE38" s="459"/>
      <c r="DF38" s="459"/>
      <c r="DG38" s="459"/>
      <c r="DH38" s="459"/>
      <c r="DI38" s="459"/>
      <c r="DJ38" s="459"/>
      <c r="DK38" s="459"/>
      <c r="DL38" s="459"/>
      <c r="DM38" s="459"/>
      <c r="DN38" s="459"/>
      <c r="DO38" s="459"/>
      <c r="DP38" s="459"/>
      <c r="DQ38" s="459"/>
      <c r="DR38" s="459"/>
      <c r="DS38" s="459"/>
      <c r="DT38" s="459"/>
      <c r="DU38" s="459"/>
      <c r="DV38" s="459"/>
      <c r="DW38" s="459"/>
    </row>
    <row r="39" spans="1:127">
      <c r="A39" s="1124" t="s">
        <v>1202</v>
      </c>
      <c r="B39" s="1383"/>
      <c r="C39" s="1383"/>
      <c r="D39" s="1382"/>
      <c r="E39" s="1382"/>
      <c r="F39" s="576"/>
      <c r="G39" s="459">
        <f ca="1">MIN(G38,F35*$B37)</f>
        <v>0</v>
      </c>
      <c r="H39" s="459">
        <f ca="1">MIN(H38,G35*$B37)</f>
        <v>0</v>
      </c>
      <c r="I39" s="459">
        <f ca="1">MIN(I38,H35*$B37)</f>
        <v>-219.15672358217944</v>
      </c>
      <c r="J39" s="459">
        <f t="shared" ref="J39:N39" ca="1" si="14">MIN(J38,I35*$B37)</f>
        <v>-406.74360837258166</v>
      </c>
      <c r="K39" s="459">
        <f t="shared" ca="1" si="14"/>
        <v>-539.24839062987985</v>
      </c>
      <c r="L39" s="459">
        <f t="shared" ca="1" si="14"/>
        <v>-578.04367412917611</v>
      </c>
      <c r="M39" s="459">
        <f t="shared" ca="1" si="14"/>
        <v>-581.71915718016248</v>
      </c>
      <c r="N39" s="459">
        <f t="shared" ca="1" si="14"/>
        <v>-362.56243359798304</v>
      </c>
      <c r="O39" s="459">
        <f t="shared" ref="O39" ca="1" si="15">MIN(O38,N35*$B37)</f>
        <v>-174.97554880758082</v>
      </c>
      <c r="P39" s="459">
        <f t="shared" ref="P39" ca="1" si="16">MIN(P38,O35*$B37)</f>
        <v>-42.470766550282633</v>
      </c>
      <c r="Q39" s="459">
        <f t="shared" ref="Q39" ca="1" si="17">MIN(Q38,P35*$B37)</f>
        <v>-3.6754830509863723</v>
      </c>
      <c r="R39" s="459">
        <f t="shared" ref="R39" ca="1" si="18">MIN(R38,Q35*$B37)</f>
        <v>0</v>
      </c>
      <c r="S39" s="459">
        <f t="shared" ref="S39" ca="1" si="19">MIN(S38,R35*$B37)</f>
        <v>0</v>
      </c>
      <c r="T39" s="459">
        <f t="shared" ref="T39" ca="1" si="20">MIN(T38,S35*$B37)</f>
        <v>0</v>
      </c>
      <c r="U39" s="459">
        <f t="shared" ref="U39" ca="1" si="21">MIN(U38,T35*$B37)</f>
        <v>0</v>
      </c>
      <c r="V39" s="459">
        <f t="shared" ref="V39" ca="1" si="22">MIN(V38,U35*$B37)</f>
        <v>0</v>
      </c>
      <c r="W39" s="459">
        <f t="shared" ref="W39" ca="1" si="23">MIN(W38,V35*$B37)</f>
        <v>0</v>
      </c>
      <c r="X39" s="459">
        <f t="shared" ref="X39" ca="1" si="24">MIN(X38,W35*$B37)</f>
        <v>0</v>
      </c>
      <c r="Y39" s="459">
        <f t="shared" ref="Y39" ca="1" si="25">MIN(Y38,X35*$B37)</f>
        <v>0</v>
      </c>
      <c r="Z39" s="459">
        <f t="shared" ref="Z39" ca="1" si="26">MIN(Z38,Y35*$B37)</f>
        <v>0</v>
      </c>
      <c r="AA39" s="459">
        <f t="shared" ref="AA39" ca="1" si="27">MIN(AA38,Z35*$B37)</f>
        <v>0</v>
      </c>
      <c r="AB39" s="459">
        <f t="shared" ref="AB39" ca="1" si="28">MIN(AB38,AA35*$B37)</f>
        <v>0</v>
      </c>
      <c r="AC39" s="459">
        <f t="shared" ref="AC39" ca="1" si="29">MIN(AC38,AB35*$B37)</f>
        <v>0</v>
      </c>
      <c r="AD39" s="459">
        <f t="shared" ref="AD39" ca="1" si="30">MIN(AD38,AC35*$B37)</f>
        <v>0</v>
      </c>
      <c r="AE39" s="459">
        <f t="shared" ref="AE39" ca="1" si="31">MIN(AE38,AD35*$B37)</f>
        <v>0</v>
      </c>
      <c r="AF39" s="459">
        <f t="shared" ref="AF39" ca="1" si="32">MIN(AF38,AE35*$B37)</f>
        <v>0</v>
      </c>
      <c r="AG39" s="459">
        <f t="shared" ref="AG39" ca="1" si="33">MIN(AG38,AF35*$B37)</f>
        <v>0</v>
      </c>
      <c r="AH39" s="459">
        <f t="shared" ref="AH39" ca="1" si="34">MIN(AH38,AG35*$B37)</f>
        <v>0</v>
      </c>
      <c r="AI39" s="459">
        <f t="shared" ref="AI39" ca="1" si="35">MIN(AI38,AH35*$B37)</f>
        <v>0</v>
      </c>
      <c r="AJ39" s="459">
        <f t="shared" ref="AJ39" ca="1" si="36">MIN(AJ38,AI35*$B37)</f>
        <v>0</v>
      </c>
      <c r="AK39" s="459">
        <f t="shared" ref="AK39" ca="1" si="37">MIN(AK38,AJ35*$B37)</f>
        <v>0</v>
      </c>
      <c r="AL39" s="459">
        <f t="shared" ref="AL39" ca="1" si="38">MIN(AL38,AK35*$B37)</f>
        <v>0</v>
      </c>
      <c r="AM39" s="459">
        <f t="shared" ref="AM39" ca="1" si="39">MIN(AM38,AL35*$B37)</f>
        <v>0</v>
      </c>
      <c r="AN39" s="459">
        <f t="shared" ref="AN39:BO39" ca="1" si="40">MIN(AN38,AM35*$B37)</f>
        <v>0</v>
      </c>
      <c r="AO39" s="459">
        <f t="shared" ca="1" si="40"/>
        <v>0</v>
      </c>
      <c r="AP39" s="459">
        <f t="shared" ca="1" si="40"/>
        <v>0</v>
      </c>
      <c r="AQ39" s="459">
        <f t="shared" ca="1" si="40"/>
        <v>0</v>
      </c>
      <c r="AR39" s="459">
        <f t="shared" ca="1" si="40"/>
        <v>0</v>
      </c>
      <c r="AS39" s="459">
        <f t="shared" ca="1" si="40"/>
        <v>0</v>
      </c>
      <c r="AT39" s="459">
        <f t="shared" ca="1" si="40"/>
        <v>0</v>
      </c>
      <c r="AU39" s="459">
        <f t="shared" ca="1" si="40"/>
        <v>0</v>
      </c>
      <c r="AV39" s="459">
        <f t="shared" ca="1" si="40"/>
        <v>0</v>
      </c>
      <c r="AW39" s="459">
        <f t="shared" ca="1" si="40"/>
        <v>0</v>
      </c>
      <c r="AX39" s="459">
        <f t="shared" ca="1" si="40"/>
        <v>0</v>
      </c>
      <c r="AY39" s="459">
        <f t="shared" ca="1" si="40"/>
        <v>0</v>
      </c>
      <c r="AZ39" s="459">
        <f t="shared" ca="1" si="40"/>
        <v>0</v>
      </c>
      <c r="BA39" s="459">
        <f t="shared" ca="1" si="40"/>
        <v>0</v>
      </c>
      <c r="BB39" s="459">
        <f t="shared" ca="1" si="40"/>
        <v>0</v>
      </c>
      <c r="BC39" s="459">
        <f t="shared" ca="1" si="40"/>
        <v>0</v>
      </c>
      <c r="BD39" s="459">
        <f t="shared" ca="1" si="40"/>
        <v>0</v>
      </c>
      <c r="BE39" s="459">
        <f t="shared" ca="1" si="40"/>
        <v>0</v>
      </c>
      <c r="BF39" s="459">
        <f t="shared" ca="1" si="40"/>
        <v>0</v>
      </c>
      <c r="BG39" s="459">
        <f t="shared" ca="1" si="40"/>
        <v>0</v>
      </c>
      <c r="BH39" s="459">
        <f t="shared" ca="1" si="40"/>
        <v>0</v>
      </c>
      <c r="BI39" s="459">
        <f t="shared" ca="1" si="40"/>
        <v>0</v>
      </c>
      <c r="BJ39" s="459">
        <f t="shared" ca="1" si="40"/>
        <v>0</v>
      </c>
      <c r="BK39" s="459">
        <f t="shared" ca="1" si="40"/>
        <v>0</v>
      </c>
      <c r="BL39" s="459">
        <f t="shared" ca="1" si="40"/>
        <v>0</v>
      </c>
      <c r="BM39" s="459">
        <f t="shared" ca="1" si="40"/>
        <v>0</v>
      </c>
      <c r="BN39" s="459">
        <f t="shared" ca="1" si="40"/>
        <v>0</v>
      </c>
      <c r="BO39" s="459">
        <f t="shared" ca="1" si="40"/>
        <v>0</v>
      </c>
      <c r="BP39" s="459"/>
      <c r="BQ39" s="459"/>
      <c r="BR39" s="459"/>
      <c r="BS39" s="459"/>
      <c r="BT39" s="459"/>
      <c r="BU39" s="459"/>
      <c r="BV39" s="459"/>
      <c r="BW39" s="459"/>
      <c r="BX39" s="459"/>
      <c r="BY39" s="459"/>
      <c r="BZ39" s="459"/>
      <c r="CA39" s="459"/>
      <c r="CB39" s="459"/>
      <c r="CC39" s="459"/>
      <c r="CD39" s="459"/>
      <c r="CE39" s="459"/>
      <c r="CF39" s="459"/>
      <c r="CG39" s="459"/>
      <c r="CH39" s="459"/>
      <c r="CI39" s="459"/>
      <c r="CJ39" s="459"/>
      <c r="CK39" s="459"/>
      <c r="CL39" s="459"/>
      <c r="CM39" s="459"/>
      <c r="CN39" s="459"/>
      <c r="CO39" s="459"/>
      <c r="CP39" s="459"/>
      <c r="CQ39" s="459"/>
      <c r="CR39" s="459"/>
      <c r="CS39" s="459"/>
      <c r="CT39" s="459"/>
      <c r="CU39" s="459"/>
      <c r="CV39" s="459"/>
      <c r="CW39" s="459"/>
      <c r="CX39" s="459"/>
      <c r="CY39" s="459"/>
      <c r="CZ39" s="459"/>
      <c r="DA39" s="459"/>
      <c r="DB39" s="459"/>
      <c r="DC39" s="459"/>
      <c r="DD39" s="459"/>
      <c r="DE39" s="459"/>
      <c r="DF39" s="459"/>
      <c r="DG39" s="459"/>
      <c r="DH39" s="459"/>
      <c r="DI39" s="459"/>
      <c r="DJ39" s="459"/>
      <c r="DK39" s="459"/>
      <c r="DL39" s="459"/>
      <c r="DM39" s="459"/>
      <c r="DN39" s="459"/>
      <c r="DO39" s="459"/>
      <c r="DP39" s="459"/>
      <c r="DQ39" s="459"/>
      <c r="DR39" s="459"/>
      <c r="DS39" s="459"/>
      <c r="DT39" s="459"/>
      <c r="DU39" s="459"/>
      <c r="DV39" s="459"/>
      <c r="DW39" s="459"/>
    </row>
    <row r="40" spans="1:127">
      <c r="A40" s="1382"/>
      <c r="B40" s="1383"/>
      <c r="C40" s="1383"/>
      <c r="D40" s="1382"/>
      <c r="E40" s="1382"/>
      <c r="F40" s="576"/>
      <c r="G40" s="1388"/>
      <c r="H40" s="1388"/>
      <c r="I40" s="1388"/>
      <c r="J40" s="1388"/>
      <c r="K40" s="1388"/>
      <c r="L40" s="1388"/>
      <c r="M40" s="1388"/>
      <c r="N40" s="1388"/>
      <c r="O40" s="1388"/>
      <c r="P40" s="1388"/>
      <c r="Q40" s="1388"/>
      <c r="R40" s="1388"/>
      <c r="S40" s="1388"/>
      <c r="T40" s="1388"/>
      <c r="U40" s="1388"/>
      <c r="V40" s="1388"/>
      <c r="W40" s="1388"/>
      <c r="X40" s="1388"/>
      <c r="Y40" s="1388"/>
      <c r="Z40" s="1388"/>
      <c r="AA40" s="1388"/>
      <c r="AB40" s="1388"/>
      <c r="AC40" s="1388"/>
      <c r="AD40" s="1388"/>
      <c r="AE40" s="1388"/>
      <c r="AF40" s="1388"/>
      <c r="AG40" s="1388"/>
      <c r="AH40" s="1388"/>
      <c r="AI40" s="1388"/>
      <c r="AJ40" s="1388"/>
      <c r="AK40" s="1388"/>
      <c r="AL40" s="1388"/>
      <c r="AM40" s="1388"/>
      <c r="AN40" s="1388"/>
      <c r="AO40" s="1388"/>
      <c r="AP40" s="1388"/>
      <c r="AQ40" s="1388"/>
      <c r="AR40" s="1388"/>
      <c r="AS40" s="1388"/>
      <c r="AT40" s="1388"/>
      <c r="AU40" s="1388"/>
      <c r="AV40" s="1388"/>
      <c r="AW40" s="1388"/>
      <c r="AX40" s="1388"/>
      <c r="AY40" s="1388"/>
      <c r="AZ40" s="1388"/>
      <c r="BA40" s="1388"/>
      <c r="BB40" s="1388"/>
      <c r="BC40" s="1388"/>
      <c r="BD40" s="1388"/>
      <c r="BE40" s="1388"/>
      <c r="BF40" s="1388"/>
      <c r="BG40" s="1388"/>
      <c r="BH40" s="1388"/>
      <c r="BI40" s="1388"/>
      <c r="BJ40" s="1388"/>
      <c r="BK40" s="1388"/>
      <c r="BL40" s="1388"/>
      <c r="BM40" s="1388"/>
      <c r="BN40" s="1388"/>
      <c r="BO40" s="1388"/>
      <c r="BP40" s="1388"/>
      <c r="BQ40" s="1388"/>
      <c r="BR40" s="1388"/>
      <c r="BS40" s="1388"/>
      <c r="BT40" s="1388"/>
      <c r="BU40" s="1388"/>
      <c r="BV40" s="1388"/>
      <c r="BW40" s="1388"/>
      <c r="BX40" s="1388"/>
      <c r="BY40" s="1388"/>
      <c r="BZ40" s="1388"/>
      <c r="CA40" s="1388"/>
      <c r="CB40" s="1388"/>
      <c r="CC40" s="1388"/>
      <c r="CD40" s="1388"/>
      <c r="CE40" s="1388"/>
      <c r="CF40" s="1388"/>
      <c r="CG40" s="1388"/>
      <c r="CH40" s="1388"/>
      <c r="CI40" s="1388"/>
      <c r="CJ40" s="1388"/>
      <c r="CK40" s="1388"/>
      <c r="CL40" s="1388"/>
      <c r="CM40" s="1388"/>
      <c r="CN40" s="1388"/>
      <c r="CO40" s="1388"/>
      <c r="CP40" s="1388"/>
      <c r="CQ40" s="1388"/>
      <c r="CR40" s="1388"/>
      <c r="CS40" s="1388"/>
      <c r="CT40" s="1388"/>
      <c r="CU40" s="1388"/>
      <c r="CV40" s="1388"/>
      <c r="CW40" s="1388"/>
      <c r="CX40" s="1388"/>
      <c r="CY40" s="1388"/>
      <c r="CZ40" s="1388"/>
      <c r="DA40" s="1388"/>
      <c r="DB40" s="1388"/>
      <c r="DC40" s="1388"/>
      <c r="DD40" s="1388"/>
      <c r="DE40" s="1388"/>
      <c r="DF40" s="1388"/>
      <c r="DG40" s="1388"/>
      <c r="DH40" s="1388"/>
      <c r="DI40" s="1388"/>
      <c r="DJ40" s="1388"/>
      <c r="DK40" s="1388"/>
      <c r="DL40" s="1388"/>
      <c r="DM40" s="1388"/>
      <c r="DN40" s="1388"/>
      <c r="DO40" s="1388"/>
      <c r="DP40" s="1388"/>
      <c r="DQ40" s="1388"/>
      <c r="DR40" s="1388"/>
      <c r="DS40" s="1388"/>
      <c r="DT40" s="1388"/>
      <c r="DU40" s="1388"/>
      <c r="DV40" s="1388"/>
      <c r="DW40" s="1388"/>
    </row>
    <row r="41" spans="1:127">
      <c r="A41" s="1124" t="s">
        <v>1203</v>
      </c>
      <c r="B41" s="1379"/>
      <c r="C41" s="1379"/>
      <c r="D41" s="1124"/>
      <c r="E41" s="1124"/>
      <c r="F41" s="576"/>
      <c r="G41" s="459">
        <f ca="1">-G37+G35</f>
        <v>0</v>
      </c>
      <c r="H41" s="459">
        <f t="shared" ref="H41:BO41" ca="1" si="41">-H37+H35</f>
        <v>-219.15672358217944</v>
      </c>
      <c r="I41" s="459">
        <f t="shared" ca="1" si="41"/>
        <v>-187.58688479040222</v>
      </c>
      <c r="J41" s="459">
        <f t="shared" ca="1" si="41"/>
        <v>-132.50478225729819</v>
      </c>
      <c r="K41" s="459">
        <f t="shared" ca="1" si="41"/>
        <v>-38.795283499296261</v>
      </c>
      <c r="L41" s="459">
        <f t="shared" ca="1" si="41"/>
        <v>-3.6754830509863723</v>
      </c>
      <c r="M41" s="459">
        <f t="shared" ca="1" si="41"/>
        <v>92.715974006081183</v>
      </c>
      <c r="N41" s="459">
        <f t="shared" ca="1" si="41"/>
        <v>107.38140719333546</v>
      </c>
      <c r="O41" s="459">
        <f t="shared" ca="1" si="41"/>
        <v>205.98822058470728</v>
      </c>
      <c r="P41" s="459">
        <f t="shared" ca="1" si="41"/>
        <v>221.78367639596797</v>
      </c>
      <c r="Q41" s="459">
        <f t="shared" ca="1" si="41"/>
        <v>322.75982401608962</v>
      </c>
      <c r="R41" s="459">
        <f t="shared" ca="1" si="41"/>
        <v>338.27077175291197</v>
      </c>
      <c r="S41" s="459">
        <f t="shared" ca="1" si="41"/>
        <v>443.88491221844481</v>
      </c>
      <c r="T41" s="459">
        <f t="shared" ca="1" si="41"/>
        <v>468.38178032389919</v>
      </c>
      <c r="U41" s="459">
        <f t="shared" ca="1" si="41"/>
        <v>574.52581913931328</v>
      </c>
      <c r="V41" s="459">
        <f t="shared" ca="1" si="41"/>
        <v>603.09475074412546</v>
      </c>
      <c r="W41" s="459">
        <f t="shared" ca="1" si="41"/>
        <v>712.01892889648718</v>
      </c>
      <c r="X41" s="459">
        <f t="shared" ca="1" si="41"/>
        <v>746.27722616841345</v>
      </c>
      <c r="Y41" s="459">
        <f t="shared" ca="1" si="41"/>
        <v>858.10368334713689</v>
      </c>
      <c r="Z41" s="459">
        <f t="shared" ca="1" si="41"/>
        <v>894.34601584339464</v>
      </c>
      <c r="AA41" s="459">
        <f t="shared" ca="1" si="41"/>
        <v>1014.4437527112384</v>
      </c>
      <c r="AB41" s="459">
        <f t="shared" ca="1" si="41"/>
        <v>864.08829257764614</v>
      </c>
      <c r="AC41" s="459">
        <f t="shared" ca="1" si="41"/>
        <v>980.26121462362357</v>
      </c>
      <c r="AD41" s="459">
        <f t="shared" ca="1" si="41"/>
        <v>1026.0812977812957</v>
      </c>
      <c r="AE41" s="459">
        <f t="shared" ca="1" si="41"/>
        <v>1145.3471606649093</v>
      </c>
      <c r="AF41" s="459">
        <f t="shared" ca="1" si="41"/>
        <v>1396.6104822317266</v>
      </c>
      <c r="AG41" s="459">
        <f t="shared" ca="1" si="41"/>
        <v>1454.4568772998853</v>
      </c>
      <c r="AH41" s="459">
        <f t="shared" ca="1" si="41"/>
        <v>1487.8009803572347</v>
      </c>
      <c r="AI41" s="459">
        <f t="shared" ca="1" si="41"/>
        <v>1528.3772551097657</v>
      </c>
      <c r="AJ41" s="459">
        <f t="shared" ca="1" si="41"/>
        <v>1577.4670412354681</v>
      </c>
      <c r="AK41" s="459">
        <f t="shared" ca="1" si="41"/>
        <v>1454.6514976833696</v>
      </c>
      <c r="AL41" s="459">
        <f t="shared" ca="1" si="41"/>
        <v>1449.6197906584607</v>
      </c>
      <c r="AM41" s="459">
        <f t="shared" ca="1" si="41"/>
        <v>1510.3949226278764</v>
      </c>
      <c r="AN41" s="459">
        <f t="shared" ca="1" si="41"/>
        <v>1505.7329440627941</v>
      </c>
      <c r="AO41" s="459">
        <f t="shared" ca="1" si="41"/>
        <v>1565.6133947297631</v>
      </c>
      <c r="AP41" s="459">
        <f t="shared" ca="1" si="41"/>
        <v>1557.0421589087355</v>
      </c>
      <c r="AQ41" s="459">
        <f t="shared" ca="1" si="41"/>
        <v>1623.951292035727</v>
      </c>
      <c r="AR41" s="459">
        <f t="shared" ca="1" si="41"/>
        <v>1615.4805370194226</v>
      </c>
      <c r="AS41" s="459">
        <f t="shared" ca="1" si="41"/>
        <v>1673.5913780550563</v>
      </c>
      <c r="AT41" s="459">
        <f t="shared" ca="1" si="41"/>
        <v>1669.9482988774262</v>
      </c>
      <c r="AU41" s="459">
        <f t="shared" ca="1" si="41"/>
        <v>1727.1868487828265</v>
      </c>
      <c r="AV41" s="459">
        <f t="shared" ca="1" si="41"/>
        <v>3143.7134037943556</v>
      </c>
      <c r="AW41" s="459">
        <f t="shared" ca="1" si="41"/>
        <v>3201.0175166894833</v>
      </c>
      <c r="AX41" s="459">
        <f t="shared" ca="1" si="41"/>
        <v>3212.641439658667</v>
      </c>
      <c r="AY41" s="459">
        <f t="shared" ca="1" si="41"/>
        <v>3262.4918264826756</v>
      </c>
      <c r="AZ41" s="459">
        <f t="shared" ca="1" si="41"/>
        <v>3274.1680082495322</v>
      </c>
      <c r="BA41" s="459">
        <f t="shared" ca="1" si="41"/>
        <v>3304.4159319164969</v>
      </c>
      <c r="BB41" s="459">
        <f t="shared" ca="1" si="41"/>
        <v>3325.3898767289238</v>
      </c>
      <c r="BC41" s="459">
        <f t="shared" ca="1" si="41"/>
        <v>3380.5483993913758</v>
      </c>
      <c r="BD41" s="459">
        <f t="shared" ca="1" si="41"/>
        <v>3402.0908817008876</v>
      </c>
      <c r="BE41" s="459">
        <f t="shared" ca="1" si="41"/>
        <v>3430.2837583483301</v>
      </c>
      <c r="BF41" s="459">
        <f t="shared" ca="1" si="41"/>
        <v>3442.6250710426143</v>
      </c>
      <c r="BG41" s="459">
        <f t="shared" ca="1" si="41"/>
        <v>3474.3260288550046</v>
      </c>
      <c r="BH41" s="459">
        <f t="shared" ca="1" si="41"/>
        <v>3486.5071580853587</v>
      </c>
      <c r="BI41" s="459">
        <f t="shared" ca="1" si="41"/>
        <v>3496.0444667100755</v>
      </c>
      <c r="BJ41" s="459">
        <f t="shared" ca="1" si="41"/>
        <v>3517.833692193351</v>
      </c>
      <c r="BK41" s="459">
        <f t="shared" ca="1" si="41"/>
        <v>3502.257387330063</v>
      </c>
      <c r="BL41" s="459">
        <f t="shared" ca="1" si="41"/>
        <v>3523.7089432490652</v>
      </c>
      <c r="BM41" s="459">
        <f t="shared" ca="1" si="41"/>
        <v>3529.650050720943</v>
      </c>
      <c r="BN41" s="459">
        <f t="shared" ca="1" si="41"/>
        <v>3541.3183097872079</v>
      </c>
      <c r="BO41" s="459">
        <f t="shared" ca="1" si="41"/>
        <v>3565.8462279014893</v>
      </c>
      <c r="BP41" s="459"/>
      <c r="BQ41" s="459"/>
      <c r="BR41" s="459"/>
      <c r="BS41" s="459"/>
      <c r="BT41" s="459"/>
      <c r="BU41" s="459"/>
      <c r="BV41" s="459"/>
      <c r="BW41" s="459"/>
      <c r="BX41" s="459"/>
      <c r="BY41" s="459"/>
      <c r="BZ41" s="459"/>
      <c r="CA41" s="459"/>
      <c r="CB41" s="459"/>
      <c r="CC41" s="459"/>
      <c r="CD41" s="459"/>
      <c r="CE41" s="459"/>
      <c r="CF41" s="459"/>
      <c r="CG41" s="459"/>
      <c r="CH41" s="459"/>
      <c r="CI41" s="459"/>
      <c r="CJ41" s="459"/>
      <c r="CK41" s="459"/>
      <c r="CL41" s="459"/>
      <c r="CM41" s="459"/>
      <c r="CN41" s="459"/>
      <c r="CO41" s="459"/>
      <c r="CP41" s="459"/>
      <c r="CQ41" s="459"/>
      <c r="CR41" s="459"/>
      <c r="CS41" s="459"/>
      <c r="CT41" s="459"/>
      <c r="CU41" s="459"/>
      <c r="CV41" s="459"/>
      <c r="CW41" s="459"/>
      <c r="CX41" s="459"/>
      <c r="CY41" s="459"/>
      <c r="CZ41" s="459"/>
      <c r="DA41" s="459"/>
      <c r="DB41" s="459"/>
      <c r="DC41" s="459"/>
      <c r="DD41" s="459"/>
      <c r="DE41" s="459"/>
      <c r="DF41" s="459"/>
      <c r="DG41" s="459"/>
      <c r="DH41" s="459"/>
      <c r="DI41" s="459"/>
      <c r="DJ41" s="459"/>
      <c r="DK41" s="459"/>
      <c r="DL41" s="459"/>
      <c r="DM41" s="459"/>
      <c r="DN41" s="459"/>
      <c r="DO41" s="459"/>
      <c r="DP41" s="459"/>
      <c r="DQ41" s="459"/>
      <c r="DR41" s="459"/>
      <c r="DS41" s="459"/>
      <c r="DT41" s="459"/>
      <c r="DU41" s="459"/>
      <c r="DV41" s="459"/>
      <c r="DW41" s="459"/>
    </row>
    <row r="42" spans="1:127">
      <c r="A42" s="1124"/>
      <c r="B42" s="1391"/>
      <c r="C42" s="1379"/>
      <c r="D42" s="1124"/>
      <c r="E42" s="1124"/>
      <c r="F42" s="576"/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459"/>
      <c r="AJ42" s="459"/>
      <c r="AK42" s="459"/>
      <c r="AL42" s="459"/>
      <c r="AM42" s="459"/>
      <c r="AN42" s="459"/>
      <c r="AO42" s="459"/>
      <c r="AP42" s="459"/>
      <c r="AQ42" s="459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  <c r="BK42" s="459"/>
      <c r="BL42" s="459"/>
      <c r="BM42" s="459"/>
      <c r="BN42" s="459"/>
      <c r="BO42" s="459"/>
      <c r="BP42" s="459"/>
      <c r="BQ42" s="459"/>
      <c r="BR42" s="459"/>
      <c r="BS42" s="459"/>
      <c r="BT42" s="459"/>
      <c r="BU42" s="459"/>
      <c r="BV42" s="459"/>
      <c r="BW42" s="459"/>
      <c r="BX42" s="459"/>
      <c r="BY42" s="459"/>
      <c r="BZ42" s="459"/>
      <c r="CA42" s="459"/>
      <c r="CB42" s="459"/>
      <c r="CC42" s="459"/>
      <c r="CD42" s="459"/>
      <c r="CE42" s="459"/>
      <c r="CF42" s="459"/>
      <c r="CG42" s="459"/>
      <c r="CH42" s="459"/>
      <c r="CI42" s="459"/>
      <c r="CJ42" s="459"/>
      <c r="CK42" s="459"/>
      <c r="CL42" s="459"/>
      <c r="CM42" s="459"/>
      <c r="CN42" s="459"/>
      <c r="CO42" s="459"/>
      <c r="CP42" s="459"/>
      <c r="CQ42" s="459"/>
      <c r="CR42" s="459"/>
      <c r="CS42" s="459"/>
      <c r="CT42" s="459"/>
      <c r="CU42" s="459"/>
      <c r="CV42" s="459"/>
      <c r="CW42" s="459"/>
      <c r="CX42" s="459"/>
      <c r="CY42" s="459"/>
      <c r="CZ42" s="459"/>
      <c r="DA42" s="459"/>
      <c r="DB42" s="459"/>
      <c r="DC42" s="459"/>
      <c r="DD42" s="459"/>
      <c r="DE42" s="459"/>
      <c r="DF42" s="459"/>
      <c r="DG42" s="459"/>
      <c r="DH42" s="459"/>
      <c r="DI42" s="459"/>
      <c r="DJ42" s="459"/>
      <c r="DK42" s="459"/>
      <c r="DL42" s="459"/>
      <c r="DM42" s="459"/>
      <c r="DN42" s="459"/>
      <c r="DO42" s="459"/>
      <c r="DP42" s="459"/>
      <c r="DQ42" s="459"/>
      <c r="DR42" s="459"/>
      <c r="DS42" s="459"/>
      <c r="DT42" s="459"/>
      <c r="DU42" s="459"/>
      <c r="DV42" s="459"/>
      <c r="DW42" s="459"/>
    </row>
    <row r="43" spans="1:127">
      <c r="A43" s="1124" t="s">
        <v>450</v>
      </c>
      <c r="B43" s="1392">
        <f>Inputs!$D$403</f>
        <v>0.1</v>
      </c>
      <c r="C43" s="1385"/>
      <c r="D43" s="1124"/>
      <c r="E43" s="1124"/>
      <c r="F43" s="576"/>
      <c r="G43" s="459">
        <f ca="1">MAX(SUM(F41:G41),0)*$B43*(G4&gt;0)*(MOD(G4,2)=0)</f>
        <v>0</v>
      </c>
      <c r="H43" s="459">
        <f t="shared" ref="H43:BO43" ca="1" si="42">MAX(SUM(G41:H41),0)*$B43*(H4&gt;0)*(MOD(H4,2)=0)</f>
        <v>0</v>
      </c>
      <c r="I43" s="459">
        <f t="shared" ca="1" si="42"/>
        <v>0</v>
      </c>
      <c r="J43" s="459">
        <f t="shared" ca="1" si="42"/>
        <v>0</v>
      </c>
      <c r="K43" s="459">
        <f t="shared" ca="1" si="42"/>
        <v>0</v>
      </c>
      <c r="L43" s="459">
        <f t="shared" ca="1" si="42"/>
        <v>0</v>
      </c>
      <c r="M43" s="459">
        <f t="shared" ca="1" si="42"/>
        <v>8.9040490955094818</v>
      </c>
      <c r="N43" s="459">
        <f t="shared" ca="1" si="42"/>
        <v>0</v>
      </c>
      <c r="O43" s="459">
        <f t="shared" ca="1" si="42"/>
        <v>31.336962777804274</v>
      </c>
      <c r="P43" s="459">
        <f t="shared" ca="1" si="42"/>
        <v>0</v>
      </c>
      <c r="Q43" s="459">
        <f t="shared" ca="1" si="42"/>
        <v>54.454350041205764</v>
      </c>
      <c r="R43" s="459">
        <f t="shared" ca="1" si="42"/>
        <v>0</v>
      </c>
      <c r="S43" s="459">
        <f t="shared" ca="1" si="42"/>
        <v>78.215568397135684</v>
      </c>
      <c r="T43" s="459">
        <f t="shared" ca="1" si="42"/>
        <v>0</v>
      </c>
      <c r="U43" s="459">
        <f t="shared" ca="1" si="42"/>
        <v>104.29075994632126</v>
      </c>
      <c r="V43" s="459">
        <f t="shared" ca="1" si="42"/>
        <v>0</v>
      </c>
      <c r="W43" s="459">
        <f t="shared" ca="1" si="42"/>
        <v>131.51136796406126</v>
      </c>
      <c r="X43" s="459">
        <f t="shared" ca="1" si="42"/>
        <v>0</v>
      </c>
      <c r="Y43" s="459">
        <f t="shared" ca="1" si="42"/>
        <v>160.43809095155504</v>
      </c>
      <c r="Z43" s="459">
        <f t="shared" ca="1" si="42"/>
        <v>0</v>
      </c>
      <c r="AA43" s="459">
        <f t="shared" ca="1" si="42"/>
        <v>190.87897685546332</v>
      </c>
      <c r="AB43" s="459">
        <f t="shared" ca="1" si="42"/>
        <v>0</v>
      </c>
      <c r="AC43" s="459">
        <f t="shared" ca="1" si="42"/>
        <v>184.43495072012698</v>
      </c>
      <c r="AD43" s="459">
        <f t="shared" ca="1" si="42"/>
        <v>0</v>
      </c>
      <c r="AE43" s="459">
        <f t="shared" ca="1" si="42"/>
        <v>217.1428458446205</v>
      </c>
      <c r="AF43" s="459">
        <f t="shared" ca="1" si="42"/>
        <v>0</v>
      </c>
      <c r="AG43" s="459">
        <f t="shared" ca="1" si="42"/>
        <v>285.10673595316121</v>
      </c>
      <c r="AH43" s="459">
        <f t="shared" ca="1" si="42"/>
        <v>0</v>
      </c>
      <c r="AI43" s="459">
        <f t="shared" ca="1" si="42"/>
        <v>301.61782354670004</v>
      </c>
      <c r="AJ43" s="459">
        <f t="shared" ca="1" si="42"/>
        <v>0</v>
      </c>
      <c r="AK43" s="459">
        <f t="shared" ca="1" si="42"/>
        <v>303.21185389188378</v>
      </c>
      <c r="AL43" s="459">
        <f t="shared" ca="1" si="42"/>
        <v>0</v>
      </c>
      <c r="AM43" s="459">
        <f t="shared" ca="1" si="42"/>
        <v>296.00147132863373</v>
      </c>
      <c r="AN43" s="459">
        <f t="shared" ca="1" si="42"/>
        <v>0</v>
      </c>
      <c r="AO43" s="459">
        <f t="shared" ca="1" si="42"/>
        <v>307.13463387925572</v>
      </c>
      <c r="AP43" s="459">
        <f t="shared" ca="1" si="42"/>
        <v>0</v>
      </c>
      <c r="AQ43" s="459">
        <f t="shared" ca="1" si="42"/>
        <v>318.09934509444628</v>
      </c>
      <c r="AR43" s="459">
        <f t="shared" ca="1" si="42"/>
        <v>0</v>
      </c>
      <c r="AS43" s="459">
        <f t="shared" ca="1" si="42"/>
        <v>328.90719150744792</v>
      </c>
      <c r="AT43" s="459">
        <f t="shared" ca="1" si="42"/>
        <v>0</v>
      </c>
      <c r="AU43" s="459">
        <f t="shared" ca="1" si="42"/>
        <v>339.7135147660253</v>
      </c>
      <c r="AV43" s="459">
        <f t="shared" ca="1" si="42"/>
        <v>0</v>
      </c>
      <c r="AW43" s="459">
        <f t="shared" ca="1" si="42"/>
        <v>634.47309204838393</v>
      </c>
      <c r="AX43" s="459">
        <f t="shared" ca="1" si="42"/>
        <v>0</v>
      </c>
      <c r="AY43" s="459">
        <f t="shared" ca="1" si="42"/>
        <v>647.51332661413426</v>
      </c>
      <c r="AZ43" s="459">
        <f t="shared" ca="1" si="42"/>
        <v>0</v>
      </c>
      <c r="BA43" s="459">
        <f t="shared" ca="1" si="42"/>
        <v>657.85839401660292</v>
      </c>
      <c r="BB43" s="459">
        <f t="shared" ca="1" si="42"/>
        <v>0</v>
      </c>
      <c r="BC43" s="459">
        <f t="shared" ca="1" si="42"/>
        <v>670.59382761203005</v>
      </c>
      <c r="BD43" s="459">
        <f t="shared" ca="1" si="42"/>
        <v>0</v>
      </c>
      <c r="BE43" s="459">
        <f t="shared" ca="1" si="42"/>
        <v>683.23746400492189</v>
      </c>
      <c r="BF43" s="459">
        <f t="shared" ca="1" si="42"/>
        <v>0</v>
      </c>
      <c r="BG43" s="459">
        <f t="shared" ca="1" si="42"/>
        <v>691.69510998976193</v>
      </c>
      <c r="BH43" s="459">
        <f t="shared" ca="1" si="42"/>
        <v>0</v>
      </c>
      <c r="BI43" s="459">
        <f t="shared" ca="1" si="42"/>
        <v>698.25516247954351</v>
      </c>
      <c r="BJ43" s="459">
        <f t="shared" ca="1" si="42"/>
        <v>0</v>
      </c>
      <c r="BK43" s="459">
        <f t="shared" ca="1" si="42"/>
        <v>702.00910795234142</v>
      </c>
      <c r="BL43" s="459">
        <f t="shared" ca="1" si="42"/>
        <v>0</v>
      </c>
      <c r="BM43" s="459">
        <f t="shared" ca="1" si="42"/>
        <v>705.33589939700096</v>
      </c>
      <c r="BN43" s="459">
        <f t="shared" ca="1" si="42"/>
        <v>0</v>
      </c>
      <c r="BO43" s="459">
        <f t="shared" ca="1" si="42"/>
        <v>710.71645376886977</v>
      </c>
      <c r="BP43" s="459"/>
      <c r="BQ43" s="459"/>
      <c r="BR43" s="459"/>
      <c r="BS43" s="459"/>
      <c r="BT43" s="459"/>
      <c r="BU43" s="459"/>
      <c r="BV43" s="459"/>
      <c r="BW43" s="459"/>
      <c r="BX43" s="459"/>
      <c r="BY43" s="459"/>
      <c r="BZ43" s="459"/>
      <c r="CA43" s="459"/>
      <c r="CB43" s="459"/>
      <c r="CC43" s="459"/>
      <c r="CD43" s="459"/>
      <c r="CE43" s="459"/>
      <c r="CF43" s="459"/>
      <c r="CG43" s="459"/>
      <c r="CH43" s="459"/>
      <c r="CI43" s="459"/>
      <c r="CJ43" s="459"/>
      <c r="CK43" s="459"/>
      <c r="CL43" s="459"/>
      <c r="CM43" s="459"/>
      <c r="CN43" s="459"/>
      <c r="CO43" s="459"/>
      <c r="CP43" s="459"/>
      <c r="CQ43" s="459"/>
      <c r="CR43" s="459"/>
      <c r="CS43" s="459"/>
      <c r="CT43" s="459"/>
      <c r="CU43" s="459"/>
      <c r="CV43" s="459"/>
      <c r="CW43" s="459"/>
      <c r="CX43" s="459"/>
      <c r="CY43" s="459"/>
      <c r="CZ43" s="459"/>
      <c r="DA43" s="459"/>
      <c r="DB43" s="459"/>
      <c r="DC43" s="459"/>
      <c r="DD43" s="459"/>
      <c r="DE43" s="459"/>
      <c r="DF43" s="459"/>
      <c r="DG43" s="459"/>
      <c r="DH43" s="459"/>
      <c r="DI43" s="459"/>
      <c r="DJ43" s="459"/>
      <c r="DK43" s="459"/>
      <c r="DL43" s="459"/>
      <c r="DM43" s="459"/>
      <c r="DN43" s="459"/>
      <c r="DO43" s="459"/>
      <c r="DP43" s="459"/>
      <c r="DQ43" s="459"/>
      <c r="DR43" s="459"/>
      <c r="DS43" s="459"/>
      <c r="DT43" s="459"/>
      <c r="DU43" s="459"/>
      <c r="DV43" s="459"/>
      <c r="DW43" s="459"/>
    </row>
    <row r="44" spans="1:127">
      <c r="A44" s="654" t="str">
        <f>Inputs!A401</f>
        <v>Corporate Income Tax</v>
      </c>
      <c r="B44" s="840"/>
      <c r="C44" s="840"/>
      <c r="D44" s="304"/>
      <c r="E44" s="304"/>
      <c r="F44" s="304"/>
      <c r="G44" s="810">
        <f>Macro!G40</f>
        <v>0</v>
      </c>
      <c r="H44" s="810">
        <f>Macro!H40</f>
        <v>0</v>
      </c>
      <c r="I44" s="810">
        <f>Macro!I40</f>
        <v>0</v>
      </c>
      <c r="J44" s="810">
        <f>Macro!J40</f>
        <v>0</v>
      </c>
      <c r="K44" s="810">
        <f>Macro!K40</f>
        <v>0</v>
      </c>
      <c r="L44" s="810">
        <f>Macro!L40</f>
        <v>0</v>
      </c>
      <c r="M44" s="810">
        <f>Macro!M40</f>
        <v>8.9040490955094818</v>
      </c>
      <c r="N44" s="810">
        <f>Macro!N40</f>
        <v>0</v>
      </c>
      <c r="O44" s="810">
        <f>Macro!O40</f>
        <v>31.336962777804274</v>
      </c>
      <c r="P44" s="810">
        <f>Macro!P40</f>
        <v>0</v>
      </c>
      <c r="Q44" s="810">
        <f>Macro!Q40</f>
        <v>54.454350041205764</v>
      </c>
      <c r="R44" s="810">
        <f>Macro!R40</f>
        <v>0</v>
      </c>
      <c r="S44" s="810">
        <f>Macro!S40</f>
        <v>78.215568397135684</v>
      </c>
      <c r="T44" s="810">
        <f>Macro!T40</f>
        <v>0</v>
      </c>
      <c r="U44" s="810">
        <f>Macro!U40</f>
        <v>104.29075994632126</v>
      </c>
      <c r="V44" s="810">
        <f>Macro!V40</f>
        <v>0</v>
      </c>
      <c r="W44" s="810">
        <f>Macro!W40</f>
        <v>131.51136796406126</v>
      </c>
      <c r="X44" s="810">
        <f>Macro!X40</f>
        <v>0</v>
      </c>
      <c r="Y44" s="810">
        <f>Macro!Y40</f>
        <v>160.43809095155504</v>
      </c>
      <c r="Z44" s="810">
        <f>Macro!Z40</f>
        <v>0</v>
      </c>
      <c r="AA44" s="810">
        <f>Macro!AA40</f>
        <v>190.87897685546332</v>
      </c>
      <c r="AB44" s="810">
        <f>Macro!AB40</f>
        <v>0</v>
      </c>
      <c r="AC44" s="810">
        <f>Macro!AC40</f>
        <v>184.43495072012698</v>
      </c>
      <c r="AD44" s="810">
        <f>Macro!AD40</f>
        <v>0</v>
      </c>
      <c r="AE44" s="810">
        <f>Macro!AE40</f>
        <v>217.1428458446205</v>
      </c>
      <c r="AF44" s="810">
        <f>Macro!AF40</f>
        <v>0</v>
      </c>
      <c r="AG44" s="810">
        <f>Macro!AG40</f>
        <v>285.10673595316121</v>
      </c>
      <c r="AH44" s="810">
        <f>Macro!AH40</f>
        <v>0</v>
      </c>
      <c r="AI44" s="810">
        <f>Macro!AI40</f>
        <v>301.61782354670004</v>
      </c>
      <c r="AJ44" s="810">
        <f>Macro!AJ40</f>
        <v>0</v>
      </c>
      <c r="AK44" s="810">
        <f>Macro!AK40</f>
        <v>303.21185389188378</v>
      </c>
      <c r="AL44" s="810">
        <f>Macro!AL40</f>
        <v>0</v>
      </c>
      <c r="AM44" s="810">
        <f>Macro!AM40</f>
        <v>296.00147132863373</v>
      </c>
      <c r="AN44" s="810">
        <f>Macro!AN40</f>
        <v>0</v>
      </c>
      <c r="AO44" s="810">
        <f>Macro!AO40</f>
        <v>307.13463387925572</v>
      </c>
      <c r="AP44" s="810">
        <f>Macro!AP40</f>
        <v>0</v>
      </c>
      <c r="AQ44" s="810">
        <f>Macro!AQ40</f>
        <v>318.09934509444628</v>
      </c>
      <c r="AR44" s="810">
        <f>Macro!AR40</f>
        <v>0</v>
      </c>
      <c r="AS44" s="810">
        <f>Macro!AS40</f>
        <v>328.90719150744792</v>
      </c>
      <c r="AT44" s="810">
        <f>Macro!AT40</f>
        <v>0</v>
      </c>
      <c r="AU44" s="810">
        <f>Macro!AU40</f>
        <v>339.7135147660253</v>
      </c>
      <c r="AV44" s="810">
        <f>Macro!AV40</f>
        <v>0</v>
      </c>
      <c r="AW44" s="810">
        <f>Macro!AW40</f>
        <v>634.47309204838393</v>
      </c>
      <c r="AX44" s="810">
        <f>Macro!AX40</f>
        <v>0</v>
      </c>
      <c r="AY44" s="810">
        <f>Macro!AY40</f>
        <v>647.51332661413426</v>
      </c>
      <c r="AZ44" s="810">
        <f>Macro!AZ40</f>
        <v>0</v>
      </c>
      <c r="BA44" s="810">
        <f>Macro!BA40</f>
        <v>657.85839401660292</v>
      </c>
      <c r="BB44" s="810">
        <f>Macro!BB40</f>
        <v>0</v>
      </c>
      <c r="BC44" s="810">
        <f>Macro!BC40</f>
        <v>670.59382761203005</v>
      </c>
      <c r="BD44" s="810">
        <f>Macro!BD40</f>
        <v>0</v>
      </c>
      <c r="BE44" s="810">
        <f>Macro!BE40</f>
        <v>683.23746400492189</v>
      </c>
      <c r="BF44" s="810">
        <f>Macro!BF40</f>
        <v>0</v>
      </c>
      <c r="BG44" s="810">
        <f>Macro!BG40</f>
        <v>691.69510998976193</v>
      </c>
      <c r="BH44" s="810">
        <f>Macro!BH40</f>
        <v>0</v>
      </c>
      <c r="BI44" s="810">
        <f>Macro!BI40</f>
        <v>698.25516247954351</v>
      </c>
      <c r="BJ44" s="810">
        <f>Macro!BJ40</f>
        <v>0</v>
      </c>
      <c r="BK44" s="810">
        <f>Macro!BK40</f>
        <v>702.00910795234142</v>
      </c>
      <c r="BL44" s="810">
        <f>Macro!BL40</f>
        <v>0</v>
      </c>
      <c r="BM44" s="810">
        <f>Macro!BM40</f>
        <v>705.33589939700096</v>
      </c>
      <c r="BN44" s="810">
        <f>Macro!BN40</f>
        <v>0</v>
      </c>
      <c r="BO44" s="810">
        <f>Macro!BO40</f>
        <v>710.71645376886977</v>
      </c>
      <c r="BP44" s="810"/>
      <c r="BQ44" s="810"/>
      <c r="BR44" s="810"/>
      <c r="BS44" s="810"/>
      <c r="BT44" s="810"/>
      <c r="BU44" s="810"/>
      <c r="BV44" s="810"/>
      <c r="BW44" s="810"/>
      <c r="BX44" s="810"/>
      <c r="BY44" s="810"/>
      <c r="BZ44" s="810"/>
      <c r="CA44" s="810"/>
      <c r="CB44" s="810"/>
      <c r="CC44" s="810"/>
      <c r="CD44" s="810"/>
      <c r="CE44" s="810"/>
      <c r="CF44" s="810"/>
      <c r="CG44" s="810"/>
      <c r="CH44" s="810"/>
      <c r="CI44" s="810"/>
      <c r="CJ44" s="810"/>
      <c r="CK44" s="810"/>
      <c r="CL44" s="810"/>
      <c r="CM44" s="810"/>
      <c r="CN44" s="810"/>
      <c r="CO44" s="810"/>
      <c r="CP44" s="810"/>
      <c r="CQ44" s="810"/>
      <c r="CR44" s="810"/>
      <c r="CS44" s="810"/>
      <c r="CT44" s="810"/>
      <c r="CU44" s="810"/>
      <c r="CV44" s="810"/>
      <c r="CW44" s="810"/>
      <c r="CX44" s="810"/>
      <c r="CY44" s="810"/>
      <c r="CZ44" s="810"/>
      <c r="DA44" s="810"/>
      <c r="DB44" s="810"/>
      <c r="DC44" s="810"/>
      <c r="DD44" s="810"/>
      <c r="DE44" s="810"/>
      <c r="DF44" s="810"/>
      <c r="DG44" s="810"/>
      <c r="DH44" s="810"/>
      <c r="DI44" s="810"/>
      <c r="DJ44" s="810"/>
      <c r="DK44" s="810"/>
      <c r="DL44" s="810"/>
      <c r="DM44" s="810"/>
      <c r="DN44" s="810"/>
      <c r="DO44" s="810"/>
      <c r="DP44" s="810"/>
      <c r="DQ44" s="810"/>
      <c r="DR44" s="810"/>
      <c r="DS44" s="810"/>
      <c r="DT44" s="810"/>
      <c r="DU44" s="810"/>
      <c r="DV44" s="810"/>
      <c r="DW44" s="810"/>
    </row>
    <row r="45" spans="1:127">
      <c r="A45" s="1382"/>
      <c r="B45" s="1383"/>
      <c r="C45" s="1383"/>
      <c r="D45" s="1382"/>
      <c r="E45" s="1382"/>
      <c r="F45" s="576"/>
      <c r="G45" s="473"/>
      <c r="H45" s="473"/>
      <c r="I45" s="473"/>
      <c r="J45" s="473"/>
      <c r="K45" s="473"/>
      <c r="L45" s="473"/>
      <c r="M45" s="473"/>
      <c r="N45" s="473"/>
      <c r="O45" s="473"/>
      <c r="P45" s="473"/>
      <c r="Q45" s="473"/>
      <c r="R45" s="473"/>
      <c r="S45" s="473"/>
      <c r="T45" s="473"/>
      <c r="U45" s="473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3"/>
      <c r="AH45" s="473"/>
      <c r="AI45" s="473"/>
      <c r="AJ45" s="473"/>
      <c r="AK45" s="473"/>
      <c r="AL45" s="473"/>
      <c r="AM45" s="473"/>
      <c r="AN45" s="473"/>
      <c r="AO45" s="473"/>
      <c r="AP45" s="473"/>
      <c r="AQ45" s="473"/>
      <c r="AR45" s="473"/>
      <c r="AS45" s="473"/>
      <c r="AT45" s="473"/>
      <c r="AU45" s="473"/>
      <c r="AV45" s="473"/>
      <c r="AW45" s="473"/>
      <c r="AX45" s="473"/>
      <c r="AY45" s="473"/>
      <c r="AZ45" s="473"/>
      <c r="BA45" s="473"/>
      <c r="BB45" s="473"/>
      <c r="BC45" s="473"/>
      <c r="BD45" s="473"/>
      <c r="BE45" s="473"/>
      <c r="BF45" s="473"/>
      <c r="BG45" s="473"/>
      <c r="BH45" s="473"/>
      <c r="BI45" s="473"/>
      <c r="BJ45" s="473"/>
      <c r="BK45" s="473"/>
      <c r="BL45" s="473"/>
      <c r="BM45" s="473"/>
      <c r="BN45" s="473"/>
      <c r="BO45" s="473"/>
      <c r="BP45" s="473"/>
      <c r="BQ45" s="473"/>
      <c r="BR45" s="473"/>
      <c r="BS45" s="473"/>
      <c r="BT45" s="473"/>
      <c r="BU45" s="473"/>
      <c r="BV45" s="473"/>
      <c r="BW45" s="473"/>
      <c r="BX45" s="473"/>
      <c r="BY45" s="473"/>
      <c r="BZ45" s="473"/>
      <c r="CA45" s="473"/>
      <c r="CB45" s="473"/>
      <c r="CC45" s="473"/>
      <c r="CD45" s="473"/>
      <c r="CE45" s="473"/>
      <c r="CF45" s="473"/>
      <c r="CG45" s="473"/>
      <c r="CH45" s="473"/>
      <c r="CI45" s="473"/>
      <c r="CJ45" s="473"/>
      <c r="CK45" s="473"/>
      <c r="CL45" s="473"/>
      <c r="CM45" s="473"/>
      <c r="CN45" s="473"/>
      <c r="CO45" s="473"/>
      <c r="CP45" s="473"/>
      <c r="CQ45" s="473"/>
      <c r="CR45" s="473"/>
      <c r="CS45" s="473"/>
      <c r="CT45" s="473"/>
      <c r="CU45" s="473"/>
      <c r="CV45" s="473"/>
      <c r="CW45" s="473"/>
      <c r="CX45" s="473"/>
      <c r="CY45" s="473"/>
      <c r="CZ45" s="473"/>
      <c r="DA45" s="473"/>
      <c r="DB45" s="473"/>
      <c r="DC45" s="473"/>
      <c r="DD45" s="473"/>
      <c r="DE45" s="473"/>
      <c r="DF45" s="473"/>
      <c r="DG45" s="473"/>
      <c r="DH45" s="473"/>
      <c r="DI45" s="473"/>
      <c r="DJ45" s="473"/>
      <c r="DK45" s="473"/>
      <c r="DL45" s="473"/>
      <c r="DM45" s="473"/>
      <c r="DN45" s="473"/>
      <c r="DO45" s="473"/>
      <c r="DP45" s="473"/>
      <c r="DQ45" s="473"/>
      <c r="DR45" s="473"/>
      <c r="DS45" s="473"/>
      <c r="DT45" s="473"/>
      <c r="DU45" s="473"/>
      <c r="DV45" s="473"/>
      <c r="DW45" s="473"/>
    </row>
    <row r="46" spans="1:127">
      <c r="A46" s="861" t="s">
        <v>1204</v>
      </c>
      <c r="B46" s="862"/>
      <c r="C46" s="862"/>
      <c r="D46" s="864"/>
      <c r="E46" s="864"/>
      <c r="F46" s="863"/>
      <c r="G46" s="534">
        <f t="shared" ref="G46:AL46" ca="1" si="43">G32-G44</f>
        <v>-1169.6619115852516</v>
      </c>
      <c r="H46" s="534">
        <f t="shared" ca="1" si="43"/>
        <v>-855.96553199374398</v>
      </c>
      <c r="I46" s="534">
        <f t="shared" ca="1" si="43"/>
        <v>-825.95155396783957</v>
      </c>
      <c r="J46" s="534">
        <f t="shared" ca="1" si="43"/>
        <v>-793.87016393409021</v>
      </c>
      <c r="K46" s="534">
        <f t="shared" ca="1" si="43"/>
        <v>-705.94772833340357</v>
      </c>
      <c r="L46" s="534">
        <f t="shared" ca="1" si="43"/>
        <v>-691.33108790663846</v>
      </c>
      <c r="M46" s="534">
        <f t="shared" ca="1" si="43"/>
        <v>-606.26298673263091</v>
      </c>
      <c r="N46" s="534">
        <f t="shared" ca="1" si="43"/>
        <v>-608.02704683917227</v>
      </c>
      <c r="O46" s="534">
        <f t="shared" ca="1" si="43"/>
        <v>-543.61957440505967</v>
      </c>
      <c r="P46" s="534">
        <f t="shared" ca="1" si="43"/>
        <v>-523.33246123634649</v>
      </c>
      <c r="Q46" s="534">
        <f t="shared" ca="1" si="43"/>
        <v>-480.15871893328335</v>
      </c>
      <c r="R46" s="534">
        <f t="shared" ca="1" si="43"/>
        <v>-438.66459254056872</v>
      </c>
      <c r="S46" s="534">
        <f t="shared" ca="1" si="43"/>
        <v>-419.4990901201088</v>
      </c>
      <c r="T46" s="534">
        <f t="shared" ca="1" si="43"/>
        <v>-342.82813377690945</v>
      </c>
      <c r="U46" s="534">
        <f t="shared" ca="1" si="43"/>
        <v>-345.44092274647141</v>
      </c>
      <c r="V46" s="534">
        <f t="shared" ca="1" si="43"/>
        <v>-244.7017912915494</v>
      </c>
      <c r="W46" s="534">
        <f t="shared" ca="1" si="43"/>
        <v>-272.39198015801321</v>
      </c>
      <c r="X46" s="534">
        <f t="shared" ca="1" si="43"/>
        <v>-140.7806156401175</v>
      </c>
      <c r="Y46" s="534">
        <f t="shared" ca="1" si="43"/>
        <v>-195.19142547036265</v>
      </c>
      <c r="Z46" s="534">
        <f t="shared" ca="1" si="43"/>
        <v>-34.868242233661931</v>
      </c>
      <c r="AA46" s="534">
        <f t="shared" ca="1" si="43"/>
        <v>-117.42083818454526</v>
      </c>
      <c r="AB46" s="534">
        <f t="shared" ca="1" si="43"/>
        <v>-110.62397458206283</v>
      </c>
      <c r="AC46" s="534">
        <f t="shared" ca="1" si="43"/>
        <v>-187.29260164976168</v>
      </c>
      <c r="AD46" s="534">
        <f t="shared" ca="1" si="43"/>
        <v>0.79523165133696239</v>
      </c>
      <c r="AE46" s="534">
        <f t="shared" ca="1" si="43"/>
        <v>-106.43882329561231</v>
      </c>
      <c r="AF46" s="534">
        <f t="shared" ca="1" si="43"/>
        <v>316.93345222264702</v>
      </c>
      <c r="AG46" s="534">
        <f t="shared" ca="1" si="43"/>
        <v>116.16752173193368</v>
      </c>
      <c r="AH46" s="534">
        <f t="shared" ca="1" si="43"/>
        <v>420.51812686496987</v>
      </c>
      <c r="AI46" s="534">
        <f t="shared" ca="1" si="43"/>
        <v>181.39736124424962</v>
      </c>
      <c r="AJ46" s="534">
        <f t="shared" ca="1" si="43"/>
        <v>525.25697678817255</v>
      </c>
      <c r="AK46" s="534">
        <f t="shared" ca="1" si="43"/>
        <v>193.44012712474165</v>
      </c>
      <c r="AL46" s="534">
        <f t="shared" ca="1" si="43"/>
        <v>539.76038786061554</v>
      </c>
      <c r="AM46" s="534">
        <f t="shared" ref="AM46:BO46" ca="1" si="44">AM32-AM44</f>
        <v>396.99902977930441</v>
      </c>
      <c r="AN46" s="534">
        <f t="shared" ca="1" si="44"/>
        <v>747.01838718306124</v>
      </c>
      <c r="AO46" s="534">
        <f t="shared" ca="1" si="44"/>
        <v>597.98704746539431</v>
      </c>
      <c r="AP46" s="534">
        <f t="shared" ca="1" si="44"/>
        <v>965.93650649606184</v>
      </c>
      <c r="AQ46" s="534">
        <f t="shared" ca="1" si="44"/>
        <v>816.07646241119733</v>
      </c>
      <c r="AR46" s="534">
        <f t="shared" ca="1" si="44"/>
        <v>1209.6077641540537</v>
      </c>
      <c r="AS46" s="534">
        <f t="shared" ca="1" si="44"/>
        <v>1049.6328929028214</v>
      </c>
      <c r="AT46" s="534">
        <f t="shared" ca="1" si="44"/>
        <v>1468.5544098595326</v>
      </c>
      <c r="AU46" s="534">
        <f t="shared" ca="1" si="44"/>
        <v>1303.8397620585758</v>
      </c>
      <c r="AV46" s="534">
        <f t="shared" ca="1" si="44"/>
        <v>3143.7134037943556</v>
      </c>
      <c r="AW46" s="534">
        <f t="shared" ca="1" si="44"/>
        <v>2566.5444246410993</v>
      </c>
      <c r="AX46" s="534">
        <f t="shared" ca="1" si="44"/>
        <v>3212.641439658667</v>
      </c>
      <c r="AY46" s="534">
        <f t="shared" ca="1" si="44"/>
        <v>2614.9784998685413</v>
      </c>
      <c r="AZ46" s="534">
        <f t="shared" ca="1" si="44"/>
        <v>3274.1680082495322</v>
      </c>
      <c r="BA46" s="534">
        <f t="shared" ca="1" si="44"/>
        <v>2646.5575378998938</v>
      </c>
      <c r="BB46" s="534">
        <f t="shared" ca="1" si="44"/>
        <v>3325.3898767289238</v>
      </c>
      <c r="BC46" s="534">
        <f t="shared" ca="1" si="44"/>
        <v>2709.9545717793458</v>
      </c>
      <c r="BD46" s="534">
        <f t="shared" ca="1" si="44"/>
        <v>3402.0908817008876</v>
      </c>
      <c r="BE46" s="534">
        <f t="shared" ca="1" si="44"/>
        <v>2747.0462943434081</v>
      </c>
      <c r="BF46" s="534">
        <f t="shared" ca="1" si="44"/>
        <v>3442.6250710426143</v>
      </c>
      <c r="BG46" s="534">
        <f t="shared" ca="1" si="44"/>
        <v>2782.6309188652426</v>
      </c>
      <c r="BH46" s="534">
        <f t="shared" ca="1" si="44"/>
        <v>3486.5071580853587</v>
      </c>
      <c r="BI46" s="534">
        <f t="shared" ca="1" si="44"/>
        <v>2797.7893042305323</v>
      </c>
      <c r="BJ46" s="534">
        <f t="shared" ca="1" si="44"/>
        <v>3517.833692193351</v>
      </c>
      <c r="BK46" s="534">
        <f t="shared" ca="1" si="44"/>
        <v>2800.2482793777217</v>
      </c>
      <c r="BL46" s="534">
        <f t="shared" ca="1" si="44"/>
        <v>3523.7089432490652</v>
      </c>
      <c r="BM46" s="534">
        <f t="shared" ca="1" si="44"/>
        <v>2824.314151323942</v>
      </c>
      <c r="BN46" s="534">
        <f t="shared" ca="1" si="44"/>
        <v>3541.3183097872079</v>
      </c>
      <c r="BO46" s="534">
        <f t="shared" ca="1" si="44"/>
        <v>2855.1297741326198</v>
      </c>
      <c r="BP46" s="534"/>
      <c r="BQ46" s="534"/>
      <c r="BR46" s="534"/>
      <c r="BS46" s="534"/>
      <c r="BT46" s="534"/>
      <c r="BU46" s="534"/>
      <c r="BV46" s="534"/>
      <c r="BW46" s="534"/>
      <c r="BX46" s="534"/>
      <c r="BY46" s="534"/>
      <c r="BZ46" s="534"/>
      <c r="CA46" s="534"/>
      <c r="CB46" s="534"/>
      <c r="CC46" s="534"/>
      <c r="CD46" s="534"/>
      <c r="CE46" s="534"/>
      <c r="CF46" s="534"/>
      <c r="CG46" s="534"/>
      <c r="CH46" s="534"/>
      <c r="CI46" s="534"/>
      <c r="CJ46" s="534"/>
      <c r="CK46" s="534"/>
      <c r="CL46" s="534"/>
      <c r="CM46" s="534"/>
      <c r="CN46" s="534"/>
      <c r="CO46" s="534"/>
      <c r="CP46" s="534"/>
      <c r="CQ46" s="534"/>
      <c r="CR46" s="534"/>
      <c r="CS46" s="534"/>
      <c r="CT46" s="534"/>
      <c r="CU46" s="534"/>
      <c r="CV46" s="534"/>
      <c r="CW46" s="534"/>
      <c r="CX46" s="534"/>
      <c r="CY46" s="534"/>
      <c r="CZ46" s="534"/>
      <c r="DA46" s="534"/>
      <c r="DB46" s="534"/>
      <c r="DC46" s="534"/>
      <c r="DD46" s="534"/>
      <c r="DE46" s="534"/>
      <c r="DF46" s="534"/>
      <c r="DG46" s="534"/>
      <c r="DH46" s="534"/>
      <c r="DI46" s="534"/>
      <c r="DJ46" s="534"/>
      <c r="DK46" s="534"/>
      <c r="DL46" s="534"/>
      <c r="DM46" s="534"/>
      <c r="DN46" s="534"/>
      <c r="DO46" s="534"/>
      <c r="DP46" s="534"/>
      <c r="DQ46" s="534"/>
      <c r="DR46" s="534"/>
      <c r="DS46" s="534"/>
      <c r="DT46" s="534"/>
      <c r="DU46" s="534"/>
      <c r="DV46" s="534"/>
      <c r="DW46" s="534"/>
    </row>
    <row r="47" spans="1:127">
      <c r="A47" s="1382"/>
      <c r="B47" s="1383"/>
      <c r="C47" s="1383"/>
      <c r="D47" s="1382"/>
      <c r="E47" s="1382"/>
      <c r="F47" s="576"/>
      <c r="G47" s="459"/>
      <c r="H47" s="459"/>
      <c r="I47" s="459"/>
      <c r="J47" s="459"/>
      <c r="K47" s="459"/>
      <c r="L47" s="459"/>
      <c r="M47" s="459"/>
      <c r="N47" s="459"/>
      <c r="O47" s="459"/>
      <c r="P47" s="459"/>
      <c r="Q47" s="459"/>
      <c r="R47" s="459"/>
      <c r="S47" s="459"/>
      <c r="T47" s="459"/>
      <c r="U47" s="459"/>
      <c r="V47" s="459"/>
      <c r="W47" s="459"/>
      <c r="X47" s="459"/>
      <c r="Y47" s="459"/>
      <c r="Z47" s="459"/>
      <c r="AA47" s="459"/>
      <c r="AB47" s="459"/>
      <c r="AC47" s="459"/>
      <c r="AD47" s="459"/>
      <c r="AE47" s="459"/>
      <c r="AF47" s="459"/>
      <c r="AG47" s="459"/>
      <c r="AH47" s="459"/>
      <c r="AI47" s="459"/>
      <c r="AJ47" s="459"/>
      <c r="AK47" s="459"/>
      <c r="AL47" s="459"/>
      <c r="AM47" s="459"/>
      <c r="AN47" s="459"/>
      <c r="AO47" s="459"/>
      <c r="AP47" s="459"/>
      <c r="AQ47" s="459"/>
      <c r="AR47" s="459"/>
      <c r="AS47" s="459"/>
      <c r="AT47" s="459"/>
      <c r="AU47" s="459"/>
      <c r="AV47" s="459"/>
      <c r="AW47" s="459"/>
      <c r="AX47" s="459"/>
      <c r="AY47" s="459"/>
      <c r="AZ47" s="459"/>
      <c r="BA47" s="459"/>
      <c r="BB47" s="459"/>
      <c r="BC47" s="459"/>
      <c r="BD47" s="459"/>
      <c r="BE47" s="459"/>
      <c r="BF47" s="459"/>
      <c r="BG47" s="459"/>
      <c r="BH47" s="459"/>
      <c r="BI47" s="459"/>
      <c r="BJ47" s="459"/>
      <c r="BK47" s="459"/>
      <c r="BL47" s="459"/>
      <c r="BM47" s="459"/>
      <c r="BN47" s="459"/>
      <c r="BO47" s="459"/>
      <c r="BP47" s="459"/>
      <c r="BQ47" s="459"/>
      <c r="BR47" s="459"/>
      <c r="BS47" s="459"/>
      <c r="BT47" s="459"/>
      <c r="BU47" s="459"/>
      <c r="BV47" s="459"/>
      <c r="BW47" s="459"/>
      <c r="BX47" s="459"/>
      <c r="BY47" s="459"/>
      <c r="BZ47" s="459"/>
      <c r="CA47" s="459"/>
      <c r="CB47" s="459"/>
      <c r="CC47" s="459"/>
      <c r="CD47" s="459"/>
      <c r="CE47" s="459"/>
      <c r="CF47" s="459"/>
      <c r="CG47" s="459"/>
      <c r="CH47" s="459"/>
      <c r="CI47" s="459"/>
      <c r="CJ47" s="459"/>
      <c r="CK47" s="459"/>
      <c r="CL47" s="459"/>
      <c r="CM47" s="459"/>
      <c r="CN47" s="459"/>
      <c r="CO47" s="459"/>
      <c r="CP47" s="459"/>
      <c r="CQ47" s="459"/>
      <c r="CR47" s="459"/>
      <c r="CS47" s="459"/>
      <c r="CT47" s="459"/>
      <c r="CU47" s="459"/>
      <c r="CV47" s="459"/>
      <c r="CW47" s="459"/>
      <c r="CX47" s="459"/>
      <c r="CY47" s="459"/>
      <c r="CZ47" s="459"/>
      <c r="DA47" s="459"/>
      <c r="DB47" s="459"/>
      <c r="DC47" s="459"/>
      <c r="DD47" s="459"/>
      <c r="DE47" s="459"/>
      <c r="DF47" s="459"/>
      <c r="DG47" s="459"/>
      <c r="DH47" s="459"/>
      <c r="DI47" s="459"/>
      <c r="DJ47" s="459"/>
      <c r="DK47" s="459"/>
      <c r="DL47" s="459"/>
      <c r="DM47" s="459"/>
      <c r="DN47" s="459"/>
      <c r="DO47" s="459"/>
      <c r="DP47" s="459"/>
      <c r="DQ47" s="459"/>
      <c r="DR47" s="459"/>
      <c r="DS47" s="459"/>
      <c r="DT47" s="459"/>
      <c r="DU47" s="459"/>
      <c r="DV47" s="459"/>
      <c r="DW47" s="459"/>
    </row>
    <row r="48" spans="1:127">
      <c r="A48" s="1393" t="s">
        <v>1175</v>
      </c>
      <c r="B48" s="1394"/>
      <c r="C48" s="1394"/>
      <c r="D48" s="1393"/>
      <c r="E48" s="1393"/>
      <c r="F48" s="576"/>
      <c r="G48" s="810">
        <f ca="1">+CF!G153</f>
        <v>0</v>
      </c>
      <c r="H48" s="810">
        <f ca="1">+CF!H153</f>
        <v>0</v>
      </c>
      <c r="I48" s="810">
        <f ca="1">+CF!I153</f>
        <v>0</v>
      </c>
      <c r="J48" s="810">
        <f ca="1">+CF!J153</f>
        <v>0</v>
      </c>
      <c r="K48" s="810">
        <f ca="1">+CF!K153</f>
        <v>0</v>
      </c>
      <c r="L48" s="810">
        <f ca="1">+CF!L153</f>
        <v>0</v>
      </c>
      <c r="M48" s="810">
        <f ca="1">+CF!M153</f>
        <v>0</v>
      </c>
      <c r="N48" s="810">
        <f ca="1">+CF!N153</f>
        <v>0</v>
      </c>
      <c r="O48" s="810">
        <f ca="1">+CF!O153</f>
        <v>0</v>
      </c>
      <c r="P48" s="810">
        <f ca="1">+CF!P153</f>
        <v>0</v>
      </c>
      <c r="Q48" s="810">
        <f ca="1">+CF!Q153</f>
        <v>0</v>
      </c>
      <c r="R48" s="810">
        <f ca="1">+CF!R153</f>
        <v>0</v>
      </c>
      <c r="S48" s="810">
        <f ca="1">+CF!S153</f>
        <v>0</v>
      </c>
      <c r="T48" s="810">
        <f ca="1">+CF!T153</f>
        <v>0</v>
      </c>
      <c r="U48" s="810">
        <f ca="1">+CF!U153</f>
        <v>0</v>
      </c>
      <c r="V48" s="810">
        <f ca="1">+CF!V153</f>
        <v>0</v>
      </c>
      <c r="W48" s="810">
        <f ca="1">+CF!W153</f>
        <v>0</v>
      </c>
      <c r="X48" s="810">
        <f ca="1">+CF!X153</f>
        <v>0</v>
      </c>
      <c r="Y48" s="810">
        <f ca="1">+CF!Y153</f>
        <v>0</v>
      </c>
      <c r="Z48" s="810">
        <f ca="1">+CF!Z153</f>
        <v>0</v>
      </c>
      <c r="AA48" s="810">
        <f ca="1">+CF!AA153</f>
        <v>0</v>
      </c>
      <c r="AB48" s="810">
        <f ca="1">+CF!AB153</f>
        <v>0</v>
      </c>
      <c r="AC48" s="810">
        <f ca="1">+CF!AC153</f>
        <v>0</v>
      </c>
      <c r="AD48" s="810">
        <f ca="1">+CF!AD153</f>
        <v>0.79523165133696239</v>
      </c>
      <c r="AE48" s="810">
        <f ca="1">+CF!AE153</f>
        <v>0</v>
      </c>
      <c r="AF48" s="810">
        <f ca="1">+CF!AF153</f>
        <v>49.204768348663038</v>
      </c>
      <c r="AG48" s="810">
        <f ca="1">+CF!AG153</f>
        <v>0</v>
      </c>
      <c r="AH48" s="810">
        <f ca="1">+CF!AH153</f>
        <v>0</v>
      </c>
      <c r="AI48" s="810">
        <f ca="1">+CF!AI153</f>
        <v>0</v>
      </c>
      <c r="AJ48" s="810">
        <f ca="1">+CF!AJ153</f>
        <v>0</v>
      </c>
      <c r="AK48" s="810">
        <f ca="1">+CF!AK153</f>
        <v>0</v>
      </c>
      <c r="AL48" s="810">
        <f ca="1">+CF!AL153</f>
        <v>0</v>
      </c>
      <c r="AM48" s="810">
        <f ca="1">+CF!AM153</f>
        <v>0</v>
      </c>
      <c r="AN48" s="810">
        <f ca="1">+CF!AN153</f>
        <v>0</v>
      </c>
      <c r="AO48" s="810">
        <f ca="1">+CF!AO153</f>
        <v>0</v>
      </c>
      <c r="AP48" s="810">
        <f ca="1">+CF!AP153</f>
        <v>0</v>
      </c>
      <c r="AQ48" s="810">
        <f ca="1">+CF!AQ153</f>
        <v>0</v>
      </c>
      <c r="AR48" s="810">
        <f ca="1">+CF!AR153</f>
        <v>0</v>
      </c>
      <c r="AS48" s="810">
        <f ca="1">+CF!AS153</f>
        <v>0</v>
      </c>
      <c r="AT48" s="810">
        <f ca="1">+CF!AT153</f>
        <v>0</v>
      </c>
      <c r="AU48" s="810">
        <f ca="1">+CF!AU153</f>
        <v>0</v>
      </c>
      <c r="AV48" s="810">
        <f ca="1">+CF!AV153</f>
        <v>0</v>
      </c>
      <c r="AW48" s="810">
        <f ca="1">+CF!AW153</f>
        <v>0</v>
      </c>
      <c r="AX48" s="810">
        <f ca="1">+CF!AX153</f>
        <v>0</v>
      </c>
      <c r="AY48" s="810">
        <f ca="1">+CF!AY153</f>
        <v>0</v>
      </c>
      <c r="AZ48" s="810">
        <f ca="1">+CF!AZ153</f>
        <v>0</v>
      </c>
      <c r="BA48" s="810">
        <f ca="1">+CF!BA153</f>
        <v>0</v>
      </c>
      <c r="BB48" s="810">
        <f ca="1">+CF!BB153</f>
        <v>0</v>
      </c>
      <c r="BC48" s="810">
        <f ca="1">+CF!BC153</f>
        <v>0</v>
      </c>
      <c r="BD48" s="810">
        <f ca="1">+CF!BD153</f>
        <v>0</v>
      </c>
      <c r="BE48" s="810">
        <f ca="1">+CF!BE153</f>
        <v>0</v>
      </c>
      <c r="BF48" s="810">
        <f ca="1">+CF!BF153</f>
        <v>0</v>
      </c>
      <c r="BG48" s="810">
        <f ca="1">+CF!BG153</f>
        <v>0</v>
      </c>
      <c r="BH48" s="810">
        <f ca="1">+CF!BH153</f>
        <v>0</v>
      </c>
      <c r="BI48" s="810">
        <f ca="1">+CF!BI153</f>
        <v>0</v>
      </c>
      <c r="BJ48" s="810">
        <f ca="1">+CF!BJ153</f>
        <v>0</v>
      </c>
      <c r="BK48" s="810">
        <f ca="1">+CF!BK153</f>
        <v>0</v>
      </c>
      <c r="BL48" s="810">
        <f ca="1">+CF!BL153</f>
        <v>0</v>
      </c>
      <c r="BM48" s="810">
        <f ca="1">+CF!BM153</f>
        <v>0</v>
      </c>
      <c r="BN48" s="810">
        <f ca="1">+CF!BN153</f>
        <v>0</v>
      </c>
      <c r="BO48" s="810">
        <f ca="1">+CF!BO153</f>
        <v>0</v>
      </c>
      <c r="BP48" s="810"/>
      <c r="BQ48" s="810"/>
      <c r="BR48" s="810"/>
      <c r="BS48" s="810"/>
      <c r="BT48" s="810"/>
      <c r="BU48" s="810"/>
      <c r="BV48" s="810"/>
      <c r="BW48" s="810"/>
      <c r="BX48" s="810"/>
      <c r="BY48" s="810"/>
      <c r="BZ48" s="810"/>
      <c r="CA48" s="810"/>
      <c r="CB48" s="810"/>
      <c r="CC48" s="810"/>
      <c r="CD48" s="810"/>
      <c r="CE48" s="810"/>
      <c r="CF48" s="810"/>
      <c r="CG48" s="810"/>
      <c r="CH48" s="810"/>
      <c r="CI48" s="810"/>
      <c r="CJ48" s="810"/>
      <c r="CK48" s="810"/>
      <c r="CL48" s="810"/>
      <c r="CM48" s="810"/>
      <c r="CN48" s="810"/>
      <c r="CO48" s="810"/>
      <c r="CP48" s="810"/>
      <c r="CQ48" s="810"/>
      <c r="CR48" s="810"/>
      <c r="CS48" s="810"/>
      <c r="CT48" s="810"/>
      <c r="CU48" s="810"/>
      <c r="CV48" s="810"/>
      <c r="CW48" s="810"/>
      <c r="CX48" s="810"/>
      <c r="CY48" s="810"/>
      <c r="CZ48" s="810"/>
      <c r="DA48" s="810"/>
      <c r="DB48" s="810"/>
      <c r="DC48" s="810"/>
      <c r="DD48" s="810"/>
      <c r="DE48" s="810"/>
      <c r="DF48" s="810"/>
      <c r="DG48" s="810"/>
      <c r="DH48" s="810"/>
      <c r="DI48" s="810"/>
      <c r="DJ48" s="810"/>
      <c r="DK48" s="810"/>
      <c r="DL48" s="810"/>
      <c r="DM48" s="810"/>
      <c r="DN48" s="810"/>
      <c r="DO48" s="810"/>
      <c r="DP48" s="810"/>
      <c r="DQ48" s="810"/>
      <c r="DR48" s="810"/>
      <c r="DS48" s="810"/>
      <c r="DT48" s="810"/>
      <c r="DU48" s="810"/>
      <c r="DV48" s="810"/>
      <c r="DW48" s="810"/>
    </row>
    <row r="49" spans="1:127">
      <c r="A49" s="1393" t="s">
        <v>1205</v>
      </c>
      <c r="B49" s="1394"/>
      <c r="C49" s="1394"/>
      <c r="D49" s="1393"/>
      <c r="E49" s="1393"/>
      <c r="F49" s="576"/>
      <c r="G49" s="810">
        <f ca="1">CF!G155</f>
        <v>-1169.6619115852516</v>
      </c>
      <c r="H49" s="810">
        <f ca="1">CF!H155</f>
        <v>-855.96553199374398</v>
      </c>
      <c r="I49" s="810">
        <f ca="1">CF!I155</f>
        <v>-825.95155396783957</v>
      </c>
      <c r="J49" s="810">
        <f ca="1">CF!J155</f>
        <v>-793.87016393409021</v>
      </c>
      <c r="K49" s="810">
        <f ca="1">CF!K155</f>
        <v>-705.94772833340357</v>
      </c>
      <c r="L49" s="810">
        <f ca="1">CF!L155</f>
        <v>-691.33108790663846</v>
      </c>
      <c r="M49" s="810">
        <f ca="1">CF!M155</f>
        <v>-606.26298673263091</v>
      </c>
      <c r="N49" s="810">
        <f ca="1">CF!N155</f>
        <v>-608.02704683917227</v>
      </c>
      <c r="O49" s="810">
        <f ca="1">CF!O155</f>
        <v>-543.61957440505967</v>
      </c>
      <c r="P49" s="810">
        <f ca="1">CF!P155</f>
        <v>-523.33246123634649</v>
      </c>
      <c r="Q49" s="810">
        <f ca="1">CF!Q155</f>
        <v>-480.15871893328335</v>
      </c>
      <c r="R49" s="810">
        <f ca="1">CF!R155</f>
        <v>-438.66459254056872</v>
      </c>
      <c r="S49" s="810">
        <f ca="1">CF!S155</f>
        <v>-419.4990901201088</v>
      </c>
      <c r="T49" s="810">
        <f ca="1">CF!T155</f>
        <v>-342.82813377690945</v>
      </c>
      <c r="U49" s="810">
        <f ca="1">CF!U155</f>
        <v>-345.44092274647141</v>
      </c>
      <c r="V49" s="810">
        <f ca="1">CF!V155</f>
        <v>-244.7017912915494</v>
      </c>
      <c r="W49" s="810">
        <f ca="1">CF!W155</f>
        <v>-272.39198015801321</v>
      </c>
      <c r="X49" s="810">
        <f ca="1">CF!X155</f>
        <v>-140.7806156401175</v>
      </c>
      <c r="Y49" s="810">
        <f ca="1">CF!Y155</f>
        <v>-195.19142547036265</v>
      </c>
      <c r="Z49" s="810">
        <f ca="1">CF!Z155</f>
        <v>-34.868242233661931</v>
      </c>
      <c r="AA49" s="810">
        <f ca="1">CF!AA155</f>
        <v>-117.42083818454526</v>
      </c>
      <c r="AB49" s="810">
        <f ca="1">CF!AB155</f>
        <v>-110.62397458206283</v>
      </c>
      <c r="AC49" s="810">
        <f ca="1">CF!AC155</f>
        <v>-187.29260164976168</v>
      </c>
      <c r="AD49" s="810">
        <f ca="1">CF!AD155</f>
        <v>0</v>
      </c>
      <c r="AE49" s="810">
        <f ca="1">CF!AE155</f>
        <v>-106.43882329561231</v>
      </c>
      <c r="AF49" s="810">
        <f ca="1">CF!AF155</f>
        <v>267.72868387398398</v>
      </c>
      <c r="AG49" s="810">
        <f ca="1">CF!AG155</f>
        <v>116.16752173193368</v>
      </c>
      <c r="AH49" s="810">
        <f ca="1">CF!AH155</f>
        <v>420.51812686496987</v>
      </c>
      <c r="AI49" s="810">
        <f ca="1">CF!AI155</f>
        <v>181.39736124424962</v>
      </c>
      <c r="AJ49" s="810">
        <f ca="1">CF!AJ155</f>
        <v>525.25697678817255</v>
      </c>
      <c r="AK49" s="810">
        <f ca="1">CF!AK155</f>
        <v>193.44012712474165</v>
      </c>
      <c r="AL49" s="810">
        <f ca="1">CF!AL155</f>
        <v>539.76038786061554</v>
      </c>
      <c r="AM49" s="810">
        <f ca="1">CF!AM155</f>
        <v>396.99902977930441</v>
      </c>
      <c r="AN49" s="810">
        <f ca="1">CF!AN155</f>
        <v>747.01838718306124</v>
      </c>
      <c r="AO49" s="810">
        <f ca="1">CF!AO155</f>
        <v>597.98704746539431</v>
      </c>
      <c r="AP49" s="810">
        <f ca="1">CF!AP155</f>
        <v>965.93650649606184</v>
      </c>
      <c r="AQ49" s="810">
        <f ca="1">CF!AQ155</f>
        <v>816.07646241119733</v>
      </c>
      <c r="AR49" s="810">
        <f ca="1">CF!AR155</f>
        <v>1209.6077641540537</v>
      </c>
      <c r="AS49" s="810">
        <f ca="1">CF!AS155</f>
        <v>1049.6328929028214</v>
      </c>
      <c r="AT49" s="810">
        <f ca="1">CF!AT155</f>
        <v>1468.5544098595326</v>
      </c>
      <c r="AU49" s="810">
        <f ca="1">CF!AU155</f>
        <v>1264.1901118171106</v>
      </c>
      <c r="AV49" s="810">
        <f ca="1">CF!AV155</f>
        <v>0</v>
      </c>
      <c r="AW49" s="810">
        <f ca="1">CF!AW155</f>
        <v>0</v>
      </c>
      <c r="AX49" s="810">
        <f ca="1">CF!AX155</f>
        <v>0</v>
      </c>
      <c r="AY49" s="810">
        <f ca="1">CF!AY155</f>
        <v>0</v>
      </c>
      <c r="AZ49" s="810">
        <f ca="1">CF!AZ155</f>
        <v>0</v>
      </c>
      <c r="BA49" s="810">
        <f ca="1">CF!BA155</f>
        <v>0</v>
      </c>
      <c r="BB49" s="810">
        <f ca="1">CF!BB155</f>
        <v>0</v>
      </c>
      <c r="BC49" s="810">
        <f ca="1">CF!BC155</f>
        <v>0</v>
      </c>
      <c r="BD49" s="810">
        <f ca="1">CF!BD155</f>
        <v>0</v>
      </c>
      <c r="BE49" s="810">
        <f ca="1">CF!BE155</f>
        <v>0</v>
      </c>
      <c r="BF49" s="810">
        <f ca="1">CF!BF155</f>
        <v>0</v>
      </c>
      <c r="BG49" s="810">
        <f ca="1">CF!BG155</f>
        <v>0</v>
      </c>
      <c r="BH49" s="810">
        <f ca="1">CF!BH155</f>
        <v>0</v>
      </c>
      <c r="BI49" s="810">
        <f ca="1">CF!BI155</f>
        <v>0</v>
      </c>
      <c r="BJ49" s="810">
        <f ca="1">CF!BJ155</f>
        <v>0</v>
      </c>
      <c r="BK49" s="810">
        <f ca="1">CF!BK155</f>
        <v>0</v>
      </c>
      <c r="BL49" s="810">
        <f ca="1">CF!BL155</f>
        <v>0</v>
      </c>
      <c r="BM49" s="810">
        <f ca="1">CF!BM155</f>
        <v>0</v>
      </c>
      <c r="BN49" s="810">
        <f ca="1">CF!BN155</f>
        <v>0</v>
      </c>
      <c r="BO49" s="810">
        <f ca="1">CF!BO155</f>
        <v>0</v>
      </c>
      <c r="BP49" s="810"/>
      <c r="BQ49" s="810"/>
      <c r="BR49" s="810"/>
      <c r="BS49" s="810"/>
      <c r="BT49" s="810"/>
      <c r="BU49" s="810"/>
      <c r="BV49" s="810"/>
      <c r="BW49" s="810"/>
      <c r="BX49" s="810"/>
      <c r="BY49" s="810"/>
      <c r="BZ49" s="810"/>
      <c r="CA49" s="810"/>
      <c r="CB49" s="810"/>
      <c r="CC49" s="810"/>
      <c r="CD49" s="810"/>
      <c r="CE49" s="810"/>
      <c r="CF49" s="810"/>
      <c r="CG49" s="810"/>
      <c r="CH49" s="810"/>
      <c r="CI49" s="810"/>
      <c r="CJ49" s="810"/>
      <c r="CK49" s="810"/>
      <c r="CL49" s="810"/>
      <c r="CM49" s="810"/>
      <c r="CN49" s="810"/>
      <c r="CO49" s="810"/>
      <c r="CP49" s="810"/>
      <c r="CQ49" s="810"/>
      <c r="CR49" s="810"/>
      <c r="CS49" s="810"/>
      <c r="CT49" s="810"/>
      <c r="CU49" s="810"/>
      <c r="CV49" s="810"/>
      <c r="CW49" s="810"/>
      <c r="CX49" s="810"/>
      <c r="CY49" s="810"/>
      <c r="CZ49" s="810"/>
      <c r="DA49" s="810"/>
      <c r="DB49" s="810"/>
      <c r="DC49" s="810"/>
      <c r="DD49" s="810"/>
      <c r="DE49" s="810"/>
      <c r="DF49" s="810"/>
      <c r="DG49" s="810"/>
      <c r="DH49" s="810"/>
      <c r="DI49" s="810"/>
      <c r="DJ49" s="810"/>
      <c r="DK49" s="810"/>
      <c r="DL49" s="810"/>
      <c r="DM49" s="810"/>
      <c r="DN49" s="810"/>
      <c r="DO49" s="810"/>
      <c r="DP49" s="810"/>
      <c r="DQ49" s="810"/>
      <c r="DR49" s="810"/>
      <c r="DS49" s="810"/>
      <c r="DT49" s="810"/>
      <c r="DU49" s="810"/>
      <c r="DV49" s="810"/>
      <c r="DW49" s="810"/>
    </row>
    <row r="50" spans="1:127">
      <c r="A50" s="1393" t="s">
        <v>1164</v>
      </c>
      <c r="B50" s="1394"/>
      <c r="C50" s="1394"/>
      <c r="D50" s="1393"/>
      <c r="E50" s="1393"/>
      <c r="F50" s="576"/>
      <c r="G50" s="810">
        <f ca="1">CF!G125</f>
        <v>0</v>
      </c>
      <c r="H50" s="810">
        <f ca="1">CF!H125</f>
        <v>0</v>
      </c>
      <c r="I50" s="810">
        <f ca="1">CF!I125</f>
        <v>0</v>
      </c>
      <c r="J50" s="810">
        <f ca="1">CF!J125</f>
        <v>0</v>
      </c>
      <c r="K50" s="810">
        <f ca="1">CF!K125</f>
        <v>0</v>
      </c>
      <c r="L50" s="810">
        <f ca="1">CF!L125</f>
        <v>0</v>
      </c>
      <c r="M50" s="810">
        <f ca="1">CF!M125</f>
        <v>0</v>
      </c>
      <c r="N50" s="810">
        <f ca="1">CF!N125</f>
        <v>0</v>
      </c>
      <c r="O50" s="810">
        <f ca="1">CF!O125</f>
        <v>0</v>
      </c>
      <c r="P50" s="810">
        <f ca="1">CF!P125</f>
        <v>0</v>
      </c>
      <c r="Q50" s="810">
        <f ca="1">CF!Q125</f>
        <v>0</v>
      </c>
      <c r="R50" s="810">
        <f ca="1">CF!R125</f>
        <v>0</v>
      </c>
      <c r="S50" s="810">
        <f ca="1">CF!S125</f>
        <v>0</v>
      </c>
      <c r="T50" s="810">
        <f ca="1">CF!T125</f>
        <v>0</v>
      </c>
      <c r="U50" s="810">
        <f ca="1">CF!U125</f>
        <v>0</v>
      </c>
      <c r="V50" s="810">
        <f ca="1">CF!V125</f>
        <v>0</v>
      </c>
      <c r="W50" s="810">
        <f ca="1">CF!W125</f>
        <v>0</v>
      </c>
      <c r="X50" s="810">
        <f ca="1">CF!X125</f>
        <v>0</v>
      </c>
      <c r="Y50" s="810">
        <f ca="1">CF!Y125</f>
        <v>0</v>
      </c>
      <c r="Z50" s="810">
        <f ca="1">CF!Z125</f>
        <v>0</v>
      </c>
      <c r="AA50" s="810">
        <f ca="1">CF!AA125</f>
        <v>0</v>
      </c>
      <c r="AB50" s="810">
        <f ca="1">CF!AB125</f>
        <v>0</v>
      </c>
      <c r="AC50" s="810">
        <f ca="1">CF!AC125</f>
        <v>0</v>
      </c>
      <c r="AD50" s="810">
        <f ca="1">CF!AD125</f>
        <v>0</v>
      </c>
      <c r="AE50" s="810">
        <f ca="1">CF!AE125</f>
        <v>0</v>
      </c>
      <c r="AF50" s="810">
        <f ca="1">CF!AF125</f>
        <v>0</v>
      </c>
      <c r="AG50" s="810">
        <f ca="1">CF!AG125</f>
        <v>0</v>
      </c>
      <c r="AH50" s="810">
        <f ca="1">CF!AH125</f>
        <v>0</v>
      </c>
      <c r="AI50" s="810">
        <f ca="1">CF!AI125</f>
        <v>0</v>
      </c>
      <c r="AJ50" s="810">
        <f ca="1">CF!AJ125</f>
        <v>0</v>
      </c>
      <c r="AK50" s="810">
        <f ca="1">CF!AK125</f>
        <v>0</v>
      </c>
      <c r="AL50" s="810">
        <f ca="1">CF!AL125</f>
        <v>0</v>
      </c>
      <c r="AM50" s="810">
        <f ca="1">CF!AM125</f>
        <v>0</v>
      </c>
      <c r="AN50" s="810">
        <f ca="1">CF!AN125</f>
        <v>0</v>
      </c>
      <c r="AO50" s="810">
        <f ca="1">CF!AO125</f>
        <v>0</v>
      </c>
      <c r="AP50" s="810">
        <f ca="1">CF!AP125</f>
        <v>0</v>
      </c>
      <c r="AQ50" s="810">
        <f ca="1">CF!AQ125</f>
        <v>0</v>
      </c>
      <c r="AR50" s="810">
        <f ca="1">CF!AR125</f>
        <v>0</v>
      </c>
      <c r="AS50" s="810">
        <f ca="1">CF!AS125</f>
        <v>0</v>
      </c>
      <c r="AT50" s="810">
        <f ca="1">CF!AT125</f>
        <v>0</v>
      </c>
      <c r="AU50" s="810">
        <f ca="1">CF!AU125</f>
        <v>39.649650241465224</v>
      </c>
      <c r="AV50" s="810">
        <f ca="1">CF!AV125</f>
        <v>3143.7134037943556</v>
      </c>
      <c r="AW50" s="810">
        <f ca="1">CF!AW125</f>
        <v>2566.5444246410993</v>
      </c>
      <c r="AX50" s="810">
        <f ca="1">CF!AX125</f>
        <v>3212.641439658667</v>
      </c>
      <c r="AY50" s="810">
        <f ca="1">CF!AY125</f>
        <v>2614.9784998685413</v>
      </c>
      <c r="AZ50" s="810">
        <f ca="1">CF!AZ125</f>
        <v>3274.1680082495322</v>
      </c>
      <c r="BA50" s="810">
        <f ca="1">CF!BA125</f>
        <v>2646.5575378998938</v>
      </c>
      <c r="BB50" s="810">
        <f ca="1">CF!BB125</f>
        <v>3325.3898767289238</v>
      </c>
      <c r="BC50" s="810">
        <f ca="1">CF!BC125</f>
        <v>2709.9545717793458</v>
      </c>
      <c r="BD50" s="810">
        <f ca="1">CF!BD125</f>
        <v>3402.0908817008876</v>
      </c>
      <c r="BE50" s="810">
        <f ca="1">CF!BE125</f>
        <v>2747.0462943434081</v>
      </c>
      <c r="BF50" s="810">
        <f ca="1">CF!BF125</f>
        <v>3442.6250710426143</v>
      </c>
      <c r="BG50" s="810">
        <f ca="1">CF!BG125</f>
        <v>2782.6309188652426</v>
      </c>
      <c r="BH50" s="810">
        <f ca="1">CF!BH125</f>
        <v>3486.5071580853587</v>
      </c>
      <c r="BI50" s="810">
        <f ca="1">CF!BI125</f>
        <v>2797.7893042305323</v>
      </c>
      <c r="BJ50" s="810">
        <f ca="1">CF!BJ125</f>
        <v>3517.833692193351</v>
      </c>
      <c r="BK50" s="810">
        <f ca="1">CF!BK125</f>
        <v>2800.2482793777217</v>
      </c>
      <c r="BL50" s="810">
        <f ca="1">CF!BL125</f>
        <v>3523.7089432490652</v>
      </c>
      <c r="BM50" s="810">
        <f ca="1">CF!BM125</f>
        <v>2824.314151323942</v>
      </c>
      <c r="BN50" s="810">
        <f ca="1">CF!BN125</f>
        <v>3541.3183097872079</v>
      </c>
      <c r="BO50" s="810">
        <f ca="1">CF!BO125</f>
        <v>2855.1297741326198</v>
      </c>
      <c r="BP50" s="810"/>
      <c r="BQ50" s="810"/>
      <c r="BR50" s="810"/>
      <c r="BS50" s="810"/>
      <c r="BT50" s="810"/>
      <c r="BU50" s="810"/>
      <c r="BV50" s="810"/>
      <c r="BW50" s="810"/>
      <c r="BX50" s="810"/>
      <c r="BY50" s="810"/>
      <c r="BZ50" s="810"/>
      <c r="CA50" s="810"/>
      <c r="CB50" s="810"/>
      <c r="CC50" s="810"/>
      <c r="CD50" s="810"/>
      <c r="CE50" s="810"/>
      <c r="CF50" s="810"/>
      <c r="CG50" s="810"/>
      <c r="CH50" s="810"/>
      <c r="CI50" s="810"/>
      <c r="CJ50" s="810"/>
      <c r="CK50" s="810"/>
      <c r="CL50" s="810"/>
      <c r="CM50" s="810"/>
      <c r="CN50" s="810"/>
      <c r="CO50" s="810"/>
      <c r="CP50" s="810"/>
      <c r="CQ50" s="810"/>
      <c r="CR50" s="810"/>
      <c r="CS50" s="810"/>
      <c r="CT50" s="810"/>
      <c r="CU50" s="810"/>
      <c r="CV50" s="810"/>
      <c r="CW50" s="810"/>
      <c r="CX50" s="810"/>
      <c r="CY50" s="810"/>
      <c r="CZ50" s="810"/>
      <c r="DA50" s="810"/>
      <c r="DB50" s="810"/>
      <c r="DC50" s="810"/>
      <c r="DD50" s="810"/>
      <c r="DE50" s="810"/>
      <c r="DF50" s="810"/>
      <c r="DG50" s="810"/>
      <c r="DH50" s="810"/>
      <c r="DI50" s="810"/>
      <c r="DJ50" s="810"/>
      <c r="DK50" s="810"/>
      <c r="DL50" s="810"/>
      <c r="DM50" s="810"/>
      <c r="DN50" s="810"/>
      <c r="DO50" s="810"/>
      <c r="DP50" s="810"/>
      <c r="DQ50" s="810"/>
      <c r="DR50" s="810"/>
      <c r="DS50" s="810"/>
      <c r="DT50" s="810"/>
      <c r="DU50" s="810"/>
      <c r="DV50" s="810"/>
      <c r="DW50" s="810"/>
    </row>
    <row r="51" spans="1:127">
      <c r="A51" s="1382"/>
      <c r="B51" s="1383"/>
      <c r="C51" s="1383"/>
      <c r="D51" s="1382"/>
      <c r="E51" s="1382"/>
      <c r="F51" s="304"/>
      <c r="G51" s="502"/>
      <c r="H51" s="502"/>
      <c r="I51" s="502"/>
      <c r="J51" s="502"/>
      <c r="K51" s="502"/>
      <c r="L51" s="502"/>
      <c r="M51" s="502"/>
      <c r="N51" s="502"/>
      <c r="O51" s="502"/>
      <c r="P51" s="502"/>
      <c r="Q51" s="502"/>
      <c r="R51" s="502"/>
      <c r="S51" s="502"/>
      <c r="T51" s="502"/>
      <c r="U51" s="502"/>
      <c r="V51" s="502"/>
      <c r="W51" s="502"/>
      <c r="X51" s="502"/>
      <c r="Y51" s="502"/>
      <c r="Z51" s="502"/>
      <c r="AA51" s="502"/>
      <c r="AB51" s="502"/>
      <c r="AC51" s="502"/>
      <c r="AD51" s="502"/>
      <c r="AE51" s="502"/>
      <c r="AF51" s="502"/>
      <c r="AG51" s="502"/>
      <c r="AH51" s="502"/>
      <c r="AI51" s="502"/>
      <c r="AJ51" s="502"/>
      <c r="AK51" s="502"/>
      <c r="AL51" s="502"/>
      <c r="AM51" s="502"/>
      <c r="AN51" s="502"/>
      <c r="AO51" s="502"/>
      <c r="AP51" s="502"/>
      <c r="AQ51" s="502"/>
      <c r="AR51" s="502"/>
      <c r="AS51" s="502"/>
      <c r="AT51" s="502"/>
      <c r="AU51" s="502"/>
      <c r="AV51" s="502"/>
      <c r="AW51" s="502"/>
      <c r="AX51" s="502"/>
      <c r="AY51" s="502"/>
      <c r="AZ51" s="502"/>
      <c r="BA51" s="502"/>
      <c r="BB51" s="502"/>
      <c r="BC51" s="502"/>
      <c r="BD51" s="502"/>
      <c r="BE51" s="502"/>
      <c r="BF51" s="502"/>
      <c r="BG51" s="502"/>
      <c r="BH51" s="502"/>
      <c r="BI51" s="502"/>
      <c r="BJ51" s="502"/>
      <c r="BK51" s="502"/>
      <c r="BL51" s="502"/>
      <c r="BM51" s="502"/>
      <c r="BN51" s="502"/>
      <c r="BO51" s="502"/>
      <c r="BP51" s="502"/>
      <c r="BQ51" s="502"/>
      <c r="BR51" s="502"/>
      <c r="BS51" s="502"/>
      <c r="BT51" s="502"/>
      <c r="BU51" s="502"/>
      <c r="BV51" s="502"/>
      <c r="BW51" s="502"/>
      <c r="BX51" s="502"/>
      <c r="BY51" s="502"/>
      <c r="BZ51" s="502"/>
      <c r="CA51" s="502"/>
      <c r="CB51" s="502"/>
      <c r="CC51" s="502"/>
      <c r="CD51" s="502"/>
      <c r="CE51" s="502"/>
      <c r="CF51" s="502"/>
      <c r="CG51" s="502"/>
      <c r="CH51" s="502"/>
      <c r="CI51" s="502"/>
      <c r="CJ51" s="502"/>
      <c r="CK51" s="502"/>
      <c r="CL51" s="502"/>
      <c r="CM51" s="502"/>
      <c r="CN51" s="502"/>
      <c r="CO51" s="502"/>
      <c r="CP51" s="502"/>
      <c r="CQ51" s="502"/>
      <c r="CR51" s="502"/>
      <c r="CS51" s="502"/>
      <c r="CT51" s="502"/>
      <c r="CU51" s="502"/>
      <c r="CV51" s="502"/>
      <c r="CW51" s="502"/>
      <c r="CX51" s="502"/>
      <c r="CY51" s="502"/>
      <c r="CZ51" s="502"/>
      <c r="DA51" s="502"/>
      <c r="DB51" s="502"/>
      <c r="DC51" s="502"/>
      <c r="DD51" s="502"/>
      <c r="DE51" s="502"/>
      <c r="DF51" s="502"/>
      <c r="DG51" s="502"/>
      <c r="DH51" s="502"/>
      <c r="DI51" s="502"/>
      <c r="DJ51" s="502"/>
      <c r="DK51" s="502"/>
      <c r="DL51" s="502"/>
      <c r="DM51" s="502"/>
      <c r="DN51" s="502"/>
      <c r="DO51" s="502"/>
      <c r="DP51" s="502"/>
      <c r="DQ51" s="502"/>
      <c r="DR51" s="502"/>
      <c r="DS51" s="502"/>
      <c r="DT51" s="502"/>
      <c r="DU51" s="502"/>
      <c r="DV51" s="502"/>
      <c r="DW51" s="502"/>
    </row>
    <row r="52" spans="1:127">
      <c r="A52" s="1395" t="s">
        <v>1116</v>
      </c>
      <c r="B52" s="1383"/>
      <c r="C52" s="1383"/>
      <c r="D52" s="304"/>
      <c r="E52" s="396">
        <f ca="1">SUM(G52:BO52)</f>
        <v>0</v>
      </c>
      <c r="F52" s="304"/>
      <c r="G52" s="569">
        <f ca="1">ROUND(G46-G48-G49-G50,3)</f>
        <v>0</v>
      </c>
      <c r="H52" s="569">
        <f t="shared" ref="H52:BO52" ca="1" si="45">ROUND(H46-H48-H49-H50,3)</f>
        <v>0</v>
      </c>
      <c r="I52" s="569">
        <f t="shared" ca="1" si="45"/>
        <v>0</v>
      </c>
      <c r="J52" s="569">
        <f t="shared" ca="1" si="45"/>
        <v>0</v>
      </c>
      <c r="K52" s="569">
        <f t="shared" ca="1" si="45"/>
        <v>0</v>
      </c>
      <c r="L52" s="569">
        <f t="shared" ca="1" si="45"/>
        <v>0</v>
      </c>
      <c r="M52" s="569">
        <f t="shared" ca="1" si="45"/>
        <v>0</v>
      </c>
      <c r="N52" s="569">
        <f t="shared" ca="1" si="45"/>
        <v>0</v>
      </c>
      <c r="O52" s="569">
        <f t="shared" ca="1" si="45"/>
        <v>0</v>
      </c>
      <c r="P52" s="569">
        <f t="shared" ca="1" si="45"/>
        <v>0</v>
      </c>
      <c r="Q52" s="569">
        <f t="shared" ca="1" si="45"/>
        <v>0</v>
      </c>
      <c r="R52" s="569">
        <f t="shared" ca="1" si="45"/>
        <v>0</v>
      </c>
      <c r="S52" s="569">
        <f t="shared" ca="1" si="45"/>
        <v>0</v>
      </c>
      <c r="T52" s="569">
        <f t="shared" ca="1" si="45"/>
        <v>0</v>
      </c>
      <c r="U52" s="569">
        <f t="shared" ca="1" si="45"/>
        <v>0</v>
      </c>
      <c r="V52" s="569">
        <f t="shared" ca="1" si="45"/>
        <v>0</v>
      </c>
      <c r="W52" s="569">
        <f t="shared" ca="1" si="45"/>
        <v>0</v>
      </c>
      <c r="X52" s="569">
        <f t="shared" ca="1" si="45"/>
        <v>0</v>
      </c>
      <c r="Y52" s="569">
        <f t="shared" ca="1" si="45"/>
        <v>0</v>
      </c>
      <c r="Z52" s="569">
        <f t="shared" ca="1" si="45"/>
        <v>0</v>
      </c>
      <c r="AA52" s="569">
        <f t="shared" ca="1" si="45"/>
        <v>0</v>
      </c>
      <c r="AB52" s="569">
        <f t="shared" ca="1" si="45"/>
        <v>0</v>
      </c>
      <c r="AC52" s="569">
        <f t="shared" ca="1" si="45"/>
        <v>0</v>
      </c>
      <c r="AD52" s="569">
        <f t="shared" ca="1" si="45"/>
        <v>0</v>
      </c>
      <c r="AE52" s="569">
        <f t="shared" ca="1" si="45"/>
        <v>0</v>
      </c>
      <c r="AF52" s="569">
        <f t="shared" ca="1" si="45"/>
        <v>0</v>
      </c>
      <c r="AG52" s="569">
        <f t="shared" ca="1" si="45"/>
        <v>0</v>
      </c>
      <c r="AH52" s="569">
        <f t="shared" ca="1" si="45"/>
        <v>0</v>
      </c>
      <c r="AI52" s="569">
        <f t="shared" ca="1" si="45"/>
        <v>0</v>
      </c>
      <c r="AJ52" s="569">
        <f t="shared" ca="1" si="45"/>
        <v>0</v>
      </c>
      <c r="AK52" s="569">
        <f t="shared" ca="1" si="45"/>
        <v>0</v>
      </c>
      <c r="AL52" s="569">
        <f t="shared" ca="1" si="45"/>
        <v>0</v>
      </c>
      <c r="AM52" s="569">
        <f t="shared" ca="1" si="45"/>
        <v>0</v>
      </c>
      <c r="AN52" s="569">
        <f t="shared" ca="1" si="45"/>
        <v>0</v>
      </c>
      <c r="AO52" s="569">
        <f t="shared" ca="1" si="45"/>
        <v>0</v>
      </c>
      <c r="AP52" s="569">
        <f t="shared" ca="1" si="45"/>
        <v>0</v>
      </c>
      <c r="AQ52" s="569">
        <f t="shared" ca="1" si="45"/>
        <v>0</v>
      </c>
      <c r="AR52" s="569">
        <f t="shared" ca="1" si="45"/>
        <v>0</v>
      </c>
      <c r="AS52" s="569">
        <f t="shared" ca="1" si="45"/>
        <v>0</v>
      </c>
      <c r="AT52" s="569">
        <f t="shared" ca="1" si="45"/>
        <v>0</v>
      </c>
      <c r="AU52" s="569">
        <f t="shared" ca="1" si="45"/>
        <v>0</v>
      </c>
      <c r="AV52" s="569">
        <f t="shared" ca="1" si="45"/>
        <v>0</v>
      </c>
      <c r="AW52" s="569">
        <f t="shared" ca="1" si="45"/>
        <v>0</v>
      </c>
      <c r="AX52" s="569">
        <f t="shared" ca="1" si="45"/>
        <v>0</v>
      </c>
      <c r="AY52" s="569">
        <f t="shared" ca="1" si="45"/>
        <v>0</v>
      </c>
      <c r="AZ52" s="569">
        <f t="shared" ca="1" si="45"/>
        <v>0</v>
      </c>
      <c r="BA52" s="569">
        <f t="shared" ca="1" si="45"/>
        <v>0</v>
      </c>
      <c r="BB52" s="569">
        <f t="shared" ca="1" si="45"/>
        <v>0</v>
      </c>
      <c r="BC52" s="569">
        <f t="shared" ca="1" si="45"/>
        <v>0</v>
      </c>
      <c r="BD52" s="569">
        <f t="shared" ca="1" si="45"/>
        <v>0</v>
      </c>
      <c r="BE52" s="569">
        <f t="shared" ca="1" si="45"/>
        <v>0</v>
      </c>
      <c r="BF52" s="569">
        <f t="shared" ca="1" si="45"/>
        <v>0</v>
      </c>
      <c r="BG52" s="569">
        <f t="shared" ca="1" si="45"/>
        <v>0</v>
      </c>
      <c r="BH52" s="569">
        <f t="shared" ca="1" si="45"/>
        <v>0</v>
      </c>
      <c r="BI52" s="569">
        <f t="shared" ca="1" si="45"/>
        <v>0</v>
      </c>
      <c r="BJ52" s="569">
        <f t="shared" ca="1" si="45"/>
        <v>0</v>
      </c>
      <c r="BK52" s="569">
        <f t="shared" ca="1" si="45"/>
        <v>0</v>
      </c>
      <c r="BL52" s="569">
        <f t="shared" ca="1" si="45"/>
        <v>0</v>
      </c>
      <c r="BM52" s="569">
        <f t="shared" ca="1" si="45"/>
        <v>0</v>
      </c>
      <c r="BN52" s="569">
        <f t="shared" ca="1" si="45"/>
        <v>0</v>
      </c>
      <c r="BO52" s="569">
        <f t="shared" ca="1" si="45"/>
        <v>0</v>
      </c>
      <c r="BP52" s="569"/>
      <c r="BQ52" s="569"/>
      <c r="BR52" s="569"/>
      <c r="BS52" s="569"/>
      <c r="BT52" s="569"/>
      <c r="BU52" s="569"/>
      <c r="BV52" s="569"/>
      <c r="BW52" s="569"/>
      <c r="BX52" s="569"/>
      <c r="BY52" s="569"/>
      <c r="BZ52" s="569"/>
      <c r="CA52" s="569"/>
      <c r="CB52" s="569"/>
      <c r="CC52" s="569"/>
      <c r="CD52" s="569"/>
      <c r="CE52" s="569"/>
      <c r="CF52" s="569"/>
      <c r="CG52" s="569"/>
      <c r="CH52" s="569"/>
      <c r="CI52" s="569"/>
      <c r="CJ52" s="569"/>
      <c r="CK52" s="569"/>
      <c r="CL52" s="569"/>
      <c r="CM52" s="569"/>
      <c r="CN52" s="569"/>
      <c r="CO52" s="569"/>
      <c r="CP52" s="569"/>
      <c r="CQ52" s="569"/>
      <c r="CR52" s="569"/>
      <c r="CS52" s="569"/>
      <c r="CT52" s="569"/>
      <c r="CU52" s="569"/>
      <c r="CV52" s="569"/>
      <c r="CW52" s="569"/>
      <c r="CX52" s="569"/>
      <c r="CY52" s="569"/>
      <c r="CZ52" s="569"/>
      <c r="DA52" s="569"/>
      <c r="DB52" s="569"/>
      <c r="DC52" s="569"/>
      <c r="DD52" s="569"/>
      <c r="DE52" s="569"/>
      <c r="DF52" s="569"/>
      <c r="DG52" s="569"/>
      <c r="DH52" s="569"/>
      <c r="DI52" s="569"/>
      <c r="DJ52" s="569"/>
      <c r="DK52" s="569"/>
      <c r="DL52" s="569"/>
      <c r="DM52" s="569"/>
      <c r="DN52" s="569"/>
      <c r="DO52" s="569"/>
      <c r="DP52" s="569"/>
      <c r="DQ52" s="569"/>
      <c r="DR52" s="569"/>
      <c r="DS52" s="569"/>
      <c r="DT52" s="569"/>
      <c r="DU52" s="569"/>
      <c r="DV52" s="569"/>
      <c r="DW52" s="569"/>
    </row>
    <row r="54" spans="1:127">
      <c r="A54" s="861" t="s">
        <v>1197</v>
      </c>
      <c r="B54" s="862"/>
      <c r="C54" s="862"/>
      <c r="D54" s="864"/>
      <c r="E54" s="864"/>
      <c r="F54" s="863"/>
      <c r="G54" s="534">
        <f ca="1">MIN(MAX(G57,G58)+G59,G27)</f>
        <v>-1169.6619115852516</v>
      </c>
      <c r="H54" s="534">
        <f t="shared" ref="H54:BO54" ca="1" si="46">MIN(MAX(H57,H58)+H59,H27)</f>
        <v>-636.80880841156454</v>
      </c>
      <c r="I54" s="534">
        <f t="shared" ca="1" si="46"/>
        <v>-638.36466917743735</v>
      </c>
      <c r="J54" s="534">
        <f ca="1">MIN(MAX(J57,J58)+J59,J27)</f>
        <v>-661.36538167679203</v>
      </c>
      <c r="K54" s="534">
        <f t="shared" ca="1" si="46"/>
        <v>-667.15244483410731</v>
      </c>
      <c r="L54" s="534">
        <f t="shared" ca="1" si="46"/>
        <v>-687.65560485565209</v>
      </c>
      <c r="M54" s="534">
        <f t="shared" ca="1" si="46"/>
        <v>-690.07491164320265</v>
      </c>
      <c r="N54" s="534">
        <f t="shared" ca="1" si="46"/>
        <v>-715.40845403250773</v>
      </c>
      <c r="O54" s="534">
        <f t="shared" ca="1" si="46"/>
        <v>-718.27083221196267</v>
      </c>
      <c r="P54" s="534">
        <f t="shared" ca="1" si="46"/>
        <v>-745.11613763231446</v>
      </c>
      <c r="Q54" s="534">
        <f t="shared" ca="1" si="46"/>
        <v>-748.46419290816721</v>
      </c>
      <c r="R54" s="534">
        <f t="shared" ca="1" si="46"/>
        <v>-776.93536429348069</v>
      </c>
      <c r="S54" s="534">
        <f t="shared" ca="1" si="46"/>
        <v>-785.1684339414179</v>
      </c>
      <c r="T54" s="534">
        <f t="shared" ca="1" si="46"/>
        <v>-811.20991410080865</v>
      </c>
      <c r="U54" s="534">
        <f t="shared" ca="1" si="46"/>
        <v>-815.67598193946344</v>
      </c>
      <c r="V54" s="534">
        <f t="shared" ca="1" si="46"/>
        <v>-847.79654203567486</v>
      </c>
      <c r="W54" s="534">
        <f t="shared" ca="1" si="46"/>
        <v>-852.89954109043913</v>
      </c>
      <c r="X54" s="534">
        <f t="shared" ca="1" si="46"/>
        <v>-887.05784180853095</v>
      </c>
      <c r="Y54" s="534">
        <f t="shared" ca="1" si="46"/>
        <v>-892.8570178659445</v>
      </c>
      <c r="Z54" s="534">
        <f t="shared" ca="1" si="46"/>
        <v>-929.21425807705657</v>
      </c>
      <c r="AA54" s="534">
        <f t="shared" ca="1" si="46"/>
        <v>-940.98561404032034</v>
      </c>
      <c r="AB54" s="534">
        <f t="shared" ca="1" si="46"/>
        <v>-974.71226715970897</v>
      </c>
      <c r="AC54" s="534">
        <f t="shared" ca="1" si="46"/>
        <v>-983.11886555325827</v>
      </c>
      <c r="AD54" s="534">
        <f t="shared" ca="1" si="46"/>
        <v>-1025.2860661299587</v>
      </c>
      <c r="AE54" s="534">
        <f t="shared" ca="1" si="46"/>
        <v>-1034.6431381159011</v>
      </c>
      <c r="AF54" s="534">
        <f t="shared" ca="1" si="46"/>
        <v>-1079.6770300090795</v>
      </c>
      <c r="AG54" s="534">
        <f t="shared" ca="1" si="46"/>
        <v>-1053.1826196147904</v>
      </c>
      <c r="AH54" s="534">
        <f t="shared" ca="1" si="46"/>
        <v>-1067.2828534922648</v>
      </c>
      <c r="AI54" s="534">
        <f t="shared" ca="1" si="46"/>
        <v>-1045.362070318816</v>
      </c>
      <c r="AJ54" s="534">
        <f t="shared" ca="1" si="46"/>
        <v>-1052.2100644472955</v>
      </c>
      <c r="AK54" s="534">
        <f t="shared" ca="1" si="46"/>
        <v>-957.99951666674417</v>
      </c>
      <c r="AL54" s="534">
        <f t="shared" ca="1" si="46"/>
        <v>-909.85940279784518</v>
      </c>
      <c r="AM54" s="534">
        <f t="shared" ca="1" si="46"/>
        <v>-817.39442151993831</v>
      </c>
      <c r="AN54" s="534">
        <f t="shared" ca="1" si="46"/>
        <v>-758.71455687973287</v>
      </c>
      <c r="AO54" s="534">
        <f t="shared" ca="1" si="46"/>
        <v>-660.49171338511303</v>
      </c>
      <c r="AP54" s="534">
        <f t="shared" ca="1" si="46"/>
        <v>-591.10565241267363</v>
      </c>
      <c r="AQ54" s="534">
        <f t="shared" ca="1" si="46"/>
        <v>-489.7754845300833</v>
      </c>
      <c r="AR54" s="534">
        <f t="shared" ca="1" si="46"/>
        <v>-405.87277286536892</v>
      </c>
      <c r="AS54" s="534">
        <f t="shared" ca="1" si="46"/>
        <v>-295.05129364478694</v>
      </c>
      <c r="AT54" s="534">
        <f t="shared" ca="1" si="46"/>
        <v>-201.39388901789349</v>
      </c>
      <c r="AU54" s="534">
        <f t="shared" ca="1" si="46"/>
        <v>-83.63357195822519</v>
      </c>
      <c r="AV54" s="534">
        <f t="shared" ca="1" si="46"/>
        <v>0</v>
      </c>
      <c r="AW54" s="534">
        <f t="shared" ca="1" si="46"/>
        <v>0</v>
      </c>
      <c r="AX54" s="534">
        <f t="shared" ca="1" si="46"/>
        <v>0</v>
      </c>
      <c r="AY54" s="534">
        <f t="shared" ca="1" si="46"/>
        <v>0</v>
      </c>
      <c r="AZ54" s="534">
        <f t="shared" ca="1" si="46"/>
        <v>0</v>
      </c>
      <c r="BA54" s="534">
        <f t="shared" ca="1" si="46"/>
        <v>0</v>
      </c>
      <c r="BB54" s="534">
        <f t="shared" ca="1" si="46"/>
        <v>0</v>
      </c>
      <c r="BC54" s="534">
        <f t="shared" ca="1" si="46"/>
        <v>0</v>
      </c>
      <c r="BD54" s="534">
        <f t="shared" ca="1" si="46"/>
        <v>0</v>
      </c>
      <c r="BE54" s="534">
        <f t="shared" ca="1" si="46"/>
        <v>0</v>
      </c>
      <c r="BF54" s="534">
        <f t="shared" ca="1" si="46"/>
        <v>0</v>
      </c>
      <c r="BG54" s="534">
        <f t="shared" ca="1" si="46"/>
        <v>0</v>
      </c>
      <c r="BH54" s="534">
        <f t="shared" ca="1" si="46"/>
        <v>0</v>
      </c>
      <c r="BI54" s="534">
        <f t="shared" ca="1" si="46"/>
        <v>0</v>
      </c>
      <c r="BJ54" s="534">
        <f t="shared" ca="1" si="46"/>
        <v>0</v>
      </c>
      <c r="BK54" s="534">
        <f t="shared" ca="1" si="46"/>
        <v>0</v>
      </c>
      <c r="BL54" s="534">
        <f t="shared" ca="1" si="46"/>
        <v>0</v>
      </c>
      <c r="BM54" s="534">
        <f t="shared" ca="1" si="46"/>
        <v>0</v>
      </c>
      <c r="BN54" s="534">
        <f t="shared" ca="1" si="46"/>
        <v>0</v>
      </c>
      <c r="BO54" s="534">
        <f t="shared" ca="1" si="46"/>
        <v>0</v>
      </c>
      <c r="BP54" s="534"/>
      <c r="BQ54" s="534"/>
      <c r="BR54" s="534"/>
      <c r="BS54" s="534"/>
      <c r="BT54" s="534"/>
      <c r="BU54" s="534"/>
      <c r="BV54" s="534"/>
      <c r="BW54" s="534"/>
      <c r="BX54" s="534"/>
      <c r="BY54" s="534"/>
      <c r="BZ54" s="534"/>
      <c r="CA54" s="534"/>
      <c r="CB54" s="534"/>
      <c r="CC54" s="534"/>
      <c r="CD54" s="534"/>
      <c r="CE54" s="534"/>
      <c r="CF54" s="534"/>
      <c r="CG54" s="534"/>
      <c r="CH54" s="534"/>
      <c r="CI54" s="534"/>
      <c r="CJ54" s="534"/>
      <c r="CK54" s="534"/>
      <c r="CL54" s="534"/>
      <c r="CM54" s="534"/>
      <c r="CN54" s="534"/>
      <c r="CO54" s="534"/>
      <c r="CP54" s="534"/>
      <c r="CQ54" s="534"/>
      <c r="CR54" s="534"/>
      <c r="CS54" s="534"/>
      <c r="CT54" s="534"/>
      <c r="CU54" s="534"/>
      <c r="CV54" s="534"/>
      <c r="CW54" s="534"/>
      <c r="CX54" s="534"/>
      <c r="CY54" s="534"/>
      <c r="CZ54" s="534"/>
      <c r="DA54" s="534"/>
      <c r="DB54" s="534"/>
      <c r="DC54" s="534"/>
      <c r="DD54" s="534"/>
      <c r="DE54" s="534"/>
      <c r="DF54" s="534"/>
      <c r="DG54" s="534"/>
      <c r="DH54" s="534"/>
      <c r="DI54" s="534"/>
      <c r="DJ54" s="534"/>
      <c r="DK54" s="534"/>
      <c r="DL54" s="534"/>
      <c r="DM54" s="534"/>
      <c r="DN54" s="534"/>
      <c r="DO54" s="534"/>
      <c r="DP54" s="534"/>
      <c r="DQ54" s="534"/>
      <c r="DR54" s="534"/>
      <c r="DS54" s="534"/>
      <c r="DT54" s="534"/>
      <c r="DU54" s="534"/>
      <c r="DV54" s="534"/>
      <c r="DW54" s="534"/>
    </row>
    <row r="55" spans="1:127">
      <c r="A55" s="304"/>
      <c r="B55" s="726"/>
      <c r="C55" s="726"/>
      <c r="D55" s="304"/>
      <c r="E55" s="304"/>
      <c r="F55" s="304"/>
      <c r="G55" s="810"/>
      <c r="H55" s="810"/>
      <c r="I55" s="810"/>
      <c r="J55" s="810"/>
      <c r="K55" s="810"/>
      <c r="L55" s="810"/>
      <c r="M55" s="810"/>
      <c r="N55" s="810"/>
      <c r="O55" s="810"/>
      <c r="P55" s="810"/>
      <c r="Q55" s="810"/>
      <c r="R55" s="810"/>
      <c r="S55" s="810"/>
      <c r="T55" s="810"/>
      <c r="U55" s="810"/>
      <c r="V55" s="810"/>
      <c r="W55" s="810"/>
      <c r="X55" s="810"/>
      <c r="Y55" s="810"/>
      <c r="Z55" s="810"/>
      <c r="AA55" s="810"/>
      <c r="AB55" s="810"/>
      <c r="AC55" s="810"/>
      <c r="AD55" s="810"/>
      <c r="AE55" s="810"/>
      <c r="AF55" s="810"/>
      <c r="AG55" s="810"/>
      <c r="AH55" s="810"/>
      <c r="AI55" s="810"/>
      <c r="AJ55" s="810"/>
      <c r="AK55" s="810"/>
      <c r="AL55" s="810"/>
      <c r="AM55" s="810"/>
      <c r="AN55" s="810"/>
      <c r="AO55" s="810"/>
      <c r="AP55" s="810"/>
      <c r="AQ55" s="810"/>
      <c r="AR55" s="810"/>
      <c r="AS55" s="810"/>
      <c r="AT55" s="810"/>
      <c r="AU55" s="810"/>
      <c r="AV55" s="810"/>
      <c r="AW55" s="810"/>
      <c r="AX55" s="810"/>
      <c r="AY55" s="810"/>
      <c r="AZ55" s="810"/>
      <c r="BA55" s="810"/>
      <c r="BB55" s="810"/>
      <c r="BC55" s="810"/>
      <c r="BD55" s="810"/>
      <c r="BE55" s="810"/>
      <c r="BF55" s="810"/>
      <c r="BG55" s="810"/>
      <c r="BH55" s="810"/>
      <c r="BI55" s="810"/>
      <c r="BJ55" s="810"/>
      <c r="BK55" s="810"/>
      <c r="BL55" s="810"/>
      <c r="BM55" s="810"/>
      <c r="BN55" s="810"/>
      <c r="BO55" s="810"/>
      <c r="BP55" s="810"/>
      <c r="BQ55" s="810"/>
      <c r="BR55" s="810"/>
      <c r="BS55" s="810"/>
      <c r="BT55" s="810"/>
      <c r="BU55" s="810"/>
      <c r="BV55" s="810"/>
      <c r="BW55" s="810"/>
      <c r="BX55" s="810"/>
      <c r="BY55" s="810"/>
      <c r="BZ55" s="810"/>
      <c r="CA55" s="810"/>
      <c r="CB55" s="810"/>
      <c r="CC55" s="810"/>
      <c r="CD55" s="810"/>
      <c r="CE55" s="810"/>
      <c r="CF55" s="810"/>
      <c r="CG55" s="810"/>
      <c r="CH55" s="810"/>
      <c r="CI55" s="810"/>
      <c r="CJ55" s="810"/>
      <c r="CK55" s="810"/>
      <c r="CL55" s="810"/>
      <c r="CM55" s="810"/>
      <c r="CN55" s="810"/>
      <c r="CO55" s="810"/>
      <c r="CP55" s="810"/>
      <c r="CQ55" s="810"/>
      <c r="CR55" s="810"/>
      <c r="CS55" s="810"/>
      <c r="CT55" s="810"/>
      <c r="CU55" s="810"/>
      <c r="CV55" s="810"/>
      <c r="CW55" s="810"/>
      <c r="CX55" s="810"/>
      <c r="CY55" s="810"/>
      <c r="CZ55" s="810"/>
      <c r="DA55" s="810"/>
      <c r="DB55" s="810"/>
      <c r="DC55" s="810"/>
      <c r="DD55" s="810"/>
      <c r="DE55" s="810"/>
      <c r="DF55" s="810"/>
      <c r="DG55" s="810"/>
      <c r="DH55" s="810"/>
      <c r="DI55" s="810"/>
      <c r="DJ55" s="810"/>
      <c r="DK55" s="810"/>
      <c r="DL55" s="810"/>
      <c r="DM55" s="810"/>
      <c r="DN55" s="810"/>
      <c r="DO55" s="810"/>
      <c r="DP55" s="810"/>
      <c r="DQ55" s="810"/>
      <c r="DR55" s="810"/>
      <c r="DS55" s="810"/>
      <c r="DT55" s="810"/>
      <c r="DU55" s="810"/>
      <c r="DV55" s="810"/>
      <c r="DW55" s="810"/>
    </row>
    <row r="56" spans="1:127" s="1110" customFormat="1">
      <c r="A56" s="1396" t="s">
        <v>1206</v>
      </c>
      <c r="B56" s="1178"/>
      <c r="C56" s="726"/>
      <c r="D56" s="494"/>
      <c r="E56" s="494"/>
      <c r="F56" s="494"/>
      <c r="G56" s="494" t="b">
        <f ca="1">BS!G45</f>
        <v>0</v>
      </c>
      <c r="H56" s="494" t="b">
        <f ca="1">BS!H45</f>
        <v>0</v>
      </c>
      <c r="I56" s="494" t="b">
        <f ca="1">BS!I45</f>
        <v>0</v>
      </c>
      <c r="J56" s="494" t="b">
        <f ca="1">BS!J45</f>
        <v>0</v>
      </c>
      <c r="K56" s="494" t="b">
        <f ca="1">BS!K45</f>
        <v>0</v>
      </c>
      <c r="L56" s="494" t="b">
        <f ca="1">BS!L45</f>
        <v>0</v>
      </c>
      <c r="M56" s="494" t="b">
        <f ca="1">BS!M45</f>
        <v>0</v>
      </c>
      <c r="N56" s="494" t="b">
        <f ca="1">BS!N45</f>
        <v>0</v>
      </c>
      <c r="O56" s="494" t="b">
        <f ca="1">BS!O45</f>
        <v>0</v>
      </c>
      <c r="P56" s="494" t="b">
        <f ca="1">BS!P45</f>
        <v>0</v>
      </c>
      <c r="Q56" s="494" t="b">
        <f ca="1">BS!Q45</f>
        <v>0</v>
      </c>
      <c r="R56" s="494" t="b">
        <f ca="1">BS!R45</f>
        <v>0</v>
      </c>
      <c r="S56" s="494" t="b">
        <f ca="1">BS!S45</f>
        <v>0</v>
      </c>
      <c r="T56" s="494" t="b">
        <f ca="1">BS!T45</f>
        <v>0</v>
      </c>
      <c r="U56" s="494" t="b">
        <f ca="1">BS!U45</f>
        <v>0</v>
      </c>
      <c r="V56" s="494" t="b">
        <f ca="1">BS!V45</f>
        <v>0</v>
      </c>
      <c r="W56" s="494" t="b">
        <f ca="1">BS!W45</f>
        <v>0</v>
      </c>
      <c r="X56" s="494" t="b">
        <f ca="1">BS!X45</f>
        <v>0</v>
      </c>
      <c r="Y56" s="494" t="b">
        <f ca="1">BS!Y45</f>
        <v>0</v>
      </c>
      <c r="Z56" s="494" t="b">
        <f ca="1">BS!Z45</f>
        <v>0</v>
      </c>
      <c r="AA56" s="494" t="b">
        <f ca="1">BS!AA45</f>
        <v>0</v>
      </c>
      <c r="AB56" s="494" t="b">
        <f ca="1">BS!AB45</f>
        <v>0</v>
      </c>
      <c r="AC56" s="494" t="b">
        <f ca="1">BS!AC45</f>
        <v>0</v>
      </c>
      <c r="AD56" s="494" t="b">
        <f ca="1">BS!AD45</f>
        <v>0</v>
      </c>
      <c r="AE56" s="494" t="b">
        <f ca="1">BS!AE45</f>
        <v>0</v>
      </c>
      <c r="AF56" s="494" t="b">
        <f ca="1">BS!AF45</f>
        <v>0</v>
      </c>
      <c r="AG56" s="494" t="b">
        <f ca="1">BS!AG45</f>
        <v>0</v>
      </c>
      <c r="AH56" s="494" t="b">
        <f ca="1">BS!AH45</f>
        <v>0</v>
      </c>
      <c r="AI56" s="494" t="b">
        <f ca="1">BS!AI45</f>
        <v>0</v>
      </c>
      <c r="AJ56" s="494" t="b">
        <f ca="1">BS!AJ45</f>
        <v>0</v>
      </c>
      <c r="AK56" s="494" t="b">
        <f ca="1">BS!AK45</f>
        <v>0</v>
      </c>
      <c r="AL56" s="494" t="b">
        <f ca="1">BS!AL45</f>
        <v>0</v>
      </c>
      <c r="AM56" s="494" t="b">
        <f ca="1">BS!AM45</f>
        <v>0</v>
      </c>
      <c r="AN56" s="494" t="b">
        <f ca="1">BS!AN45</f>
        <v>0</v>
      </c>
      <c r="AO56" s="494" t="b">
        <f ca="1">BS!AO45</f>
        <v>0</v>
      </c>
      <c r="AP56" s="494" t="b">
        <f ca="1">BS!AP45</f>
        <v>0</v>
      </c>
      <c r="AQ56" s="494" t="b">
        <f ca="1">BS!AQ45</f>
        <v>0</v>
      </c>
      <c r="AR56" s="494" t="b">
        <f ca="1">BS!AR45</f>
        <v>0</v>
      </c>
      <c r="AS56" s="494" t="b">
        <f ca="1">BS!AS45</f>
        <v>0</v>
      </c>
      <c r="AT56" s="494" t="b">
        <f ca="1">BS!AT45</f>
        <v>0</v>
      </c>
      <c r="AU56" s="494" t="b">
        <f ca="1">BS!AU45</f>
        <v>0</v>
      </c>
      <c r="AV56" s="494" t="b">
        <f ca="1">BS!AV45</f>
        <v>0</v>
      </c>
      <c r="AW56" s="494" t="b">
        <f ca="1">BS!AW45</f>
        <v>0</v>
      </c>
      <c r="AX56" s="494" t="b">
        <f ca="1">BS!AX45</f>
        <v>0</v>
      </c>
      <c r="AY56" s="494" t="b">
        <f ca="1">BS!AY45</f>
        <v>0</v>
      </c>
      <c r="AZ56" s="494" t="b">
        <f ca="1">BS!AZ45</f>
        <v>0</v>
      </c>
      <c r="BA56" s="494" t="b">
        <f ca="1">BS!BA45</f>
        <v>0</v>
      </c>
      <c r="BB56" s="494" t="b">
        <f ca="1">BS!BB45</f>
        <v>0</v>
      </c>
      <c r="BC56" s="494" t="b">
        <f ca="1">BS!BC45</f>
        <v>0</v>
      </c>
      <c r="BD56" s="494" t="b">
        <f ca="1">BS!BD45</f>
        <v>0</v>
      </c>
      <c r="BE56" s="494" t="b">
        <f ca="1">BS!BE45</f>
        <v>0</v>
      </c>
      <c r="BF56" s="494" t="b">
        <f ca="1">BS!BF45</f>
        <v>0</v>
      </c>
      <c r="BG56" s="494" t="b">
        <f ca="1">BS!BG45</f>
        <v>0</v>
      </c>
      <c r="BH56" s="494" t="b">
        <f ca="1">BS!BH45</f>
        <v>0</v>
      </c>
      <c r="BI56" s="494" t="b">
        <f ca="1">BS!BI45</f>
        <v>0</v>
      </c>
      <c r="BJ56" s="494" t="b">
        <f ca="1">BS!BJ45</f>
        <v>0</v>
      </c>
      <c r="BK56" s="494" t="b">
        <f ca="1">BS!BK45</f>
        <v>0</v>
      </c>
      <c r="BL56" s="494" t="b">
        <f ca="1">BS!BL45</f>
        <v>0</v>
      </c>
      <c r="BM56" s="494" t="b">
        <f ca="1">BS!BM45</f>
        <v>0</v>
      </c>
      <c r="BN56" s="494" t="b">
        <f ca="1">BS!BN45</f>
        <v>0</v>
      </c>
      <c r="BO56" s="494" t="b">
        <f ca="1">BS!BO45</f>
        <v>0</v>
      </c>
      <c r="BP56" s="494"/>
      <c r="BQ56" s="494"/>
      <c r="BR56" s="494"/>
      <c r="BS56" s="494"/>
      <c r="BT56" s="494"/>
      <c r="BU56" s="494"/>
      <c r="BV56" s="494"/>
      <c r="BW56" s="494"/>
      <c r="BX56" s="494"/>
      <c r="BY56" s="494"/>
      <c r="BZ56" s="494"/>
      <c r="CA56" s="494"/>
      <c r="CB56" s="494"/>
      <c r="CC56" s="494"/>
      <c r="CD56" s="494"/>
      <c r="CE56" s="494"/>
      <c r="CF56" s="494"/>
      <c r="CG56" s="494"/>
      <c r="CH56" s="494"/>
      <c r="CI56" s="494"/>
      <c r="CJ56" s="494"/>
      <c r="CK56" s="494"/>
      <c r="CL56" s="494"/>
      <c r="CM56" s="494"/>
      <c r="CN56" s="494"/>
      <c r="CO56" s="494"/>
      <c r="CP56" s="494"/>
      <c r="CQ56" s="494"/>
      <c r="CR56" s="494"/>
      <c r="CS56" s="494"/>
      <c r="CT56" s="494"/>
      <c r="CU56" s="494"/>
      <c r="CV56" s="494"/>
      <c r="CW56" s="494"/>
      <c r="CX56" s="494"/>
      <c r="CY56" s="494"/>
      <c r="CZ56" s="494"/>
      <c r="DA56" s="494"/>
      <c r="DB56" s="494"/>
      <c r="DC56" s="494"/>
      <c r="DD56" s="494"/>
      <c r="DE56" s="494"/>
      <c r="DF56" s="494"/>
      <c r="DG56" s="494"/>
      <c r="DH56" s="494"/>
      <c r="DI56" s="494"/>
      <c r="DJ56" s="494"/>
      <c r="DK56" s="494"/>
      <c r="DL56" s="494"/>
      <c r="DM56" s="494"/>
      <c r="DN56" s="494"/>
      <c r="DO56" s="494"/>
      <c r="DP56" s="494"/>
      <c r="DQ56" s="494"/>
      <c r="DR56" s="494"/>
      <c r="DS56" s="494"/>
      <c r="DT56" s="494"/>
      <c r="DU56" s="494"/>
      <c r="DV56" s="494"/>
      <c r="DW56" s="494"/>
    </row>
    <row r="57" spans="1:127" s="1110" customFormat="1">
      <c r="A57" s="494" t="str">
        <f>Inputs!A416</f>
        <v>Max. SHL interests expenses</v>
      </c>
      <c r="B57" s="1178"/>
      <c r="C57" s="810">
        <f>Inputs!D416</f>
        <v>3000</v>
      </c>
      <c r="D57" s="494"/>
      <c r="E57" s="494"/>
      <c r="F57" s="494"/>
      <c r="G57" s="459">
        <f ca="1">IF(G56,MAX(G27-$C$57,0),0)</f>
        <v>0</v>
      </c>
      <c r="H57" s="459">
        <f t="shared" ref="H57:R57" ca="1" si="47">IF(H56,MAX(H27-$C$57,0),0)</f>
        <v>0</v>
      </c>
      <c r="I57" s="459">
        <f t="shared" ca="1" si="47"/>
        <v>0</v>
      </c>
      <c r="J57" s="459">
        <f t="shared" ca="1" si="47"/>
        <v>0</v>
      </c>
      <c r="K57" s="459">
        <f t="shared" ca="1" si="47"/>
        <v>0</v>
      </c>
      <c r="L57" s="459">
        <f t="shared" ca="1" si="47"/>
        <v>0</v>
      </c>
      <c r="M57" s="459">
        <f t="shared" ca="1" si="47"/>
        <v>0</v>
      </c>
      <c r="N57" s="459">
        <f t="shared" ca="1" si="47"/>
        <v>0</v>
      </c>
      <c r="O57" s="459">
        <f t="shared" ca="1" si="47"/>
        <v>0</v>
      </c>
      <c r="P57" s="459">
        <f t="shared" ca="1" si="47"/>
        <v>0</v>
      </c>
      <c r="Q57" s="459">
        <f t="shared" ca="1" si="47"/>
        <v>0</v>
      </c>
      <c r="R57" s="459">
        <f t="shared" ca="1" si="47"/>
        <v>0</v>
      </c>
      <c r="S57" s="459">
        <f t="shared" ref="S57" ca="1" si="48">IF(S56,MAX(S27-$C$57,0),0)</f>
        <v>0</v>
      </c>
      <c r="T57" s="459">
        <f t="shared" ref="T57" ca="1" si="49">IF(T56,MAX(T27-$C$57,0),0)</f>
        <v>0</v>
      </c>
      <c r="U57" s="459">
        <f t="shared" ref="U57" ca="1" si="50">IF(U56,MAX(U27-$C$57,0),0)</f>
        <v>0</v>
      </c>
      <c r="V57" s="459">
        <f t="shared" ref="V57" ca="1" si="51">IF(V56,MAX(V27-$C$57,0),0)</f>
        <v>0</v>
      </c>
      <c r="W57" s="459">
        <f t="shared" ref="W57" ca="1" si="52">IF(W56,MAX(W27-$C$57,0),0)</f>
        <v>0</v>
      </c>
      <c r="X57" s="459">
        <f t="shared" ref="X57" ca="1" si="53">IF(X56,MAX(X27-$C$57,0),0)</f>
        <v>0</v>
      </c>
      <c r="Y57" s="459">
        <f t="shared" ref="Y57" ca="1" si="54">IF(Y56,MAX(Y27-$C$57,0),0)</f>
        <v>0</v>
      </c>
      <c r="Z57" s="459">
        <f t="shared" ref="Z57" ca="1" si="55">IF(Z56,MAX(Z27-$C$57,0),0)</f>
        <v>0</v>
      </c>
      <c r="AA57" s="459">
        <f t="shared" ref="AA57" ca="1" si="56">IF(AA56,MAX(AA27-$C$57,0),0)</f>
        <v>0</v>
      </c>
      <c r="AB57" s="459">
        <f t="shared" ref="AB57" ca="1" si="57">IF(AB56,MAX(AB27-$C$57,0),0)</f>
        <v>0</v>
      </c>
      <c r="AC57" s="459">
        <f t="shared" ref="AC57" ca="1" si="58">IF(AC56,MAX(AC27-$C$57,0),0)</f>
        <v>0</v>
      </c>
      <c r="AD57" s="459">
        <f t="shared" ref="AD57" ca="1" si="59">IF(AD56,MAX(AD27-$C$57,0),0)</f>
        <v>0</v>
      </c>
      <c r="AE57" s="459">
        <f t="shared" ref="AE57" ca="1" si="60">IF(AE56,MAX(AE27-$C$57,0),0)</f>
        <v>0</v>
      </c>
      <c r="AF57" s="459">
        <f t="shared" ref="AF57" ca="1" si="61">IF(AF56,MAX(AF27-$C$57,0),0)</f>
        <v>0</v>
      </c>
      <c r="AG57" s="459">
        <f t="shared" ref="AG57" ca="1" si="62">IF(AG56,MAX(AG27-$C$57,0),0)</f>
        <v>0</v>
      </c>
      <c r="AH57" s="459">
        <f t="shared" ref="AH57" ca="1" si="63">IF(AH56,MAX(AH27-$C$57,0),0)</f>
        <v>0</v>
      </c>
      <c r="AI57" s="459">
        <f t="shared" ref="AI57" ca="1" si="64">IF(AI56,MAX(AI27-$C$57,0),0)</f>
        <v>0</v>
      </c>
      <c r="AJ57" s="459">
        <f t="shared" ref="AJ57" ca="1" si="65">IF(AJ56,MAX(AJ27-$C$57,0),0)</f>
        <v>0</v>
      </c>
      <c r="AK57" s="459">
        <f t="shared" ref="AK57" ca="1" si="66">IF(AK56,MAX(AK27-$C$57,0),0)</f>
        <v>0</v>
      </c>
      <c r="AL57" s="459">
        <f t="shared" ref="AL57" ca="1" si="67">IF(AL56,MAX(AL27-$C$57,0),0)</f>
        <v>0</v>
      </c>
      <c r="AM57" s="459">
        <f t="shared" ref="AM57" ca="1" si="68">IF(AM56,MAX(AM27-$C$57,0),0)</f>
        <v>0</v>
      </c>
      <c r="AN57" s="459">
        <f t="shared" ref="AN57" ca="1" si="69">IF(AN56,MAX(AN27-$C$57,0),0)</f>
        <v>0</v>
      </c>
      <c r="AO57" s="459">
        <f t="shared" ref="AO57" ca="1" si="70">IF(AO56,MAX(AO27-$C$57,0),0)</f>
        <v>0</v>
      </c>
      <c r="AP57" s="459">
        <f t="shared" ref="AP57" ca="1" si="71">IF(AP56,MAX(AP27-$C$57,0),0)</f>
        <v>0</v>
      </c>
      <c r="AQ57" s="459">
        <f t="shared" ref="AQ57" ca="1" si="72">IF(AQ56,MAX(AQ27-$C$57,0),0)</f>
        <v>0</v>
      </c>
      <c r="AR57" s="459">
        <f t="shared" ref="AR57" ca="1" si="73">IF(AR56,MAX(AR27-$C$57,0),0)</f>
        <v>0</v>
      </c>
      <c r="AS57" s="459">
        <f t="shared" ref="AS57" ca="1" si="74">IF(AS56,MAX(AS27-$C$57,0),0)</f>
        <v>0</v>
      </c>
      <c r="AT57" s="459">
        <f t="shared" ref="AT57" ca="1" si="75">IF(AT56,MAX(AT27-$C$57,0),0)</f>
        <v>0</v>
      </c>
      <c r="AU57" s="459">
        <f t="shared" ref="AU57" ca="1" si="76">IF(AU56,MAX(AU27-$C$57,0),0)</f>
        <v>0</v>
      </c>
      <c r="AV57" s="459">
        <f t="shared" ref="AV57" ca="1" si="77">IF(AV56,MAX(AV27-$C$57,0),0)</f>
        <v>0</v>
      </c>
      <c r="AW57" s="459">
        <f t="shared" ref="AW57" ca="1" si="78">IF(AW56,MAX(AW27-$C$57,0),0)</f>
        <v>0</v>
      </c>
      <c r="AX57" s="459">
        <f t="shared" ref="AX57" ca="1" si="79">IF(AX56,MAX(AX27-$C$57,0),0)</f>
        <v>0</v>
      </c>
      <c r="AY57" s="459">
        <f t="shared" ref="AY57" ca="1" si="80">IF(AY56,MAX(AY27-$C$57,0),0)</f>
        <v>0</v>
      </c>
      <c r="AZ57" s="459">
        <f t="shared" ref="AZ57" ca="1" si="81">IF(AZ56,MAX(AZ27-$C$57,0),0)</f>
        <v>0</v>
      </c>
      <c r="BA57" s="459">
        <f t="shared" ref="BA57" ca="1" si="82">IF(BA56,MAX(BA27-$C$57,0),0)</f>
        <v>0</v>
      </c>
      <c r="BB57" s="459">
        <f t="shared" ref="BB57" ca="1" si="83">IF(BB56,MAX(BB27-$C$57,0),0)</f>
        <v>0</v>
      </c>
      <c r="BC57" s="459">
        <f t="shared" ref="BC57" ca="1" si="84">IF(BC56,MAX(BC27-$C$57,0),0)</f>
        <v>0</v>
      </c>
      <c r="BD57" s="459">
        <f t="shared" ref="BD57" ca="1" si="85">IF(BD56,MAX(BD27-$C$57,0),0)</f>
        <v>0</v>
      </c>
      <c r="BE57" s="459">
        <f t="shared" ref="BE57" ca="1" si="86">IF(BE56,MAX(BE27-$C$57,0),0)</f>
        <v>0</v>
      </c>
      <c r="BF57" s="459">
        <f t="shared" ref="BF57" ca="1" si="87">IF(BF56,MAX(BF27-$C$57,0),0)</f>
        <v>0</v>
      </c>
      <c r="BG57" s="459">
        <f t="shared" ref="BG57" ca="1" si="88">IF(BG56,MAX(BG27-$C$57,0),0)</f>
        <v>0</v>
      </c>
      <c r="BH57" s="459">
        <f t="shared" ref="BH57" ca="1" si="89">IF(BH56,MAX(BH27-$C$57,0),0)</f>
        <v>0</v>
      </c>
      <c r="BI57" s="459">
        <f t="shared" ref="BI57" ca="1" si="90">IF(BI56,MAX(BI27-$C$57,0),0)</f>
        <v>0</v>
      </c>
      <c r="BJ57" s="459">
        <f t="shared" ref="BJ57" ca="1" si="91">IF(BJ56,MAX(BJ27-$C$57,0),0)</f>
        <v>0</v>
      </c>
      <c r="BK57" s="459">
        <f t="shared" ref="BK57" ca="1" si="92">IF(BK56,MAX(BK27-$C$57,0),0)</f>
        <v>0</v>
      </c>
      <c r="BL57" s="459">
        <f t="shared" ref="BL57" ca="1" si="93">IF(BL56,MAX(BL27-$C$57,0),0)</f>
        <v>0</v>
      </c>
      <c r="BM57" s="459">
        <f t="shared" ref="BM57" ca="1" si="94">IF(BM56,MAX(BM27-$C$57,0),0)</f>
        <v>0</v>
      </c>
      <c r="BN57" s="459">
        <f t="shared" ref="BN57" ca="1" si="95">IF(BN56,MAX(BN27-$C$57,0),0)</f>
        <v>0</v>
      </c>
      <c r="BO57" s="459">
        <f t="shared" ref="BO57" ca="1" si="96">IF(BO56,MAX(BO27-$C$57,0),0)</f>
        <v>0</v>
      </c>
      <c r="BP57" s="459"/>
      <c r="BQ57" s="459"/>
      <c r="BR57" s="459"/>
      <c r="BS57" s="459"/>
      <c r="BT57" s="459"/>
      <c r="BU57" s="459"/>
      <c r="BV57" s="459"/>
      <c r="BW57" s="459"/>
      <c r="BX57" s="459"/>
      <c r="BY57" s="459"/>
      <c r="BZ57" s="459"/>
      <c r="CA57" s="459"/>
      <c r="CB57" s="459"/>
      <c r="CC57" s="459"/>
      <c r="CD57" s="459"/>
      <c r="CE57" s="459"/>
      <c r="CF57" s="459"/>
      <c r="CG57" s="459"/>
      <c r="CH57" s="459"/>
      <c r="CI57" s="459"/>
      <c r="CJ57" s="459"/>
      <c r="CK57" s="459"/>
      <c r="CL57" s="459"/>
      <c r="CM57" s="459"/>
      <c r="CN57" s="459"/>
      <c r="CO57" s="459"/>
      <c r="CP57" s="459"/>
      <c r="CQ57" s="459"/>
      <c r="CR57" s="459"/>
      <c r="CS57" s="459"/>
      <c r="CT57" s="459"/>
      <c r="CU57" s="459"/>
      <c r="CV57" s="459"/>
      <c r="CW57" s="459"/>
      <c r="CX57" s="459"/>
      <c r="CY57" s="459"/>
      <c r="CZ57" s="459"/>
      <c r="DA57" s="459"/>
      <c r="DB57" s="459"/>
      <c r="DC57" s="459"/>
      <c r="DD57" s="459"/>
      <c r="DE57" s="459"/>
      <c r="DF57" s="459"/>
      <c r="DG57" s="459"/>
      <c r="DH57" s="459"/>
      <c r="DI57" s="459"/>
      <c r="DJ57" s="459"/>
      <c r="DK57" s="459"/>
      <c r="DL57" s="459"/>
      <c r="DM57" s="459"/>
      <c r="DN57" s="459"/>
      <c r="DO57" s="459"/>
      <c r="DP57" s="459"/>
      <c r="DQ57" s="459"/>
      <c r="DR57" s="459"/>
      <c r="DS57" s="459"/>
      <c r="DT57" s="459"/>
      <c r="DU57" s="459"/>
      <c r="DV57" s="459"/>
      <c r="DW57" s="459"/>
    </row>
    <row r="58" spans="1:127" s="494" customFormat="1" ht="15">
      <c r="A58" s="494" t="str">
        <f>Inputs!A417</f>
        <v>Max. SHL interests % of EBITDA</v>
      </c>
      <c r="B58" s="1196"/>
      <c r="C58" s="726">
        <f>Inputs!D417</f>
        <v>0.3</v>
      </c>
      <c r="D58" s="1196"/>
      <c r="E58" s="1196"/>
      <c r="F58" s="1196"/>
      <c r="G58" s="459">
        <f ca="1">IF(G56,MAX(G27-$C$58*(G32-G30+G13),0),0)</f>
        <v>0</v>
      </c>
      <c r="H58" s="459">
        <f t="shared" ref="H58:BO58" ca="1" si="97">IF(H56,MAX(H27-$C$58*(H32-H30+H13),0),0)</f>
        <v>0</v>
      </c>
      <c r="I58" s="459">
        <f t="shared" ca="1" si="97"/>
        <v>0</v>
      </c>
      <c r="J58" s="459">
        <f t="shared" ca="1" si="97"/>
        <v>0</v>
      </c>
      <c r="K58" s="459">
        <f t="shared" ca="1" si="97"/>
        <v>0</v>
      </c>
      <c r="L58" s="459">
        <f t="shared" ca="1" si="97"/>
        <v>0</v>
      </c>
      <c r="M58" s="459">
        <f t="shared" ca="1" si="97"/>
        <v>0</v>
      </c>
      <c r="N58" s="459">
        <f t="shared" ca="1" si="97"/>
        <v>0</v>
      </c>
      <c r="O58" s="459">
        <f t="shared" ca="1" si="97"/>
        <v>0</v>
      </c>
      <c r="P58" s="459">
        <f t="shared" ca="1" si="97"/>
        <v>0</v>
      </c>
      <c r="Q58" s="459">
        <f t="shared" ca="1" si="97"/>
        <v>0</v>
      </c>
      <c r="R58" s="459">
        <f t="shared" ca="1" si="97"/>
        <v>0</v>
      </c>
      <c r="S58" s="459">
        <f t="shared" ca="1" si="97"/>
        <v>0</v>
      </c>
      <c r="T58" s="459">
        <f t="shared" ca="1" si="97"/>
        <v>0</v>
      </c>
      <c r="U58" s="459">
        <f t="shared" ca="1" si="97"/>
        <v>0</v>
      </c>
      <c r="V58" s="459">
        <f t="shared" ca="1" si="97"/>
        <v>0</v>
      </c>
      <c r="W58" s="459">
        <f t="shared" ca="1" si="97"/>
        <v>0</v>
      </c>
      <c r="X58" s="459">
        <f t="shared" ca="1" si="97"/>
        <v>0</v>
      </c>
      <c r="Y58" s="459">
        <f t="shared" ca="1" si="97"/>
        <v>0</v>
      </c>
      <c r="Z58" s="459">
        <f t="shared" ca="1" si="97"/>
        <v>0</v>
      </c>
      <c r="AA58" s="459">
        <f t="shared" ca="1" si="97"/>
        <v>0</v>
      </c>
      <c r="AB58" s="459">
        <f t="shared" ca="1" si="97"/>
        <v>0</v>
      </c>
      <c r="AC58" s="459">
        <f t="shared" ca="1" si="97"/>
        <v>0</v>
      </c>
      <c r="AD58" s="459">
        <f t="shared" ca="1" si="97"/>
        <v>0</v>
      </c>
      <c r="AE58" s="459">
        <f t="shared" ca="1" si="97"/>
        <v>0</v>
      </c>
      <c r="AF58" s="459">
        <f t="shared" ca="1" si="97"/>
        <v>0</v>
      </c>
      <c r="AG58" s="459">
        <f t="shared" ca="1" si="97"/>
        <v>0</v>
      </c>
      <c r="AH58" s="459">
        <f t="shared" ca="1" si="97"/>
        <v>0</v>
      </c>
      <c r="AI58" s="459">
        <f t="shared" ca="1" si="97"/>
        <v>0</v>
      </c>
      <c r="AJ58" s="459">
        <f t="shared" ca="1" si="97"/>
        <v>0</v>
      </c>
      <c r="AK58" s="459">
        <f t="shared" ca="1" si="97"/>
        <v>0</v>
      </c>
      <c r="AL58" s="459">
        <f t="shared" ca="1" si="97"/>
        <v>0</v>
      </c>
      <c r="AM58" s="459">
        <f t="shared" ca="1" si="97"/>
        <v>0</v>
      </c>
      <c r="AN58" s="459">
        <f t="shared" ca="1" si="97"/>
        <v>0</v>
      </c>
      <c r="AO58" s="459">
        <f t="shared" ca="1" si="97"/>
        <v>0</v>
      </c>
      <c r="AP58" s="459">
        <f t="shared" ca="1" si="97"/>
        <v>0</v>
      </c>
      <c r="AQ58" s="459">
        <f t="shared" ca="1" si="97"/>
        <v>0</v>
      </c>
      <c r="AR58" s="459">
        <f t="shared" ca="1" si="97"/>
        <v>0</v>
      </c>
      <c r="AS58" s="459">
        <f t="shared" ca="1" si="97"/>
        <v>0</v>
      </c>
      <c r="AT58" s="459">
        <f t="shared" ca="1" si="97"/>
        <v>0</v>
      </c>
      <c r="AU58" s="459">
        <f t="shared" ca="1" si="97"/>
        <v>0</v>
      </c>
      <c r="AV58" s="459">
        <f t="shared" ca="1" si="97"/>
        <v>0</v>
      </c>
      <c r="AW58" s="459">
        <f t="shared" ca="1" si="97"/>
        <v>0</v>
      </c>
      <c r="AX58" s="459">
        <f t="shared" ca="1" si="97"/>
        <v>0</v>
      </c>
      <c r="AY58" s="459">
        <f t="shared" ca="1" si="97"/>
        <v>0</v>
      </c>
      <c r="AZ58" s="459">
        <f t="shared" ca="1" si="97"/>
        <v>0</v>
      </c>
      <c r="BA58" s="459">
        <f t="shared" ca="1" si="97"/>
        <v>0</v>
      </c>
      <c r="BB58" s="459">
        <f t="shared" ca="1" si="97"/>
        <v>0</v>
      </c>
      <c r="BC58" s="459">
        <f t="shared" ca="1" si="97"/>
        <v>0</v>
      </c>
      <c r="BD58" s="459">
        <f t="shared" ca="1" si="97"/>
        <v>0</v>
      </c>
      <c r="BE58" s="459">
        <f t="shared" ca="1" si="97"/>
        <v>0</v>
      </c>
      <c r="BF58" s="459">
        <f t="shared" ca="1" si="97"/>
        <v>0</v>
      </c>
      <c r="BG58" s="459">
        <f t="shared" ca="1" si="97"/>
        <v>0</v>
      </c>
      <c r="BH58" s="459">
        <f t="shared" ca="1" si="97"/>
        <v>0</v>
      </c>
      <c r="BI58" s="459">
        <f t="shared" ca="1" si="97"/>
        <v>0</v>
      </c>
      <c r="BJ58" s="459">
        <f t="shared" ca="1" si="97"/>
        <v>0</v>
      </c>
      <c r="BK58" s="459">
        <f t="shared" ca="1" si="97"/>
        <v>0</v>
      </c>
      <c r="BL58" s="459">
        <f t="shared" ca="1" si="97"/>
        <v>0</v>
      </c>
      <c r="BM58" s="459">
        <f t="shared" ca="1" si="97"/>
        <v>0</v>
      </c>
      <c r="BN58" s="459">
        <f t="shared" ca="1" si="97"/>
        <v>0</v>
      </c>
      <c r="BO58" s="459">
        <f t="shared" ca="1" si="97"/>
        <v>0</v>
      </c>
      <c r="BP58" s="459"/>
      <c r="BQ58" s="459"/>
      <c r="BR58" s="459"/>
      <c r="BS58" s="459"/>
      <c r="BT58" s="459"/>
      <c r="BU58" s="459"/>
      <c r="BV58" s="459"/>
      <c r="BW58" s="459"/>
      <c r="BX58" s="459"/>
      <c r="BY58" s="459"/>
      <c r="BZ58" s="459"/>
      <c r="CA58" s="459"/>
      <c r="CB58" s="459"/>
      <c r="CC58" s="459"/>
      <c r="CD58" s="459"/>
      <c r="CE58" s="459"/>
      <c r="CF58" s="459"/>
      <c r="CG58" s="459"/>
      <c r="CH58" s="459"/>
      <c r="CI58" s="459"/>
      <c r="CJ58" s="459"/>
      <c r="CK58" s="459"/>
      <c r="CL58" s="459"/>
      <c r="CM58" s="459"/>
      <c r="CN58" s="459"/>
      <c r="CO58" s="459"/>
      <c r="CP58" s="459"/>
      <c r="CQ58" s="459"/>
      <c r="CR58" s="459"/>
      <c r="CS58" s="459"/>
      <c r="CT58" s="459"/>
      <c r="CU58" s="459"/>
      <c r="CV58" s="459"/>
      <c r="CW58" s="459"/>
      <c r="CX58" s="459"/>
      <c r="CY58" s="459"/>
      <c r="CZ58" s="459"/>
      <c r="DA58" s="459"/>
      <c r="DB58" s="459"/>
      <c r="DC58" s="459"/>
      <c r="DD58" s="459"/>
      <c r="DE58" s="459"/>
      <c r="DF58" s="459"/>
      <c r="DG58" s="459"/>
      <c r="DH58" s="459"/>
      <c r="DI58" s="459"/>
      <c r="DJ58" s="459"/>
      <c r="DK58" s="459"/>
      <c r="DL58" s="459"/>
      <c r="DM58" s="459"/>
      <c r="DN58" s="459"/>
      <c r="DO58" s="459"/>
      <c r="DP58" s="459"/>
      <c r="DQ58" s="459"/>
      <c r="DR58" s="459"/>
      <c r="DS58" s="459"/>
      <c r="DT58" s="459"/>
      <c r="DU58" s="459"/>
      <c r="DV58" s="459"/>
      <c r="DW58" s="459"/>
    </row>
    <row r="59" spans="1:127" s="494" customFormat="1">
      <c r="A59" s="1234" t="s">
        <v>1207</v>
      </c>
      <c r="B59" s="1197"/>
      <c r="C59" s="726">
        <f>IF($D$59,1,0)</f>
        <v>1</v>
      </c>
      <c r="D59" s="673" t="b">
        <f>Inputs!D412</f>
        <v>1</v>
      </c>
      <c r="E59" s="344"/>
      <c r="F59" s="344"/>
      <c r="G59" s="459">
        <f ca="1">-G$27*($C$59)*$D$59</f>
        <v>-1169.6619115852516</v>
      </c>
      <c r="H59" s="459">
        <f t="shared" ref="H59:BO59" ca="1" si="98">-H$27*($C$59)*$D$59</f>
        <v>-636.80880841156454</v>
      </c>
      <c r="I59" s="459">
        <f t="shared" ca="1" si="98"/>
        <v>-638.36466917743735</v>
      </c>
      <c r="J59" s="459">
        <f t="shared" ca="1" si="98"/>
        <v>-661.36538167679203</v>
      </c>
      <c r="K59" s="459">
        <f t="shared" ca="1" si="98"/>
        <v>-667.15244483410731</v>
      </c>
      <c r="L59" s="459">
        <f t="shared" ca="1" si="98"/>
        <v>-687.65560485565209</v>
      </c>
      <c r="M59" s="459">
        <f t="shared" ca="1" si="98"/>
        <v>-690.07491164320265</v>
      </c>
      <c r="N59" s="459">
        <f t="shared" ca="1" si="98"/>
        <v>-715.40845403250773</v>
      </c>
      <c r="O59" s="459">
        <f t="shared" ca="1" si="98"/>
        <v>-718.27083221196267</v>
      </c>
      <c r="P59" s="459">
        <f t="shared" ca="1" si="98"/>
        <v>-745.11613763231446</v>
      </c>
      <c r="Q59" s="459">
        <f t="shared" ca="1" si="98"/>
        <v>-748.46419290816721</v>
      </c>
      <c r="R59" s="459">
        <f t="shared" ca="1" si="98"/>
        <v>-776.93536429348069</v>
      </c>
      <c r="S59" s="459">
        <f t="shared" ca="1" si="98"/>
        <v>-785.1684339414179</v>
      </c>
      <c r="T59" s="459">
        <f t="shared" ca="1" si="98"/>
        <v>-811.20991410080865</v>
      </c>
      <c r="U59" s="459">
        <f t="shared" ca="1" si="98"/>
        <v>-815.67598193946344</v>
      </c>
      <c r="V59" s="459">
        <f t="shared" ca="1" si="98"/>
        <v>-847.79654203567486</v>
      </c>
      <c r="W59" s="459">
        <f t="shared" ca="1" si="98"/>
        <v>-852.89954109043913</v>
      </c>
      <c r="X59" s="459">
        <f t="shared" ca="1" si="98"/>
        <v>-887.05784180853095</v>
      </c>
      <c r="Y59" s="459">
        <f t="shared" ca="1" si="98"/>
        <v>-892.8570178659445</v>
      </c>
      <c r="Z59" s="459">
        <f t="shared" ca="1" si="98"/>
        <v>-929.21425807705657</v>
      </c>
      <c r="AA59" s="459">
        <f t="shared" ca="1" si="98"/>
        <v>-940.98561404032034</v>
      </c>
      <c r="AB59" s="459">
        <f t="shared" ca="1" si="98"/>
        <v>-974.71226715970897</v>
      </c>
      <c r="AC59" s="459">
        <f t="shared" ca="1" si="98"/>
        <v>-983.11886555325827</v>
      </c>
      <c r="AD59" s="459">
        <f t="shared" ca="1" si="98"/>
        <v>-1025.2860661299587</v>
      </c>
      <c r="AE59" s="459">
        <f t="shared" ca="1" si="98"/>
        <v>-1034.6431381159011</v>
      </c>
      <c r="AF59" s="459">
        <f t="shared" ca="1" si="98"/>
        <v>-1079.6770300090795</v>
      </c>
      <c r="AG59" s="459">
        <f t="shared" ca="1" si="98"/>
        <v>-1053.1826196147904</v>
      </c>
      <c r="AH59" s="459">
        <f t="shared" ca="1" si="98"/>
        <v>-1067.2828534922648</v>
      </c>
      <c r="AI59" s="459">
        <f t="shared" ca="1" si="98"/>
        <v>-1045.362070318816</v>
      </c>
      <c r="AJ59" s="459">
        <f t="shared" ca="1" si="98"/>
        <v>-1052.2100644472955</v>
      </c>
      <c r="AK59" s="459">
        <f t="shared" ca="1" si="98"/>
        <v>-957.99951666674417</v>
      </c>
      <c r="AL59" s="459">
        <f t="shared" ca="1" si="98"/>
        <v>-909.85940279784518</v>
      </c>
      <c r="AM59" s="459">
        <f t="shared" ca="1" si="98"/>
        <v>-817.39442151993831</v>
      </c>
      <c r="AN59" s="459">
        <f t="shared" ca="1" si="98"/>
        <v>-758.71455687973287</v>
      </c>
      <c r="AO59" s="459">
        <f t="shared" ca="1" si="98"/>
        <v>-660.49171338511303</v>
      </c>
      <c r="AP59" s="459">
        <f t="shared" ca="1" si="98"/>
        <v>-591.10565241267363</v>
      </c>
      <c r="AQ59" s="459">
        <f t="shared" ca="1" si="98"/>
        <v>-489.7754845300833</v>
      </c>
      <c r="AR59" s="459">
        <f t="shared" ca="1" si="98"/>
        <v>-405.87277286536892</v>
      </c>
      <c r="AS59" s="459">
        <f t="shared" ca="1" si="98"/>
        <v>-295.05129364478694</v>
      </c>
      <c r="AT59" s="459">
        <f t="shared" ca="1" si="98"/>
        <v>-201.39388901789349</v>
      </c>
      <c r="AU59" s="459">
        <f t="shared" ca="1" si="98"/>
        <v>-83.63357195822519</v>
      </c>
      <c r="AV59" s="459">
        <f t="shared" ca="1" si="98"/>
        <v>0</v>
      </c>
      <c r="AW59" s="459">
        <f t="shared" ca="1" si="98"/>
        <v>0</v>
      </c>
      <c r="AX59" s="459">
        <f t="shared" ca="1" si="98"/>
        <v>0</v>
      </c>
      <c r="AY59" s="459">
        <f t="shared" ca="1" si="98"/>
        <v>0</v>
      </c>
      <c r="AZ59" s="459">
        <f t="shared" ca="1" si="98"/>
        <v>0</v>
      </c>
      <c r="BA59" s="459">
        <f t="shared" ca="1" si="98"/>
        <v>0</v>
      </c>
      <c r="BB59" s="459">
        <f t="shared" ca="1" si="98"/>
        <v>0</v>
      </c>
      <c r="BC59" s="459">
        <f t="shared" ca="1" si="98"/>
        <v>0</v>
      </c>
      <c r="BD59" s="459">
        <f t="shared" ca="1" si="98"/>
        <v>0</v>
      </c>
      <c r="BE59" s="459">
        <f t="shared" ca="1" si="98"/>
        <v>0</v>
      </c>
      <c r="BF59" s="459">
        <f t="shared" ca="1" si="98"/>
        <v>0</v>
      </c>
      <c r="BG59" s="459">
        <f t="shared" ca="1" si="98"/>
        <v>0</v>
      </c>
      <c r="BH59" s="459">
        <f t="shared" ca="1" si="98"/>
        <v>0</v>
      </c>
      <c r="BI59" s="459">
        <f t="shared" ca="1" si="98"/>
        <v>0</v>
      </c>
      <c r="BJ59" s="459">
        <f t="shared" ca="1" si="98"/>
        <v>0</v>
      </c>
      <c r="BK59" s="459">
        <f t="shared" ca="1" si="98"/>
        <v>0</v>
      </c>
      <c r="BL59" s="459">
        <f t="shared" ca="1" si="98"/>
        <v>0</v>
      </c>
      <c r="BM59" s="459">
        <f t="shared" ca="1" si="98"/>
        <v>0</v>
      </c>
      <c r="BN59" s="459">
        <f t="shared" ca="1" si="98"/>
        <v>0</v>
      </c>
      <c r="BO59" s="459">
        <f t="shared" ca="1" si="98"/>
        <v>0</v>
      </c>
      <c r="BP59" s="459"/>
      <c r="BQ59" s="459"/>
      <c r="BR59" s="459"/>
      <c r="BS59" s="459"/>
      <c r="BT59" s="459"/>
      <c r="BU59" s="459"/>
      <c r="BV59" s="459"/>
      <c r="BW59" s="459"/>
      <c r="BX59" s="459"/>
      <c r="BY59" s="459"/>
      <c r="BZ59" s="459"/>
      <c r="CA59" s="459"/>
      <c r="CB59" s="459"/>
      <c r="CC59" s="459"/>
      <c r="CD59" s="459"/>
      <c r="CE59" s="459"/>
      <c r="CF59" s="459"/>
      <c r="CG59" s="459"/>
      <c r="CH59" s="459"/>
      <c r="CI59" s="459"/>
      <c r="CJ59" s="459"/>
      <c r="CK59" s="459"/>
      <c r="CL59" s="459"/>
      <c r="CM59" s="459"/>
      <c r="CN59" s="459"/>
      <c r="CO59" s="459"/>
      <c r="CP59" s="459"/>
      <c r="CQ59" s="459"/>
      <c r="CR59" s="459"/>
      <c r="CS59" s="459"/>
      <c r="CT59" s="459"/>
      <c r="CU59" s="459"/>
      <c r="CV59" s="459"/>
      <c r="CW59" s="459"/>
      <c r="CX59" s="459"/>
      <c r="CY59" s="459"/>
      <c r="CZ59" s="459"/>
      <c r="DA59" s="459"/>
      <c r="DB59" s="459"/>
      <c r="DC59" s="459"/>
      <c r="DD59" s="459"/>
      <c r="DE59" s="459"/>
      <c r="DF59" s="459"/>
      <c r="DG59" s="459"/>
      <c r="DH59" s="459"/>
      <c r="DI59" s="459"/>
      <c r="DJ59" s="459"/>
      <c r="DK59" s="459"/>
      <c r="DL59" s="459"/>
      <c r="DM59" s="459"/>
      <c r="DN59" s="459"/>
      <c r="DO59" s="459"/>
      <c r="DP59" s="459"/>
      <c r="DQ59" s="459"/>
      <c r="DR59" s="459"/>
      <c r="DS59" s="459"/>
      <c r="DT59" s="459"/>
      <c r="DU59" s="459"/>
      <c r="DV59" s="459"/>
      <c r="DW59" s="459"/>
    </row>
    <row r="60" spans="1:127">
      <c r="A60" s="481"/>
      <c r="B60" s="673"/>
      <c r="C60" s="673"/>
      <c r="D60" s="304"/>
      <c r="E60" s="304"/>
      <c r="F60" s="304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59"/>
      <c r="R60" s="459"/>
      <c r="S60" s="459"/>
      <c r="T60" s="459"/>
      <c r="U60" s="459"/>
      <c r="V60" s="459"/>
      <c r="W60" s="459"/>
      <c r="X60" s="459"/>
      <c r="Y60" s="459"/>
      <c r="Z60" s="459"/>
      <c r="AA60" s="459"/>
      <c r="AB60" s="459"/>
      <c r="AC60" s="459"/>
      <c r="AD60" s="459"/>
      <c r="AE60" s="459"/>
      <c r="AF60" s="459"/>
      <c r="AG60" s="459"/>
      <c r="AH60" s="459"/>
      <c r="AI60" s="459"/>
      <c r="AJ60" s="459"/>
      <c r="AK60" s="459"/>
      <c r="AL60" s="459"/>
      <c r="AM60" s="459"/>
      <c r="AN60" s="459"/>
      <c r="AO60" s="459"/>
      <c r="AP60" s="459"/>
      <c r="AQ60" s="459"/>
      <c r="AR60" s="459"/>
      <c r="AS60" s="459"/>
      <c r="AT60" s="459"/>
      <c r="AU60" s="459"/>
      <c r="AV60" s="459"/>
      <c r="AW60" s="459"/>
      <c r="AX60" s="459"/>
      <c r="AY60" s="459"/>
      <c r="AZ60" s="459"/>
      <c r="BA60" s="459"/>
      <c r="BB60" s="459"/>
      <c r="BC60" s="459"/>
      <c r="BD60" s="459"/>
      <c r="BE60" s="459"/>
      <c r="BF60" s="459"/>
      <c r="BG60" s="459"/>
      <c r="BH60" s="459"/>
      <c r="BI60" s="459"/>
      <c r="BJ60" s="459"/>
      <c r="BK60" s="459"/>
      <c r="BL60" s="459"/>
      <c r="BM60" s="459"/>
      <c r="BN60" s="459"/>
      <c r="BO60" s="459"/>
      <c r="BP60" s="459"/>
      <c r="BQ60" s="459"/>
      <c r="BR60" s="459"/>
      <c r="BS60" s="459"/>
      <c r="BT60" s="459"/>
      <c r="BU60" s="459"/>
      <c r="BV60" s="459"/>
      <c r="BW60" s="459"/>
      <c r="BX60" s="459"/>
      <c r="BY60" s="459"/>
      <c r="BZ60" s="459"/>
      <c r="CA60" s="459"/>
      <c r="CB60" s="459"/>
      <c r="CC60" s="459"/>
      <c r="CD60" s="459"/>
      <c r="CE60" s="459"/>
      <c r="CF60" s="459"/>
      <c r="CG60" s="459"/>
      <c r="CH60" s="459"/>
      <c r="CI60" s="459"/>
      <c r="CJ60" s="459"/>
      <c r="CK60" s="459"/>
      <c r="CL60" s="459"/>
      <c r="CM60" s="459"/>
      <c r="CN60" s="459"/>
      <c r="CO60" s="459"/>
      <c r="CP60" s="459"/>
      <c r="CQ60" s="459"/>
      <c r="CR60" s="459"/>
      <c r="CS60" s="459"/>
      <c r="CT60" s="459"/>
      <c r="CU60" s="459"/>
      <c r="CV60" s="459"/>
      <c r="CW60" s="459"/>
      <c r="CX60" s="459"/>
      <c r="CY60" s="459"/>
      <c r="CZ60" s="459"/>
      <c r="DA60" s="459"/>
      <c r="DB60" s="459"/>
      <c r="DC60" s="459"/>
      <c r="DD60" s="459"/>
      <c r="DE60" s="459"/>
      <c r="DF60" s="459"/>
      <c r="DG60" s="459"/>
      <c r="DH60" s="459"/>
      <c r="DI60" s="459"/>
      <c r="DJ60" s="459"/>
      <c r="DK60" s="459"/>
      <c r="DL60" s="459"/>
      <c r="DM60" s="459"/>
      <c r="DN60" s="459"/>
      <c r="DO60" s="459"/>
      <c r="DP60" s="459"/>
      <c r="DQ60" s="459"/>
      <c r="DR60" s="459"/>
      <c r="DS60" s="459"/>
      <c r="DT60" s="459"/>
      <c r="DU60" s="459"/>
      <c r="DV60" s="459"/>
      <c r="DW60" s="459"/>
    </row>
    <row r="61" spans="1:127">
      <c r="A61" s="304"/>
      <c r="B61" s="673"/>
      <c r="C61" s="673"/>
      <c r="D61" s="304"/>
      <c r="E61" s="304"/>
      <c r="F61" s="304"/>
      <c r="G61" s="459"/>
      <c r="H61" s="459"/>
      <c r="I61" s="459"/>
      <c r="J61" s="459"/>
      <c r="K61" s="459"/>
      <c r="L61" s="459"/>
      <c r="M61" s="459"/>
      <c r="N61" s="459"/>
      <c r="O61" s="459"/>
      <c r="P61" s="459"/>
      <c r="Q61" s="459"/>
      <c r="R61" s="459"/>
      <c r="S61" s="459"/>
      <c r="T61" s="459"/>
      <c r="U61" s="459"/>
      <c r="V61" s="459"/>
      <c r="W61" s="459"/>
      <c r="X61" s="459"/>
      <c r="Y61" s="459"/>
      <c r="Z61" s="459"/>
      <c r="AA61" s="459"/>
      <c r="AB61" s="459"/>
      <c r="AC61" s="459"/>
      <c r="AD61" s="459"/>
      <c r="AE61" s="459"/>
      <c r="AF61" s="459"/>
      <c r="AG61" s="459"/>
      <c r="AH61" s="459"/>
      <c r="AI61" s="459"/>
      <c r="AJ61" s="459"/>
      <c r="AK61" s="459"/>
      <c r="AL61" s="459"/>
      <c r="AM61" s="459"/>
      <c r="AN61" s="459"/>
      <c r="AO61" s="459"/>
      <c r="AP61" s="459"/>
      <c r="AQ61" s="459"/>
      <c r="AR61" s="459"/>
      <c r="AS61" s="459"/>
      <c r="AT61" s="459"/>
      <c r="AU61" s="459"/>
      <c r="AV61" s="459"/>
      <c r="AW61" s="459"/>
      <c r="AX61" s="459"/>
      <c r="AY61" s="459"/>
      <c r="AZ61" s="459"/>
      <c r="BA61" s="459"/>
      <c r="BB61" s="459"/>
      <c r="BC61" s="459"/>
      <c r="BD61" s="459"/>
      <c r="BE61" s="459"/>
      <c r="BF61" s="459"/>
      <c r="BG61" s="459"/>
      <c r="BH61" s="459"/>
      <c r="BI61" s="459"/>
      <c r="BJ61" s="459"/>
      <c r="BK61" s="459"/>
      <c r="BL61" s="459"/>
      <c r="BM61" s="459"/>
      <c r="BN61" s="459"/>
      <c r="BO61" s="459"/>
      <c r="BP61" s="459"/>
      <c r="BQ61" s="459"/>
      <c r="BR61" s="459"/>
      <c r="BS61" s="459"/>
      <c r="BT61" s="459"/>
      <c r="BU61" s="459"/>
      <c r="BV61" s="459"/>
      <c r="BW61" s="459"/>
      <c r="BX61" s="459"/>
      <c r="BY61" s="459"/>
      <c r="BZ61" s="459"/>
      <c r="CA61" s="459"/>
      <c r="CB61" s="459"/>
      <c r="CC61" s="459"/>
      <c r="CD61" s="459"/>
      <c r="CE61" s="459"/>
      <c r="CF61" s="459"/>
      <c r="CG61" s="459"/>
      <c r="CH61" s="459"/>
      <c r="CI61" s="459"/>
      <c r="CJ61" s="459"/>
      <c r="CK61" s="459"/>
      <c r="CL61" s="459"/>
      <c r="CM61" s="459"/>
      <c r="CN61" s="459"/>
      <c r="CO61" s="459"/>
      <c r="CP61" s="459"/>
      <c r="CQ61" s="459"/>
      <c r="CR61" s="459"/>
      <c r="CS61" s="459"/>
      <c r="CT61" s="459"/>
      <c r="CU61" s="459"/>
      <c r="CV61" s="459"/>
      <c r="CW61" s="459"/>
      <c r="CX61" s="459"/>
      <c r="CY61" s="459"/>
      <c r="CZ61" s="459"/>
      <c r="DA61" s="459"/>
      <c r="DB61" s="459"/>
      <c r="DC61" s="459"/>
      <c r="DD61" s="459"/>
      <c r="DE61" s="459"/>
      <c r="DF61" s="459"/>
      <c r="DG61" s="459"/>
      <c r="DH61" s="459"/>
      <c r="DI61" s="459"/>
      <c r="DJ61" s="459"/>
      <c r="DK61" s="459"/>
      <c r="DL61" s="459"/>
      <c r="DM61" s="459"/>
      <c r="DN61" s="459"/>
      <c r="DO61" s="459"/>
      <c r="DP61" s="459"/>
      <c r="DQ61" s="459"/>
      <c r="DR61" s="459"/>
      <c r="DS61" s="459"/>
      <c r="DT61" s="459"/>
      <c r="DU61" s="459"/>
      <c r="DV61" s="459"/>
      <c r="DW61" s="459"/>
    </row>
    <row r="63" spans="1:127">
      <c r="A63" s="481"/>
      <c r="B63" s="673"/>
      <c r="C63" s="673"/>
      <c r="D63" s="304"/>
      <c r="E63" s="304"/>
      <c r="F63" s="304"/>
      <c r="G63" s="459"/>
      <c r="H63" s="459"/>
      <c r="I63" s="459"/>
      <c r="J63" s="459"/>
      <c r="K63" s="459"/>
      <c r="L63" s="459"/>
      <c r="M63" s="459"/>
      <c r="N63" s="459"/>
      <c r="O63" s="459"/>
      <c r="P63" s="459"/>
      <c r="Q63" s="459"/>
      <c r="R63" s="459"/>
      <c r="S63" s="459"/>
      <c r="T63" s="459"/>
      <c r="U63" s="459"/>
      <c r="V63" s="459"/>
      <c r="W63" s="459"/>
      <c r="X63" s="459"/>
      <c r="Y63" s="459"/>
      <c r="Z63" s="459"/>
      <c r="AA63" s="459"/>
      <c r="AB63" s="459"/>
      <c r="AC63" s="459"/>
      <c r="AD63" s="459"/>
      <c r="AE63" s="459"/>
      <c r="AF63" s="459"/>
      <c r="AG63" s="459"/>
      <c r="AH63" s="459"/>
      <c r="AI63" s="459"/>
      <c r="AJ63" s="459"/>
      <c r="AK63" s="459"/>
      <c r="AL63" s="459"/>
      <c r="AM63" s="459"/>
      <c r="AN63" s="459"/>
      <c r="AO63" s="459"/>
      <c r="AP63" s="459"/>
      <c r="AQ63" s="459"/>
      <c r="AR63" s="459"/>
      <c r="AS63" s="459"/>
      <c r="AT63" s="459"/>
      <c r="AU63" s="459"/>
      <c r="AV63" s="459"/>
      <c r="AW63" s="459"/>
      <c r="AX63" s="459"/>
      <c r="AY63" s="459"/>
      <c r="AZ63" s="459"/>
      <c r="BA63" s="459"/>
      <c r="BB63" s="459"/>
      <c r="BC63" s="459"/>
      <c r="BD63" s="459"/>
      <c r="BE63" s="459"/>
      <c r="BF63" s="459"/>
      <c r="BG63" s="459"/>
      <c r="BH63" s="459"/>
      <c r="BI63" s="459"/>
      <c r="BJ63" s="459"/>
      <c r="BK63" s="459"/>
      <c r="BL63" s="459"/>
      <c r="BM63" s="459"/>
      <c r="BN63" s="459"/>
      <c r="BO63" s="459"/>
      <c r="BP63" s="459"/>
      <c r="BQ63" s="459"/>
      <c r="BR63" s="459"/>
      <c r="BS63" s="459"/>
      <c r="BT63" s="459"/>
      <c r="BU63" s="459"/>
      <c r="BV63" s="459"/>
      <c r="BW63" s="459"/>
      <c r="BX63" s="459"/>
      <c r="BY63" s="459"/>
      <c r="BZ63" s="459"/>
      <c r="CA63" s="459"/>
      <c r="CB63" s="459"/>
      <c r="CC63" s="459"/>
      <c r="CD63" s="459"/>
      <c r="CE63" s="459"/>
      <c r="CF63" s="459"/>
      <c r="CG63" s="459"/>
      <c r="CH63" s="459"/>
      <c r="CI63" s="459"/>
      <c r="CJ63" s="459"/>
      <c r="CK63" s="459"/>
      <c r="CL63" s="459"/>
      <c r="CM63" s="459"/>
      <c r="CN63" s="459"/>
      <c r="CO63" s="459"/>
      <c r="CP63" s="459"/>
      <c r="CQ63" s="459"/>
      <c r="CR63" s="459"/>
      <c r="CS63" s="459"/>
      <c r="CT63" s="459"/>
      <c r="CU63" s="459"/>
      <c r="CV63" s="459"/>
      <c r="CW63" s="459"/>
      <c r="CX63" s="459"/>
      <c r="CY63" s="459"/>
      <c r="CZ63" s="459"/>
      <c r="DA63" s="459"/>
      <c r="DB63" s="459"/>
      <c r="DC63" s="459"/>
      <c r="DD63" s="459"/>
      <c r="DE63" s="459"/>
      <c r="DF63" s="459"/>
      <c r="DG63" s="459"/>
      <c r="DH63" s="459"/>
      <c r="DI63" s="459"/>
      <c r="DJ63" s="459"/>
      <c r="DK63" s="459"/>
      <c r="DL63" s="459"/>
      <c r="DM63" s="459"/>
      <c r="DN63" s="459"/>
      <c r="DO63" s="459"/>
      <c r="DP63" s="459"/>
      <c r="DQ63" s="459"/>
      <c r="DR63" s="459"/>
      <c r="DS63" s="459"/>
      <c r="DT63" s="459"/>
      <c r="DU63" s="459"/>
      <c r="DV63" s="459"/>
      <c r="DW63" s="459"/>
    </row>
    <row r="64" spans="1:127">
      <c r="A64" s="481"/>
      <c r="B64" s="673"/>
      <c r="C64" s="673"/>
      <c r="D64" s="304"/>
      <c r="E64" s="304"/>
      <c r="F64" s="304"/>
      <c r="G64" s="459"/>
      <c r="H64" s="459"/>
      <c r="I64" s="459"/>
      <c r="J64" s="459"/>
      <c r="K64" s="459"/>
      <c r="L64" s="459"/>
      <c r="M64" s="459"/>
      <c r="N64" s="459"/>
      <c r="O64" s="459"/>
      <c r="P64" s="459"/>
      <c r="Q64" s="459"/>
      <c r="R64" s="459"/>
      <c r="S64" s="459"/>
      <c r="T64" s="459"/>
      <c r="U64" s="459"/>
      <c r="V64" s="459"/>
      <c r="W64" s="459"/>
      <c r="X64" s="459"/>
      <c r="Y64" s="459"/>
      <c r="Z64" s="459"/>
      <c r="AA64" s="459"/>
      <c r="AB64" s="459"/>
      <c r="AC64" s="459"/>
      <c r="AD64" s="459"/>
      <c r="AE64" s="459"/>
      <c r="AF64" s="459"/>
      <c r="AG64" s="459"/>
      <c r="AH64" s="459"/>
      <c r="AI64" s="459"/>
      <c r="AJ64" s="459"/>
      <c r="AK64" s="459"/>
      <c r="AL64" s="459"/>
      <c r="AM64" s="459"/>
      <c r="AN64" s="459"/>
      <c r="AO64" s="459"/>
      <c r="AP64" s="459"/>
      <c r="AQ64" s="459"/>
      <c r="AR64" s="459"/>
      <c r="AS64" s="459"/>
      <c r="AT64" s="459"/>
      <c r="AU64" s="459"/>
      <c r="AV64" s="459"/>
      <c r="AW64" s="459"/>
      <c r="AX64" s="459"/>
      <c r="AY64" s="459"/>
      <c r="AZ64" s="459"/>
      <c r="BA64" s="459"/>
      <c r="BB64" s="459"/>
      <c r="BC64" s="459"/>
      <c r="BD64" s="459"/>
      <c r="BE64" s="459"/>
      <c r="BF64" s="459"/>
      <c r="BG64" s="459"/>
      <c r="BH64" s="459"/>
      <c r="BI64" s="459"/>
      <c r="BJ64" s="459"/>
      <c r="BK64" s="459"/>
      <c r="BL64" s="459"/>
      <c r="BM64" s="459"/>
      <c r="BN64" s="459"/>
      <c r="BO64" s="459"/>
      <c r="BP64" s="459"/>
      <c r="BQ64" s="459"/>
      <c r="BR64" s="459"/>
      <c r="BS64" s="459"/>
      <c r="BT64" s="459"/>
      <c r="BU64" s="459"/>
      <c r="BV64" s="459"/>
      <c r="BW64" s="459"/>
      <c r="BX64" s="459"/>
      <c r="BY64" s="459"/>
      <c r="BZ64" s="459"/>
      <c r="CA64" s="459"/>
      <c r="CB64" s="459"/>
      <c r="CC64" s="459"/>
      <c r="CD64" s="459"/>
      <c r="CE64" s="459"/>
      <c r="CF64" s="459"/>
      <c r="CG64" s="459"/>
      <c r="CH64" s="459"/>
      <c r="CI64" s="459"/>
      <c r="CJ64" s="459"/>
      <c r="CK64" s="459"/>
      <c r="CL64" s="459"/>
      <c r="CM64" s="459"/>
      <c r="CN64" s="459"/>
      <c r="CO64" s="459"/>
      <c r="CP64" s="459"/>
      <c r="CQ64" s="459"/>
      <c r="CR64" s="459"/>
      <c r="CS64" s="459"/>
      <c r="CT64" s="459"/>
      <c r="CU64" s="459"/>
      <c r="CV64" s="459"/>
      <c r="CW64" s="459"/>
      <c r="CX64" s="459"/>
      <c r="CY64" s="459"/>
      <c r="CZ64" s="459"/>
      <c r="DA64" s="459"/>
      <c r="DB64" s="459"/>
      <c r="DC64" s="459"/>
      <c r="DD64" s="459"/>
      <c r="DE64" s="459"/>
      <c r="DF64" s="459"/>
      <c r="DG64" s="459"/>
      <c r="DH64" s="459"/>
      <c r="DI64" s="459"/>
      <c r="DJ64" s="459"/>
      <c r="DK64" s="459"/>
      <c r="DL64" s="459"/>
      <c r="DM64" s="459"/>
      <c r="DN64" s="459"/>
      <c r="DO64" s="459"/>
      <c r="DP64" s="459"/>
      <c r="DQ64" s="459"/>
      <c r="DR64" s="459"/>
      <c r="DS64" s="459"/>
      <c r="DT64" s="459"/>
      <c r="DU64" s="459"/>
      <c r="DV64" s="459"/>
      <c r="DW64" s="459"/>
    </row>
  </sheetData>
  <phoneticPr fontId="0" type="noConversion"/>
  <hyperlinks>
    <hyperlink ref="E1" location="Sensitivity!D43" display="Sensitivity!D43" xr:uid="{00000000-0004-0000-0700-000000000000}"/>
  </hyperlinks>
  <pageMargins left="0.37" right="0.25" top="1.76" bottom="0.98425196850393704" header="0.51181102362204722" footer="0.51181102362204722"/>
  <pageSetup paperSize="9" scale="28" orientation="landscape" r:id="rId1"/>
  <headerFooter alignWithMargins="0">
    <oddFooter>&amp;L&amp;F
&amp;T 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id="{00000000-000E-0000-0600-000001000000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G63:DW64 G60:DW61 G1:DW16 G18:DW55 M17:DW17</xm:sqref>
        </x14:conditionalFormatting>
        <x14:conditionalFormatting xmlns:xm="http://schemas.microsoft.com/office/excel/2006/main">
          <x14:cfRule type="iconSet" priority="449" id="{1C1EDCD1-BBA5-42D0-90AE-172F2838D55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E52</xm:sqref>
        </x14:conditionalFormatting>
        <x14:conditionalFormatting xmlns:xm="http://schemas.microsoft.com/office/excel/2006/main">
          <x14:cfRule type="iconSet" priority="450" id="{CA6728E8-EFAE-416D-BDD6-3CCF4BA88C21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B1:C1</xm:sqref>
        </x14:conditionalFormatting>
        <x14:conditionalFormatting xmlns:xm="http://schemas.microsoft.com/office/excel/2006/main">
          <x14:cfRule type="iconSet" priority="28" id="{2E28C58F-B3A0-4B28-B8BA-AB3FFF7FA9A8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expression" priority="1" id="{4F9FC93C-F751-4A50-A93F-A0C1953717BA}">
            <xm:f>C$3&gt;Inputs!$D$16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C57</xm:sqref>
        </x14:conditionalFormatting>
        <x14:conditionalFormatting xmlns:xm="http://schemas.microsoft.com/office/excel/2006/main">
          <x14:cfRule type="expression" priority="4901" id="{00000000-000E-0000-0600-000001000000}">
            <xm:f>H$3&gt;Inputs!$D$16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G17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_balancesheet"/>
  <dimension ref="A1:EI46"/>
  <sheetViews>
    <sheetView showGridLines="0" zoomScale="76" zoomScaleNormal="100" zoomScaleSheetLayoutView="100" workbookViewId="0">
      <pane xSplit="6" ySplit="4" topLeftCell="G5" activePane="bottomRight" state="frozen"/>
      <selection pane="bottomRight" activeCell="D25" sqref="D25"/>
      <selection pane="bottomLeft" activeCell="A7" sqref="A7"/>
      <selection pane="topRight" activeCell="F1" sqref="F1"/>
    </sheetView>
  </sheetViews>
  <sheetFormatPr defaultColWidth="11.42578125" defaultRowHeight="11.25"/>
  <cols>
    <col min="1" max="1" width="38.5703125" style="304" customWidth="1"/>
    <col min="2" max="3" width="7.85546875" style="673" customWidth="1"/>
    <col min="4" max="4" width="11.7109375" style="304" bestFit="1" customWidth="1"/>
    <col min="5" max="6" width="2.5703125" style="304" customWidth="1"/>
    <col min="7" max="52" width="9.5703125" style="304" customWidth="1"/>
    <col min="53" max="53" width="11.85546875" style="304" customWidth="1"/>
    <col min="54" max="127" width="9.5703125" style="304" customWidth="1"/>
    <col min="128" max="128" width="2.5703125" style="304" customWidth="1"/>
    <col min="129" max="16384" width="11.42578125" style="304"/>
  </cols>
  <sheetData>
    <row r="1" spans="1:139">
      <c r="A1" s="996" t="s">
        <v>1108</v>
      </c>
      <c r="B1" s="972"/>
      <c r="C1" s="972"/>
      <c r="E1" s="894">
        <f ca="1">Outputs!$D$46</f>
        <v>11182.479442004989</v>
      </c>
      <c r="G1" s="972">
        <f>Flags!G5</f>
        <v>47298</v>
      </c>
      <c r="H1" s="972">
        <f>Flags!H5</f>
        <v>47665</v>
      </c>
      <c r="I1" s="972">
        <f>Flags!I5</f>
        <v>47849</v>
      </c>
      <c r="J1" s="972">
        <f>Flags!J5</f>
        <v>48030</v>
      </c>
      <c r="K1" s="972">
        <f>Flags!K5</f>
        <v>48214</v>
      </c>
      <c r="L1" s="972">
        <f>Flags!L5</f>
        <v>48396</v>
      </c>
      <c r="M1" s="972">
        <f>Flags!M5</f>
        <v>48580</v>
      </c>
      <c r="N1" s="972">
        <f>Flags!N5</f>
        <v>48761</v>
      </c>
      <c r="O1" s="972">
        <f>Flags!O5</f>
        <v>48945</v>
      </c>
      <c r="P1" s="972">
        <f>Flags!P5</f>
        <v>49126</v>
      </c>
      <c r="Q1" s="972">
        <f>Flags!Q5</f>
        <v>49310</v>
      </c>
      <c r="R1" s="972">
        <f>Flags!R5</f>
        <v>49491</v>
      </c>
      <c r="S1" s="972">
        <f>Flags!S5</f>
        <v>49675</v>
      </c>
      <c r="T1" s="972">
        <f>Flags!T5</f>
        <v>49857</v>
      </c>
      <c r="U1" s="972">
        <f>Flags!U5</f>
        <v>50041</v>
      </c>
      <c r="V1" s="972">
        <f>Flags!V5</f>
        <v>50222</v>
      </c>
      <c r="W1" s="972">
        <f>Flags!W5</f>
        <v>50406</v>
      </c>
      <c r="X1" s="972">
        <f>Flags!X5</f>
        <v>50587</v>
      </c>
      <c r="Y1" s="972">
        <f>Flags!Y5</f>
        <v>50771</v>
      </c>
      <c r="Z1" s="972">
        <f>Flags!Z5</f>
        <v>50952</v>
      </c>
      <c r="AA1" s="972">
        <f>Flags!AA5</f>
        <v>51136</v>
      </c>
      <c r="AB1" s="972">
        <f>Flags!AB5</f>
        <v>51318</v>
      </c>
      <c r="AC1" s="972">
        <f>Flags!AC5</f>
        <v>51502</v>
      </c>
      <c r="AD1" s="972">
        <f>Flags!AD5</f>
        <v>51683</v>
      </c>
      <c r="AE1" s="972">
        <f>Flags!AE5</f>
        <v>51867</v>
      </c>
      <c r="AF1" s="972">
        <f>Flags!AF5</f>
        <v>52048</v>
      </c>
      <c r="AG1" s="972">
        <f>Flags!AG5</f>
        <v>52232</v>
      </c>
      <c r="AH1" s="972">
        <f>Flags!AH5</f>
        <v>52413</v>
      </c>
      <c r="AI1" s="972">
        <f>Flags!AI5</f>
        <v>52597</v>
      </c>
      <c r="AJ1" s="972">
        <f>Flags!AJ5</f>
        <v>52779</v>
      </c>
      <c r="AK1" s="972">
        <f>Flags!AK5</f>
        <v>52963</v>
      </c>
      <c r="AL1" s="972">
        <f>Flags!AL5</f>
        <v>53144</v>
      </c>
      <c r="AM1" s="972">
        <f>Flags!AM5</f>
        <v>53328</v>
      </c>
      <c r="AN1" s="972">
        <f>Flags!AN5</f>
        <v>53509</v>
      </c>
      <c r="AO1" s="972">
        <f>Flags!AO5</f>
        <v>53693</v>
      </c>
      <c r="AP1" s="972">
        <f>Flags!AP5</f>
        <v>53874</v>
      </c>
      <c r="AQ1" s="972">
        <f>Flags!AQ5</f>
        <v>54058</v>
      </c>
      <c r="AR1" s="972">
        <f>Flags!AR5</f>
        <v>54240</v>
      </c>
      <c r="AS1" s="972">
        <f>Flags!AS5</f>
        <v>54424</v>
      </c>
      <c r="AT1" s="972">
        <f>Flags!AT5</f>
        <v>54605</v>
      </c>
      <c r="AU1" s="972">
        <f>Flags!AU5</f>
        <v>54789</v>
      </c>
      <c r="AV1" s="972">
        <f>Flags!AV5</f>
        <v>54970</v>
      </c>
      <c r="AW1" s="972">
        <f>Flags!AW5</f>
        <v>55154</v>
      </c>
      <c r="AX1" s="972">
        <f>Flags!AX5</f>
        <v>55335</v>
      </c>
      <c r="AY1" s="972">
        <f>Flags!AY5</f>
        <v>55519</v>
      </c>
      <c r="AZ1" s="972">
        <f>Flags!AZ5</f>
        <v>55701</v>
      </c>
      <c r="BA1" s="972">
        <f>Flags!BA5</f>
        <v>55885</v>
      </c>
      <c r="BB1" s="972">
        <f>Flags!BB5</f>
        <v>56066</v>
      </c>
      <c r="BC1" s="972">
        <f>Flags!BC5</f>
        <v>56250</v>
      </c>
      <c r="BD1" s="972">
        <f>Flags!BD5</f>
        <v>56431</v>
      </c>
      <c r="BE1" s="972">
        <f>Flags!BE5</f>
        <v>56615</v>
      </c>
      <c r="BF1" s="972">
        <f>Flags!BF5</f>
        <v>56796</v>
      </c>
      <c r="BG1" s="972">
        <f>Flags!BG5</f>
        <v>56980</v>
      </c>
      <c r="BH1" s="972">
        <f>Flags!BH5</f>
        <v>57162</v>
      </c>
      <c r="BI1" s="972">
        <f>Flags!BI5</f>
        <v>57346</v>
      </c>
      <c r="BJ1" s="972">
        <f>Flags!BJ5</f>
        <v>57527</v>
      </c>
      <c r="BK1" s="972">
        <f>Flags!BK5</f>
        <v>57711</v>
      </c>
      <c r="BL1" s="972">
        <f>Flags!BL5</f>
        <v>57892</v>
      </c>
      <c r="BM1" s="972">
        <f>Flags!BM5</f>
        <v>58076</v>
      </c>
      <c r="BN1" s="972">
        <f>Flags!BN5</f>
        <v>58257</v>
      </c>
      <c r="BO1" s="972">
        <f>Flags!BO5</f>
        <v>58441</v>
      </c>
      <c r="BP1" s="972"/>
      <c r="BQ1" s="972"/>
      <c r="BR1" s="972"/>
      <c r="BS1" s="972"/>
      <c r="BT1" s="972"/>
      <c r="BU1" s="972"/>
      <c r="BV1" s="972"/>
      <c r="BW1" s="972"/>
      <c r="BX1" s="972"/>
      <c r="BY1" s="972"/>
      <c r="BZ1" s="972"/>
      <c r="CA1" s="972"/>
      <c r="CB1" s="972"/>
      <c r="CC1" s="972"/>
      <c r="CD1" s="972"/>
      <c r="CE1" s="972"/>
      <c r="CF1" s="972"/>
      <c r="CG1" s="972"/>
      <c r="CH1" s="972"/>
      <c r="CI1" s="972"/>
      <c r="CJ1" s="972"/>
      <c r="CK1" s="972"/>
      <c r="CL1" s="972"/>
      <c r="CM1" s="972"/>
      <c r="CN1" s="972"/>
      <c r="CO1" s="972"/>
      <c r="CP1" s="972"/>
      <c r="CQ1" s="972"/>
      <c r="CR1" s="972"/>
      <c r="CS1" s="972"/>
      <c r="CT1" s="972"/>
      <c r="CU1" s="972"/>
      <c r="CV1" s="972"/>
      <c r="CW1" s="972"/>
      <c r="CX1" s="972"/>
      <c r="CY1" s="972"/>
      <c r="CZ1" s="972"/>
      <c r="DA1" s="972"/>
      <c r="DB1" s="972"/>
      <c r="DC1" s="972"/>
      <c r="DD1" s="972"/>
      <c r="DE1" s="972"/>
      <c r="DF1" s="972"/>
      <c r="DG1" s="972"/>
      <c r="DH1" s="972"/>
      <c r="DI1" s="972"/>
      <c r="DJ1" s="972"/>
      <c r="DK1" s="972"/>
      <c r="DL1" s="972"/>
      <c r="DM1" s="972"/>
      <c r="DN1" s="972"/>
      <c r="DO1" s="972"/>
      <c r="DP1" s="972"/>
      <c r="DQ1" s="972"/>
      <c r="DR1" s="972"/>
      <c r="DS1" s="972"/>
      <c r="DT1" s="972"/>
      <c r="DU1" s="972"/>
      <c r="DV1" s="972"/>
      <c r="DW1" s="972"/>
      <c r="DX1" s="579"/>
      <c r="DY1" s="579"/>
      <c r="DZ1" s="579"/>
      <c r="EA1" s="579"/>
      <c r="EB1" s="579"/>
      <c r="EC1" s="579"/>
      <c r="ED1" s="579"/>
      <c r="EE1" s="579"/>
      <c r="EF1" s="579"/>
      <c r="EG1" s="579"/>
      <c r="EH1" s="579"/>
      <c r="EI1" s="579"/>
    </row>
    <row r="2" spans="1:139">
      <c r="A2" s="996" t="s">
        <v>1109</v>
      </c>
      <c r="B2" s="972"/>
      <c r="C2" s="972"/>
      <c r="E2" s="486"/>
      <c r="G2" s="972">
        <f>Flags!G6</f>
        <v>47664</v>
      </c>
      <c r="H2" s="972">
        <f>Flags!H6</f>
        <v>47848</v>
      </c>
      <c r="I2" s="972">
        <f>Flags!I6</f>
        <v>48029</v>
      </c>
      <c r="J2" s="972">
        <f>Flags!J6</f>
        <v>48213</v>
      </c>
      <c r="K2" s="972">
        <f>Flags!K6</f>
        <v>48395</v>
      </c>
      <c r="L2" s="972">
        <f>Flags!L6</f>
        <v>48579</v>
      </c>
      <c r="M2" s="972">
        <f>Flags!M6</f>
        <v>48760</v>
      </c>
      <c r="N2" s="972">
        <f>Flags!N6</f>
        <v>48944</v>
      </c>
      <c r="O2" s="972">
        <f>Flags!O6</f>
        <v>49125</v>
      </c>
      <c r="P2" s="972">
        <f>Flags!P6</f>
        <v>49309</v>
      </c>
      <c r="Q2" s="972">
        <f>Flags!Q6</f>
        <v>49490</v>
      </c>
      <c r="R2" s="972">
        <f>Flags!R6</f>
        <v>49674</v>
      </c>
      <c r="S2" s="972">
        <f>Flags!S6</f>
        <v>49856</v>
      </c>
      <c r="T2" s="972">
        <f>Flags!T6</f>
        <v>50040</v>
      </c>
      <c r="U2" s="972">
        <f>Flags!U6</f>
        <v>50221</v>
      </c>
      <c r="V2" s="972">
        <f>Flags!V6</f>
        <v>50405</v>
      </c>
      <c r="W2" s="972">
        <f>Flags!W6</f>
        <v>50586</v>
      </c>
      <c r="X2" s="972">
        <f>Flags!X6</f>
        <v>50770</v>
      </c>
      <c r="Y2" s="972">
        <f>Flags!Y6</f>
        <v>50951</v>
      </c>
      <c r="Z2" s="972">
        <f>Flags!Z6</f>
        <v>51135</v>
      </c>
      <c r="AA2" s="972">
        <f>Flags!AA6</f>
        <v>51317</v>
      </c>
      <c r="AB2" s="972">
        <f>Flags!AB6</f>
        <v>51501</v>
      </c>
      <c r="AC2" s="972">
        <f>Flags!AC6</f>
        <v>51682</v>
      </c>
      <c r="AD2" s="972">
        <f>Flags!AD6</f>
        <v>51866</v>
      </c>
      <c r="AE2" s="972">
        <f>Flags!AE6</f>
        <v>52047</v>
      </c>
      <c r="AF2" s="972">
        <f>Flags!AF6</f>
        <v>52231</v>
      </c>
      <c r="AG2" s="972">
        <f>Flags!AG6</f>
        <v>52412</v>
      </c>
      <c r="AH2" s="972">
        <f>Flags!AH6</f>
        <v>52596</v>
      </c>
      <c r="AI2" s="972">
        <f>Flags!AI6</f>
        <v>52778</v>
      </c>
      <c r="AJ2" s="972">
        <f>Flags!AJ6</f>
        <v>52962</v>
      </c>
      <c r="AK2" s="972">
        <f>Flags!AK6</f>
        <v>53143</v>
      </c>
      <c r="AL2" s="972">
        <f>Flags!AL6</f>
        <v>53327</v>
      </c>
      <c r="AM2" s="972">
        <f>Flags!AM6</f>
        <v>53508</v>
      </c>
      <c r="AN2" s="972">
        <f>Flags!AN6</f>
        <v>53692</v>
      </c>
      <c r="AO2" s="972">
        <f>Flags!AO6</f>
        <v>53873</v>
      </c>
      <c r="AP2" s="972">
        <f>Flags!AP6</f>
        <v>54057</v>
      </c>
      <c r="AQ2" s="972">
        <f>Flags!AQ6</f>
        <v>54239</v>
      </c>
      <c r="AR2" s="972">
        <f>Flags!AR6</f>
        <v>54423</v>
      </c>
      <c r="AS2" s="972">
        <f>Flags!AS6</f>
        <v>54604</v>
      </c>
      <c r="AT2" s="972">
        <f>Flags!AT6</f>
        <v>54788</v>
      </c>
      <c r="AU2" s="972">
        <f>Flags!AU6</f>
        <v>54969</v>
      </c>
      <c r="AV2" s="972">
        <f>Flags!AV6</f>
        <v>55153</v>
      </c>
      <c r="AW2" s="972">
        <f>Flags!AW6</f>
        <v>55334</v>
      </c>
      <c r="AX2" s="972">
        <f>Flags!AX6</f>
        <v>55518</v>
      </c>
      <c r="AY2" s="972">
        <f>Flags!AY6</f>
        <v>55700</v>
      </c>
      <c r="AZ2" s="972">
        <f>Flags!AZ6</f>
        <v>55884</v>
      </c>
      <c r="BA2" s="972">
        <f>Flags!BA6</f>
        <v>56065</v>
      </c>
      <c r="BB2" s="972">
        <f>Flags!BB6</f>
        <v>56249</v>
      </c>
      <c r="BC2" s="972">
        <f>Flags!BC6</f>
        <v>56430</v>
      </c>
      <c r="BD2" s="972">
        <f>Flags!BD6</f>
        <v>56614</v>
      </c>
      <c r="BE2" s="972">
        <f>Flags!BE6</f>
        <v>56795</v>
      </c>
      <c r="BF2" s="972">
        <f>Flags!BF6</f>
        <v>56979</v>
      </c>
      <c r="BG2" s="972">
        <f>Flags!BG6</f>
        <v>57161</v>
      </c>
      <c r="BH2" s="972">
        <f>Flags!BH6</f>
        <v>57345</v>
      </c>
      <c r="BI2" s="972">
        <f>Flags!BI6</f>
        <v>57526</v>
      </c>
      <c r="BJ2" s="972">
        <f>Flags!BJ6</f>
        <v>57710</v>
      </c>
      <c r="BK2" s="972">
        <f>Flags!BK6</f>
        <v>57891</v>
      </c>
      <c r="BL2" s="972">
        <f>Flags!BL6</f>
        <v>58075</v>
      </c>
      <c r="BM2" s="972">
        <f>Flags!BM6</f>
        <v>58256</v>
      </c>
      <c r="BN2" s="972">
        <f>Flags!BN6</f>
        <v>58440</v>
      </c>
      <c r="BO2" s="972">
        <f>Flags!BO6</f>
        <v>58622</v>
      </c>
      <c r="BP2" s="972"/>
      <c r="BQ2" s="972"/>
      <c r="BR2" s="972"/>
      <c r="BS2" s="972"/>
      <c r="BT2" s="972"/>
      <c r="BU2" s="972"/>
      <c r="BV2" s="972"/>
      <c r="BW2" s="972"/>
      <c r="BX2" s="972"/>
      <c r="BY2" s="972"/>
      <c r="BZ2" s="972"/>
      <c r="CA2" s="972"/>
      <c r="CB2" s="972"/>
      <c r="CC2" s="972"/>
      <c r="CD2" s="972"/>
      <c r="CE2" s="972"/>
      <c r="CF2" s="972"/>
      <c r="CG2" s="972"/>
      <c r="CH2" s="972"/>
      <c r="CI2" s="972"/>
      <c r="CJ2" s="972"/>
      <c r="CK2" s="972"/>
      <c r="CL2" s="972"/>
      <c r="CM2" s="972"/>
      <c r="CN2" s="972"/>
      <c r="CO2" s="972"/>
      <c r="CP2" s="972"/>
      <c r="CQ2" s="972"/>
      <c r="CR2" s="972"/>
      <c r="CS2" s="972"/>
      <c r="CT2" s="972"/>
      <c r="CU2" s="972"/>
      <c r="CV2" s="972"/>
      <c r="CW2" s="972"/>
      <c r="CX2" s="972"/>
      <c r="CY2" s="972"/>
      <c r="CZ2" s="972"/>
      <c r="DA2" s="972"/>
      <c r="DB2" s="972"/>
      <c r="DC2" s="972"/>
      <c r="DD2" s="972"/>
      <c r="DE2" s="972"/>
      <c r="DF2" s="972"/>
      <c r="DG2" s="972"/>
      <c r="DH2" s="972"/>
      <c r="DI2" s="972"/>
      <c r="DJ2" s="972"/>
      <c r="DK2" s="972"/>
      <c r="DL2" s="972"/>
      <c r="DM2" s="972"/>
      <c r="DN2" s="972"/>
      <c r="DO2" s="972"/>
      <c r="DP2" s="972"/>
      <c r="DQ2" s="972"/>
      <c r="DR2" s="972"/>
      <c r="DS2" s="972"/>
      <c r="DT2" s="972"/>
      <c r="DU2" s="972"/>
      <c r="DV2" s="972"/>
      <c r="DW2" s="972"/>
      <c r="DX2" s="579"/>
      <c r="DY2" s="579"/>
      <c r="DZ2" s="579"/>
      <c r="EA2" s="579"/>
      <c r="EB2" s="579"/>
      <c r="EC2" s="579"/>
      <c r="ED2" s="579"/>
      <c r="EE2" s="579"/>
      <c r="EF2" s="579"/>
      <c r="EG2" s="579"/>
      <c r="EH2" s="579"/>
      <c r="EI2" s="579"/>
    </row>
    <row r="3" spans="1:139">
      <c r="A3" s="997" t="str">
        <f>Flags!A7</f>
        <v>Year</v>
      </c>
      <c r="B3" s="973"/>
      <c r="C3" s="973"/>
      <c r="D3" s="486"/>
      <c r="E3" s="486"/>
      <c r="G3" s="1001">
        <f>Flags!G7</f>
        <v>0</v>
      </c>
      <c r="H3" s="1001">
        <f>Flags!H7</f>
        <v>1</v>
      </c>
      <c r="I3" s="1001">
        <f>Flags!I7</f>
        <v>1</v>
      </c>
      <c r="J3" s="1001">
        <f>Flags!J7</f>
        <v>2</v>
      </c>
      <c r="K3" s="1001">
        <f>Flags!K7</f>
        <v>2</v>
      </c>
      <c r="L3" s="1001">
        <f>Flags!L7</f>
        <v>3</v>
      </c>
      <c r="M3" s="1001">
        <f>Flags!M7</f>
        <v>3</v>
      </c>
      <c r="N3" s="1001">
        <f>Flags!N7</f>
        <v>4</v>
      </c>
      <c r="O3" s="1001">
        <f>Flags!O7</f>
        <v>4</v>
      </c>
      <c r="P3" s="1001">
        <f>Flags!P7</f>
        <v>5</v>
      </c>
      <c r="Q3" s="1001">
        <f>Flags!Q7</f>
        <v>5</v>
      </c>
      <c r="R3" s="1001">
        <f>Flags!R7</f>
        <v>6</v>
      </c>
      <c r="S3" s="1001">
        <f>Flags!S7</f>
        <v>6</v>
      </c>
      <c r="T3" s="1001">
        <f>Flags!T7</f>
        <v>7</v>
      </c>
      <c r="U3" s="1001">
        <f>Flags!U7</f>
        <v>7</v>
      </c>
      <c r="V3" s="1001">
        <f>Flags!V7</f>
        <v>8</v>
      </c>
      <c r="W3" s="1001">
        <f>Flags!W7</f>
        <v>8</v>
      </c>
      <c r="X3" s="1001">
        <f>Flags!X7</f>
        <v>9</v>
      </c>
      <c r="Y3" s="1001">
        <f>Flags!Y7</f>
        <v>9</v>
      </c>
      <c r="Z3" s="1001">
        <f>Flags!Z7</f>
        <v>10</v>
      </c>
      <c r="AA3" s="1001">
        <f>Flags!AA7</f>
        <v>10</v>
      </c>
      <c r="AB3" s="1001">
        <f>Flags!AB7</f>
        <v>11</v>
      </c>
      <c r="AC3" s="1001">
        <f>Flags!AC7</f>
        <v>11</v>
      </c>
      <c r="AD3" s="1001">
        <f>Flags!AD7</f>
        <v>12</v>
      </c>
      <c r="AE3" s="1001">
        <f>Flags!AE7</f>
        <v>12</v>
      </c>
      <c r="AF3" s="1001">
        <f>Flags!AF7</f>
        <v>13</v>
      </c>
      <c r="AG3" s="1001">
        <f>Flags!AG7</f>
        <v>13</v>
      </c>
      <c r="AH3" s="1001">
        <f>Flags!AH7</f>
        <v>14</v>
      </c>
      <c r="AI3" s="1001">
        <f>Flags!AI7</f>
        <v>14</v>
      </c>
      <c r="AJ3" s="1001">
        <f>Flags!AJ7</f>
        <v>15</v>
      </c>
      <c r="AK3" s="1001">
        <f>Flags!AK7</f>
        <v>15</v>
      </c>
      <c r="AL3" s="1001">
        <f>Flags!AL7</f>
        <v>16</v>
      </c>
      <c r="AM3" s="1001">
        <f>Flags!AM7</f>
        <v>16</v>
      </c>
      <c r="AN3" s="1001">
        <f>Flags!AN7</f>
        <v>17</v>
      </c>
      <c r="AO3" s="1001">
        <f>Flags!AO7</f>
        <v>17</v>
      </c>
      <c r="AP3" s="1001">
        <f>Flags!AP7</f>
        <v>18</v>
      </c>
      <c r="AQ3" s="1001">
        <f>Flags!AQ7</f>
        <v>18</v>
      </c>
      <c r="AR3" s="1001">
        <f>Flags!AR7</f>
        <v>19</v>
      </c>
      <c r="AS3" s="1001">
        <f>Flags!AS7</f>
        <v>19</v>
      </c>
      <c r="AT3" s="1001">
        <f>Flags!AT7</f>
        <v>20</v>
      </c>
      <c r="AU3" s="1001">
        <f>Flags!AU7</f>
        <v>20</v>
      </c>
      <c r="AV3" s="1001">
        <f>Flags!AV7</f>
        <v>21</v>
      </c>
      <c r="AW3" s="1001">
        <f>Flags!AW7</f>
        <v>21</v>
      </c>
      <c r="AX3" s="1001">
        <f>Flags!AX7</f>
        <v>22</v>
      </c>
      <c r="AY3" s="1001">
        <f>Flags!AY7</f>
        <v>22</v>
      </c>
      <c r="AZ3" s="1001">
        <f>Flags!AZ7</f>
        <v>23</v>
      </c>
      <c r="BA3" s="1001">
        <f>Flags!BA7</f>
        <v>23</v>
      </c>
      <c r="BB3" s="1001">
        <f>Flags!BB7</f>
        <v>24</v>
      </c>
      <c r="BC3" s="1001">
        <f>Flags!BC7</f>
        <v>24</v>
      </c>
      <c r="BD3" s="1001">
        <f>Flags!BD7</f>
        <v>25</v>
      </c>
      <c r="BE3" s="1001">
        <f>Flags!BE7</f>
        <v>25</v>
      </c>
      <c r="BF3" s="1001">
        <f>Flags!BF7</f>
        <v>26</v>
      </c>
      <c r="BG3" s="1001">
        <f>Flags!BG7</f>
        <v>26</v>
      </c>
      <c r="BH3" s="1001">
        <f>Flags!BH7</f>
        <v>27</v>
      </c>
      <c r="BI3" s="1001">
        <f>Flags!BI7</f>
        <v>27</v>
      </c>
      <c r="BJ3" s="1001">
        <f>Flags!BJ7</f>
        <v>28</v>
      </c>
      <c r="BK3" s="1001">
        <f>Flags!BK7</f>
        <v>28</v>
      </c>
      <c r="BL3" s="1001">
        <f>Flags!BL7</f>
        <v>29</v>
      </c>
      <c r="BM3" s="1001">
        <f>Flags!BM7</f>
        <v>29</v>
      </c>
      <c r="BN3" s="1001">
        <f>Flags!BN7</f>
        <v>30</v>
      </c>
      <c r="BO3" s="1001">
        <f>Flags!BO7</f>
        <v>30</v>
      </c>
      <c r="BP3" s="1001"/>
      <c r="BQ3" s="1001"/>
      <c r="BR3" s="1001"/>
      <c r="BS3" s="1001"/>
      <c r="BT3" s="1001"/>
      <c r="BU3" s="1001"/>
      <c r="BV3" s="1001"/>
      <c r="BW3" s="1001"/>
      <c r="BX3" s="1001"/>
      <c r="BY3" s="1001"/>
      <c r="BZ3" s="1001"/>
      <c r="CA3" s="1001"/>
      <c r="CB3" s="1001"/>
      <c r="CC3" s="1001"/>
      <c r="CD3" s="1001"/>
      <c r="CE3" s="1001"/>
      <c r="CF3" s="1001"/>
      <c r="CG3" s="1001"/>
      <c r="CH3" s="1001"/>
      <c r="CI3" s="1001"/>
      <c r="CJ3" s="1001"/>
      <c r="CK3" s="1001"/>
      <c r="CL3" s="1001"/>
      <c r="CM3" s="1001"/>
      <c r="CN3" s="1001"/>
      <c r="CO3" s="1001"/>
      <c r="CP3" s="1001"/>
      <c r="CQ3" s="1001"/>
      <c r="CR3" s="1001"/>
      <c r="CS3" s="1001"/>
      <c r="CT3" s="1001"/>
      <c r="CU3" s="1001"/>
      <c r="CV3" s="1001"/>
      <c r="CW3" s="1001"/>
      <c r="CX3" s="1001"/>
      <c r="CY3" s="1001"/>
      <c r="CZ3" s="1001"/>
      <c r="DA3" s="1001"/>
      <c r="DB3" s="1001"/>
      <c r="DC3" s="1001"/>
      <c r="DD3" s="1001"/>
      <c r="DE3" s="1001"/>
      <c r="DF3" s="1001"/>
      <c r="DG3" s="1001"/>
      <c r="DH3" s="1001"/>
      <c r="DI3" s="1001"/>
      <c r="DJ3" s="1001"/>
      <c r="DK3" s="1001"/>
      <c r="DL3" s="1001"/>
      <c r="DM3" s="1001"/>
      <c r="DN3" s="1001"/>
      <c r="DO3" s="1001"/>
      <c r="DP3" s="1001"/>
      <c r="DQ3" s="1001"/>
      <c r="DR3" s="1001"/>
      <c r="DS3" s="1001"/>
      <c r="DT3" s="1001"/>
      <c r="DU3" s="1001"/>
      <c r="DV3" s="1001"/>
      <c r="DW3" s="1001"/>
      <c r="DX3" s="579"/>
      <c r="DY3" s="579"/>
      <c r="DZ3" s="579"/>
      <c r="EA3" s="579"/>
      <c r="EB3" s="579"/>
      <c r="EC3" s="579"/>
      <c r="ED3" s="579"/>
      <c r="EE3" s="579"/>
      <c r="EF3" s="579"/>
      <c r="EG3" s="579"/>
      <c r="EH3" s="579"/>
      <c r="EI3" s="579"/>
    </row>
    <row r="4" spans="1:139">
      <c r="A4" s="861" t="s">
        <v>12</v>
      </c>
      <c r="B4" s="974"/>
      <c r="C4" s="974"/>
      <c r="D4" s="864"/>
      <c r="E4" s="864"/>
      <c r="F4" s="863"/>
      <c r="G4" s="1076">
        <f>Flags!G8</f>
        <v>0</v>
      </c>
      <c r="H4" s="1076">
        <f>Flags!H8</f>
        <v>1</v>
      </c>
      <c r="I4" s="1076">
        <f>Flags!I8</f>
        <v>2</v>
      </c>
      <c r="J4" s="1076">
        <f>Flags!J8</f>
        <v>3</v>
      </c>
      <c r="K4" s="1076">
        <f>Flags!K8</f>
        <v>4</v>
      </c>
      <c r="L4" s="1076">
        <f>Flags!L8</f>
        <v>5</v>
      </c>
      <c r="M4" s="1076">
        <f>Flags!M8</f>
        <v>6</v>
      </c>
      <c r="N4" s="1076">
        <f>Flags!N8</f>
        <v>7</v>
      </c>
      <c r="O4" s="1076">
        <f>Flags!O8</f>
        <v>8</v>
      </c>
      <c r="P4" s="1076">
        <f>Flags!P8</f>
        <v>9</v>
      </c>
      <c r="Q4" s="1076">
        <f>Flags!Q8</f>
        <v>10</v>
      </c>
      <c r="R4" s="1076">
        <f>Flags!R8</f>
        <v>11</v>
      </c>
      <c r="S4" s="1076">
        <f>Flags!S8</f>
        <v>12</v>
      </c>
      <c r="T4" s="1076">
        <f>Flags!T8</f>
        <v>13</v>
      </c>
      <c r="U4" s="1076">
        <f>Flags!U8</f>
        <v>14</v>
      </c>
      <c r="V4" s="1076">
        <f>Flags!V8</f>
        <v>15</v>
      </c>
      <c r="W4" s="1076">
        <f>Flags!W8</f>
        <v>16</v>
      </c>
      <c r="X4" s="1076">
        <f>Flags!X8</f>
        <v>17</v>
      </c>
      <c r="Y4" s="1076">
        <f>Flags!Y8</f>
        <v>18</v>
      </c>
      <c r="Z4" s="1076">
        <f>Flags!Z8</f>
        <v>19</v>
      </c>
      <c r="AA4" s="1076">
        <f>Flags!AA8</f>
        <v>20</v>
      </c>
      <c r="AB4" s="1076">
        <f>Flags!AB8</f>
        <v>21</v>
      </c>
      <c r="AC4" s="1076">
        <f>Flags!AC8</f>
        <v>22</v>
      </c>
      <c r="AD4" s="1076">
        <f>Flags!AD8</f>
        <v>23</v>
      </c>
      <c r="AE4" s="1076">
        <f>Flags!AE8</f>
        <v>24</v>
      </c>
      <c r="AF4" s="1076">
        <f>Flags!AF8</f>
        <v>25</v>
      </c>
      <c r="AG4" s="1076">
        <f>Flags!AG8</f>
        <v>26</v>
      </c>
      <c r="AH4" s="1076">
        <f>Flags!AH8</f>
        <v>27</v>
      </c>
      <c r="AI4" s="1076">
        <f>Flags!AI8</f>
        <v>28</v>
      </c>
      <c r="AJ4" s="1076">
        <f>Flags!AJ8</f>
        <v>29</v>
      </c>
      <c r="AK4" s="1076">
        <f>Flags!AK8</f>
        <v>30</v>
      </c>
      <c r="AL4" s="1076">
        <f>Flags!AL8</f>
        <v>31</v>
      </c>
      <c r="AM4" s="1076">
        <f>Flags!AM8</f>
        <v>32</v>
      </c>
      <c r="AN4" s="1076">
        <f>Flags!AN8</f>
        <v>33</v>
      </c>
      <c r="AO4" s="1076">
        <f>Flags!AO8</f>
        <v>34</v>
      </c>
      <c r="AP4" s="1076">
        <f>Flags!AP8</f>
        <v>35</v>
      </c>
      <c r="AQ4" s="1076">
        <f>Flags!AQ8</f>
        <v>36</v>
      </c>
      <c r="AR4" s="1076">
        <f>Flags!AR8</f>
        <v>37</v>
      </c>
      <c r="AS4" s="1076">
        <f>Flags!AS8</f>
        <v>38</v>
      </c>
      <c r="AT4" s="1076">
        <f>Flags!AT8</f>
        <v>39</v>
      </c>
      <c r="AU4" s="1076">
        <f>Flags!AU8</f>
        <v>40</v>
      </c>
      <c r="AV4" s="1076">
        <f>Flags!AV8</f>
        <v>41</v>
      </c>
      <c r="AW4" s="1076">
        <f>Flags!AW8</f>
        <v>42</v>
      </c>
      <c r="AX4" s="1076">
        <f>Flags!AX8</f>
        <v>43</v>
      </c>
      <c r="AY4" s="1076">
        <f>Flags!AY8</f>
        <v>44</v>
      </c>
      <c r="AZ4" s="1076">
        <f>Flags!AZ8</f>
        <v>45</v>
      </c>
      <c r="BA4" s="1076">
        <f>Flags!BA8</f>
        <v>46</v>
      </c>
      <c r="BB4" s="1076">
        <f>Flags!BB8</f>
        <v>47</v>
      </c>
      <c r="BC4" s="1076">
        <f>Flags!BC8</f>
        <v>48</v>
      </c>
      <c r="BD4" s="1076">
        <f>Flags!BD8</f>
        <v>49</v>
      </c>
      <c r="BE4" s="1076">
        <f>Flags!BE8</f>
        <v>50</v>
      </c>
      <c r="BF4" s="1076">
        <f>Flags!BF8</f>
        <v>51</v>
      </c>
      <c r="BG4" s="1076">
        <f>Flags!BG8</f>
        <v>52</v>
      </c>
      <c r="BH4" s="1076">
        <f>Flags!BH8</f>
        <v>53</v>
      </c>
      <c r="BI4" s="1076">
        <f>Flags!BI8</f>
        <v>54</v>
      </c>
      <c r="BJ4" s="1076">
        <f>Flags!BJ8</f>
        <v>55</v>
      </c>
      <c r="BK4" s="1076">
        <f>Flags!BK8</f>
        <v>56</v>
      </c>
      <c r="BL4" s="1076">
        <f>Flags!BL8</f>
        <v>57</v>
      </c>
      <c r="BM4" s="1076">
        <f>Flags!BM8</f>
        <v>58</v>
      </c>
      <c r="BN4" s="1076">
        <f>Flags!BN8</f>
        <v>59</v>
      </c>
      <c r="BO4" s="1076">
        <f>Flags!BO8</f>
        <v>60</v>
      </c>
      <c r="BP4" s="1076"/>
      <c r="BQ4" s="1076"/>
      <c r="BR4" s="1076"/>
      <c r="BS4" s="1076"/>
      <c r="BT4" s="1076"/>
      <c r="BU4" s="1076"/>
      <c r="BV4" s="1076"/>
      <c r="BW4" s="1076"/>
      <c r="BX4" s="1076"/>
      <c r="BY4" s="1076"/>
      <c r="BZ4" s="1076"/>
      <c r="CA4" s="1076"/>
      <c r="CB4" s="1076"/>
      <c r="CC4" s="1076"/>
      <c r="CD4" s="1076"/>
      <c r="CE4" s="1076"/>
      <c r="CF4" s="1076"/>
      <c r="CG4" s="1076"/>
      <c r="CH4" s="1076"/>
      <c r="CI4" s="1076"/>
      <c r="CJ4" s="1076"/>
      <c r="CK4" s="1076"/>
      <c r="CL4" s="1076"/>
      <c r="CM4" s="1076"/>
      <c r="CN4" s="1076"/>
      <c r="CO4" s="1076"/>
      <c r="CP4" s="1076"/>
      <c r="CQ4" s="1076"/>
      <c r="CR4" s="1076"/>
      <c r="CS4" s="1076"/>
      <c r="CT4" s="1076"/>
      <c r="CU4" s="1076"/>
      <c r="CV4" s="1076"/>
      <c r="CW4" s="1076"/>
      <c r="CX4" s="1076"/>
      <c r="CY4" s="1076"/>
      <c r="CZ4" s="1076"/>
      <c r="DA4" s="1076"/>
      <c r="DB4" s="1076"/>
      <c r="DC4" s="1076"/>
      <c r="DD4" s="1076"/>
      <c r="DE4" s="1076"/>
      <c r="DF4" s="1076"/>
      <c r="DG4" s="1076"/>
      <c r="DH4" s="1076"/>
      <c r="DI4" s="1076"/>
      <c r="DJ4" s="1076"/>
      <c r="DK4" s="1076"/>
      <c r="DL4" s="1076"/>
      <c r="DM4" s="1076"/>
      <c r="DN4" s="1076"/>
      <c r="DO4" s="1076"/>
      <c r="DP4" s="1076"/>
      <c r="DQ4" s="1076"/>
      <c r="DR4" s="1076"/>
      <c r="DS4" s="1076"/>
      <c r="DT4" s="1076"/>
      <c r="DU4" s="1076"/>
      <c r="DV4" s="1076"/>
      <c r="DW4" s="1076"/>
      <c r="DX4" s="580"/>
      <c r="DY4" s="580"/>
      <c r="DZ4" s="580"/>
      <c r="EA4" s="580"/>
      <c r="EB4" s="580"/>
      <c r="EC4" s="580"/>
      <c r="ED4" s="580"/>
      <c r="EE4" s="580"/>
      <c r="EF4" s="580"/>
      <c r="EG4" s="580"/>
      <c r="EH4" s="580"/>
      <c r="EI4" s="580"/>
    </row>
    <row r="5" spans="1:139" s="310" customFormat="1">
      <c r="A5" s="581"/>
      <c r="B5" s="591"/>
      <c r="C5" s="591"/>
      <c r="D5" s="581"/>
      <c r="E5" s="581"/>
      <c r="F5" s="581"/>
      <c r="G5" s="581"/>
      <c r="H5" s="581"/>
      <c r="I5" s="581"/>
      <c r="J5" s="581"/>
      <c r="K5" s="581"/>
      <c r="L5" s="581"/>
      <c r="M5" s="581"/>
      <c r="N5" s="581"/>
      <c r="O5" s="581"/>
      <c r="P5" s="581"/>
      <c r="Q5" s="581"/>
      <c r="R5" s="581"/>
      <c r="S5" s="581"/>
      <c r="T5" s="581"/>
      <c r="U5" s="581"/>
      <c r="V5" s="581"/>
      <c r="W5" s="581"/>
      <c r="X5" s="581"/>
      <c r="Y5" s="581"/>
      <c r="Z5" s="581"/>
      <c r="AA5" s="581"/>
      <c r="AB5" s="581"/>
      <c r="AC5" s="581"/>
      <c r="AD5" s="581"/>
      <c r="AE5" s="581"/>
      <c r="AF5" s="581"/>
      <c r="AG5" s="581"/>
      <c r="AH5" s="581"/>
      <c r="AI5" s="581"/>
      <c r="AJ5" s="581"/>
      <c r="AK5" s="581"/>
      <c r="AL5" s="581"/>
      <c r="AM5" s="581"/>
      <c r="AN5" s="581"/>
      <c r="AO5" s="581"/>
      <c r="AP5" s="581"/>
      <c r="AQ5" s="581"/>
      <c r="AR5" s="581"/>
      <c r="AS5" s="581"/>
      <c r="AT5" s="581"/>
      <c r="AU5" s="581"/>
      <c r="AV5" s="581"/>
      <c r="AW5" s="581"/>
      <c r="AX5" s="581"/>
      <c r="AY5" s="581"/>
      <c r="AZ5" s="581"/>
      <c r="BA5" s="581"/>
      <c r="BB5" s="581"/>
      <c r="BC5" s="581"/>
      <c r="BD5" s="581"/>
      <c r="BE5" s="581"/>
      <c r="BF5" s="581"/>
      <c r="BG5" s="581"/>
      <c r="BH5" s="581"/>
      <c r="BI5" s="581"/>
      <c r="BJ5" s="581"/>
      <c r="BK5" s="581"/>
      <c r="BL5" s="581"/>
      <c r="BM5" s="581"/>
      <c r="BN5" s="581"/>
      <c r="BO5" s="581"/>
      <c r="BP5" s="581"/>
      <c r="BQ5" s="581"/>
      <c r="BR5" s="581"/>
      <c r="BS5" s="581"/>
      <c r="BT5" s="581"/>
      <c r="BU5" s="581"/>
      <c r="BV5" s="581"/>
      <c r="BW5" s="581"/>
      <c r="BX5" s="581"/>
      <c r="BY5" s="581"/>
      <c r="BZ5" s="581"/>
      <c r="CA5" s="581"/>
      <c r="CB5" s="581"/>
      <c r="CC5" s="581"/>
      <c r="CD5" s="581"/>
      <c r="CE5" s="581"/>
      <c r="CF5" s="581"/>
      <c r="CG5" s="581"/>
      <c r="CH5" s="581"/>
      <c r="CI5" s="581"/>
      <c r="CJ5" s="581"/>
      <c r="CK5" s="581"/>
      <c r="CL5" s="581"/>
      <c r="CM5" s="581"/>
      <c r="CN5" s="581"/>
      <c r="CO5" s="581"/>
      <c r="CP5" s="581"/>
      <c r="CQ5" s="581"/>
      <c r="CR5" s="581"/>
      <c r="CS5" s="581"/>
      <c r="CT5" s="581"/>
      <c r="CU5" s="581"/>
      <c r="CV5" s="581"/>
      <c r="CW5" s="581"/>
      <c r="CX5" s="581"/>
      <c r="CY5" s="581"/>
      <c r="CZ5" s="581"/>
      <c r="DA5" s="581"/>
      <c r="DB5" s="581"/>
      <c r="DC5" s="581"/>
      <c r="DD5" s="581"/>
      <c r="DE5" s="581"/>
      <c r="DF5" s="581"/>
      <c r="DG5" s="581"/>
      <c r="DH5" s="581"/>
      <c r="DI5" s="581"/>
      <c r="DJ5" s="581"/>
      <c r="DK5" s="581"/>
      <c r="DL5" s="581"/>
      <c r="DM5" s="581"/>
      <c r="DN5" s="581"/>
      <c r="DO5" s="581"/>
      <c r="DP5" s="581"/>
      <c r="DQ5" s="581"/>
      <c r="DR5" s="581"/>
      <c r="DS5" s="581"/>
      <c r="DT5" s="581"/>
      <c r="DU5" s="581"/>
      <c r="DV5" s="581"/>
      <c r="DW5" s="581"/>
    </row>
    <row r="6" spans="1:139">
      <c r="A6" s="861" t="s">
        <v>1208</v>
      </c>
      <c r="B6" s="974"/>
      <c r="C6" s="974"/>
      <c r="D6" s="864"/>
      <c r="E6" s="864"/>
      <c r="F6" s="863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82"/>
      <c r="AL6" s="582"/>
      <c r="AM6" s="582"/>
      <c r="AN6" s="582"/>
      <c r="AO6" s="582"/>
      <c r="AP6" s="582"/>
      <c r="AQ6" s="582"/>
      <c r="AR6" s="582"/>
      <c r="AS6" s="582"/>
      <c r="AT6" s="582"/>
      <c r="AU6" s="582"/>
      <c r="AV6" s="582"/>
      <c r="AW6" s="582"/>
      <c r="AX6" s="582"/>
      <c r="AY6" s="582"/>
      <c r="AZ6" s="582"/>
      <c r="BA6" s="582"/>
      <c r="BB6" s="582"/>
      <c r="BC6" s="582"/>
      <c r="BD6" s="582"/>
      <c r="BE6" s="582"/>
      <c r="BF6" s="582"/>
      <c r="BG6" s="582"/>
      <c r="BH6" s="582"/>
      <c r="BI6" s="582"/>
      <c r="BJ6" s="582"/>
      <c r="BK6" s="582"/>
      <c r="BL6" s="582"/>
      <c r="BM6" s="582"/>
      <c r="BN6" s="582"/>
      <c r="BO6" s="582"/>
      <c r="BP6" s="582"/>
      <c r="BQ6" s="582"/>
      <c r="BR6" s="582"/>
      <c r="BS6" s="582"/>
      <c r="BT6" s="582"/>
      <c r="BU6" s="582"/>
      <c r="BV6" s="582"/>
      <c r="BW6" s="582"/>
      <c r="BX6" s="582"/>
      <c r="BY6" s="582"/>
      <c r="BZ6" s="582"/>
      <c r="CA6" s="582"/>
      <c r="CB6" s="582"/>
      <c r="CC6" s="582"/>
      <c r="CD6" s="582"/>
      <c r="CE6" s="582"/>
      <c r="CF6" s="582"/>
      <c r="CG6" s="582"/>
      <c r="CH6" s="582"/>
      <c r="CI6" s="582"/>
      <c r="CJ6" s="582"/>
      <c r="CK6" s="582"/>
      <c r="CL6" s="582"/>
      <c r="CM6" s="582"/>
      <c r="CN6" s="582"/>
      <c r="CO6" s="582"/>
      <c r="CP6" s="582"/>
      <c r="CQ6" s="582"/>
      <c r="CR6" s="582"/>
      <c r="CS6" s="582"/>
      <c r="CT6" s="582"/>
      <c r="CU6" s="582"/>
      <c r="CV6" s="582"/>
      <c r="CW6" s="582"/>
      <c r="CX6" s="582"/>
      <c r="CY6" s="582"/>
      <c r="CZ6" s="582"/>
      <c r="DA6" s="582"/>
      <c r="DB6" s="582"/>
      <c r="DC6" s="582"/>
      <c r="DD6" s="582"/>
      <c r="DE6" s="582"/>
      <c r="DF6" s="582"/>
      <c r="DG6" s="582"/>
      <c r="DH6" s="582"/>
      <c r="DI6" s="582"/>
      <c r="DJ6" s="582"/>
      <c r="DK6" s="582"/>
      <c r="DL6" s="582"/>
      <c r="DM6" s="582"/>
      <c r="DN6" s="582"/>
      <c r="DO6" s="582"/>
      <c r="DP6" s="582"/>
      <c r="DQ6" s="582"/>
      <c r="DR6" s="582"/>
      <c r="DS6" s="582"/>
      <c r="DT6" s="582"/>
      <c r="DU6" s="582"/>
      <c r="DV6" s="582"/>
      <c r="DW6" s="582"/>
    </row>
    <row r="7" spans="1:139" s="310" customFormat="1">
      <c r="A7" s="581"/>
      <c r="B7" s="591"/>
      <c r="C7" s="591"/>
      <c r="D7" s="581"/>
      <c r="E7" s="581"/>
      <c r="F7" s="329"/>
      <c r="G7" s="583"/>
      <c r="H7" s="583"/>
      <c r="I7" s="583"/>
      <c r="J7" s="583"/>
      <c r="K7" s="583"/>
      <c r="L7" s="583"/>
      <c r="M7" s="583"/>
      <c r="N7" s="583"/>
      <c r="O7" s="583"/>
      <c r="P7" s="583"/>
      <c r="Q7" s="583"/>
      <c r="R7" s="583"/>
      <c r="S7" s="583"/>
      <c r="T7" s="583"/>
      <c r="U7" s="583"/>
      <c r="V7" s="583"/>
      <c r="W7" s="583"/>
      <c r="X7" s="583"/>
      <c r="Y7" s="583"/>
      <c r="Z7" s="583"/>
      <c r="AA7" s="583"/>
      <c r="AB7" s="583"/>
      <c r="AC7" s="583"/>
      <c r="AD7" s="583"/>
      <c r="AE7" s="583"/>
      <c r="AF7" s="583"/>
      <c r="AG7" s="583"/>
      <c r="AH7" s="583"/>
      <c r="AI7" s="583"/>
      <c r="AJ7" s="583"/>
      <c r="AK7" s="583"/>
      <c r="AL7" s="583"/>
      <c r="AM7" s="583"/>
      <c r="AN7" s="583"/>
      <c r="AO7" s="583"/>
      <c r="AP7" s="583"/>
      <c r="AQ7" s="583"/>
      <c r="AR7" s="583"/>
      <c r="AS7" s="583"/>
      <c r="AT7" s="583"/>
      <c r="AU7" s="583"/>
      <c r="AV7" s="583"/>
      <c r="AW7" s="583"/>
      <c r="AX7" s="583"/>
      <c r="AY7" s="583"/>
      <c r="AZ7" s="583"/>
      <c r="BA7" s="583"/>
      <c r="BB7" s="583"/>
      <c r="BC7" s="583"/>
      <c r="BD7" s="583"/>
      <c r="BE7" s="583"/>
      <c r="BF7" s="583"/>
      <c r="BG7" s="583"/>
      <c r="BH7" s="583"/>
      <c r="BI7" s="583"/>
      <c r="BJ7" s="583"/>
      <c r="BK7" s="583"/>
      <c r="BL7" s="583"/>
      <c r="BM7" s="583"/>
      <c r="BN7" s="583"/>
      <c r="BO7" s="583"/>
      <c r="BP7" s="583"/>
      <c r="BQ7" s="583"/>
      <c r="BR7" s="583"/>
      <c r="BS7" s="583"/>
      <c r="BT7" s="583"/>
      <c r="BU7" s="583"/>
      <c r="BV7" s="583"/>
      <c r="BW7" s="583"/>
      <c r="BX7" s="583"/>
      <c r="BY7" s="583"/>
      <c r="BZ7" s="583"/>
      <c r="CA7" s="583"/>
      <c r="CB7" s="583"/>
      <c r="CC7" s="583"/>
      <c r="CD7" s="583"/>
      <c r="CE7" s="583"/>
      <c r="CF7" s="583"/>
      <c r="CG7" s="583"/>
      <c r="CH7" s="583"/>
      <c r="CI7" s="583"/>
      <c r="CJ7" s="583"/>
      <c r="CK7" s="583"/>
      <c r="CL7" s="583"/>
      <c r="CM7" s="583"/>
      <c r="CN7" s="583"/>
      <c r="CO7" s="583"/>
      <c r="CP7" s="583"/>
      <c r="CQ7" s="583"/>
      <c r="CR7" s="583"/>
      <c r="CS7" s="583"/>
      <c r="CT7" s="583"/>
      <c r="CU7" s="583"/>
      <c r="CV7" s="583"/>
      <c r="CW7" s="583"/>
      <c r="CX7" s="583"/>
      <c r="CY7" s="583"/>
      <c r="CZ7" s="583"/>
      <c r="DA7" s="583"/>
      <c r="DB7" s="583"/>
      <c r="DC7" s="583"/>
      <c r="DD7" s="583"/>
      <c r="DE7" s="583"/>
      <c r="DF7" s="583"/>
      <c r="DG7" s="583"/>
      <c r="DH7" s="583"/>
      <c r="DI7" s="583"/>
      <c r="DJ7" s="583"/>
      <c r="DK7" s="583"/>
      <c r="DL7" s="583"/>
      <c r="DM7" s="583"/>
      <c r="DN7" s="583"/>
      <c r="DO7" s="583"/>
      <c r="DP7" s="583"/>
      <c r="DQ7" s="583"/>
      <c r="DR7" s="583"/>
      <c r="DS7" s="583"/>
      <c r="DT7" s="583"/>
      <c r="DU7" s="583"/>
      <c r="DV7" s="583"/>
      <c r="DW7" s="583"/>
    </row>
    <row r="8" spans="1:139">
      <c r="A8" s="584" t="s">
        <v>1209</v>
      </c>
      <c r="B8" s="927">
        <f ca="1">SUM(Inputs!$G$375:$G$396)</f>
        <v>57973.052657378626</v>
      </c>
      <c r="C8" s="927"/>
      <c r="D8" s="584"/>
      <c r="E8" s="584"/>
      <c r="F8" s="585"/>
      <c r="G8" s="586">
        <f ca="1">$B8</f>
        <v>57973.052657378626</v>
      </c>
      <c r="H8" s="586">
        <f t="shared" ref="H8:BO8" ca="1" si="0">$B8</f>
        <v>57973.052657378626</v>
      </c>
      <c r="I8" s="586">
        <f t="shared" ca="1" si="0"/>
        <v>57973.052657378626</v>
      </c>
      <c r="J8" s="586">
        <f t="shared" ca="1" si="0"/>
        <v>57973.052657378626</v>
      </c>
      <c r="K8" s="586">
        <f t="shared" ca="1" si="0"/>
        <v>57973.052657378626</v>
      </c>
      <c r="L8" s="586">
        <f t="shared" ca="1" si="0"/>
        <v>57973.052657378626</v>
      </c>
      <c r="M8" s="586">
        <f t="shared" ca="1" si="0"/>
        <v>57973.052657378626</v>
      </c>
      <c r="N8" s="586">
        <f t="shared" ca="1" si="0"/>
        <v>57973.052657378626</v>
      </c>
      <c r="O8" s="586">
        <f t="shared" ca="1" si="0"/>
        <v>57973.052657378626</v>
      </c>
      <c r="P8" s="586">
        <f t="shared" ca="1" si="0"/>
        <v>57973.052657378626</v>
      </c>
      <c r="Q8" s="586">
        <f t="shared" ca="1" si="0"/>
        <v>57973.052657378626</v>
      </c>
      <c r="R8" s="586">
        <f t="shared" ca="1" si="0"/>
        <v>57973.052657378626</v>
      </c>
      <c r="S8" s="586">
        <f t="shared" ca="1" si="0"/>
        <v>57973.052657378626</v>
      </c>
      <c r="T8" s="586">
        <f t="shared" ca="1" si="0"/>
        <v>57973.052657378626</v>
      </c>
      <c r="U8" s="586">
        <f t="shared" ca="1" si="0"/>
        <v>57973.052657378626</v>
      </c>
      <c r="V8" s="586">
        <f t="shared" ca="1" si="0"/>
        <v>57973.052657378626</v>
      </c>
      <c r="W8" s="586">
        <f t="shared" ca="1" si="0"/>
        <v>57973.052657378626</v>
      </c>
      <c r="X8" s="586">
        <f t="shared" ca="1" si="0"/>
        <v>57973.052657378626</v>
      </c>
      <c r="Y8" s="586">
        <f t="shared" ca="1" si="0"/>
        <v>57973.052657378626</v>
      </c>
      <c r="Z8" s="586">
        <f t="shared" ca="1" si="0"/>
        <v>57973.052657378626</v>
      </c>
      <c r="AA8" s="586">
        <f t="shared" ca="1" si="0"/>
        <v>57973.052657378626</v>
      </c>
      <c r="AB8" s="586">
        <f t="shared" ca="1" si="0"/>
        <v>57973.052657378626</v>
      </c>
      <c r="AC8" s="586">
        <f t="shared" ca="1" si="0"/>
        <v>57973.052657378626</v>
      </c>
      <c r="AD8" s="586">
        <f t="shared" ca="1" si="0"/>
        <v>57973.052657378626</v>
      </c>
      <c r="AE8" s="586">
        <f t="shared" ca="1" si="0"/>
        <v>57973.052657378626</v>
      </c>
      <c r="AF8" s="586">
        <f t="shared" ca="1" si="0"/>
        <v>57973.052657378626</v>
      </c>
      <c r="AG8" s="586">
        <f t="shared" ca="1" si="0"/>
        <v>57973.052657378626</v>
      </c>
      <c r="AH8" s="586">
        <f t="shared" ca="1" si="0"/>
        <v>57973.052657378626</v>
      </c>
      <c r="AI8" s="586">
        <f t="shared" ca="1" si="0"/>
        <v>57973.052657378626</v>
      </c>
      <c r="AJ8" s="586">
        <f t="shared" ca="1" si="0"/>
        <v>57973.052657378626</v>
      </c>
      <c r="AK8" s="586">
        <f t="shared" ca="1" si="0"/>
        <v>57973.052657378626</v>
      </c>
      <c r="AL8" s="586">
        <f t="shared" ca="1" si="0"/>
        <v>57973.052657378626</v>
      </c>
      <c r="AM8" s="586">
        <f t="shared" ca="1" si="0"/>
        <v>57973.052657378626</v>
      </c>
      <c r="AN8" s="586">
        <f t="shared" ca="1" si="0"/>
        <v>57973.052657378626</v>
      </c>
      <c r="AO8" s="586">
        <f t="shared" ca="1" si="0"/>
        <v>57973.052657378626</v>
      </c>
      <c r="AP8" s="586">
        <f t="shared" ca="1" si="0"/>
        <v>57973.052657378626</v>
      </c>
      <c r="AQ8" s="586">
        <f t="shared" ca="1" si="0"/>
        <v>57973.052657378626</v>
      </c>
      <c r="AR8" s="586">
        <f t="shared" ca="1" si="0"/>
        <v>57973.052657378626</v>
      </c>
      <c r="AS8" s="586">
        <f t="shared" ca="1" si="0"/>
        <v>57973.052657378626</v>
      </c>
      <c r="AT8" s="586">
        <f t="shared" ca="1" si="0"/>
        <v>57973.052657378626</v>
      </c>
      <c r="AU8" s="586">
        <f t="shared" ca="1" si="0"/>
        <v>57973.052657378626</v>
      </c>
      <c r="AV8" s="586">
        <f t="shared" ca="1" si="0"/>
        <v>57973.052657378626</v>
      </c>
      <c r="AW8" s="586">
        <f t="shared" ca="1" si="0"/>
        <v>57973.052657378626</v>
      </c>
      <c r="AX8" s="586">
        <f t="shared" ca="1" si="0"/>
        <v>57973.052657378626</v>
      </c>
      <c r="AY8" s="586">
        <f t="shared" ca="1" si="0"/>
        <v>57973.052657378626</v>
      </c>
      <c r="AZ8" s="586">
        <f t="shared" ca="1" si="0"/>
        <v>57973.052657378626</v>
      </c>
      <c r="BA8" s="586">
        <f t="shared" ca="1" si="0"/>
        <v>57973.052657378626</v>
      </c>
      <c r="BB8" s="586">
        <f t="shared" ca="1" si="0"/>
        <v>57973.052657378626</v>
      </c>
      <c r="BC8" s="586">
        <f t="shared" ca="1" si="0"/>
        <v>57973.052657378626</v>
      </c>
      <c r="BD8" s="586">
        <f t="shared" ca="1" si="0"/>
        <v>57973.052657378626</v>
      </c>
      <c r="BE8" s="586">
        <f t="shared" ca="1" si="0"/>
        <v>57973.052657378626</v>
      </c>
      <c r="BF8" s="586">
        <f t="shared" ca="1" si="0"/>
        <v>57973.052657378626</v>
      </c>
      <c r="BG8" s="586">
        <f t="shared" ca="1" si="0"/>
        <v>57973.052657378626</v>
      </c>
      <c r="BH8" s="586">
        <f t="shared" ca="1" si="0"/>
        <v>57973.052657378626</v>
      </c>
      <c r="BI8" s="586">
        <f t="shared" ca="1" si="0"/>
        <v>57973.052657378626</v>
      </c>
      <c r="BJ8" s="586">
        <f t="shared" ca="1" si="0"/>
        <v>57973.052657378626</v>
      </c>
      <c r="BK8" s="586">
        <f t="shared" ca="1" si="0"/>
        <v>57973.052657378626</v>
      </c>
      <c r="BL8" s="586">
        <f t="shared" ca="1" si="0"/>
        <v>57973.052657378626</v>
      </c>
      <c r="BM8" s="586">
        <f t="shared" ca="1" si="0"/>
        <v>57973.052657378626</v>
      </c>
      <c r="BN8" s="586">
        <f t="shared" ca="1" si="0"/>
        <v>57973.052657378626</v>
      </c>
      <c r="BO8" s="586">
        <f t="shared" ca="1" si="0"/>
        <v>57973.052657378626</v>
      </c>
      <c r="BP8" s="586"/>
      <c r="BQ8" s="586"/>
      <c r="BR8" s="586"/>
      <c r="BS8" s="586"/>
      <c r="BT8" s="586"/>
      <c r="BU8" s="586"/>
      <c r="BV8" s="586"/>
      <c r="BW8" s="586"/>
      <c r="BX8" s="586"/>
      <c r="BY8" s="586"/>
      <c r="BZ8" s="586"/>
      <c r="CA8" s="586"/>
      <c r="CB8" s="586"/>
      <c r="CC8" s="586"/>
      <c r="CD8" s="586"/>
      <c r="CE8" s="586"/>
      <c r="CF8" s="586"/>
      <c r="CG8" s="586"/>
      <c r="CH8" s="586"/>
      <c r="CI8" s="586"/>
      <c r="CJ8" s="586"/>
      <c r="CK8" s="586"/>
      <c r="CL8" s="586"/>
      <c r="CM8" s="586"/>
      <c r="CN8" s="586"/>
      <c r="CO8" s="586"/>
      <c r="CP8" s="586"/>
      <c r="CQ8" s="586"/>
      <c r="CR8" s="586"/>
      <c r="CS8" s="586"/>
      <c r="CT8" s="586"/>
      <c r="CU8" s="586"/>
      <c r="CV8" s="586"/>
      <c r="CW8" s="586"/>
      <c r="CX8" s="586"/>
      <c r="CY8" s="586"/>
      <c r="CZ8" s="586"/>
      <c r="DA8" s="586"/>
      <c r="DB8" s="586"/>
      <c r="DC8" s="586"/>
      <c r="DD8" s="586"/>
      <c r="DE8" s="586"/>
      <c r="DF8" s="586"/>
      <c r="DG8" s="586"/>
      <c r="DH8" s="586"/>
      <c r="DI8" s="586"/>
      <c r="DJ8" s="586"/>
      <c r="DK8" s="586"/>
      <c r="DL8" s="586"/>
      <c r="DM8" s="586"/>
      <c r="DN8" s="586"/>
      <c r="DO8" s="586"/>
      <c r="DP8" s="586"/>
      <c r="DQ8" s="586"/>
      <c r="DR8" s="586"/>
      <c r="DS8" s="586"/>
      <c r="DT8" s="586"/>
      <c r="DU8" s="586"/>
      <c r="DV8" s="586"/>
      <c r="DW8" s="586"/>
    </row>
    <row r="9" spans="1:139">
      <c r="A9" s="584" t="s">
        <v>1210</v>
      </c>
      <c r="B9" s="584"/>
      <c r="C9" s="584"/>
      <c r="D9" s="584"/>
      <c r="E9" s="584"/>
      <c r="F9" s="587"/>
      <c r="G9" s="927">
        <f ca="1">Dep!G32</f>
        <v>0</v>
      </c>
      <c r="H9" s="927">
        <f ca="1">Dep!H32</f>
        <v>1490.6768666010357</v>
      </c>
      <c r="I9" s="927">
        <f ca="1">Dep!I32</f>
        <v>2957.0492190727064</v>
      </c>
      <c r="J9" s="927">
        <f ca="1">Dep!J32</f>
        <v>4443.6531980600776</v>
      </c>
      <c r="K9" s="927">
        <f ca="1">Dep!K32</f>
        <v>5914.0984381454127</v>
      </c>
      <c r="L9" s="927">
        <f ca="1">Dep!L32</f>
        <v>7404.7753047464485</v>
      </c>
      <c r="M9" s="927">
        <f ca="1">Dep!M32</f>
        <v>8871.14765721812</v>
      </c>
      <c r="N9" s="927">
        <f ca="1">Dep!N32</f>
        <v>10361.824523819156</v>
      </c>
      <c r="O9" s="927">
        <f ca="1">Dep!O32</f>
        <v>11828.196876290827</v>
      </c>
      <c r="P9" s="927">
        <f ca="1">Dep!P32</f>
        <v>13318.873742891863</v>
      </c>
      <c r="Q9" s="927">
        <f ca="1">Dep!Q32</f>
        <v>14785.246095363535</v>
      </c>
      <c r="R9" s="927">
        <f ca="1">Dep!R32</f>
        <v>16271.850074350907</v>
      </c>
      <c r="S9" s="927">
        <f ca="1">Dep!S32</f>
        <v>17742.29531443624</v>
      </c>
      <c r="T9" s="927">
        <f ca="1">Dep!T32</f>
        <v>19232.972181037276</v>
      </c>
      <c r="U9" s="927">
        <f ca="1">Dep!U32</f>
        <v>20699.344533508945</v>
      </c>
      <c r="V9" s="927">
        <f ca="1">Dep!V32</f>
        <v>22190.021400109981</v>
      </c>
      <c r="W9" s="927">
        <f ca="1">Dep!W32</f>
        <v>23656.393752581651</v>
      </c>
      <c r="X9" s="927">
        <f ca="1">Dep!X32</f>
        <v>25147.070619182687</v>
      </c>
      <c r="Y9" s="927">
        <f ca="1">Dep!Y32</f>
        <v>26613.442971654356</v>
      </c>
      <c r="Z9" s="927">
        <f ca="1">Dep!Z32</f>
        <v>28100.046950641728</v>
      </c>
      <c r="AA9" s="927">
        <f ca="1">Dep!AA32</f>
        <v>29570.492190727062</v>
      </c>
      <c r="AB9" s="927">
        <f ca="1">Dep!AB32</f>
        <v>31061.169057328098</v>
      </c>
      <c r="AC9" s="927">
        <f ca="1">Dep!AC32</f>
        <v>32527.541409799767</v>
      </c>
      <c r="AD9" s="927">
        <f ca="1">Dep!AD32</f>
        <v>34018.218276400803</v>
      </c>
      <c r="AE9" s="927">
        <f ca="1">Dep!AE32</f>
        <v>35484.590628872473</v>
      </c>
      <c r="AF9" s="927">
        <f ca="1">Dep!AF32</f>
        <v>36901.671797792042</v>
      </c>
      <c r="AG9" s="927">
        <f ca="1">Dep!AG32</f>
        <v>38295.648382435742</v>
      </c>
      <c r="AH9" s="927">
        <f ca="1">Dep!AH32</f>
        <v>39708.857744882851</v>
      </c>
      <c r="AI9" s="927">
        <f ca="1">Dep!AI32</f>
        <v>41106.706135999011</v>
      </c>
      <c r="AJ9" s="927">
        <f ca="1">Dep!AJ32</f>
        <v>42523.78730491858</v>
      </c>
      <c r="AK9" s="927">
        <f ca="1">Dep!AK32</f>
        <v>43917.76388956228</v>
      </c>
      <c r="AL9" s="927">
        <f ca="1">Dep!AL32</f>
        <v>45334.845058481849</v>
      </c>
      <c r="AM9" s="927">
        <f ca="1">Dep!AM32</f>
        <v>46728.82164312555</v>
      </c>
      <c r="AN9" s="927">
        <f ca="1">Dep!AN32</f>
        <v>48145.902812045118</v>
      </c>
      <c r="AO9" s="927">
        <f ca="1">Dep!AO32</f>
        <v>49539.879396688819</v>
      </c>
      <c r="AP9" s="927">
        <f ca="1">Dep!AP32</f>
        <v>50953.088759135928</v>
      </c>
      <c r="AQ9" s="927">
        <f ca="1">Dep!AQ32</f>
        <v>52350.937150252088</v>
      </c>
      <c r="AR9" s="927">
        <f ca="1">Dep!AR32</f>
        <v>53768.018319171657</v>
      </c>
      <c r="AS9" s="927">
        <f ca="1">Dep!AS32</f>
        <v>55161.994903815357</v>
      </c>
      <c r="AT9" s="927">
        <f ca="1">Dep!AT32</f>
        <v>56579.076072734926</v>
      </c>
      <c r="AU9" s="927">
        <f ca="1">Dep!AU32</f>
        <v>57973.052657378626</v>
      </c>
      <c r="AV9" s="927">
        <f ca="1">Dep!AV32</f>
        <v>57973.052657378626</v>
      </c>
      <c r="AW9" s="927">
        <f ca="1">Dep!AW32</f>
        <v>57973.052657378626</v>
      </c>
      <c r="AX9" s="927">
        <f ca="1">Dep!AX32</f>
        <v>57973.052657378626</v>
      </c>
      <c r="AY9" s="927">
        <f ca="1">Dep!AY32</f>
        <v>57973.052657378626</v>
      </c>
      <c r="AZ9" s="927">
        <f ca="1">Dep!AZ32</f>
        <v>57973.052657378626</v>
      </c>
      <c r="BA9" s="927">
        <f ca="1">Dep!BA32</f>
        <v>57973.052657378626</v>
      </c>
      <c r="BB9" s="927">
        <f ca="1">Dep!BB32</f>
        <v>57973.052657378626</v>
      </c>
      <c r="BC9" s="927">
        <f ca="1">Dep!BC32</f>
        <v>57973.052657378626</v>
      </c>
      <c r="BD9" s="927">
        <f ca="1">Dep!BD32</f>
        <v>57973.052657378626</v>
      </c>
      <c r="BE9" s="927">
        <f ca="1">Dep!BE32</f>
        <v>57973.052657378626</v>
      </c>
      <c r="BF9" s="927">
        <f ca="1">Dep!BF32</f>
        <v>57973.052657378626</v>
      </c>
      <c r="BG9" s="927">
        <f ca="1">Dep!BG32</f>
        <v>57973.052657378626</v>
      </c>
      <c r="BH9" s="927">
        <f ca="1">Dep!BH32</f>
        <v>57973.052657378626</v>
      </c>
      <c r="BI9" s="927">
        <f ca="1">Dep!BI32</f>
        <v>57973.052657378626</v>
      </c>
      <c r="BJ9" s="927">
        <f ca="1">Dep!BJ32</f>
        <v>57973.052657378626</v>
      </c>
      <c r="BK9" s="927">
        <f ca="1">Dep!BK32</f>
        <v>57973.052657378626</v>
      </c>
      <c r="BL9" s="927">
        <f ca="1">Dep!BL32</f>
        <v>57973.052657378626</v>
      </c>
      <c r="BM9" s="927">
        <f ca="1">Dep!BM32</f>
        <v>57973.052657378626</v>
      </c>
      <c r="BN9" s="927">
        <f ca="1">Dep!BN32</f>
        <v>57973.052657378626</v>
      </c>
      <c r="BO9" s="927">
        <f ca="1">Dep!BO32</f>
        <v>57973.052657378626</v>
      </c>
      <c r="BP9" s="927"/>
      <c r="BQ9" s="927"/>
      <c r="BR9" s="927"/>
      <c r="BS9" s="927"/>
      <c r="BT9" s="927"/>
      <c r="BU9" s="927"/>
      <c r="BV9" s="927"/>
      <c r="BW9" s="927"/>
      <c r="BX9" s="927"/>
      <c r="BY9" s="927"/>
      <c r="BZ9" s="927"/>
      <c r="CA9" s="927"/>
      <c r="CB9" s="927"/>
      <c r="CC9" s="927"/>
      <c r="CD9" s="927"/>
      <c r="CE9" s="927"/>
      <c r="CF9" s="927"/>
      <c r="CG9" s="927"/>
      <c r="CH9" s="927"/>
      <c r="CI9" s="927"/>
      <c r="CJ9" s="927"/>
      <c r="CK9" s="927"/>
      <c r="CL9" s="927"/>
      <c r="CM9" s="927"/>
      <c r="CN9" s="927"/>
      <c r="CO9" s="927"/>
      <c r="CP9" s="927"/>
      <c r="CQ9" s="927"/>
      <c r="CR9" s="927"/>
      <c r="CS9" s="927"/>
      <c r="CT9" s="927"/>
      <c r="CU9" s="927"/>
      <c r="CV9" s="927"/>
      <c r="CW9" s="927"/>
      <c r="CX9" s="927"/>
      <c r="CY9" s="927"/>
      <c r="CZ9" s="927"/>
      <c r="DA9" s="927"/>
      <c r="DB9" s="927"/>
      <c r="DC9" s="927"/>
      <c r="DD9" s="927"/>
      <c r="DE9" s="927"/>
      <c r="DF9" s="927"/>
      <c r="DG9" s="927"/>
      <c r="DH9" s="927"/>
      <c r="DI9" s="927"/>
      <c r="DJ9" s="927"/>
      <c r="DK9" s="927"/>
      <c r="DL9" s="927"/>
      <c r="DM9" s="927"/>
      <c r="DN9" s="927"/>
      <c r="DO9" s="927"/>
      <c r="DP9" s="927"/>
      <c r="DQ9" s="927"/>
      <c r="DR9" s="927"/>
      <c r="DS9" s="927"/>
      <c r="DT9" s="927"/>
      <c r="DU9" s="927"/>
      <c r="DV9" s="927"/>
      <c r="DW9" s="927"/>
    </row>
    <row r="10" spans="1:139">
      <c r="A10" s="588" t="s">
        <v>13</v>
      </c>
      <c r="B10" s="588"/>
      <c r="C10" s="588"/>
      <c r="D10" s="588"/>
      <c r="E10" s="588"/>
      <c r="F10" s="906"/>
      <c r="G10" s="589">
        <f ca="1">G8-G9</f>
        <v>57973.052657378626</v>
      </c>
      <c r="H10" s="589">
        <f ca="1">H8-H9</f>
        <v>56482.375790777587</v>
      </c>
      <c r="I10" s="589">
        <f t="shared" ref="I10:BO10" ca="1" si="1">I8-I9</f>
        <v>55016.003438305917</v>
      </c>
      <c r="J10" s="589">
        <f t="shared" ca="1" si="1"/>
        <v>53529.399459318549</v>
      </c>
      <c r="K10" s="589">
        <f t="shared" ca="1" si="1"/>
        <v>52058.954219233216</v>
      </c>
      <c r="L10" s="589">
        <f t="shared" ca="1" si="1"/>
        <v>50568.277352632176</v>
      </c>
      <c r="M10" s="589">
        <f t="shared" ca="1" si="1"/>
        <v>49101.905000160506</v>
      </c>
      <c r="N10" s="589">
        <f t="shared" ca="1" si="1"/>
        <v>47611.228133559474</v>
      </c>
      <c r="O10" s="589">
        <f t="shared" ca="1" si="1"/>
        <v>46144.855781087797</v>
      </c>
      <c r="P10" s="589">
        <f t="shared" ca="1" si="1"/>
        <v>44654.178914486765</v>
      </c>
      <c r="Q10" s="589">
        <f t="shared" ca="1" si="1"/>
        <v>43187.806562015088</v>
      </c>
      <c r="R10" s="589">
        <f t="shared" ca="1" si="1"/>
        <v>41701.20258302772</v>
      </c>
      <c r="S10" s="589">
        <f t="shared" ca="1" si="1"/>
        <v>40230.757342942386</v>
      </c>
      <c r="T10" s="589">
        <f t="shared" ca="1" si="1"/>
        <v>38740.080476341347</v>
      </c>
      <c r="U10" s="589">
        <f t="shared" ca="1" si="1"/>
        <v>37273.708123869685</v>
      </c>
      <c r="V10" s="589">
        <f t="shared" ca="1" si="1"/>
        <v>35783.031257268645</v>
      </c>
      <c r="W10" s="589">
        <f t="shared" ca="1" si="1"/>
        <v>34316.658904796976</v>
      </c>
      <c r="X10" s="589">
        <f t="shared" ca="1" si="1"/>
        <v>32825.982038195943</v>
      </c>
      <c r="Y10" s="589">
        <f t="shared" ca="1" si="1"/>
        <v>31359.60968572427</v>
      </c>
      <c r="Z10" s="589">
        <f t="shared" ca="1" si="1"/>
        <v>29873.005706736898</v>
      </c>
      <c r="AA10" s="589">
        <f t="shared" ca="1" si="1"/>
        <v>28402.560466651565</v>
      </c>
      <c r="AB10" s="589">
        <f t="shared" ca="1" si="1"/>
        <v>26911.883600050529</v>
      </c>
      <c r="AC10" s="589">
        <f t="shared" ca="1" si="1"/>
        <v>25445.511247578859</v>
      </c>
      <c r="AD10" s="589">
        <f t="shared" ca="1" si="1"/>
        <v>23954.834380977823</v>
      </c>
      <c r="AE10" s="589">
        <f t="shared" ca="1" si="1"/>
        <v>22488.462028506154</v>
      </c>
      <c r="AF10" s="589">
        <f t="shared" ca="1" si="1"/>
        <v>21071.380859586585</v>
      </c>
      <c r="AG10" s="589">
        <f t="shared" ca="1" si="1"/>
        <v>19677.404274942885</v>
      </c>
      <c r="AH10" s="589">
        <f t="shared" ca="1" si="1"/>
        <v>18264.194912495775</v>
      </c>
      <c r="AI10" s="589">
        <f t="shared" ca="1" si="1"/>
        <v>16866.346521379615</v>
      </c>
      <c r="AJ10" s="589">
        <f t="shared" ca="1" si="1"/>
        <v>15449.265352460046</v>
      </c>
      <c r="AK10" s="589">
        <f t="shared" ca="1" si="1"/>
        <v>14055.288767816346</v>
      </c>
      <c r="AL10" s="589">
        <f t="shared" ca="1" si="1"/>
        <v>12638.207598896777</v>
      </c>
      <c r="AM10" s="589">
        <f t="shared" ca="1" si="1"/>
        <v>11244.231014253077</v>
      </c>
      <c r="AN10" s="589">
        <f t="shared" ca="1" si="1"/>
        <v>9827.149845333508</v>
      </c>
      <c r="AO10" s="589">
        <f t="shared" ca="1" si="1"/>
        <v>8433.1732606898076</v>
      </c>
      <c r="AP10" s="589">
        <f t="shared" ca="1" si="1"/>
        <v>7019.9638982426986</v>
      </c>
      <c r="AQ10" s="589">
        <f t="shared" ca="1" si="1"/>
        <v>5622.1155071265384</v>
      </c>
      <c r="AR10" s="589">
        <f t="shared" ca="1" si="1"/>
        <v>4205.0343382069696</v>
      </c>
      <c r="AS10" s="589">
        <f t="shared" ca="1" si="1"/>
        <v>2811.0577535632692</v>
      </c>
      <c r="AT10" s="589">
        <f t="shared" ca="1" si="1"/>
        <v>1393.9765846437003</v>
      </c>
      <c r="AU10" s="589">
        <f t="shared" ca="1" si="1"/>
        <v>0</v>
      </c>
      <c r="AV10" s="589">
        <f t="shared" ca="1" si="1"/>
        <v>0</v>
      </c>
      <c r="AW10" s="589">
        <f t="shared" ca="1" si="1"/>
        <v>0</v>
      </c>
      <c r="AX10" s="589">
        <f t="shared" ca="1" si="1"/>
        <v>0</v>
      </c>
      <c r="AY10" s="589">
        <f t="shared" ca="1" si="1"/>
        <v>0</v>
      </c>
      <c r="AZ10" s="589">
        <f t="shared" ca="1" si="1"/>
        <v>0</v>
      </c>
      <c r="BA10" s="589">
        <f t="shared" ca="1" si="1"/>
        <v>0</v>
      </c>
      <c r="BB10" s="589">
        <f t="shared" ca="1" si="1"/>
        <v>0</v>
      </c>
      <c r="BC10" s="589">
        <f t="shared" ca="1" si="1"/>
        <v>0</v>
      </c>
      <c r="BD10" s="589">
        <f t="shared" ca="1" si="1"/>
        <v>0</v>
      </c>
      <c r="BE10" s="589">
        <f t="shared" ca="1" si="1"/>
        <v>0</v>
      </c>
      <c r="BF10" s="589">
        <f t="shared" ca="1" si="1"/>
        <v>0</v>
      </c>
      <c r="BG10" s="589">
        <f t="shared" ca="1" si="1"/>
        <v>0</v>
      </c>
      <c r="BH10" s="589">
        <f t="shared" ca="1" si="1"/>
        <v>0</v>
      </c>
      <c r="BI10" s="589">
        <f t="shared" ca="1" si="1"/>
        <v>0</v>
      </c>
      <c r="BJ10" s="589">
        <f t="shared" ca="1" si="1"/>
        <v>0</v>
      </c>
      <c r="BK10" s="589">
        <f t="shared" ca="1" si="1"/>
        <v>0</v>
      </c>
      <c r="BL10" s="589">
        <f t="shared" ca="1" si="1"/>
        <v>0</v>
      </c>
      <c r="BM10" s="589">
        <f t="shared" ca="1" si="1"/>
        <v>0</v>
      </c>
      <c r="BN10" s="589">
        <f t="shared" ca="1" si="1"/>
        <v>0</v>
      </c>
      <c r="BO10" s="589">
        <f t="shared" ca="1" si="1"/>
        <v>0</v>
      </c>
      <c r="BP10" s="589"/>
      <c r="BQ10" s="589"/>
      <c r="BR10" s="589"/>
      <c r="BS10" s="589"/>
      <c r="BT10" s="589"/>
      <c r="BU10" s="589"/>
      <c r="BV10" s="589"/>
      <c r="BW10" s="589"/>
      <c r="BX10" s="589"/>
      <c r="BY10" s="589"/>
      <c r="BZ10" s="589"/>
      <c r="CA10" s="589"/>
      <c r="CB10" s="589"/>
      <c r="CC10" s="589"/>
      <c r="CD10" s="589"/>
      <c r="CE10" s="589"/>
      <c r="CF10" s="589"/>
      <c r="CG10" s="589"/>
      <c r="CH10" s="589"/>
      <c r="CI10" s="589"/>
      <c r="CJ10" s="589"/>
      <c r="CK10" s="589"/>
      <c r="CL10" s="589"/>
      <c r="CM10" s="589"/>
      <c r="CN10" s="589"/>
      <c r="CO10" s="589"/>
      <c r="CP10" s="589"/>
      <c r="CQ10" s="589"/>
      <c r="CR10" s="589"/>
      <c r="CS10" s="589"/>
      <c r="CT10" s="589"/>
      <c r="CU10" s="589"/>
      <c r="CV10" s="589"/>
      <c r="CW10" s="589"/>
      <c r="CX10" s="589"/>
      <c r="CY10" s="589"/>
      <c r="CZ10" s="589"/>
      <c r="DA10" s="589"/>
      <c r="DB10" s="589"/>
      <c r="DC10" s="589"/>
      <c r="DD10" s="589"/>
      <c r="DE10" s="589"/>
      <c r="DF10" s="589"/>
      <c r="DG10" s="589"/>
      <c r="DH10" s="589"/>
      <c r="DI10" s="589"/>
      <c r="DJ10" s="589"/>
      <c r="DK10" s="589"/>
      <c r="DL10" s="589"/>
      <c r="DM10" s="589"/>
      <c r="DN10" s="589"/>
      <c r="DO10" s="589"/>
      <c r="DP10" s="589"/>
      <c r="DQ10" s="589"/>
      <c r="DR10" s="589"/>
      <c r="DS10" s="589"/>
      <c r="DT10" s="589"/>
      <c r="DU10" s="589"/>
      <c r="DV10" s="589"/>
      <c r="DW10" s="589"/>
    </row>
    <row r="11" spans="1:139" s="310" customFormat="1">
      <c r="A11" s="581"/>
      <c r="B11" s="591"/>
      <c r="C11" s="591"/>
      <c r="D11" s="581"/>
      <c r="E11" s="581"/>
      <c r="F11" s="583"/>
      <c r="G11" s="590"/>
      <c r="H11" s="590"/>
      <c r="I11" s="590"/>
      <c r="J11" s="590"/>
      <c r="K11" s="590"/>
      <c r="L11" s="590"/>
      <c r="M11" s="590"/>
      <c r="N11" s="590"/>
      <c r="O11" s="590"/>
      <c r="P11" s="590"/>
      <c r="Q11" s="590"/>
      <c r="R11" s="590"/>
      <c r="S11" s="590"/>
      <c r="T11" s="590"/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0"/>
      <c r="AG11" s="590"/>
      <c r="AH11" s="590"/>
      <c r="AI11" s="590"/>
      <c r="AJ11" s="590"/>
      <c r="AK11" s="590"/>
      <c r="AL11" s="590"/>
      <c r="AM11" s="590"/>
      <c r="AN11" s="590"/>
      <c r="AO11" s="590"/>
      <c r="AP11" s="590"/>
      <c r="AQ11" s="590"/>
      <c r="AR11" s="590"/>
      <c r="AS11" s="590"/>
      <c r="AT11" s="590"/>
      <c r="AU11" s="590"/>
      <c r="AV11" s="590"/>
      <c r="AW11" s="590"/>
      <c r="AX11" s="590"/>
      <c r="AY11" s="590"/>
      <c r="AZ11" s="590"/>
      <c r="BA11" s="590"/>
      <c r="BB11" s="590"/>
      <c r="BC11" s="590"/>
      <c r="BD11" s="590"/>
      <c r="BE11" s="590"/>
      <c r="BF11" s="590"/>
      <c r="BG11" s="590"/>
      <c r="BH11" s="590"/>
      <c r="BI11" s="590"/>
      <c r="BJ11" s="590"/>
      <c r="BK11" s="590"/>
      <c r="BL11" s="590"/>
      <c r="BM11" s="590"/>
      <c r="BN11" s="590"/>
      <c r="BO11" s="590"/>
      <c r="BP11" s="590"/>
      <c r="BQ11" s="590"/>
      <c r="BR11" s="590"/>
      <c r="BS11" s="590"/>
      <c r="BT11" s="590"/>
      <c r="BU11" s="590"/>
      <c r="BV11" s="590"/>
      <c r="BW11" s="590"/>
      <c r="BX11" s="590"/>
      <c r="BY11" s="590"/>
      <c r="BZ11" s="590"/>
      <c r="CA11" s="590"/>
      <c r="CB11" s="590"/>
      <c r="CC11" s="590"/>
      <c r="CD11" s="590"/>
      <c r="CE11" s="590"/>
      <c r="CF11" s="590"/>
      <c r="CG11" s="590"/>
      <c r="CH11" s="590"/>
      <c r="CI11" s="590"/>
      <c r="CJ11" s="590"/>
      <c r="CK11" s="590"/>
      <c r="CL11" s="590"/>
      <c r="CM11" s="590"/>
      <c r="CN11" s="590"/>
      <c r="CO11" s="590"/>
      <c r="CP11" s="590"/>
      <c r="CQ11" s="590"/>
      <c r="CR11" s="590"/>
      <c r="CS11" s="590"/>
      <c r="CT11" s="590"/>
      <c r="CU11" s="590"/>
      <c r="CV11" s="590"/>
      <c r="CW11" s="590"/>
      <c r="CX11" s="590"/>
      <c r="CY11" s="590"/>
      <c r="CZ11" s="590"/>
      <c r="DA11" s="590"/>
      <c r="DB11" s="590"/>
      <c r="DC11" s="590"/>
      <c r="DD11" s="590"/>
      <c r="DE11" s="590"/>
      <c r="DF11" s="590"/>
      <c r="DG11" s="590"/>
      <c r="DH11" s="590"/>
      <c r="DI11" s="590"/>
      <c r="DJ11" s="590"/>
      <c r="DK11" s="590"/>
      <c r="DL11" s="590"/>
      <c r="DM11" s="590"/>
      <c r="DN11" s="590"/>
      <c r="DO11" s="590"/>
      <c r="DP11" s="590"/>
      <c r="DQ11" s="590"/>
      <c r="DR11" s="590"/>
      <c r="DS11" s="590"/>
      <c r="DT11" s="590"/>
      <c r="DU11" s="590"/>
      <c r="DV11" s="590"/>
      <c r="DW11" s="590"/>
    </row>
    <row r="12" spans="1:139">
      <c r="A12" s="584" t="s">
        <v>429</v>
      </c>
      <c r="B12" s="584"/>
      <c r="C12" s="584"/>
      <c r="D12" s="584"/>
      <c r="E12" s="584"/>
      <c r="F12" s="587"/>
      <c r="G12" s="927">
        <f ca="1">CF!G91</f>
        <v>0</v>
      </c>
      <c r="H12" s="927">
        <f ca="1">CF!H91</f>
        <v>0</v>
      </c>
      <c r="I12" s="927">
        <f ca="1">CF!I91</f>
        <v>0</v>
      </c>
      <c r="J12" s="927">
        <f ca="1">CF!J91</f>
        <v>0</v>
      </c>
      <c r="K12" s="927">
        <f ca="1">CF!K91</f>
        <v>0</v>
      </c>
      <c r="L12" s="927">
        <f ca="1">CF!L91</f>
        <v>0</v>
      </c>
      <c r="M12" s="927">
        <f ca="1">CF!M91</f>
        <v>0</v>
      </c>
      <c r="N12" s="927">
        <f ca="1">CF!N91</f>
        <v>0</v>
      </c>
      <c r="O12" s="927">
        <f ca="1">CF!O91</f>
        <v>0</v>
      </c>
      <c r="P12" s="927">
        <f ca="1">CF!P91</f>
        <v>0</v>
      </c>
      <c r="Q12" s="927">
        <f ca="1">CF!Q91</f>
        <v>0</v>
      </c>
      <c r="R12" s="927">
        <f ca="1">CF!R91</f>
        <v>0</v>
      </c>
      <c r="S12" s="927">
        <f ca="1">CF!S91</f>
        <v>0</v>
      </c>
      <c r="T12" s="927">
        <f ca="1">CF!T91</f>
        <v>0</v>
      </c>
      <c r="U12" s="927">
        <f ca="1">CF!U91</f>
        <v>0</v>
      </c>
      <c r="V12" s="927">
        <f ca="1">CF!V91</f>
        <v>0</v>
      </c>
      <c r="W12" s="927">
        <f ca="1">CF!W91</f>
        <v>0</v>
      </c>
      <c r="X12" s="927">
        <f ca="1">CF!X91</f>
        <v>0</v>
      </c>
      <c r="Y12" s="927">
        <f ca="1">CF!Y91</f>
        <v>0</v>
      </c>
      <c r="Z12" s="927">
        <f ca="1">CF!Z91</f>
        <v>0</v>
      </c>
      <c r="AA12" s="927">
        <f ca="1">CF!AA91</f>
        <v>0</v>
      </c>
      <c r="AB12" s="927">
        <f ca="1">CF!AB91</f>
        <v>0</v>
      </c>
      <c r="AC12" s="927">
        <f ca="1">CF!AC91</f>
        <v>0</v>
      </c>
      <c r="AD12" s="927">
        <f ca="1">CF!AD91</f>
        <v>0</v>
      </c>
      <c r="AE12" s="927">
        <f ca="1">CF!AE91</f>
        <v>0</v>
      </c>
      <c r="AF12" s="927">
        <f ca="1">CF!AF91</f>
        <v>0</v>
      </c>
      <c r="AG12" s="927">
        <f ca="1">CF!AG91</f>
        <v>0</v>
      </c>
      <c r="AH12" s="927">
        <f ca="1">CF!AH91</f>
        <v>0</v>
      </c>
      <c r="AI12" s="927">
        <f ca="1">CF!AI91</f>
        <v>0</v>
      </c>
      <c r="AJ12" s="927">
        <f ca="1">CF!AJ91</f>
        <v>0</v>
      </c>
      <c r="AK12" s="927">
        <f ca="1">CF!AK91</f>
        <v>0</v>
      </c>
      <c r="AL12" s="927">
        <f ca="1">CF!AL91</f>
        <v>0</v>
      </c>
      <c r="AM12" s="927">
        <f ca="1">CF!AM91</f>
        <v>0</v>
      </c>
      <c r="AN12" s="927">
        <f ca="1">CF!AN91</f>
        <v>0</v>
      </c>
      <c r="AO12" s="927">
        <f ca="1">CF!AO91</f>
        <v>0</v>
      </c>
      <c r="AP12" s="927">
        <f ca="1">CF!AP91</f>
        <v>0</v>
      </c>
      <c r="AQ12" s="927">
        <f ca="1">CF!AQ91</f>
        <v>0</v>
      </c>
      <c r="AR12" s="927">
        <f ca="1">CF!AR91</f>
        <v>0</v>
      </c>
      <c r="AS12" s="927">
        <f ca="1">CF!AS91</f>
        <v>0</v>
      </c>
      <c r="AT12" s="927">
        <f ca="1">CF!AT91</f>
        <v>0</v>
      </c>
      <c r="AU12" s="927">
        <f ca="1">CF!AU91</f>
        <v>0</v>
      </c>
      <c r="AV12" s="927">
        <f ca="1">CF!AV91</f>
        <v>0</v>
      </c>
      <c r="AW12" s="927">
        <f ca="1">CF!AW91</f>
        <v>0</v>
      </c>
      <c r="AX12" s="927">
        <f ca="1">CF!AX91</f>
        <v>0</v>
      </c>
      <c r="AY12" s="927">
        <f ca="1">CF!AY91</f>
        <v>0</v>
      </c>
      <c r="AZ12" s="927">
        <f ca="1">CF!AZ91</f>
        <v>0</v>
      </c>
      <c r="BA12" s="927">
        <f ca="1">CF!BA91</f>
        <v>0</v>
      </c>
      <c r="BB12" s="927">
        <f ca="1">CF!BB91</f>
        <v>0</v>
      </c>
      <c r="BC12" s="927">
        <f ca="1">CF!BC91</f>
        <v>0</v>
      </c>
      <c r="BD12" s="927">
        <f ca="1">CF!BD91</f>
        <v>0</v>
      </c>
      <c r="BE12" s="927">
        <f ca="1">CF!BE91</f>
        <v>0</v>
      </c>
      <c r="BF12" s="927">
        <f ca="1">CF!BF91</f>
        <v>0</v>
      </c>
      <c r="BG12" s="927">
        <f ca="1">CF!BG91</f>
        <v>0</v>
      </c>
      <c r="BH12" s="927">
        <f ca="1">CF!BH91</f>
        <v>0</v>
      </c>
      <c r="BI12" s="927">
        <f ca="1">CF!BI91</f>
        <v>0</v>
      </c>
      <c r="BJ12" s="927">
        <f ca="1">CF!BJ91</f>
        <v>0</v>
      </c>
      <c r="BK12" s="927">
        <f ca="1">CF!BK91</f>
        <v>0</v>
      </c>
      <c r="BL12" s="927">
        <f ca="1">CF!BL91</f>
        <v>0</v>
      </c>
      <c r="BM12" s="927">
        <f ca="1">CF!BM91</f>
        <v>0</v>
      </c>
      <c r="BN12" s="927">
        <f ca="1">CF!BN91</f>
        <v>0</v>
      </c>
      <c r="BO12" s="927">
        <f ca="1">CF!BO91</f>
        <v>0</v>
      </c>
      <c r="BP12" s="927"/>
      <c r="BQ12" s="927"/>
      <c r="BR12" s="927"/>
      <c r="BS12" s="927"/>
      <c r="BT12" s="927"/>
      <c r="BU12" s="927"/>
      <c r="BV12" s="927"/>
      <c r="BW12" s="927"/>
      <c r="BX12" s="927"/>
      <c r="BY12" s="927"/>
      <c r="BZ12" s="927"/>
      <c r="CA12" s="927"/>
      <c r="CB12" s="927"/>
      <c r="CC12" s="927"/>
      <c r="CD12" s="927"/>
      <c r="CE12" s="927"/>
      <c r="CF12" s="927"/>
      <c r="CG12" s="927"/>
      <c r="CH12" s="927"/>
      <c r="CI12" s="927"/>
      <c r="CJ12" s="927"/>
      <c r="CK12" s="927"/>
      <c r="CL12" s="927"/>
      <c r="CM12" s="927"/>
      <c r="CN12" s="927"/>
      <c r="CO12" s="927"/>
      <c r="CP12" s="927"/>
      <c r="CQ12" s="927"/>
      <c r="CR12" s="927"/>
      <c r="CS12" s="927"/>
      <c r="CT12" s="927"/>
      <c r="CU12" s="927"/>
      <c r="CV12" s="927"/>
      <c r="CW12" s="927"/>
      <c r="CX12" s="927"/>
      <c r="CY12" s="927"/>
      <c r="CZ12" s="927"/>
      <c r="DA12" s="927"/>
      <c r="DB12" s="927"/>
      <c r="DC12" s="927"/>
      <c r="DD12" s="927"/>
      <c r="DE12" s="927"/>
      <c r="DF12" s="927"/>
      <c r="DG12" s="927"/>
      <c r="DH12" s="927"/>
      <c r="DI12" s="927"/>
      <c r="DJ12" s="927"/>
      <c r="DK12" s="927"/>
      <c r="DL12" s="927"/>
      <c r="DM12" s="927"/>
      <c r="DN12" s="927"/>
      <c r="DO12" s="927"/>
      <c r="DP12" s="927"/>
      <c r="DQ12" s="927"/>
      <c r="DR12" s="927"/>
      <c r="DS12" s="927"/>
      <c r="DT12" s="927"/>
      <c r="DU12" s="927"/>
      <c r="DV12" s="927"/>
      <c r="DW12" s="927"/>
    </row>
    <row r="13" spans="1:139">
      <c r="A13" s="584" t="str">
        <f>CF!A106</f>
        <v>J-DSRA</v>
      </c>
      <c r="B13" s="584"/>
      <c r="C13" s="584"/>
      <c r="D13" s="584"/>
      <c r="E13" s="584"/>
      <c r="F13" s="587"/>
      <c r="G13" s="927">
        <f ca="1">CF!G105</f>
        <v>0</v>
      </c>
      <c r="H13" s="927">
        <f ca="1">CF!H105</f>
        <v>0</v>
      </c>
      <c r="I13" s="927">
        <f ca="1">CF!I105</f>
        <v>0</v>
      </c>
      <c r="J13" s="927">
        <f ca="1">CF!J105</f>
        <v>0</v>
      </c>
      <c r="K13" s="927">
        <f ca="1">CF!K105</f>
        <v>0</v>
      </c>
      <c r="L13" s="927">
        <f ca="1">CF!L105</f>
        <v>0</v>
      </c>
      <c r="M13" s="927">
        <f ca="1">CF!M105</f>
        <v>0</v>
      </c>
      <c r="N13" s="927">
        <f ca="1">CF!N105</f>
        <v>0</v>
      </c>
      <c r="O13" s="927">
        <f ca="1">CF!O105</f>
        <v>0</v>
      </c>
      <c r="P13" s="927">
        <f ca="1">CF!P105</f>
        <v>0</v>
      </c>
      <c r="Q13" s="927">
        <f ca="1">CF!Q105</f>
        <v>0</v>
      </c>
      <c r="R13" s="927">
        <f ca="1">CF!R105</f>
        <v>0</v>
      </c>
      <c r="S13" s="927">
        <f ca="1">CF!S105</f>
        <v>0</v>
      </c>
      <c r="T13" s="927">
        <f ca="1">CF!T105</f>
        <v>0</v>
      </c>
      <c r="U13" s="927">
        <f ca="1">CF!U105</f>
        <v>0</v>
      </c>
      <c r="V13" s="927">
        <f ca="1">CF!V105</f>
        <v>0</v>
      </c>
      <c r="W13" s="927">
        <f ca="1">CF!W105</f>
        <v>0</v>
      </c>
      <c r="X13" s="927">
        <f ca="1">CF!X105</f>
        <v>0</v>
      </c>
      <c r="Y13" s="927">
        <f ca="1">CF!Y105</f>
        <v>0</v>
      </c>
      <c r="Z13" s="927">
        <f ca="1">CF!Z105</f>
        <v>0</v>
      </c>
      <c r="AA13" s="927">
        <f ca="1">CF!AA105</f>
        <v>0</v>
      </c>
      <c r="AB13" s="927">
        <f ca="1">CF!AB105</f>
        <v>0</v>
      </c>
      <c r="AC13" s="927">
        <f ca="1">CF!AC105</f>
        <v>0</v>
      </c>
      <c r="AD13" s="927">
        <f ca="1">CF!AD105</f>
        <v>0</v>
      </c>
      <c r="AE13" s="927">
        <f ca="1">CF!AE105</f>
        <v>0</v>
      </c>
      <c r="AF13" s="927">
        <f ca="1">CF!AF105</f>
        <v>0</v>
      </c>
      <c r="AG13" s="927">
        <f ca="1">CF!AG105</f>
        <v>0</v>
      </c>
      <c r="AH13" s="927">
        <f ca="1">CF!AH105</f>
        <v>0</v>
      </c>
      <c r="AI13" s="927">
        <f ca="1">CF!AI105</f>
        <v>0</v>
      </c>
      <c r="AJ13" s="927">
        <f ca="1">CF!AJ105</f>
        <v>0</v>
      </c>
      <c r="AK13" s="927">
        <f ca="1">CF!AK105</f>
        <v>0</v>
      </c>
      <c r="AL13" s="927">
        <f ca="1">CF!AL105</f>
        <v>0</v>
      </c>
      <c r="AM13" s="927">
        <f ca="1">CF!AM105</f>
        <v>0</v>
      </c>
      <c r="AN13" s="927">
        <f ca="1">CF!AN105</f>
        <v>0</v>
      </c>
      <c r="AO13" s="927">
        <f ca="1">CF!AO105</f>
        <v>0</v>
      </c>
      <c r="AP13" s="927">
        <f ca="1">CF!AP105</f>
        <v>0</v>
      </c>
      <c r="AQ13" s="927">
        <f ca="1">CF!AQ105</f>
        <v>0</v>
      </c>
      <c r="AR13" s="927">
        <f ca="1">CF!AR105</f>
        <v>0</v>
      </c>
      <c r="AS13" s="927">
        <f ca="1">CF!AS105</f>
        <v>0</v>
      </c>
      <c r="AT13" s="927">
        <f ca="1">CF!AT105</f>
        <v>0</v>
      </c>
      <c r="AU13" s="927">
        <f ca="1">CF!AU105</f>
        <v>0</v>
      </c>
      <c r="AV13" s="927">
        <f ca="1">CF!AV105</f>
        <v>0</v>
      </c>
      <c r="AW13" s="927">
        <f ca="1">CF!AW105</f>
        <v>0</v>
      </c>
      <c r="AX13" s="927">
        <f ca="1">CF!AX105</f>
        <v>0</v>
      </c>
      <c r="AY13" s="927">
        <f ca="1">CF!AY105</f>
        <v>0</v>
      </c>
      <c r="AZ13" s="927">
        <f ca="1">CF!AZ105</f>
        <v>0</v>
      </c>
      <c r="BA13" s="927">
        <f ca="1">CF!BA105</f>
        <v>0</v>
      </c>
      <c r="BB13" s="927">
        <f ca="1">CF!BB105</f>
        <v>0</v>
      </c>
      <c r="BC13" s="927">
        <f ca="1">CF!BC105</f>
        <v>0</v>
      </c>
      <c r="BD13" s="927">
        <f ca="1">CF!BD105</f>
        <v>0</v>
      </c>
      <c r="BE13" s="927">
        <f ca="1">CF!BE105</f>
        <v>0</v>
      </c>
      <c r="BF13" s="927">
        <f ca="1">CF!BF105</f>
        <v>0</v>
      </c>
      <c r="BG13" s="927">
        <f ca="1">CF!BG105</f>
        <v>0</v>
      </c>
      <c r="BH13" s="927">
        <f ca="1">CF!BH105</f>
        <v>0</v>
      </c>
      <c r="BI13" s="927">
        <f ca="1">CF!BI105</f>
        <v>0</v>
      </c>
      <c r="BJ13" s="927">
        <f ca="1">CF!BJ105</f>
        <v>0</v>
      </c>
      <c r="BK13" s="927">
        <f ca="1">CF!BK105</f>
        <v>0</v>
      </c>
      <c r="BL13" s="927">
        <f ca="1">CF!BL105</f>
        <v>0</v>
      </c>
      <c r="BM13" s="927">
        <f ca="1">CF!BM105</f>
        <v>0</v>
      </c>
      <c r="BN13" s="927">
        <f ca="1">CF!BN105</f>
        <v>0</v>
      </c>
      <c r="BO13" s="927">
        <f ca="1">CF!BO105</f>
        <v>0</v>
      </c>
      <c r="BP13" s="927"/>
      <c r="BQ13" s="927"/>
      <c r="BR13" s="927"/>
      <c r="BS13" s="927"/>
      <c r="BT13" s="927"/>
      <c r="BU13" s="927"/>
      <c r="BV13" s="927"/>
      <c r="BW13" s="927"/>
      <c r="BX13" s="927"/>
      <c r="BY13" s="927"/>
      <c r="BZ13" s="927"/>
      <c r="CA13" s="927"/>
      <c r="CB13" s="927"/>
      <c r="CC13" s="927"/>
      <c r="CD13" s="927"/>
      <c r="CE13" s="927"/>
      <c r="CF13" s="927"/>
      <c r="CG13" s="927"/>
      <c r="CH13" s="927"/>
      <c r="CI13" s="927"/>
      <c r="CJ13" s="927"/>
      <c r="CK13" s="927"/>
      <c r="CL13" s="927"/>
      <c r="CM13" s="927"/>
      <c r="CN13" s="927"/>
      <c r="CO13" s="927"/>
      <c r="CP13" s="927"/>
      <c r="CQ13" s="927"/>
      <c r="CR13" s="927"/>
      <c r="CS13" s="927"/>
      <c r="CT13" s="927"/>
      <c r="CU13" s="927"/>
      <c r="CV13" s="927"/>
      <c r="CW13" s="927"/>
      <c r="CX13" s="927"/>
      <c r="CY13" s="927"/>
      <c r="CZ13" s="927"/>
      <c r="DA13" s="927"/>
      <c r="DB13" s="927"/>
      <c r="DC13" s="927"/>
      <c r="DD13" s="927"/>
      <c r="DE13" s="927"/>
      <c r="DF13" s="927"/>
      <c r="DG13" s="927"/>
      <c r="DH13" s="927"/>
      <c r="DI13" s="927"/>
      <c r="DJ13" s="927"/>
      <c r="DK13" s="927"/>
      <c r="DL13" s="927"/>
      <c r="DM13" s="927"/>
      <c r="DN13" s="927"/>
      <c r="DO13" s="927"/>
      <c r="DP13" s="927"/>
      <c r="DQ13" s="927"/>
      <c r="DR13" s="927"/>
      <c r="DS13" s="927"/>
      <c r="DT13" s="927"/>
      <c r="DU13" s="927"/>
      <c r="DV13" s="927"/>
      <c r="DW13" s="927"/>
    </row>
    <row r="14" spans="1:139">
      <c r="A14" s="584" t="s">
        <v>1157</v>
      </c>
      <c r="B14" s="584"/>
      <c r="C14" s="584"/>
      <c r="D14" s="584"/>
      <c r="E14" s="584"/>
      <c r="F14" s="587"/>
      <c r="G14" s="927">
        <f ca="1">CF!G110</f>
        <v>0</v>
      </c>
      <c r="H14" s="927">
        <f ca="1">CF!H110</f>
        <v>0</v>
      </c>
      <c r="I14" s="927">
        <f ca="1">CF!I110</f>
        <v>0</v>
      </c>
      <c r="J14" s="927">
        <f ca="1">CF!J110</f>
        <v>0</v>
      </c>
      <c r="K14" s="927">
        <f ca="1">CF!K110</f>
        <v>0</v>
      </c>
      <c r="L14" s="927">
        <f ca="1">CF!L110</f>
        <v>0</v>
      </c>
      <c r="M14" s="927">
        <f ca="1">CF!M110</f>
        <v>0</v>
      </c>
      <c r="N14" s="927">
        <f ca="1">CF!N110</f>
        <v>0</v>
      </c>
      <c r="O14" s="927">
        <f ca="1">CF!O110</f>
        <v>0</v>
      </c>
      <c r="P14" s="927">
        <f ca="1">CF!P110</f>
        <v>0</v>
      </c>
      <c r="Q14" s="927">
        <f ca="1">CF!Q110</f>
        <v>0</v>
      </c>
      <c r="R14" s="927">
        <f ca="1">CF!R110</f>
        <v>0</v>
      </c>
      <c r="S14" s="927">
        <f ca="1">CF!S110</f>
        <v>0</v>
      </c>
      <c r="T14" s="927">
        <f ca="1">CF!T110</f>
        <v>0</v>
      </c>
      <c r="U14" s="927">
        <f ca="1">CF!U110</f>
        <v>0</v>
      </c>
      <c r="V14" s="927">
        <f ca="1">CF!V110</f>
        <v>0</v>
      </c>
      <c r="W14" s="927">
        <f ca="1">CF!W110</f>
        <v>0</v>
      </c>
      <c r="X14" s="927">
        <f ca="1">CF!X110</f>
        <v>0</v>
      </c>
      <c r="Y14" s="927">
        <f ca="1">CF!Y110</f>
        <v>0</v>
      </c>
      <c r="Z14" s="927">
        <f ca="1">CF!Z110</f>
        <v>0</v>
      </c>
      <c r="AA14" s="927">
        <f ca="1">CF!AA110</f>
        <v>0</v>
      </c>
      <c r="AB14" s="927">
        <f ca="1">CF!AB110</f>
        <v>0</v>
      </c>
      <c r="AC14" s="927">
        <f ca="1">CF!AC110</f>
        <v>0</v>
      </c>
      <c r="AD14" s="927">
        <f ca="1">CF!AD110</f>
        <v>0</v>
      </c>
      <c r="AE14" s="927">
        <f ca="1">CF!AE110</f>
        <v>0</v>
      </c>
      <c r="AF14" s="927">
        <f ca="1">CF!AF110</f>
        <v>0</v>
      </c>
      <c r="AG14" s="927">
        <f ca="1">CF!AG110</f>
        <v>0</v>
      </c>
      <c r="AH14" s="927">
        <f ca="1">CF!AH110</f>
        <v>0</v>
      </c>
      <c r="AI14" s="927">
        <f ca="1">CF!AI110</f>
        <v>0</v>
      </c>
      <c r="AJ14" s="927">
        <f ca="1">CF!AJ110</f>
        <v>0</v>
      </c>
      <c r="AK14" s="927">
        <f ca="1">CF!AK110</f>
        <v>0</v>
      </c>
      <c r="AL14" s="927">
        <f ca="1">CF!AL110</f>
        <v>0</v>
      </c>
      <c r="AM14" s="927">
        <f ca="1">CF!AM110</f>
        <v>0</v>
      </c>
      <c r="AN14" s="927">
        <f ca="1">CF!AN110</f>
        <v>0</v>
      </c>
      <c r="AO14" s="927">
        <f ca="1">CF!AO110</f>
        <v>0</v>
      </c>
      <c r="AP14" s="927">
        <f ca="1">CF!AP110</f>
        <v>0</v>
      </c>
      <c r="AQ14" s="927">
        <f ca="1">CF!AQ110</f>
        <v>0</v>
      </c>
      <c r="AR14" s="927">
        <f ca="1">CF!AR110</f>
        <v>0</v>
      </c>
      <c r="AS14" s="927">
        <f ca="1">CF!AS110</f>
        <v>0</v>
      </c>
      <c r="AT14" s="927">
        <f ca="1">CF!AT110</f>
        <v>0</v>
      </c>
      <c r="AU14" s="927">
        <f ca="1">CF!AU110</f>
        <v>0</v>
      </c>
      <c r="AV14" s="927">
        <f ca="1">CF!AV110</f>
        <v>0</v>
      </c>
      <c r="AW14" s="927">
        <f ca="1">CF!AW110</f>
        <v>0</v>
      </c>
      <c r="AX14" s="927">
        <f ca="1">CF!AX110</f>
        <v>0</v>
      </c>
      <c r="AY14" s="927">
        <f ca="1">CF!AY110</f>
        <v>0</v>
      </c>
      <c r="AZ14" s="927">
        <f ca="1">CF!AZ110</f>
        <v>0</v>
      </c>
      <c r="BA14" s="927">
        <f ca="1">CF!BA110</f>
        <v>0</v>
      </c>
      <c r="BB14" s="927">
        <f ca="1">CF!BB110</f>
        <v>0</v>
      </c>
      <c r="BC14" s="927">
        <f ca="1">CF!BC110</f>
        <v>0</v>
      </c>
      <c r="BD14" s="927">
        <f ca="1">CF!BD110</f>
        <v>0</v>
      </c>
      <c r="BE14" s="927">
        <f ca="1">CF!BE110</f>
        <v>0</v>
      </c>
      <c r="BF14" s="927">
        <f ca="1">CF!BF110</f>
        <v>0</v>
      </c>
      <c r="BG14" s="927">
        <f ca="1">CF!BG110</f>
        <v>0</v>
      </c>
      <c r="BH14" s="927">
        <f ca="1">CF!BH110</f>
        <v>0</v>
      </c>
      <c r="BI14" s="927">
        <f ca="1">CF!BI110</f>
        <v>0</v>
      </c>
      <c r="BJ14" s="927">
        <f ca="1">CF!BJ110</f>
        <v>0</v>
      </c>
      <c r="BK14" s="927">
        <f ca="1">CF!BK110</f>
        <v>0</v>
      </c>
      <c r="BL14" s="927">
        <f ca="1">CF!BL110</f>
        <v>0</v>
      </c>
      <c r="BM14" s="927">
        <f ca="1">CF!BM110</f>
        <v>0</v>
      </c>
      <c r="BN14" s="927">
        <f ca="1">CF!BN110</f>
        <v>0</v>
      </c>
      <c r="BO14" s="927">
        <f ca="1">CF!BO110</f>
        <v>0</v>
      </c>
      <c r="BP14" s="927"/>
      <c r="BQ14" s="927"/>
      <c r="BR14" s="927"/>
      <c r="BS14" s="927"/>
      <c r="BT14" s="927"/>
      <c r="BU14" s="927"/>
      <c r="BV14" s="927"/>
      <c r="BW14" s="927"/>
      <c r="BX14" s="927"/>
      <c r="BY14" s="927"/>
      <c r="BZ14" s="927"/>
      <c r="CA14" s="927"/>
      <c r="CB14" s="927"/>
      <c r="CC14" s="927"/>
      <c r="CD14" s="927"/>
      <c r="CE14" s="927"/>
      <c r="CF14" s="927"/>
      <c r="CG14" s="927"/>
      <c r="CH14" s="927"/>
      <c r="CI14" s="927"/>
      <c r="CJ14" s="927"/>
      <c r="CK14" s="927"/>
      <c r="CL14" s="927"/>
      <c r="CM14" s="927"/>
      <c r="CN14" s="927"/>
      <c r="CO14" s="927"/>
      <c r="CP14" s="927"/>
      <c r="CQ14" s="927"/>
      <c r="CR14" s="927"/>
      <c r="CS14" s="927"/>
      <c r="CT14" s="927"/>
      <c r="CU14" s="927"/>
      <c r="CV14" s="927"/>
      <c r="CW14" s="927"/>
      <c r="CX14" s="927"/>
      <c r="CY14" s="927"/>
      <c r="CZ14" s="927"/>
      <c r="DA14" s="927"/>
      <c r="DB14" s="927"/>
      <c r="DC14" s="927"/>
      <c r="DD14" s="927"/>
      <c r="DE14" s="927"/>
      <c r="DF14" s="927"/>
      <c r="DG14" s="927"/>
      <c r="DH14" s="927"/>
      <c r="DI14" s="927"/>
      <c r="DJ14" s="927"/>
      <c r="DK14" s="927"/>
      <c r="DL14" s="927"/>
      <c r="DM14" s="927"/>
      <c r="DN14" s="927"/>
      <c r="DO14" s="927"/>
      <c r="DP14" s="927"/>
      <c r="DQ14" s="927"/>
      <c r="DR14" s="927"/>
      <c r="DS14" s="927"/>
      <c r="DT14" s="927"/>
      <c r="DU14" s="927"/>
      <c r="DV14" s="927"/>
      <c r="DW14" s="927"/>
    </row>
    <row r="15" spans="1:139">
      <c r="A15" s="584" t="s">
        <v>223</v>
      </c>
      <c r="B15" s="584"/>
      <c r="C15" s="584"/>
      <c r="D15" s="584"/>
      <c r="E15" s="584"/>
      <c r="F15" s="587"/>
      <c r="G15" s="927">
        <f ca="1">MAX(CF!G144,0)</f>
        <v>0</v>
      </c>
      <c r="H15" s="927">
        <f ca="1">MAX(CF!H144,0)</f>
        <v>0</v>
      </c>
      <c r="I15" s="927">
        <f ca="1">MAX(CF!I144,0)</f>
        <v>0</v>
      </c>
      <c r="J15" s="927">
        <f ca="1">MAX(CF!J144,0)</f>
        <v>0</v>
      </c>
      <c r="K15" s="927">
        <f ca="1">MAX(CF!K144,0)</f>
        <v>0</v>
      </c>
      <c r="L15" s="927">
        <f ca="1">MAX(CF!L144,0)</f>
        <v>0</v>
      </c>
      <c r="M15" s="927">
        <f ca="1">MAX(CF!M144,0)</f>
        <v>0</v>
      </c>
      <c r="N15" s="927">
        <f ca="1">MAX(CF!N144,0)</f>
        <v>0</v>
      </c>
      <c r="O15" s="927">
        <f ca="1">MAX(CF!O144,0)</f>
        <v>0</v>
      </c>
      <c r="P15" s="927">
        <f ca="1">MAX(CF!P144,0)</f>
        <v>0</v>
      </c>
      <c r="Q15" s="927">
        <f ca="1">MAX(CF!Q144,0)</f>
        <v>0</v>
      </c>
      <c r="R15" s="927">
        <f ca="1">MAX(CF!R144,0)</f>
        <v>0</v>
      </c>
      <c r="S15" s="927">
        <f ca="1">MAX(CF!S144,0)</f>
        <v>0</v>
      </c>
      <c r="T15" s="927">
        <f ca="1">MAX(CF!T144,0)</f>
        <v>0</v>
      </c>
      <c r="U15" s="927">
        <f ca="1">MAX(CF!U144,0)</f>
        <v>0</v>
      </c>
      <c r="V15" s="927">
        <f ca="1">MAX(CF!V144,0)</f>
        <v>0</v>
      </c>
      <c r="W15" s="927">
        <f ca="1">MAX(CF!W144,0)</f>
        <v>0</v>
      </c>
      <c r="X15" s="927">
        <f ca="1">MAX(CF!X144,0)</f>
        <v>0</v>
      </c>
      <c r="Y15" s="927">
        <f ca="1">MAX(CF!Y144,0)</f>
        <v>0</v>
      </c>
      <c r="Z15" s="927">
        <f ca="1">MAX(CF!Z144,0)</f>
        <v>0</v>
      </c>
      <c r="AA15" s="927">
        <f ca="1">MAX(CF!AA144,0)</f>
        <v>0</v>
      </c>
      <c r="AB15" s="927">
        <f ca="1">MAX(CF!AB144,0)</f>
        <v>0</v>
      </c>
      <c r="AC15" s="927">
        <f ca="1">MAX(CF!AC144,0)</f>
        <v>0</v>
      </c>
      <c r="AD15" s="927">
        <f ca="1">MAX(CF!AD144,0)</f>
        <v>0</v>
      </c>
      <c r="AE15" s="927">
        <f ca="1">MAX(CF!AE144,0)</f>
        <v>0</v>
      </c>
      <c r="AF15" s="927">
        <f ca="1">MAX(CF!AF144,0)</f>
        <v>0</v>
      </c>
      <c r="AG15" s="927">
        <f ca="1">MAX(CF!AG144,0)</f>
        <v>0</v>
      </c>
      <c r="AH15" s="927">
        <f ca="1">MAX(CF!AH144,0)</f>
        <v>0</v>
      </c>
      <c r="AI15" s="927">
        <f ca="1">MAX(CF!AI144,0)</f>
        <v>0</v>
      </c>
      <c r="AJ15" s="927">
        <f ca="1">MAX(CF!AJ144,0)</f>
        <v>0</v>
      </c>
      <c r="AK15" s="927">
        <f ca="1">MAX(CF!AK144,0)</f>
        <v>0</v>
      </c>
      <c r="AL15" s="927">
        <f ca="1">MAX(CF!AL144,0)</f>
        <v>0</v>
      </c>
      <c r="AM15" s="927">
        <f ca="1">MAX(CF!AM144,0)</f>
        <v>0</v>
      </c>
      <c r="AN15" s="927">
        <f ca="1">MAX(CF!AN144,0)</f>
        <v>0</v>
      </c>
      <c r="AO15" s="927">
        <f ca="1">MAX(CF!AO144,0)</f>
        <v>0</v>
      </c>
      <c r="AP15" s="927">
        <f ca="1">MAX(CF!AP144,0)</f>
        <v>0</v>
      </c>
      <c r="AQ15" s="927">
        <f ca="1">MAX(CF!AQ144,0)</f>
        <v>0</v>
      </c>
      <c r="AR15" s="927">
        <f ca="1">MAX(CF!AR144,0)</f>
        <v>0</v>
      </c>
      <c r="AS15" s="927">
        <f ca="1">MAX(CF!AS144,0)</f>
        <v>0</v>
      </c>
      <c r="AT15" s="927">
        <f ca="1">MAX(CF!AT144,0)</f>
        <v>0</v>
      </c>
      <c r="AU15" s="927">
        <f ca="1">MAX(CF!AU144,0)</f>
        <v>550.00000000002774</v>
      </c>
      <c r="AV15" s="927">
        <f ca="1">MAX(CF!AV144,0)</f>
        <v>550.00000000002774</v>
      </c>
      <c r="AW15" s="927">
        <f ca="1">MAX(CF!AW144,0)</f>
        <v>550.00000000002774</v>
      </c>
      <c r="AX15" s="927">
        <f ca="1">MAX(CF!AX144,0)</f>
        <v>550.00000000002774</v>
      </c>
      <c r="AY15" s="927">
        <f ca="1">MAX(CF!AY144,0)</f>
        <v>550.00000000002774</v>
      </c>
      <c r="AZ15" s="927">
        <f ca="1">MAX(CF!AZ144,0)</f>
        <v>550.00000000002774</v>
      </c>
      <c r="BA15" s="927">
        <f ca="1">MAX(CF!BA144,0)</f>
        <v>550.00000000002774</v>
      </c>
      <c r="BB15" s="927">
        <f ca="1">MAX(CF!BB144,0)</f>
        <v>550.00000000002774</v>
      </c>
      <c r="BC15" s="927">
        <f ca="1">MAX(CF!BC144,0)</f>
        <v>550.00000000002774</v>
      </c>
      <c r="BD15" s="927">
        <f ca="1">MAX(CF!BD144,0)</f>
        <v>550.00000000002774</v>
      </c>
      <c r="BE15" s="927">
        <f ca="1">MAX(CF!BE144,0)</f>
        <v>550.00000000002774</v>
      </c>
      <c r="BF15" s="927">
        <f ca="1">MAX(CF!BF144,0)</f>
        <v>550.00000000002774</v>
      </c>
      <c r="BG15" s="927">
        <f ca="1">MAX(CF!BG144,0)</f>
        <v>550.00000000002774</v>
      </c>
      <c r="BH15" s="927">
        <f ca="1">MAX(CF!BH144,0)</f>
        <v>550.00000000002774</v>
      </c>
      <c r="BI15" s="927">
        <f ca="1">MAX(CF!BI144,0)</f>
        <v>550.00000000002774</v>
      </c>
      <c r="BJ15" s="927">
        <f ca="1">MAX(CF!BJ144,0)</f>
        <v>550.00000000002774</v>
      </c>
      <c r="BK15" s="927">
        <f ca="1">MAX(CF!BK144,0)</f>
        <v>550.00000000002774</v>
      </c>
      <c r="BL15" s="927">
        <f ca="1">MAX(CF!BL144,0)</f>
        <v>550.00000000002774</v>
      </c>
      <c r="BM15" s="927">
        <f ca="1">MAX(CF!BM144,0)</f>
        <v>550.00000000002774</v>
      </c>
      <c r="BN15" s="927">
        <f ca="1">MAX(CF!BN144,0)</f>
        <v>550.00000000002774</v>
      </c>
      <c r="BO15" s="927">
        <f ca="1">MAX(CF!BO144,0)</f>
        <v>550.00000000002774</v>
      </c>
      <c r="BP15" s="927"/>
      <c r="BQ15" s="927"/>
      <c r="BR15" s="927"/>
      <c r="BS15" s="927"/>
      <c r="BT15" s="927"/>
      <c r="BU15" s="927"/>
      <c r="BV15" s="927"/>
      <c r="BW15" s="927"/>
      <c r="BX15" s="927"/>
      <c r="BY15" s="927"/>
      <c r="BZ15" s="927"/>
      <c r="CA15" s="927"/>
      <c r="CB15" s="927"/>
      <c r="CC15" s="927"/>
      <c r="CD15" s="927"/>
      <c r="CE15" s="927"/>
      <c r="CF15" s="927"/>
      <c r="CG15" s="927"/>
      <c r="CH15" s="927"/>
      <c r="CI15" s="927"/>
      <c r="CJ15" s="927"/>
      <c r="CK15" s="927"/>
      <c r="CL15" s="927"/>
      <c r="CM15" s="927"/>
      <c r="CN15" s="927"/>
      <c r="CO15" s="927"/>
      <c r="CP15" s="927"/>
      <c r="CQ15" s="927"/>
      <c r="CR15" s="927"/>
      <c r="CS15" s="927"/>
      <c r="CT15" s="927"/>
      <c r="CU15" s="927"/>
      <c r="CV15" s="927"/>
      <c r="CW15" s="927"/>
      <c r="CX15" s="927"/>
      <c r="CY15" s="927"/>
      <c r="CZ15" s="927"/>
      <c r="DA15" s="927"/>
      <c r="DB15" s="927"/>
      <c r="DC15" s="927"/>
      <c r="DD15" s="927"/>
      <c r="DE15" s="927"/>
      <c r="DF15" s="927"/>
      <c r="DG15" s="927"/>
      <c r="DH15" s="927"/>
      <c r="DI15" s="927"/>
      <c r="DJ15" s="927"/>
      <c r="DK15" s="927"/>
      <c r="DL15" s="927"/>
      <c r="DM15" s="927"/>
      <c r="DN15" s="927"/>
      <c r="DO15" s="927"/>
      <c r="DP15" s="927"/>
      <c r="DQ15" s="927"/>
      <c r="DR15" s="927"/>
      <c r="DS15" s="927"/>
      <c r="DT15" s="927"/>
      <c r="DU15" s="927"/>
      <c r="DV15" s="927"/>
      <c r="DW15" s="927"/>
    </row>
    <row r="16" spans="1:139">
      <c r="A16" s="591"/>
      <c r="B16" s="591"/>
      <c r="C16" s="591"/>
      <c r="D16" s="591"/>
      <c r="E16" s="591"/>
      <c r="F16" s="585"/>
      <c r="G16" s="586"/>
      <c r="H16" s="586"/>
      <c r="I16" s="586"/>
      <c r="J16" s="586"/>
      <c r="K16" s="586"/>
      <c r="L16" s="586"/>
      <c r="M16" s="586"/>
      <c r="N16" s="586"/>
      <c r="O16" s="586"/>
      <c r="P16" s="586"/>
      <c r="Q16" s="586"/>
      <c r="R16" s="586"/>
      <c r="S16" s="586"/>
      <c r="T16" s="586"/>
      <c r="U16" s="586"/>
      <c r="V16" s="586"/>
      <c r="W16" s="586"/>
      <c r="X16" s="586"/>
      <c r="Y16" s="586"/>
      <c r="Z16" s="586"/>
      <c r="AA16" s="586"/>
      <c r="AB16" s="586"/>
      <c r="AC16" s="586"/>
      <c r="AD16" s="586"/>
      <c r="AE16" s="586"/>
      <c r="AF16" s="586"/>
      <c r="AG16" s="586"/>
      <c r="AH16" s="586"/>
      <c r="AI16" s="586"/>
      <c r="AJ16" s="586"/>
      <c r="AK16" s="586"/>
      <c r="AL16" s="586"/>
      <c r="AM16" s="586"/>
      <c r="AN16" s="586"/>
      <c r="AO16" s="586"/>
      <c r="AP16" s="586"/>
      <c r="AQ16" s="586"/>
      <c r="AR16" s="586"/>
      <c r="AS16" s="586"/>
      <c r="AT16" s="586"/>
      <c r="AU16" s="586"/>
      <c r="AV16" s="586"/>
      <c r="AW16" s="586"/>
      <c r="AX16" s="586"/>
      <c r="AY16" s="586"/>
      <c r="AZ16" s="586"/>
      <c r="BA16" s="586"/>
      <c r="BB16" s="586"/>
      <c r="BC16" s="586"/>
      <c r="BD16" s="586"/>
      <c r="BE16" s="586"/>
      <c r="BF16" s="586"/>
      <c r="BG16" s="586"/>
      <c r="BH16" s="586"/>
      <c r="BI16" s="586"/>
      <c r="BJ16" s="586"/>
      <c r="BK16" s="586"/>
      <c r="BL16" s="586"/>
      <c r="BM16" s="586"/>
      <c r="BN16" s="586"/>
      <c r="BO16" s="586"/>
      <c r="BP16" s="586"/>
      <c r="BQ16" s="586"/>
      <c r="BR16" s="586"/>
      <c r="BS16" s="586"/>
      <c r="BT16" s="586"/>
      <c r="BU16" s="586"/>
      <c r="BV16" s="586"/>
      <c r="BW16" s="586"/>
      <c r="BX16" s="586"/>
      <c r="BY16" s="586"/>
      <c r="BZ16" s="586"/>
      <c r="CA16" s="586"/>
      <c r="CB16" s="586"/>
      <c r="CC16" s="586"/>
      <c r="CD16" s="586"/>
      <c r="CE16" s="586"/>
      <c r="CF16" s="586"/>
      <c r="CG16" s="586"/>
      <c r="CH16" s="586"/>
      <c r="CI16" s="586"/>
      <c r="CJ16" s="586"/>
      <c r="CK16" s="586"/>
      <c r="CL16" s="586"/>
      <c r="CM16" s="586"/>
      <c r="CN16" s="586"/>
      <c r="CO16" s="586"/>
      <c r="CP16" s="586"/>
      <c r="CQ16" s="586"/>
      <c r="CR16" s="586"/>
      <c r="CS16" s="586"/>
      <c r="CT16" s="586"/>
      <c r="CU16" s="586"/>
      <c r="CV16" s="586"/>
      <c r="CW16" s="586"/>
      <c r="CX16" s="586"/>
      <c r="CY16" s="586"/>
      <c r="CZ16" s="586"/>
      <c r="DA16" s="586"/>
      <c r="DB16" s="586"/>
      <c r="DC16" s="586"/>
      <c r="DD16" s="586"/>
      <c r="DE16" s="586"/>
      <c r="DF16" s="586"/>
      <c r="DG16" s="586"/>
      <c r="DH16" s="586"/>
      <c r="DI16" s="586"/>
      <c r="DJ16" s="586"/>
      <c r="DK16" s="586"/>
      <c r="DL16" s="586"/>
      <c r="DM16" s="586"/>
      <c r="DN16" s="586"/>
      <c r="DO16" s="586"/>
      <c r="DP16" s="586"/>
      <c r="DQ16" s="586"/>
      <c r="DR16" s="586"/>
      <c r="DS16" s="586"/>
      <c r="DT16" s="586"/>
      <c r="DU16" s="586"/>
      <c r="DV16" s="586"/>
      <c r="DW16" s="586"/>
    </row>
    <row r="17" spans="1:127">
      <c r="A17" s="592" t="s">
        <v>1208</v>
      </c>
      <c r="B17" s="592"/>
      <c r="C17" s="592"/>
      <c r="D17" s="592"/>
      <c r="E17" s="592"/>
      <c r="F17" s="593"/>
      <c r="G17" s="589">
        <f t="shared" ref="G17:AL17" ca="1" si="2">SUM(G10,G12:G15)</f>
        <v>57973.052657378626</v>
      </c>
      <c r="H17" s="589">
        <f t="shared" ca="1" si="2"/>
        <v>56482.375790777587</v>
      </c>
      <c r="I17" s="589">
        <f t="shared" ca="1" si="2"/>
        <v>55016.003438305917</v>
      </c>
      <c r="J17" s="589">
        <f t="shared" ca="1" si="2"/>
        <v>53529.399459318549</v>
      </c>
      <c r="K17" s="589">
        <f t="shared" ca="1" si="2"/>
        <v>52058.954219233216</v>
      </c>
      <c r="L17" s="589">
        <f t="shared" ca="1" si="2"/>
        <v>50568.277352632176</v>
      </c>
      <c r="M17" s="589">
        <f t="shared" ca="1" si="2"/>
        <v>49101.905000160506</v>
      </c>
      <c r="N17" s="589">
        <f t="shared" ca="1" si="2"/>
        <v>47611.228133559474</v>
      </c>
      <c r="O17" s="589">
        <f t="shared" ca="1" si="2"/>
        <v>46144.855781087797</v>
      </c>
      <c r="P17" s="589">
        <f t="shared" ca="1" si="2"/>
        <v>44654.178914486765</v>
      </c>
      <c r="Q17" s="589">
        <f t="shared" ca="1" si="2"/>
        <v>43187.806562015088</v>
      </c>
      <c r="R17" s="589">
        <f t="shared" ca="1" si="2"/>
        <v>41701.20258302772</v>
      </c>
      <c r="S17" s="589">
        <f t="shared" ca="1" si="2"/>
        <v>40230.757342942386</v>
      </c>
      <c r="T17" s="589">
        <f t="shared" ca="1" si="2"/>
        <v>38740.080476341347</v>
      </c>
      <c r="U17" s="589">
        <f t="shared" ca="1" si="2"/>
        <v>37273.708123869685</v>
      </c>
      <c r="V17" s="589">
        <f t="shared" ca="1" si="2"/>
        <v>35783.031257268645</v>
      </c>
      <c r="W17" s="589">
        <f t="shared" ca="1" si="2"/>
        <v>34316.658904796976</v>
      </c>
      <c r="X17" s="589">
        <f t="shared" ca="1" si="2"/>
        <v>32825.982038195943</v>
      </c>
      <c r="Y17" s="589">
        <f t="shared" ca="1" si="2"/>
        <v>31359.60968572427</v>
      </c>
      <c r="Z17" s="589">
        <f t="shared" ca="1" si="2"/>
        <v>29873.005706736898</v>
      </c>
      <c r="AA17" s="589">
        <f t="shared" ca="1" si="2"/>
        <v>28402.560466651565</v>
      </c>
      <c r="AB17" s="589">
        <f t="shared" ca="1" si="2"/>
        <v>26911.883600050529</v>
      </c>
      <c r="AC17" s="589">
        <f t="shared" ca="1" si="2"/>
        <v>25445.511247578859</v>
      </c>
      <c r="AD17" s="589">
        <f t="shared" ca="1" si="2"/>
        <v>23954.834380977823</v>
      </c>
      <c r="AE17" s="589">
        <f t="shared" ca="1" si="2"/>
        <v>22488.462028506154</v>
      </c>
      <c r="AF17" s="589">
        <f t="shared" ca="1" si="2"/>
        <v>21071.380859586585</v>
      </c>
      <c r="AG17" s="589">
        <f t="shared" ca="1" si="2"/>
        <v>19677.404274942885</v>
      </c>
      <c r="AH17" s="589">
        <f t="shared" ca="1" si="2"/>
        <v>18264.194912495775</v>
      </c>
      <c r="AI17" s="589">
        <f t="shared" ca="1" si="2"/>
        <v>16866.346521379615</v>
      </c>
      <c r="AJ17" s="589">
        <f t="shared" ca="1" si="2"/>
        <v>15449.265352460046</v>
      </c>
      <c r="AK17" s="589">
        <f t="shared" ca="1" si="2"/>
        <v>14055.288767816346</v>
      </c>
      <c r="AL17" s="589">
        <f t="shared" ca="1" si="2"/>
        <v>12638.207598896777</v>
      </c>
      <c r="AM17" s="589">
        <f t="shared" ref="AM17:BO17" ca="1" si="3">SUM(AM10,AM12:AM15)</f>
        <v>11244.231014253077</v>
      </c>
      <c r="AN17" s="589">
        <f t="shared" ca="1" si="3"/>
        <v>9827.149845333508</v>
      </c>
      <c r="AO17" s="589">
        <f t="shared" ca="1" si="3"/>
        <v>8433.1732606898076</v>
      </c>
      <c r="AP17" s="589">
        <f t="shared" ca="1" si="3"/>
        <v>7019.9638982426986</v>
      </c>
      <c r="AQ17" s="589">
        <f t="shared" ca="1" si="3"/>
        <v>5622.1155071265384</v>
      </c>
      <c r="AR17" s="589">
        <f t="shared" ca="1" si="3"/>
        <v>4205.0343382069696</v>
      </c>
      <c r="AS17" s="589">
        <f t="shared" ca="1" si="3"/>
        <v>2811.0577535632692</v>
      </c>
      <c r="AT17" s="589">
        <f t="shared" ca="1" si="3"/>
        <v>1393.9765846437003</v>
      </c>
      <c r="AU17" s="589">
        <f t="shared" ca="1" si="3"/>
        <v>550.00000000002774</v>
      </c>
      <c r="AV17" s="589">
        <f t="shared" ca="1" si="3"/>
        <v>550.00000000002774</v>
      </c>
      <c r="AW17" s="589">
        <f t="shared" ca="1" si="3"/>
        <v>550.00000000002774</v>
      </c>
      <c r="AX17" s="589">
        <f t="shared" ca="1" si="3"/>
        <v>550.00000000002774</v>
      </c>
      <c r="AY17" s="589">
        <f t="shared" ca="1" si="3"/>
        <v>550.00000000002774</v>
      </c>
      <c r="AZ17" s="589">
        <f t="shared" ca="1" si="3"/>
        <v>550.00000000002774</v>
      </c>
      <c r="BA17" s="589">
        <f t="shared" ca="1" si="3"/>
        <v>550.00000000002774</v>
      </c>
      <c r="BB17" s="589">
        <f t="shared" ca="1" si="3"/>
        <v>550.00000000002774</v>
      </c>
      <c r="BC17" s="589">
        <f t="shared" ca="1" si="3"/>
        <v>550.00000000002774</v>
      </c>
      <c r="BD17" s="589">
        <f t="shared" ca="1" si="3"/>
        <v>550.00000000002774</v>
      </c>
      <c r="BE17" s="589">
        <f t="shared" ca="1" si="3"/>
        <v>550.00000000002774</v>
      </c>
      <c r="BF17" s="589">
        <f t="shared" ca="1" si="3"/>
        <v>550.00000000002774</v>
      </c>
      <c r="BG17" s="589">
        <f t="shared" ca="1" si="3"/>
        <v>550.00000000002774</v>
      </c>
      <c r="BH17" s="589">
        <f t="shared" ca="1" si="3"/>
        <v>550.00000000002774</v>
      </c>
      <c r="BI17" s="589">
        <f t="shared" ca="1" si="3"/>
        <v>550.00000000002774</v>
      </c>
      <c r="BJ17" s="589">
        <f t="shared" ca="1" si="3"/>
        <v>550.00000000002774</v>
      </c>
      <c r="BK17" s="589">
        <f t="shared" ca="1" si="3"/>
        <v>550.00000000002774</v>
      </c>
      <c r="BL17" s="589">
        <f t="shared" ca="1" si="3"/>
        <v>550.00000000002774</v>
      </c>
      <c r="BM17" s="589">
        <f t="shared" ca="1" si="3"/>
        <v>550.00000000002774</v>
      </c>
      <c r="BN17" s="589">
        <f t="shared" ca="1" si="3"/>
        <v>550.00000000002774</v>
      </c>
      <c r="BO17" s="589">
        <f t="shared" ca="1" si="3"/>
        <v>550.00000000002774</v>
      </c>
      <c r="BP17" s="589"/>
      <c r="BQ17" s="589"/>
      <c r="BR17" s="589"/>
      <c r="BS17" s="589"/>
      <c r="BT17" s="589"/>
      <c r="BU17" s="589"/>
      <c r="BV17" s="589"/>
      <c r="BW17" s="589"/>
      <c r="BX17" s="589"/>
      <c r="BY17" s="589"/>
      <c r="BZ17" s="589"/>
      <c r="CA17" s="589"/>
      <c r="CB17" s="589"/>
      <c r="CC17" s="589"/>
      <c r="CD17" s="589"/>
      <c r="CE17" s="589"/>
      <c r="CF17" s="589"/>
      <c r="CG17" s="589"/>
      <c r="CH17" s="589"/>
      <c r="CI17" s="589"/>
      <c r="CJ17" s="589"/>
      <c r="CK17" s="589"/>
      <c r="CL17" s="589"/>
      <c r="CM17" s="589"/>
      <c r="CN17" s="589"/>
      <c r="CO17" s="589"/>
      <c r="CP17" s="589"/>
      <c r="CQ17" s="589"/>
      <c r="CR17" s="589"/>
      <c r="CS17" s="589"/>
      <c r="CT17" s="589"/>
      <c r="CU17" s="589"/>
      <c r="CV17" s="589"/>
      <c r="CW17" s="589"/>
      <c r="CX17" s="589"/>
      <c r="CY17" s="589"/>
      <c r="CZ17" s="589"/>
      <c r="DA17" s="589"/>
      <c r="DB17" s="589"/>
      <c r="DC17" s="589"/>
      <c r="DD17" s="589"/>
      <c r="DE17" s="589"/>
      <c r="DF17" s="589"/>
      <c r="DG17" s="589"/>
      <c r="DH17" s="589"/>
      <c r="DI17" s="589"/>
      <c r="DJ17" s="589"/>
      <c r="DK17" s="589"/>
      <c r="DL17" s="589"/>
      <c r="DM17" s="589"/>
      <c r="DN17" s="589"/>
      <c r="DO17" s="589"/>
      <c r="DP17" s="589"/>
      <c r="DQ17" s="589"/>
      <c r="DR17" s="589"/>
      <c r="DS17" s="589"/>
      <c r="DT17" s="589"/>
      <c r="DU17" s="589"/>
      <c r="DV17" s="589"/>
      <c r="DW17" s="589"/>
    </row>
    <row r="18" spans="1:127" s="310" customFormat="1">
      <c r="A18" s="581"/>
      <c r="B18" s="591"/>
      <c r="C18" s="591"/>
      <c r="D18" s="581"/>
      <c r="E18" s="581"/>
      <c r="F18" s="583"/>
      <c r="G18" s="590"/>
      <c r="H18" s="590"/>
      <c r="I18" s="590"/>
      <c r="J18" s="590"/>
      <c r="K18" s="590"/>
      <c r="L18" s="590"/>
      <c r="M18" s="590"/>
      <c r="N18" s="590"/>
      <c r="O18" s="590"/>
      <c r="P18" s="590"/>
      <c r="Q18" s="590"/>
      <c r="R18" s="590"/>
      <c r="S18" s="590"/>
      <c r="T18" s="590"/>
      <c r="U18" s="590"/>
      <c r="V18" s="590"/>
      <c r="W18" s="590"/>
      <c r="X18" s="590"/>
      <c r="Y18" s="590"/>
      <c r="Z18" s="590"/>
      <c r="AA18" s="590"/>
      <c r="AB18" s="590"/>
      <c r="AC18" s="590"/>
      <c r="AD18" s="590"/>
      <c r="AE18" s="590"/>
      <c r="AF18" s="590"/>
      <c r="AG18" s="590"/>
      <c r="AH18" s="590"/>
      <c r="AI18" s="590"/>
      <c r="AJ18" s="590"/>
      <c r="AK18" s="590"/>
      <c r="AL18" s="590"/>
      <c r="AM18" s="590"/>
      <c r="AN18" s="590"/>
      <c r="AO18" s="590"/>
      <c r="AP18" s="590"/>
      <c r="AQ18" s="590"/>
      <c r="AR18" s="590"/>
      <c r="AS18" s="590"/>
      <c r="AT18" s="590"/>
      <c r="AU18" s="590"/>
      <c r="AV18" s="590"/>
      <c r="AW18" s="590"/>
      <c r="AX18" s="590"/>
      <c r="AY18" s="590"/>
      <c r="AZ18" s="590"/>
      <c r="BA18" s="590"/>
      <c r="BB18" s="590"/>
      <c r="BC18" s="590"/>
      <c r="BD18" s="590"/>
      <c r="BE18" s="590"/>
      <c r="BF18" s="590"/>
      <c r="BG18" s="590"/>
      <c r="BH18" s="590"/>
      <c r="BI18" s="590"/>
      <c r="BJ18" s="590"/>
      <c r="BK18" s="590"/>
      <c r="BL18" s="590"/>
      <c r="BM18" s="590"/>
      <c r="BN18" s="590"/>
      <c r="BO18" s="590"/>
      <c r="BP18" s="590"/>
      <c r="BQ18" s="590"/>
      <c r="BR18" s="590"/>
      <c r="BS18" s="590"/>
      <c r="BT18" s="590"/>
      <c r="BU18" s="590"/>
      <c r="BV18" s="590"/>
      <c r="BW18" s="590"/>
      <c r="BX18" s="590"/>
      <c r="BY18" s="590"/>
      <c r="BZ18" s="590"/>
      <c r="CA18" s="590"/>
      <c r="CB18" s="590"/>
      <c r="CC18" s="590"/>
      <c r="CD18" s="590"/>
      <c r="CE18" s="590"/>
      <c r="CF18" s="590"/>
      <c r="CG18" s="590"/>
      <c r="CH18" s="590"/>
      <c r="CI18" s="590"/>
      <c r="CJ18" s="590"/>
      <c r="CK18" s="590"/>
      <c r="CL18" s="590"/>
      <c r="CM18" s="590"/>
      <c r="CN18" s="590"/>
      <c r="CO18" s="590"/>
      <c r="CP18" s="590"/>
      <c r="CQ18" s="590"/>
      <c r="CR18" s="590"/>
      <c r="CS18" s="590"/>
      <c r="CT18" s="590"/>
      <c r="CU18" s="590"/>
      <c r="CV18" s="590"/>
      <c r="CW18" s="590"/>
      <c r="CX18" s="590"/>
      <c r="CY18" s="590"/>
      <c r="CZ18" s="590"/>
      <c r="DA18" s="590"/>
      <c r="DB18" s="590"/>
      <c r="DC18" s="590"/>
      <c r="DD18" s="590"/>
      <c r="DE18" s="590"/>
      <c r="DF18" s="590"/>
      <c r="DG18" s="590"/>
      <c r="DH18" s="590"/>
      <c r="DI18" s="590"/>
      <c r="DJ18" s="590"/>
      <c r="DK18" s="590"/>
      <c r="DL18" s="590"/>
      <c r="DM18" s="590"/>
      <c r="DN18" s="590"/>
      <c r="DO18" s="590"/>
      <c r="DP18" s="590"/>
      <c r="DQ18" s="590"/>
      <c r="DR18" s="590"/>
      <c r="DS18" s="590"/>
      <c r="DT18" s="590"/>
      <c r="DU18" s="590"/>
      <c r="DV18" s="590"/>
      <c r="DW18" s="590"/>
    </row>
    <row r="19" spans="1:127">
      <c r="A19" s="861" t="s">
        <v>1211</v>
      </c>
      <c r="B19" s="974"/>
      <c r="C19" s="974"/>
      <c r="D19" s="864"/>
      <c r="E19" s="864"/>
      <c r="F19" s="863"/>
      <c r="G19" s="594"/>
      <c r="H19" s="594"/>
      <c r="I19" s="594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594"/>
      <c r="Z19" s="594"/>
      <c r="AA19" s="594"/>
      <c r="AB19" s="594"/>
      <c r="AC19" s="594"/>
      <c r="AD19" s="594"/>
      <c r="AE19" s="594"/>
      <c r="AF19" s="594"/>
      <c r="AG19" s="594"/>
      <c r="AH19" s="594"/>
      <c r="AI19" s="594"/>
      <c r="AJ19" s="594"/>
      <c r="AK19" s="594"/>
      <c r="AL19" s="594"/>
      <c r="AM19" s="594"/>
      <c r="AN19" s="594"/>
      <c r="AO19" s="594"/>
      <c r="AP19" s="594"/>
      <c r="AQ19" s="594"/>
      <c r="AR19" s="594"/>
      <c r="AS19" s="594"/>
      <c r="AT19" s="594"/>
      <c r="AU19" s="594"/>
      <c r="AV19" s="594"/>
      <c r="AW19" s="594"/>
      <c r="AX19" s="594"/>
      <c r="AY19" s="594"/>
      <c r="AZ19" s="594"/>
      <c r="BA19" s="594"/>
      <c r="BB19" s="594"/>
      <c r="BC19" s="594"/>
      <c r="BD19" s="594"/>
      <c r="BE19" s="594"/>
      <c r="BF19" s="594"/>
      <c r="BG19" s="594"/>
      <c r="BH19" s="594"/>
      <c r="BI19" s="594"/>
      <c r="BJ19" s="594"/>
      <c r="BK19" s="594"/>
      <c r="BL19" s="594"/>
      <c r="BM19" s="594"/>
      <c r="BN19" s="594"/>
      <c r="BO19" s="594"/>
      <c r="BP19" s="594"/>
      <c r="BQ19" s="594"/>
      <c r="BR19" s="594"/>
      <c r="BS19" s="594"/>
      <c r="BT19" s="594"/>
      <c r="BU19" s="594"/>
      <c r="BV19" s="594"/>
      <c r="BW19" s="594"/>
      <c r="BX19" s="594"/>
      <c r="BY19" s="594"/>
      <c r="BZ19" s="594"/>
      <c r="CA19" s="594"/>
      <c r="CB19" s="594"/>
      <c r="CC19" s="594"/>
      <c r="CD19" s="594"/>
      <c r="CE19" s="594"/>
      <c r="CF19" s="594"/>
      <c r="CG19" s="594"/>
      <c r="CH19" s="594"/>
      <c r="CI19" s="594"/>
      <c r="CJ19" s="594"/>
      <c r="CK19" s="594"/>
      <c r="CL19" s="594"/>
      <c r="CM19" s="594"/>
      <c r="CN19" s="594"/>
      <c r="CO19" s="594"/>
      <c r="CP19" s="594"/>
      <c r="CQ19" s="594"/>
      <c r="CR19" s="594"/>
      <c r="CS19" s="594"/>
      <c r="CT19" s="594"/>
      <c r="CU19" s="594"/>
      <c r="CV19" s="594"/>
      <c r="CW19" s="594"/>
      <c r="CX19" s="594"/>
      <c r="CY19" s="594"/>
      <c r="CZ19" s="594"/>
      <c r="DA19" s="594"/>
      <c r="DB19" s="594"/>
      <c r="DC19" s="594"/>
      <c r="DD19" s="594"/>
      <c r="DE19" s="594"/>
      <c r="DF19" s="594"/>
      <c r="DG19" s="594"/>
      <c r="DH19" s="594"/>
      <c r="DI19" s="594"/>
      <c r="DJ19" s="594"/>
      <c r="DK19" s="594"/>
      <c r="DL19" s="594"/>
      <c r="DM19" s="594"/>
      <c r="DN19" s="594"/>
      <c r="DO19" s="594"/>
      <c r="DP19" s="594"/>
      <c r="DQ19" s="594"/>
      <c r="DR19" s="594"/>
      <c r="DS19" s="594"/>
      <c r="DT19" s="594"/>
      <c r="DU19" s="594"/>
      <c r="DV19" s="594"/>
      <c r="DW19" s="594"/>
    </row>
    <row r="20" spans="1:127" s="310" customFormat="1">
      <c r="A20" s="581"/>
      <c r="B20" s="591"/>
      <c r="C20" s="591"/>
      <c r="D20" s="581"/>
      <c r="E20" s="581"/>
      <c r="F20" s="583"/>
      <c r="G20" s="590">
        <f ca="1">SUM(G21:G24)</f>
        <v>15120.773894815633</v>
      </c>
      <c r="H20" s="590">
        <f t="shared" ref="H20:BO20" ca="1" si="4">SUM(H21:H24)</f>
        <v>14565.747159305301</v>
      </c>
      <c r="I20" s="590">
        <f t="shared" ca="1" si="4"/>
        <v>14047.766404085574</v>
      </c>
      <c r="J20" s="590">
        <f t="shared" ca="1" si="4"/>
        <v>13579.182869044429</v>
      </c>
      <c r="K20" s="590">
        <f t="shared" ca="1" si="4"/>
        <v>13199.846029500412</v>
      </c>
      <c r="L20" s="590">
        <f t="shared" ca="1" si="4"/>
        <v>12852.11613483214</v>
      </c>
      <c r="M20" s="590">
        <f t="shared" ca="1" si="4"/>
        <v>12590.417032955727</v>
      </c>
      <c r="N20" s="590">
        <f t="shared" ca="1" si="4"/>
        <v>12348.565811729768</v>
      </c>
      <c r="O20" s="590">
        <f t="shared" ca="1" si="4"/>
        <v>12175.407946625182</v>
      </c>
      <c r="P20" s="590">
        <f t="shared" ca="1" si="4"/>
        <v>12042.703324024456</v>
      </c>
      <c r="Q20" s="590">
        <f t="shared" ca="1" si="4"/>
        <v>11960.912536246698</v>
      </c>
      <c r="R20" s="590">
        <f t="shared" ca="1" si="4"/>
        <v>11940.343893557461</v>
      </c>
      <c r="S20" s="590">
        <f t="shared" ca="1" si="4"/>
        <v>11952.627296498706</v>
      </c>
      <c r="T20" s="590">
        <f t="shared" ca="1" si="4"/>
        <v>12055.772608848551</v>
      </c>
      <c r="U20" s="590">
        <f t="shared" ca="1" si="4"/>
        <v>12171.567424501558</v>
      </c>
      <c r="V20" s="590">
        <f t="shared" ca="1" si="4"/>
        <v>12403.930936944935</v>
      </c>
      <c r="W20" s="590">
        <f t="shared" ca="1" si="4"/>
        <v>12628.004523778385</v>
      </c>
      <c r="X20" s="590">
        <f t="shared" ca="1" si="4"/>
        <v>12997.973743291794</v>
      </c>
      <c r="Y20" s="590">
        <f t="shared" ca="1" si="4"/>
        <v>13337.351228456755</v>
      </c>
      <c r="Z20" s="590">
        <f t="shared" ca="1" si="4"/>
        <v>13850.772923995226</v>
      </c>
      <c r="AA20" s="590">
        <f t="shared" ca="1" si="4"/>
        <v>14313.239683036385</v>
      </c>
      <c r="AB20" s="590">
        <f t="shared" ca="1" si="4"/>
        <v>14815.116114055243</v>
      </c>
      <c r="AC20" s="590">
        <f t="shared" ca="1" si="4"/>
        <v>15269.360920944582</v>
      </c>
      <c r="AD20" s="590">
        <f t="shared" ca="1" si="4"/>
        <v>15927.400476471503</v>
      </c>
      <c r="AE20" s="590">
        <f t="shared" ca="1" si="4"/>
        <v>16512.406311357314</v>
      </c>
      <c r="AF20" s="590">
        <f t="shared" ca="1" si="4"/>
        <v>16605.223195667502</v>
      </c>
      <c r="AG20" s="590">
        <f t="shared" ca="1" si="4"/>
        <v>16638.178859453375</v>
      </c>
      <c r="AH20" s="590">
        <f t="shared" ca="1" si="4"/>
        <v>16799.991138373014</v>
      </c>
      <c r="AI20" s="590">
        <f t="shared" ca="1" si="4"/>
        <v>16866.346521379593</v>
      </c>
      <c r="AJ20" s="590">
        <f t="shared" ca="1" si="4"/>
        <v>15449.265352460026</v>
      </c>
      <c r="AK20" s="590">
        <f t="shared" ca="1" si="4"/>
        <v>14055.288767816324</v>
      </c>
      <c r="AL20" s="590">
        <f t="shared" ca="1" si="4"/>
        <v>12638.207598896757</v>
      </c>
      <c r="AM20" s="590">
        <f t="shared" ca="1" si="4"/>
        <v>11244.231014253053</v>
      </c>
      <c r="AN20" s="590">
        <f t="shared" ca="1" si="4"/>
        <v>9827.1498453334862</v>
      </c>
      <c r="AO20" s="590">
        <f t="shared" ca="1" si="4"/>
        <v>8433.1732606897822</v>
      </c>
      <c r="AP20" s="590">
        <f t="shared" ca="1" si="4"/>
        <v>7019.9638982426732</v>
      </c>
      <c r="AQ20" s="590">
        <f t="shared" ca="1" si="4"/>
        <v>5622.1155071265121</v>
      </c>
      <c r="AR20" s="590">
        <f t="shared" ca="1" si="4"/>
        <v>4205.0343382069459</v>
      </c>
      <c r="AS20" s="590">
        <f t="shared" ca="1" si="4"/>
        <v>2811.0577535632424</v>
      </c>
      <c r="AT20" s="590">
        <f t="shared" ca="1" si="4"/>
        <v>1393.976584643676</v>
      </c>
      <c r="AU20" s="590">
        <f t="shared" ca="1" si="4"/>
        <v>550</v>
      </c>
      <c r="AV20" s="590">
        <f t="shared" ca="1" si="4"/>
        <v>550</v>
      </c>
      <c r="AW20" s="590">
        <f t="shared" ca="1" si="4"/>
        <v>550</v>
      </c>
      <c r="AX20" s="590">
        <f t="shared" ca="1" si="4"/>
        <v>550</v>
      </c>
      <c r="AY20" s="590">
        <f t="shared" ca="1" si="4"/>
        <v>550</v>
      </c>
      <c r="AZ20" s="590">
        <f t="shared" ca="1" si="4"/>
        <v>550</v>
      </c>
      <c r="BA20" s="590">
        <f t="shared" ca="1" si="4"/>
        <v>550</v>
      </c>
      <c r="BB20" s="590">
        <f t="shared" ca="1" si="4"/>
        <v>550</v>
      </c>
      <c r="BC20" s="590">
        <f t="shared" ca="1" si="4"/>
        <v>550</v>
      </c>
      <c r="BD20" s="590">
        <f t="shared" ca="1" si="4"/>
        <v>550</v>
      </c>
      <c r="BE20" s="590">
        <f t="shared" ca="1" si="4"/>
        <v>550</v>
      </c>
      <c r="BF20" s="590">
        <f t="shared" ca="1" si="4"/>
        <v>550</v>
      </c>
      <c r="BG20" s="590">
        <f t="shared" ca="1" si="4"/>
        <v>550</v>
      </c>
      <c r="BH20" s="590">
        <f t="shared" ca="1" si="4"/>
        <v>550</v>
      </c>
      <c r="BI20" s="590">
        <f t="shared" ca="1" si="4"/>
        <v>550</v>
      </c>
      <c r="BJ20" s="590">
        <f t="shared" ca="1" si="4"/>
        <v>550</v>
      </c>
      <c r="BK20" s="590">
        <f t="shared" ca="1" si="4"/>
        <v>550</v>
      </c>
      <c r="BL20" s="590">
        <f t="shared" ca="1" si="4"/>
        <v>550</v>
      </c>
      <c r="BM20" s="590">
        <f t="shared" ca="1" si="4"/>
        <v>550</v>
      </c>
      <c r="BN20" s="590">
        <f t="shared" ca="1" si="4"/>
        <v>550</v>
      </c>
      <c r="BO20" s="590">
        <f t="shared" ca="1" si="4"/>
        <v>550</v>
      </c>
      <c r="BP20" s="590"/>
      <c r="BQ20" s="590"/>
      <c r="BR20" s="590"/>
      <c r="BS20" s="590"/>
      <c r="BT20" s="590"/>
      <c r="BU20" s="590"/>
      <c r="BV20" s="590"/>
      <c r="BW20" s="590"/>
      <c r="BX20" s="590"/>
      <c r="BY20" s="590"/>
      <c r="BZ20" s="590"/>
      <c r="CA20" s="590"/>
      <c r="CB20" s="590"/>
      <c r="CC20" s="590"/>
      <c r="CD20" s="590"/>
      <c r="CE20" s="590"/>
      <c r="CF20" s="590"/>
      <c r="CG20" s="590"/>
      <c r="CH20" s="590"/>
      <c r="CI20" s="590"/>
      <c r="CJ20" s="590"/>
      <c r="CK20" s="590"/>
      <c r="CL20" s="590"/>
      <c r="CM20" s="590"/>
      <c r="CN20" s="590"/>
      <c r="CO20" s="590"/>
      <c r="CP20" s="590"/>
      <c r="CQ20" s="590"/>
      <c r="CR20" s="590"/>
      <c r="CS20" s="590"/>
      <c r="CT20" s="590"/>
      <c r="CU20" s="590"/>
      <c r="CV20" s="590"/>
      <c r="CW20" s="590"/>
      <c r="CX20" s="590"/>
      <c r="CY20" s="590"/>
      <c r="CZ20" s="590"/>
      <c r="DA20" s="590"/>
      <c r="DB20" s="590"/>
      <c r="DC20" s="590"/>
      <c r="DD20" s="590"/>
      <c r="DE20" s="590"/>
      <c r="DF20" s="590"/>
      <c r="DG20" s="590"/>
      <c r="DH20" s="590"/>
      <c r="DI20" s="590"/>
      <c r="DJ20" s="590"/>
      <c r="DK20" s="590"/>
      <c r="DL20" s="590"/>
      <c r="DM20" s="590"/>
      <c r="DN20" s="590"/>
      <c r="DO20" s="590"/>
      <c r="DP20" s="590"/>
      <c r="DQ20" s="590"/>
      <c r="DR20" s="590"/>
      <c r="DS20" s="590"/>
      <c r="DT20" s="590"/>
      <c r="DU20" s="590"/>
      <c r="DV20" s="590"/>
      <c r="DW20" s="590"/>
    </row>
    <row r="21" spans="1:127">
      <c r="A21" s="588" t="str">
        <f>Inputs!A309</f>
        <v>Capital at Financial close</v>
      </c>
      <c r="B21" s="990">
        <f ca="1">IDC!$D$45</f>
        <v>500</v>
      </c>
      <c r="C21" s="990"/>
      <c r="D21" s="588"/>
      <c r="E21" s="588"/>
      <c r="F21" s="593"/>
      <c r="G21" s="589">
        <f ca="1">$B21</f>
        <v>500</v>
      </c>
      <c r="H21" s="589">
        <f t="shared" ref="H21:BO21" ca="1" si="5">$B21</f>
        <v>500</v>
      </c>
      <c r="I21" s="589">
        <f t="shared" ca="1" si="5"/>
        <v>500</v>
      </c>
      <c r="J21" s="589">
        <f t="shared" ca="1" si="5"/>
        <v>500</v>
      </c>
      <c r="K21" s="589">
        <f t="shared" ca="1" si="5"/>
        <v>500</v>
      </c>
      <c r="L21" s="589">
        <f t="shared" ca="1" si="5"/>
        <v>500</v>
      </c>
      <c r="M21" s="589">
        <f t="shared" ca="1" si="5"/>
        <v>500</v>
      </c>
      <c r="N21" s="589">
        <f t="shared" ca="1" si="5"/>
        <v>500</v>
      </c>
      <c r="O21" s="589">
        <f t="shared" ca="1" si="5"/>
        <v>500</v>
      </c>
      <c r="P21" s="589">
        <f t="shared" ca="1" si="5"/>
        <v>500</v>
      </c>
      <c r="Q21" s="589">
        <f t="shared" ca="1" si="5"/>
        <v>500</v>
      </c>
      <c r="R21" s="589">
        <f t="shared" ca="1" si="5"/>
        <v>500</v>
      </c>
      <c r="S21" s="589">
        <f t="shared" ca="1" si="5"/>
        <v>500</v>
      </c>
      <c r="T21" s="589">
        <f t="shared" ca="1" si="5"/>
        <v>500</v>
      </c>
      <c r="U21" s="589">
        <f t="shared" ca="1" si="5"/>
        <v>500</v>
      </c>
      <c r="V21" s="589">
        <f t="shared" ca="1" si="5"/>
        <v>500</v>
      </c>
      <c r="W21" s="589">
        <f t="shared" ca="1" si="5"/>
        <v>500</v>
      </c>
      <c r="X21" s="589">
        <f t="shared" ca="1" si="5"/>
        <v>500</v>
      </c>
      <c r="Y21" s="589">
        <f t="shared" ca="1" si="5"/>
        <v>500</v>
      </c>
      <c r="Z21" s="589">
        <f t="shared" ca="1" si="5"/>
        <v>500</v>
      </c>
      <c r="AA21" s="589">
        <f t="shared" ca="1" si="5"/>
        <v>500</v>
      </c>
      <c r="AB21" s="589">
        <f t="shared" ca="1" si="5"/>
        <v>500</v>
      </c>
      <c r="AC21" s="589">
        <f t="shared" ca="1" si="5"/>
        <v>500</v>
      </c>
      <c r="AD21" s="589">
        <f t="shared" ca="1" si="5"/>
        <v>500</v>
      </c>
      <c r="AE21" s="589">
        <f t="shared" ca="1" si="5"/>
        <v>500</v>
      </c>
      <c r="AF21" s="589">
        <f t="shared" ca="1" si="5"/>
        <v>500</v>
      </c>
      <c r="AG21" s="589">
        <f t="shared" ca="1" si="5"/>
        <v>500</v>
      </c>
      <c r="AH21" s="589">
        <f t="shared" ca="1" si="5"/>
        <v>500</v>
      </c>
      <c r="AI21" s="589">
        <f t="shared" ca="1" si="5"/>
        <v>500</v>
      </c>
      <c r="AJ21" s="589">
        <f t="shared" ca="1" si="5"/>
        <v>500</v>
      </c>
      <c r="AK21" s="589">
        <f t="shared" ca="1" si="5"/>
        <v>500</v>
      </c>
      <c r="AL21" s="589">
        <f t="shared" ca="1" si="5"/>
        <v>500</v>
      </c>
      <c r="AM21" s="589">
        <f t="shared" ca="1" si="5"/>
        <v>500</v>
      </c>
      <c r="AN21" s="589">
        <f t="shared" ca="1" si="5"/>
        <v>500</v>
      </c>
      <c r="AO21" s="589">
        <f t="shared" ca="1" si="5"/>
        <v>500</v>
      </c>
      <c r="AP21" s="589">
        <f t="shared" ca="1" si="5"/>
        <v>500</v>
      </c>
      <c r="AQ21" s="589">
        <f t="shared" ca="1" si="5"/>
        <v>500</v>
      </c>
      <c r="AR21" s="589">
        <f t="shared" ca="1" si="5"/>
        <v>500</v>
      </c>
      <c r="AS21" s="589">
        <f t="shared" ca="1" si="5"/>
        <v>500</v>
      </c>
      <c r="AT21" s="589">
        <f t="shared" ca="1" si="5"/>
        <v>500</v>
      </c>
      <c r="AU21" s="589">
        <f t="shared" ca="1" si="5"/>
        <v>500</v>
      </c>
      <c r="AV21" s="589">
        <f t="shared" ca="1" si="5"/>
        <v>500</v>
      </c>
      <c r="AW21" s="589">
        <f t="shared" ca="1" si="5"/>
        <v>500</v>
      </c>
      <c r="AX21" s="589">
        <f t="shared" ca="1" si="5"/>
        <v>500</v>
      </c>
      <c r="AY21" s="589">
        <f t="shared" ca="1" si="5"/>
        <v>500</v>
      </c>
      <c r="AZ21" s="589">
        <f t="shared" ca="1" si="5"/>
        <v>500</v>
      </c>
      <c r="BA21" s="589">
        <f t="shared" ca="1" si="5"/>
        <v>500</v>
      </c>
      <c r="BB21" s="589">
        <f t="shared" ca="1" si="5"/>
        <v>500</v>
      </c>
      <c r="BC21" s="589">
        <f t="shared" ca="1" si="5"/>
        <v>500</v>
      </c>
      <c r="BD21" s="589">
        <f t="shared" ca="1" si="5"/>
        <v>500</v>
      </c>
      <c r="BE21" s="589">
        <f t="shared" ca="1" si="5"/>
        <v>500</v>
      </c>
      <c r="BF21" s="589">
        <f t="shared" ca="1" si="5"/>
        <v>500</v>
      </c>
      <c r="BG21" s="589">
        <f t="shared" ca="1" si="5"/>
        <v>500</v>
      </c>
      <c r="BH21" s="589">
        <f t="shared" ca="1" si="5"/>
        <v>500</v>
      </c>
      <c r="BI21" s="589">
        <f t="shared" ca="1" si="5"/>
        <v>500</v>
      </c>
      <c r="BJ21" s="589">
        <f t="shared" ca="1" si="5"/>
        <v>500</v>
      </c>
      <c r="BK21" s="589">
        <f t="shared" ca="1" si="5"/>
        <v>500</v>
      </c>
      <c r="BL21" s="589">
        <f t="shared" ca="1" si="5"/>
        <v>500</v>
      </c>
      <c r="BM21" s="589">
        <f t="shared" ca="1" si="5"/>
        <v>500</v>
      </c>
      <c r="BN21" s="589">
        <f t="shared" ca="1" si="5"/>
        <v>500</v>
      </c>
      <c r="BO21" s="589">
        <f t="shared" ca="1" si="5"/>
        <v>500</v>
      </c>
      <c r="BP21" s="589"/>
      <c r="BQ21" s="589"/>
      <c r="BR21" s="589"/>
      <c r="BS21" s="589"/>
      <c r="BT21" s="589"/>
      <c r="BU21" s="589"/>
      <c r="BV21" s="589"/>
      <c r="BW21" s="589"/>
      <c r="BX21" s="589"/>
      <c r="BY21" s="589"/>
      <c r="BZ21" s="589"/>
      <c r="CA21" s="589"/>
      <c r="CB21" s="589"/>
      <c r="CC21" s="589"/>
      <c r="CD21" s="589"/>
      <c r="CE21" s="589"/>
      <c r="CF21" s="589"/>
      <c r="CG21" s="589"/>
      <c r="CH21" s="589"/>
      <c r="CI21" s="589"/>
      <c r="CJ21" s="589"/>
      <c r="CK21" s="589"/>
      <c r="CL21" s="589"/>
      <c r="CM21" s="589"/>
      <c r="CN21" s="589"/>
      <c r="CO21" s="589"/>
      <c r="CP21" s="589"/>
      <c r="CQ21" s="589"/>
      <c r="CR21" s="589"/>
      <c r="CS21" s="589"/>
      <c r="CT21" s="589"/>
      <c r="CU21" s="589"/>
      <c r="CV21" s="589"/>
      <c r="CW21" s="589"/>
      <c r="CX21" s="589"/>
      <c r="CY21" s="589"/>
      <c r="CZ21" s="589"/>
      <c r="DA21" s="589"/>
      <c r="DB21" s="589"/>
      <c r="DC21" s="589"/>
      <c r="DD21" s="589"/>
      <c r="DE21" s="589"/>
      <c r="DF21" s="589"/>
      <c r="DG21" s="589"/>
      <c r="DH21" s="589"/>
      <c r="DI21" s="589"/>
      <c r="DJ21" s="589"/>
      <c r="DK21" s="589"/>
      <c r="DL21" s="589"/>
      <c r="DM21" s="589"/>
      <c r="DN21" s="589"/>
      <c r="DO21" s="589"/>
      <c r="DP21" s="589"/>
      <c r="DQ21" s="589"/>
      <c r="DR21" s="589"/>
      <c r="DS21" s="589"/>
      <c r="DT21" s="589"/>
      <c r="DU21" s="589"/>
      <c r="DV21" s="589"/>
      <c r="DW21" s="589"/>
    </row>
    <row r="22" spans="1:127">
      <c r="A22" s="584" t="str">
        <f>Inputs!A410</f>
        <v>Legal Reserve</v>
      </c>
      <c r="B22" s="584"/>
      <c r="C22" s="584"/>
      <c r="D22" s="584"/>
      <c r="E22" s="584"/>
      <c r="F22" s="587"/>
      <c r="G22" s="927">
        <f ca="1">CF!G152</f>
        <v>0</v>
      </c>
      <c r="H22" s="927">
        <f ca="1">CF!H152</f>
        <v>0</v>
      </c>
      <c r="I22" s="927">
        <f ca="1">CF!I152</f>
        <v>0</v>
      </c>
      <c r="J22" s="927">
        <f ca="1">CF!J152</f>
        <v>0</v>
      </c>
      <c r="K22" s="927">
        <f ca="1">CF!K152</f>
        <v>0</v>
      </c>
      <c r="L22" s="927">
        <f ca="1">CF!L152</f>
        <v>0</v>
      </c>
      <c r="M22" s="927">
        <f ca="1">CF!M152</f>
        <v>0</v>
      </c>
      <c r="N22" s="927">
        <f ca="1">CF!N152</f>
        <v>0</v>
      </c>
      <c r="O22" s="927">
        <f ca="1">CF!O152</f>
        <v>0</v>
      </c>
      <c r="P22" s="927">
        <f ca="1">CF!P152</f>
        <v>0</v>
      </c>
      <c r="Q22" s="927">
        <f ca="1">CF!Q152</f>
        <v>0</v>
      </c>
      <c r="R22" s="927">
        <f ca="1">CF!R152</f>
        <v>0</v>
      </c>
      <c r="S22" s="927">
        <f ca="1">CF!S152</f>
        <v>0</v>
      </c>
      <c r="T22" s="927">
        <f ca="1">CF!T152</f>
        <v>0</v>
      </c>
      <c r="U22" s="927">
        <f ca="1">CF!U152</f>
        <v>0</v>
      </c>
      <c r="V22" s="927">
        <f ca="1">CF!V152</f>
        <v>0</v>
      </c>
      <c r="W22" s="927">
        <f ca="1">CF!W152</f>
        <v>0</v>
      </c>
      <c r="X22" s="927">
        <f ca="1">CF!X152</f>
        <v>0</v>
      </c>
      <c r="Y22" s="927">
        <f ca="1">CF!Y152</f>
        <v>0</v>
      </c>
      <c r="Z22" s="927">
        <f ca="1">CF!Z152</f>
        <v>0</v>
      </c>
      <c r="AA22" s="927">
        <f ca="1">CF!AA152</f>
        <v>0</v>
      </c>
      <c r="AB22" s="927">
        <f ca="1">CF!AB152</f>
        <v>0</v>
      </c>
      <c r="AC22" s="927">
        <f ca="1">CF!AC152</f>
        <v>0</v>
      </c>
      <c r="AD22" s="927">
        <f ca="1">CF!AD152</f>
        <v>0.79523165133696239</v>
      </c>
      <c r="AE22" s="927">
        <f ca="1">CF!AE152</f>
        <v>0.79523165133696239</v>
      </c>
      <c r="AF22" s="927">
        <f ca="1">CF!AF152</f>
        <v>50</v>
      </c>
      <c r="AG22" s="927">
        <f ca="1">CF!AG152</f>
        <v>50</v>
      </c>
      <c r="AH22" s="927">
        <f ca="1">CF!AH152</f>
        <v>50</v>
      </c>
      <c r="AI22" s="927">
        <f ca="1">CF!AI152</f>
        <v>50</v>
      </c>
      <c r="AJ22" s="927">
        <f ca="1">CF!AJ152</f>
        <v>50</v>
      </c>
      <c r="AK22" s="927">
        <f ca="1">CF!AK152</f>
        <v>50</v>
      </c>
      <c r="AL22" s="927">
        <f ca="1">CF!AL152</f>
        <v>50</v>
      </c>
      <c r="AM22" s="927">
        <f ca="1">CF!AM152</f>
        <v>50</v>
      </c>
      <c r="AN22" s="927">
        <f ca="1">CF!AN152</f>
        <v>50</v>
      </c>
      <c r="AO22" s="927">
        <f ca="1">CF!AO152</f>
        <v>50</v>
      </c>
      <c r="AP22" s="927">
        <f ca="1">CF!AP152</f>
        <v>50</v>
      </c>
      <c r="AQ22" s="927">
        <f ca="1">CF!AQ152</f>
        <v>50</v>
      </c>
      <c r="AR22" s="927">
        <f ca="1">CF!AR152</f>
        <v>50</v>
      </c>
      <c r="AS22" s="927">
        <f ca="1">CF!AS152</f>
        <v>50</v>
      </c>
      <c r="AT22" s="927">
        <f ca="1">CF!AT152</f>
        <v>50</v>
      </c>
      <c r="AU22" s="927">
        <f ca="1">CF!AU152</f>
        <v>50</v>
      </c>
      <c r="AV22" s="927">
        <f ca="1">CF!AV152</f>
        <v>50</v>
      </c>
      <c r="AW22" s="927">
        <f ca="1">CF!AW152</f>
        <v>50</v>
      </c>
      <c r="AX22" s="927">
        <f ca="1">CF!AX152</f>
        <v>50</v>
      </c>
      <c r="AY22" s="927">
        <f ca="1">CF!AY152</f>
        <v>50</v>
      </c>
      <c r="AZ22" s="927">
        <f ca="1">CF!AZ152</f>
        <v>50</v>
      </c>
      <c r="BA22" s="927">
        <f ca="1">CF!BA152</f>
        <v>50</v>
      </c>
      <c r="BB22" s="927">
        <f ca="1">CF!BB152</f>
        <v>50</v>
      </c>
      <c r="BC22" s="927">
        <f ca="1">CF!BC152</f>
        <v>50</v>
      </c>
      <c r="BD22" s="927">
        <f ca="1">CF!BD152</f>
        <v>50</v>
      </c>
      <c r="BE22" s="927">
        <f ca="1">CF!BE152</f>
        <v>50</v>
      </c>
      <c r="BF22" s="927">
        <f ca="1">CF!BF152</f>
        <v>50</v>
      </c>
      <c r="BG22" s="927">
        <f ca="1">CF!BG152</f>
        <v>50</v>
      </c>
      <c r="BH22" s="927">
        <f ca="1">CF!BH152</f>
        <v>50</v>
      </c>
      <c r="BI22" s="927">
        <f ca="1">CF!BI152</f>
        <v>50</v>
      </c>
      <c r="BJ22" s="927">
        <f ca="1">CF!BJ152</f>
        <v>50</v>
      </c>
      <c r="BK22" s="927">
        <f ca="1">CF!BK152</f>
        <v>50</v>
      </c>
      <c r="BL22" s="927">
        <f ca="1">CF!BL152</f>
        <v>50</v>
      </c>
      <c r="BM22" s="927">
        <f ca="1">CF!BM152</f>
        <v>50</v>
      </c>
      <c r="BN22" s="927">
        <f ca="1">CF!BN152</f>
        <v>50</v>
      </c>
      <c r="BO22" s="927">
        <f ca="1">CF!BO152</f>
        <v>50</v>
      </c>
      <c r="BP22" s="927"/>
      <c r="BQ22" s="927"/>
      <c r="BR22" s="927"/>
      <c r="BS22" s="927"/>
      <c r="BT22" s="927"/>
      <c r="BU22" s="927"/>
      <c r="BV22" s="927"/>
      <c r="BW22" s="927"/>
      <c r="BX22" s="927"/>
      <c r="BY22" s="927"/>
      <c r="BZ22" s="927"/>
      <c r="CA22" s="927"/>
      <c r="CB22" s="927"/>
      <c r="CC22" s="927"/>
      <c r="CD22" s="927"/>
      <c r="CE22" s="927"/>
      <c r="CF22" s="927"/>
      <c r="CG22" s="927"/>
      <c r="CH22" s="927"/>
      <c r="CI22" s="927"/>
      <c r="CJ22" s="927"/>
      <c r="CK22" s="927"/>
      <c r="CL22" s="927"/>
      <c r="CM22" s="927"/>
      <c r="CN22" s="927"/>
      <c r="CO22" s="927"/>
      <c r="CP22" s="927"/>
      <c r="CQ22" s="927"/>
      <c r="CR22" s="927"/>
      <c r="CS22" s="927"/>
      <c r="CT22" s="927"/>
      <c r="CU22" s="927"/>
      <c r="CV22" s="927"/>
      <c r="CW22" s="927"/>
      <c r="CX22" s="927"/>
      <c r="CY22" s="927"/>
      <c r="CZ22" s="927"/>
      <c r="DA22" s="927"/>
      <c r="DB22" s="927"/>
      <c r="DC22" s="927"/>
      <c r="DD22" s="927"/>
      <c r="DE22" s="927"/>
      <c r="DF22" s="927"/>
      <c r="DG22" s="927"/>
      <c r="DH22" s="927"/>
      <c r="DI22" s="927"/>
      <c r="DJ22" s="927"/>
      <c r="DK22" s="927"/>
      <c r="DL22" s="927"/>
      <c r="DM22" s="927"/>
      <c r="DN22" s="927"/>
      <c r="DO22" s="927"/>
      <c r="DP22" s="927"/>
      <c r="DQ22" s="927"/>
      <c r="DR22" s="927"/>
      <c r="DS22" s="927"/>
      <c r="DT22" s="927"/>
      <c r="DU22" s="927"/>
      <c r="DV22" s="927"/>
      <c r="DW22" s="927"/>
    </row>
    <row r="23" spans="1:127">
      <c r="A23" s="595" t="s">
        <v>1205</v>
      </c>
      <c r="B23" s="595"/>
      <c r="C23" s="595"/>
      <c r="D23" s="595"/>
      <c r="E23" s="595"/>
      <c r="F23" s="587"/>
      <c r="G23" s="927">
        <f ca="1">CF!G154</f>
        <v>-1169.6619115852516</v>
      </c>
      <c r="H23" s="927">
        <f ca="1">CF!H154</f>
        <v>-2025.6274435789956</v>
      </c>
      <c r="I23" s="927">
        <f ca="1">CF!I154</f>
        <v>-2851.5789975468351</v>
      </c>
      <c r="J23" s="927">
        <f ca="1">CF!J154</f>
        <v>-3645.4491614809253</v>
      </c>
      <c r="K23" s="927">
        <f ca="1">CF!K154</f>
        <v>-4351.3968898143285</v>
      </c>
      <c r="L23" s="927">
        <f ca="1">CF!L154</f>
        <v>-5042.7279777209669</v>
      </c>
      <c r="M23" s="927">
        <f ca="1">CF!M154</f>
        <v>-5648.9909644535983</v>
      </c>
      <c r="N23" s="927">
        <f ca="1">CF!N154</f>
        <v>-6257.0180112927701</v>
      </c>
      <c r="O23" s="927">
        <f ca="1">CF!O154</f>
        <v>-6800.6375856978302</v>
      </c>
      <c r="P23" s="927">
        <f ca="1">CF!P154</f>
        <v>-7323.9700469341769</v>
      </c>
      <c r="Q23" s="927">
        <f ca="1">CF!Q154</f>
        <v>-7804.1287658674601</v>
      </c>
      <c r="R23" s="927">
        <f ca="1">CF!R154</f>
        <v>-8242.7933584080292</v>
      </c>
      <c r="S23" s="927">
        <f ca="1">CF!S154</f>
        <v>-8662.2924485281383</v>
      </c>
      <c r="T23" s="927">
        <f ca="1">CF!T154</f>
        <v>-9005.1205823050477</v>
      </c>
      <c r="U23" s="927">
        <f ca="1">CF!U154</f>
        <v>-9350.5615050515189</v>
      </c>
      <c r="V23" s="927">
        <f ca="1">CF!V154</f>
        <v>-9595.2632963430679</v>
      </c>
      <c r="W23" s="927">
        <f ca="1">CF!W154</f>
        <v>-9867.655276501082</v>
      </c>
      <c r="X23" s="927">
        <f ca="1">CF!X154</f>
        <v>-10008.435892141199</v>
      </c>
      <c r="Y23" s="927">
        <f ca="1">CF!Y154</f>
        <v>-10203.627317611561</v>
      </c>
      <c r="Z23" s="927">
        <f ca="1">CF!Z154</f>
        <v>-10238.495559845223</v>
      </c>
      <c r="AA23" s="927">
        <f ca="1">CF!AA154</f>
        <v>-10355.916398029769</v>
      </c>
      <c r="AB23" s="927">
        <f ca="1">CF!AB154</f>
        <v>-10466.540372611831</v>
      </c>
      <c r="AC23" s="927">
        <f ca="1">CF!AC154</f>
        <v>-10653.832974261593</v>
      </c>
      <c r="AD23" s="927">
        <f ca="1">CF!AD154</f>
        <v>-10653.832974261593</v>
      </c>
      <c r="AE23" s="927">
        <f ca="1">CF!AE154</f>
        <v>-10760.271797557205</v>
      </c>
      <c r="AF23" s="927">
        <f ca="1">CF!AF154</f>
        <v>-10492.543113683221</v>
      </c>
      <c r="AG23" s="927">
        <f ca="1">CF!AG154</f>
        <v>-10376.375591951288</v>
      </c>
      <c r="AH23" s="927">
        <f ca="1">CF!AH154</f>
        <v>-9955.8574650863175</v>
      </c>
      <c r="AI23" s="927">
        <f ca="1">CF!AI154</f>
        <v>-9774.4601038420678</v>
      </c>
      <c r="AJ23" s="927">
        <f ca="1">CF!AJ154</f>
        <v>-9249.2031270538955</v>
      </c>
      <c r="AK23" s="927">
        <f ca="1">CF!AK154</f>
        <v>-9055.762999929153</v>
      </c>
      <c r="AL23" s="927">
        <f ca="1">CF!AL154</f>
        <v>-8516.0026120685379</v>
      </c>
      <c r="AM23" s="927">
        <f ca="1">CF!AM154</f>
        <v>-8119.0035822892332</v>
      </c>
      <c r="AN23" s="927">
        <f ca="1">CF!AN154</f>
        <v>-7371.9851951061719</v>
      </c>
      <c r="AO23" s="927">
        <f ca="1">CF!AO154</f>
        <v>-6773.9981476407775</v>
      </c>
      <c r="AP23" s="927">
        <f ca="1">CF!AP154</f>
        <v>-5808.0616411447154</v>
      </c>
      <c r="AQ23" s="927">
        <f ca="1">CF!AQ154</f>
        <v>-4991.9851787335183</v>
      </c>
      <c r="AR23" s="927">
        <f ca="1">CF!AR154</f>
        <v>-3782.3774145794646</v>
      </c>
      <c r="AS23" s="927">
        <f ca="1">CF!AS154</f>
        <v>-2732.7445216766432</v>
      </c>
      <c r="AT23" s="927">
        <f ca="1">CF!AT154</f>
        <v>-1264.1901118171106</v>
      </c>
      <c r="AU23" s="927">
        <f ca="1">CF!AU154</f>
        <v>0</v>
      </c>
      <c r="AV23" s="927">
        <f ca="1">CF!AV154</f>
        <v>0</v>
      </c>
      <c r="AW23" s="927">
        <f ca="1">CF!AW154</f>
        <v>0</v>
      </c>
      <c r="AX23" s="927">
        <f ca="1">CF!AX154</f>
        <v>0</v>
      </c>
      <c r="AY23" s="927">
        <f ca="1">CF!AY154</f>
        <v>0</v>
      </c>
      <c r="AZ23" s="927">
        <f ca="1">CF!AZ154</f>
        <v>0</v>
      </c>
      <c r="BA23" s="927">
        <f ca="1">CF!BA154</f>
        <v>0</v>
      </c>
      <c r="BB23" s="927">
        <f ca="1">CF!BB154</f>
        <v>0</v>
      </c>
      <c r="BC23" s="927">
        <f ca="1">CF!BC154</f>
        <v>0</v>
      </c>
      <c r="BD23" s="927">
        <f ca="1">CF!BD154</f>
        <v>0</v>
      </c>
      <c r="BE23" s="927">
        <f ca="1">CF!BE154</f>
        <v>0</v>
      </c>
      <c r="BF23" s="927">
        <f ca="1">CF!BF154</f>
        <v>0</v>
      </c>
      <c r="BG23" s="927">
        <f ca="1">CF!BG154</f>
        <v>0</v>
      </c>
      <c r="BH23" s="927">
        <f ca="1">CF!BH154</f>
        <v>0</v>
      </c>
      <c r="BI23" s="927">
        <f ca="1">CF!BI154</f>
        <v>0</v>
      </c>
      <c r="BJ23" s="927">
        <f ca="1">CF!BJ154</f>
        <v>0</v>
      </c>
      <c r="BK23" s="927">
        <f ca="1">CF!BK154</f>
        <v>0</v>
      </c>
      <c r="BL23" s="927">
        <f ca="1">CF!BL154</f>
        <v>0</v>
      </c>
      <c r="BM23" s="927">
        <f ca="1">CF!BM154</f>
        <v>0</v>
      </c>
      <c r="BN23" s="927">
        <f ca="1">CF!BN154</f>
        <v>0</v>
      </c>
      <c r="BO23" s="927">
        <f ca="1">CF!BO154</f>
        <v>0</v>
      </c>
      <c r="BP23" s="927"/>
      <c r="BQ23" s="927"/>
      <c r="BR23" s="927"/>
      <c r="BS23" s="927"/>
      <c r="BT23" s="927"/>
      <c r="BU23" s="927"/>
      <c r="BV23" s="927"/>
      <c r="BW23" s="927"/>
      <c r="BX23" s="927"/>
      <c r="BY23" s="927"/>
      <c r="BZ23" s="927"/>
      <c r="CA23" s="927"/>
      <c r="CB23" s="927"/>
      <c r="CC23" s="927"/>
      <c r="CD23" s="927"/>
      <c r="CE23" s="927"/>
      <c r="CF23" s="927"/>
      <c r="CG23" s="927"/>
      <c r="CH23" s="927"/>
      <c r="CI23" s="927"/>
      <c r="CJ23" s="927"/>
      <c r="CK23" s="927"/>
      <c r="CL23" s="927"/>
      <c r="CM23" s="927"/>
      <c r="CN23" s="927"/>
      <c r="CO23" s="927"/>
      <c r="CP23" s="927"/>
      <c r="CQ23" s="927"/>
      <c r="CR23" s="927"/>
      <c r="CS23" s="927"/>
      <c r="CT23" s="927"/>
      <c r="CU23" s="927"/>
      <c r="CV23" s="927"/>
      <c r="CW23" s="927"/>
      <c r="CX23" s="927"/>
      <c r="CY23" s="927"/>
      <c r="CZ23" s="927"/>
      <c r="DA23" s="927"/>
      <c r="DB23" s="927"/>
      <c r="DC23" s="927"/>
      <c r="DD23" s="927"/>
      <c r="DE23" s="927"/>
      <c r="DF23" s="927"/>
      <c r="DG23" s="927"/>
      <c r="DH23" s="927"/>
      <c r="DI23" s="927"/>
      <c r="DJ23" s="927"/>
      <c r="DK23" s="927"/>
      <c r="DL23" s="927"/>
      <c r="DM23" s="927"/>
      <c r="DN23" s="927"/>
      <c r="DO23" s="927"/>
      <c r="DP23" s="927"/>
      <c r="DQ23" s="927"/>
      <c r="DR23" s="927"/>
      <c r="DS23" s="927"/>
      <c r="DT23" s="927"/>
      <c r="DU23" s="927"/>
      <c r="DV23" s="927"/>
      <c r="DW23" s="927"/>
    </row>
    <row r="24" spans="1:127" s="481" customFormat="1">
      <c r="A24" s="596" t="str">
        <f>Inputs!A322</f>
        <v>Shareholder Loan</v>
      </c>
      <c r="B24" s="596"/>
      <c r="C24" s="596"/>
      <c r="D24" s="596">
        <f ca="1">XNPV(Inputs!D462,BS!G20:BO20,BS!G2:BO2)</f>
        <v>300849.89368215401</v>
      </c>
      <c r="E24" s="596"/>
      <c r="F24" s="593"/>
      <c r="G24" s="977">
        <f ca="1">DS!G129</f>
        <v>15790.435806400885</v>
      </c>
      <c r="H24" s="977">
        <f ca="1">DS!H129</f>
        <v>16091.374602884296</v>
      </c>
      <c r="I24" s="977">
        <f ca="1">DS!I129</f>
        <v>16399.34540163241</v>
      </c>
      <c r="J24" s="977">
        <f ca="1">DS!J129</f>
        <v>16724.632030525354</v>
      </c>
      <c r="K24" s="977">
        <f ca="1">DS!K129</f>
        <v>17051.24291931474</v>
      </c>
      <c r="L24" s="977">
        <f ca="1">DS!L129</f>
        <v>17394.844112553106</v>
      </c>
      <c r="M24" s="977">
        <f ca="1">DS!M129</f>
        <v>17739.407997409326</v>
      </c>
      <c r="N24" s="977">
        <f ca="1">DS!N129</f>
        <v>18105.583823022538</v>
      </c>
      <c r="O24" s="977">
        <f ca="1">DS!O129</f>
        <v>18476.045532323013</v>
      </c>
      <c r="P24" s="977">
        <f ca="1">DS!P129</f>
        <v>18866.673370958633</v>
      </c>
      <c r="Q24" s="977">
        <f ca="1">DS!Q129</f>
        <v>19265.041302114158</v>
      </c>
      <c r="R24" s="977">
        <f ca="1">DS!R129</f>
        <v>19683.137251965491</v>
      </c>
      <c r="S24" s="977">
        <f ca="1">DS!S129</f>
        <v>20114.919745026844</v>
      </c>
      <c r="T24" s="977">
        <f ca="1">DS!T129</f>
        <v>20560.893191153598</v>
      </c>
      <c r="U24" s="977">
        <f ca="1">DS!U129</f>
        <v>21022.128929553077</v>
      </c>
      <c r="V24" s="977">
        <f ca="1">DS!V129</f>
        <v>21499.194233288003</v>
      </c>
      <c r="W24" s="977">
        <f ca="1">DS!W129</f>
        <v>21995.659800279467</v>
      </c>
      <c r="X24" s="977">
        <f ca="1">DS!X129</f>
        <v>22506.409635432992</v>
      </c>
      <c r="Y24" s="977">
        <f ca="1">DS!Y129</f>
        <v>23040.978546068316</v>
      </c>
      <c r="Z24" s="977">
        <f ca="1">DS!Z129</f>
        <v>23589.268483840449</v>
      </c>
      <c r="AA24" s="977">
        <f ca="1">DS!AA129</f>
        <v>24169.156081066154</v>
      </c>
      <c r="AB24" s="977">
        <f ca="1">DS!AB129</f>
        <v>24781.656486667074</v>
      </c>
      <c r="AC24" s="977">
        <f ca="1">DS!AC129</f>
        <v>25423.193895206176</v>
      </c>
      <c r="AD24" s="977">
        <f ca="1">DS!AD129</f>
        <v>26080.43821908176</v>
      </c>
      <c r="AE24" s="977">
        <f ca="1">DS!AE129</f>
        <v>26771.882877263182</v>
      </c>
      <c r="AF24" s="977">
        <f ca="1">DS!AF129</f>
        <v>26547.766309350722</v>
      </c>
      <c r="AG24" s="977">
        <f ca="1">DS!AG129</f>
        <v>26464.554451404663</v>
      </c>
      <c r="AH24" s="977">
        <f ca="1">DS!AH129</f>
        <v>26205.84860345933</v>
      </c>
      <c r="AI24" s="977">
        <f ca="1">DS!AI129</f>
        <v>26090.806625221659</v>
      </c>
      <c r="AJ24" s="977">
        <f ca="1">DS!AJ129</f>
        <v>24148.468479513922</v>
      </c>
      <c r="AK24" s="977">
        <f ca="1">DS!AK129</f>
        <v>22561.051767745477</v>
      </c>
      <c r="AL24" s="977">
        <f ca="1">DS!AL129</f>
        <v>20604.210210965295</v>
      </c>
      <c r="AM24" s="977">
        <f ca="1">DS!AM129</f>
        <v>18813.234596542286</v>
      </c>
      <c r="AN24" s="977">
        <f ca="1">DS!AN129</f>
        <v>16649.135040439658</v>
      </c>
      <c r="AO24" s="977">
        <f ca="1">DS!AO129</f>
        <v>14657.17140833056</v>
      </c>
      <c r="AP24" s="977">
        <f ca="1">DS!AP129</f>
        <v>12278.025539387389</v>
      </c>
      <c r="AQ24" s="977">
        <f ca="1">DS!AQ129</f>
        <v>10064.10068586003</v>
      </c>
      <c r="AR24" s="977">
        <f ca="1">DS!AR129</f>
        <v>7437.4117527864109</v>
      </c>
      <c r="AS24" s="977">
        <f ca="1">DS!AS129</f>
        <v>4993.8022752398856</v>
      </c>
      <c r="AT24" s="977">
        <f ca="1">DS!AT129</f>
        <v>2108.1666964607866</v>
      </c>
      <c r="AU24" s="977">
        <f ca="1">DS!AU129</f>
        <v>0</v>
      </c>
      <c r="AV24" s="977">
        <f ca="1">DS!AV129</f>
        <v>0</v>
      </c>
      <c r="AW24" s="977">
        <f ca="1">DS!AW129</f>
        <v>0</v>
      </c>
      <c r="AX24" s="977">
        <f ca="1">DS!AX129</f>
        <v>0</v>
      </c>
      <c r="AY24" s="977">
        <f ca="1">DS!AY129</f>
        <v>0</v>
      </c>
      <c r="AZ24" s="977">
        <f ca="1">DS!AZ129</f>
        <v>0</v>
      </c>
      <c r="BA24" s="977">
        <f ca="1">DS!BA129</f>
        <v>0</v>
      </c>
      <c r="BB24" s="977">
        <f ca="1">DS!BB129</f>
        <v>0</v>
      </c>
      <c r="BC24" s="977">
        <f ca="1">DS!BC129</f>
        <v>0</v>
      </c>
      <c r="BD24" s="977">
        <f ca="1">DS!BD129</f>
        <v>0</v>
      </c>
      <c r="BE24" s="977">
        <f ca="1">DS!BE129</f>
        <v>0</v>
      </c>
      <c r="BF24" s="977">
        <f ca="1">DS!BF129</f>
        <v>0</v>
      </c>
      <c r="BG24" s="977">
        <f ca="1">DS!BG129</f>
        <v>0</v>
      </c>
      <c r="BH24" s="977">
        <f ca="1">DS!BH129</f>
        <v>0</v>
      </c>
      <c r="BI24" s="977">
        <f ca="1">DS!BI129</f>
        <v>0</v>
      </c>
      <c r="BJ24" s="977">
        <f ca="1">DS!BJ129</f>
        <v>0</v>
      </c>
      <c r="BK24" s="977">
        <f ca="1">DS!BK129</f>
        <v>0</v>
      </c>
      <c r="BL24" s="977">
        <f ca="1">DS!BL129</f>
        <v>0</v>
      </c>
      <c r="BM24" s="977">
        <f ca="1">DS!BM129</f>
        <v>0</v>
      </c>
      <c r="BN24" s="977">
        <f ca="1">DS!BN129</f>
        <v>0</v>
      </c>
      <c r="BO24" s="977">
        <f ca="1">DS!BO129</f>
        <v>0</v>
      </c>
      <c r="BP24" s="977"/>
      <c r="BQ24" s="977"/>
      <c r="BR24" s="977"/>
      <c r="BS24" s="977"/>
      <c r="BT24" s="977"/>
      <c r="BU24" s="977"/>
      <c r="BV24" s="977"/>
      <c r="BW24" s="977"/>
      <c r="BX24" s="977"/>
      <c r="BY24" s="977"/>
      <c r="BZ24" s="977"/>
      <c r="CA24" s="977"/>
      <c r="CB24" s="977"/>
      <c r="CC24" s="977"/>
      <c r="CD24" s="977"/>
      <c r="CE24" s="977"/>
      <c r="CF24" s="977"/>
      <c r="CG24" s="977"/>
      <c r="CH24" s="977"/>
      <c r="CI24" s="977"/>
      <c r="CJ24" s="977"/>
      <c r="CK24" s="977"/>
      <c r="CL24" s="977"/>
      <c r="CM24" s="977"/>
      <c r="CN24" s="977"/>
      <c r="CO24" s="977"/>
      <c r="CP24" s="977"/>
      <c r="CQ24" s="977"/>
      <c r="CR24" s="977"/>
      <c r="CS24" s="977"/>
      <c r="CT24" s="977"/>
      <c r="CU24" s="977"/>
      <c r="CV24" s="977"/>
      <c r="CW24" s="977"/>
      <c r="CX24" s="977"/>
      <c r="CY24" s="977"/>
      <c r="CZ24" s="977"/>
      <c r="DA24" s="977"/>
      <c r="DB24" s="977"/>
      <c r="DC24" s="977"/>
      <c r="DD24" s="977"/>
      <c r="DE24" s="977"/>
      <c r="DF24" s="977"/>
      <c r="DG24" s="977"/>
      <c r="DH24" s="977"/>
      <c r="DI24" s="977"/>
      <c r="DJ24" s="977"/>
      <c r="DK24" s="977"/>
      <c r="DL24" s="977"/>
      <c r="DM24" s="977"/>
      <c r="DN24" s="977"/>
      <c r="DO24" s="977"/>
      <c r="DP24" s="977"/>
      <c r="DQ24" s="977"/>
      <c r="DR24" s="977"/>
      <c r="DS24" s="977"/>
      <c r="DT24" s="977"/>
      <c r="DU24" s="977"/>
      <c r="DV24" s="977"/>
      <c r="DW24" s="977"/>
    </row>
    <row r="25" spans="1:127">
      <c r="A25" s="584" t="str">
        <f>Inputs!A253</f>
        <v>Akuo Carbon Fund</v>
      </c>
      <c r="B25" s="584"/>
      <c r="C25" s="584"/>
      <c r="D25" s="1147">
        <f ca="1">D26/D24</f>
        <v>1.7310639842395188</v>
      </c>
      <c r="E25" s="584"/>
      <c r="F25" s="585"/>
      <c r="G25" s="978">
        <f ca="1">DS!G113</f>
        <v>0</v>
      </c>
      <c r="H25" s="978">
        <f ca="1">DS!H113</f>
        <v>0</v>
      </c>
      <c r="I25" s="978">
        <f ca="1">DS!I113</f>
        <v>0</v>
      </c>
      <c r="J25" s="978">
        <f ca="1">DS!J113</f>
        <v>0</v>
      </c>
      <c r="K25" s="978">
        <f ca="1">DS!K113</f>
        <v>0</v>
      </c>
      <c r="L25" s="978">
        <f ca="1">DS!L113</f>
        <v>0</v>
      </c>
      <c r="M25" s="978">
        <f ca="1">DS!M113</f>
        <v>0</v>
      </c>
      <c r="N25" s="978">
        <f ca="1">DS!N113</f>
        <v>0</v>
      </c>
      <c r="O25" s="978">
        <f ca="1">DS!O113</f>
        <v>0</v>
      </c>
      <c r="P25" s="978">
        <f ca="1">DS!P113</f>
        <v>0</v>
      </c>
      <c r="Q25" s="978">
        <f ca="1">DS!Q113</f>
        <v>0</v>
      </c>
      <c r="R25" s="978">
        <f ca="1">DS!R113</f>
        <v>0</v>
      </c>
      <c r="S25" s="978">
        <f ca="1">DS!S113</f>
        <v>0</v>
      </c>
      <c r="T25" s="978">
        <f ca="1">DS!T113</f>
        <v>0</v>
      </c>
      <c r="U25" s="978">
        <f ca="1">DS!U113</f>
        <v>0</v>
      </c>
      <c r="V25" s="978">
        <f ca="1">DS!V113</f>
        <v>0</v>
      </c>
      <c r="W25" s="978">
        <f ca="1">DS!W113</f>
        <v>0</v>
      </c>
      <c r="X25" s="978">
        <f ca="1">DS!X113</f>
        <v>0</v>
      </c>
      <c r="Y25" s="978">
        <f ca="1">DS!Y113</f>
        <v>0</v>
      </c>
      <c r="Z25" s="978">
        <f ca="1">DS!Z113</f>
        <v>0</v>
      </c>
      <c r="AA25" s="978">
        <f ca="1">DS!AA113</f>
        <v>0</v>
      </c>
      <c r="AB25" s="978">
        <f ca="1">DS!AB113</f>
        <v>0</v>
      </c>
      <c r="AC25" s="978">
        <f ca="1">DS!AC113</f>
        <v>0</v>
      </c>
      <c r="AD25" s="978">
        <f ca="1">DS!AD113</f>
        <v>0</v>
      </c>
      <c r="AE25" s="978">
        <f ca="1">DS!AE113</f>
        <v>0</v>
      </c>
      <c r="AF25" s="978">
        <f ca="1">DS!AF113</f>
        <v>0</v>
      </c>
      <c r="AG25" s="978">
        <f ca="1">DS!AG113</f>
        <v>0</v>
      </c>
      <c r="AH25" s="978">
        <f ca="1">DS!AH113</f>
        <v>0</v>
      </c>
      <c r="AI25" s="978">
        <f ca="1">DS!AI113</f>
        <v>0</v>
      </c>
      <c r="AJ25" s="978">
        <f ca="1">DS!AJ113</f>
        <v>0</v>
      </c>
      <c r="AK25" s="978">
        <f ca="1">DS!AK113</f>
        <v>0</v>
      </c>
      <c r="AL25" s="978">
        <f ca="1">DS!AL113</f>
        <v>0</v>
      </c>
      <c r="AM25" s="978">
        <f ca="1">DS!AM113</f>
        <v>0</v>
      </c>
      <c r="AN25" s="978">
        <f ca="1">DS!AN113</f>
        <v>0</v>
      </c>
      <c r="AO25" s="978">
        <f ca="1">DS!AO113</f>
        <v>0</v>
      </c>
      <c r="AP25" s="978">
        <f ca="1">DS!AP113</f>
        <v>0</v>
      </c>
      <c r="AQ25" s="978">
        <f ca="1">DS!AQ113</f>
        <v>0</v>
      </c>
      <c r="AR25" s="978">
        <f ca="1">DS!AR113</f>
        <v>0</v>
      </c>
      <c r="AS25" s="978">
        <f ca="1">DS!AS113</f>
        <v>0</v>
      </c>
      <c r="AT25" s="978">
        <f ca="1">DS!AT113</f>
        <v>0</v>
      </c>
      <c r="AU25" s="978">
        <f ca="1">DS!AU113</f>
        <v>0</v>
      </c>
      <c r="AV25" s="978">
        <f ca="1">DS!AV113</f>
        <v>0</v>
      </c>
      <c r="AW25" s="978">
        <f ca="1">DS!AW113</f>
        <v>0</v>
      </c>
      <c r="AX25" s="978">
        <f ca="1">DS!AX113</f>
        <v>0</v>
      </c>
      <c r="AY25" s="978">
        <f ca="1">DS!AY113</f>
        <v>0</v>
      </c>
      <c r="AZ25" s="978">
        <f ca="1">DS!AZ113</f>
        <v>0</v>
      </c>
      <c r="BA25" s="978">
        <f ca="1">DS!BA113</f>
        <v>0</v>
      </c>
      <c r="BB25" s="978">
        <f ca="1">DS!BB113</f>
        <v>0</v>
      </c>
      <c r="BC25" s="978">
        <f ca="1">DS!BC113</f>
        <v>0</v>
      </c>
      <c r="BD25" s="978">
        <f ca="1">DS!BD113</f>
        <v>0</v>
      </c>
      <c r="BE25" s="978">
        <f ca="1">DS!BE113</f>
        <v>0</v>
      </c>
      <c r="BF25" s="978">
        <f ca="1">DS!BF113</f>
        <v>0</v>
      </c>
      <c r="BG25" s="978">
        <f ca="1">DS!BG113</f>
        <v>0</v>
      </c>
      <c r="BH25" s="978">
        <f ca="1">DS!BH113</f>
        <v>0</v>
      </c>
      <c r="BI25" s="978">
        <f ca="1">DS!BI113</f>
        <v>0</v>
      </c>
      <c r="BJ25" s="978">
        <f ca="1">DS!BJ113</f>
        <v>0</v>
      </c>
      <c r="BK25" s="978">
        <f ca="1">DS!BK113</f>
        <v>0</v>
      </c>
      <c r="BL25" s="978">
        <f ca="1">DS!BL113</f>
        <v>0</v>
      </c>
      <c r="BM25" s="978">
        <f ca="1">DS!BM113</f>
        <v>0</v>
      </c>
      <c r="BN25" s="978">
        <f ca="1">DS!BN113</f>
        <v>0</v>
      </c>
      <c r="BO25" s="978">
        <f ca="1">DS!BO113</f>
        <v>0</v>
      </c>
      <c r="BP25" s="978"/>
      <c r="BQ25" s="978"/>
      <c r="BR25" s="978"/>
      <c r="BS25" s="978"/>
      <c r="BT25" s="978"/>
      <c r="BU25" s="978"/>
      <c r="BV25" s="978"/>
      <c r="BW25" s="978"/>
      <c r="BX25" s="978"/>
      <c r="BY25" s="978"/>
      <c r="BZ25" s="978"/>
      <c r="CA25" s="978"/>
      <c r="CB25" s="978"/>
      <c r="CC25" s="978"/>
      <c r="CD25" s="978"/>
      <c r="CE25" s="978"/>
      <c r="CF25" s="978"/>
      <c r="CG25" s="978"/>
      <c r="CH25" s="978"/>
      <c r="CI25" s="978"/>
      <c r="CJ25" s="978"/>
      <c r="CK25" s="978"/>
      <c r="CL25" s="978"/>
      <c r="CM25" s="978"/>
      <c r="CN25" s="978"/>
      <c r="CO25" s="978"/>
      <c r="CP25" s="978"/>
      <c r="CQ25" s="978"/>
      <c r="CR25" s="978"/>
      <c r="CS25" s="978"/>
      <c r="CT25" s="978"/>
      <c r="CU25" s="978"/>
      <c r="CV25" s="978"/>
      <c r="CW25" s="978"/>
      <c r="CX25" s="978"/>
      <c r="CY25" s="978"/>
      <c r="CZ25" s="978"/>
      <c r="DA25" s="978"/>
      <c r="DB25" s="978"/>
      <c r="DC25" s="978"/>
      <c r="DD25" s="978"/>
      <c r="DE25" s="978"/>
      <c r="DF25" s="978"/>
      <c r="DG25" s="978"/>
      <c r="DH25" s="978"/>
      <c r="DI25" s="978"/>
      <c r="DJ25" s="978"/>
      <c r="DK25" s="978"/>
      <c r="DL25" s="978"/>
      <c r="DM25" s="978"/>
      <c r="DN25" s="978"/>
      <c r="DO25" s="978"/>
      <c r="DP25" s="978"/>
      <c r="DQ25" s="978"/>
      <c r="DR25" s="978"/>
      <c r="DS25" s="978"/>
      <c r="DT25" s="978"/>
      <c r="DU25" s="978"/>
      <c r="DV25" s="978"/>
      <c r="DW25" s="978"/>
    </row>
    <row r="26" spans="1:127">
      <c r="A26" s="588" t="str">
        <f>Inputs!A190</f>
        <v>Senior Debt</v>
      </c>
      <c r="B26" s="588"/>
      <c r="C26" s="588"/>
      <c r="D26" s="588">
        <f ca="1">XNPV(Inputs!D462,BS!G26:BO26,BS!G2:BO2)</f>
        <v>520790.41561546514</v>
      </c>
      <c r="E26" s="588"/>
      <c r="F26" s="593"/>
      <c r="G26" s="978">
        <f ca="1">DS!G56</f>
        <v>42852.278762562994</v>
      </c>
      <c r="H26" s="978">
        <f ca="1">DS!H56</f>
        <v>41916.628631472289</v>
      </c>
      <c r="I26" s="978">
        <f ca="1">DS!I56</f>
        <v>40968.237034220343</v>
      </c>
      <c r="J26" s="978">
        <f ca="1">DS!J56</f>
        <v>39950.216590274118</v>
      </c>
      <c r="K26" s="978">
        <f ca="1">DS!K56</f>
        <v>38859.108189732804</v>
      </c>
      <c r="L26" s="978">
        <f ca="1">DS!L56</f>
        <v>37716.161217800036</v>
      </c>
      <c r="M26" s="978">
        <f ca="1">DS!M56</f>
        <v>36511.487967204775</v>
      </c>
      <c r="N26" s="978">
        <f ca="1">DS!N56</f>
        <v>35262.662321829703</v>
      </c>
      <c r="O26" s="978">
        <f ca="1">DS!O56</f>
        <v>33969.447834462619</v>
      </c>
      <c r="P26" s="978">
        <f ca="1">DS!P56</f>
        <v>32611.475590462309</v>
      </c>
      <c r="Q26" s="978">
        <f ca="1">DS!Q56</f>
        <v>31226.894025768397</v>
      </c>
      <c r="R26" s="978">
        <f ca="1">DS!R56</f>
        <v>29760.85868947026</v>
      </c>
      <c r="S26" s="978">
        <f ca="1">DS!S56</f>
        <v>28278.130046443679</v>
      </c>
      <c r="T26" s="978">
        <f ca="1">DS!T56</f>
        <v>26684.307867492797</v>
      </c>
      <c r="U26" s="978">
        <f ca="1">DS!U56</f>
        <v>25102.140699368116</v>
      </c>
      <c r="V26" s="978">
        <f ca="1">DS!V56</f>
        <v>23379.100320323705</v>
      </c>
      <c r="W26" s="978">
        <f ca="1">DS!W56</f>
        <v>21688.654381018583</v>
      </c>
      <c r="X26" s="978">
        <f ca="1">DS!X56</f>
        <v>19828.008294904139</v>
      </c>
      <c r="Y26" s="978">
        <f ca="1">DS!Y56</f>
        <v>18022.258457267504</v>
      </c>
      <c r="Z26" s="978">
        <f ca="1">DS!Z56</f>
        <v>16022.232782741659</v>
      </c>
      <c r="AA26" s="978">
        <f ca="1">DS!AA56</f>
        <v>14089.320783615165</v>
      </c>
      <c r="AB26" s="978">
        <f ca="1">DS!AB56</f>
        <v>12096.767485995271</v>
      </c>
      <c r="AC26" s="978">
        <f ca="1">DS!AC56</f>
        <v>10176.150326634261</v>
      </c>
      <c r="AD26" s="978">
        <f ca="1">DS!AD56</f>
        <v>8027.4339045063025</v>
      </c>
      <c r="AE26" s="978">
        <f ca="1">DS!AE56</f>
        <v>5976.0557171488208</v>
      </c>
      <c r="AF26" s="978">
        <f ca="1">DS!AF56</f>
        <v>4466.1576639190689</v>
      </c>
      <c r="AG26" s="978">
        <f ca="1">DS!AG56</f>
        <v>3039.2254154894881</v>
      </c>
      <c r="AH26" s="978">
        <f ca="1">DS!AH56</f>
        <v>1464.2037741227421</v>
      </c>
      <c r="AI26" s="978">
        <f ca="1">DS!AI56</f>
        <v>0</v>
      </c>
      <c r="AJ26" s="978">
        <f ca="1">DS!AJ56</f>
        <v>0</v>
      </c>
      <c r="AK26" s="978">
        <f ca="1">DS!AK56</f>
        <v>0</v>
      </c>
      <c r="AL26" s="978">
        <f ca="1">DS!AL56</f>
        <v>0</v>
      </c>
      <c r="AM26" s="978">
        <f ca="1">DS!AM56</f>
        <v>0</v>
      </c>
      <c r="AN26" s="978">
        <f ca="1">DS!AN56</f>
        <v>0</v>
      </c>
      <c r="AO26" s="978">
        <f ca="1">DS!AO56</f>
        <v>0</v>
      </c>
      <c r="AP26" s="978">
        <f ca="1">DS!AP56</f>
        <v>0</v>
      </c>
      <c r="AQ26" s="978">
        <f ca="1">DS!AQ56</f>
        <v>0</v>
      </c>
      <c r="AR26" s="978">
        <f ca="1">DS!AR56</f>
        <v>0</v>
      </c>
      <c r="AS26" s="978">
        <f ca="1">DS!AS56</f>
        <v>0</v>
      </c>
      <c r="AT26" s="978">
        <f ca="1">DS!AT56</f>
        <v>0</v>
      </c>
      <c r="AU26" s="978">
        <f ca="1">DS!AU56</f>
        <v>0</v>
      </c>
      <c r="AV26" s="978">
        <f ca="1">DS!AV56</f>
        <v>0</v>
      </c>
      <c r="AW26" s="978">
        <f ca="1">DS!AW56</f>
        <v>0</v>
      </c>
      <c r="AX26" s="978">
        <f ca="1">DS!AX56</f>
        <v>0</v>
      </c>
      <c r="AY26" s="978">
        <f ca="1">DS!AY56</f>
        <v>0</v>
      </c>
      <c r="AZ26" s="978">
        <f ca="1">DS!AZ56</f>
        <v>0</v>
      </c>
      <c r="BA26" s="978">
        <f ca="1">DS!BA56</f>
        <v>0</v>
      </c>
      <c r="BB26" s="978">
        <f ca="1">DS!BB56</f>
        <v>0</v>
      </c>
      <c r="BC26" s="978">
        <f ca="1">DS!BC56</f>
        <v>0</v>
      </c>
      <c r="BD26" s="978">
        <f ca="1">DS!BD56</f>
        <v>0</v>
      </c>
      <c r="BE26" s="978">
        <f ca="1">DS!BE56</f>
        <v>0</v>
      </c>
      <c r="BF26" s="978">
        <f ca="1">DS!BF56</f>
        <v>0</v>
      </c>
      <c r="BG26" s="978">
        <f ca="1">DS!BG56</f>
        <v>0</v>
      </c>
      <c r="BH26" s="978">
        <f ca="1">DS!BH56</f>
        <v>0</v>
      </c>
      <c r="BI26" s="978">
        <f ca="1">DS!BI56</f>
        <v>0</v>
      </c>
      <c r="BJ26" s="978">
        <f ca="1">DS!BJ56</f>
        <v>0</v>
      </c>
      <c r="BK26" s="978">
        <f ca="1">DS!BK56</f>
        <v>0</v>
      </c>
      <c r="BL26" s="978">
        <f ca="1">DS!BL56</f>
        <v>0</v>
      </c>
      <c r="BM26" s="978">
        <f ca="1">DS!BM56</f>
        <v>0</v>
      </c>
      <c r="BN26" s="978">
        <f ca="1">DS!BN56</f>
        <v>0</v>
      </c>
      <c r="BO26" s="978">
        <f ca="1">DS!BO56</f>
        <v>0</v>
      </c>
      <c r="BP26" s="978"/>
      <c r="BQ26" s="978"/>
      <c r="BR26" s="978"/>
      <c r="BS26" s="978"/>
      <c r="BT26" s="978"/>
      <c r="BU26" s="978"/>
      <c r="BV26" s="978"/>
      <c r="BW26" s="978"/>
      <c r="BX26" s="978"/>
      <c r="BY26" s="978"/>
      <c r="BZ26" s="978"/>
      <c r="CA26" s="978"/>
      <c r="CB26" s="978"/>
      <c r="CC26" s="978"/>
      <c r="CD26" s="978"/>
      <c r="CE26" s="978"/>
      <c r="CF26" s="978"/>
      <c r="CG26" s="978"/>
      <c r="CH26" s="978"/>
      <c r="CI26" s="978"/>
      <c r="CJ26" s="978"/>
      <c r="CK26" s="978"/>
      <c r="CL26" s="978"/>
      <c r="CM26" s="978"/>
      <c r="CN26" s="978"/>
      <c r="CO26" s="978"/>
      <c r="CP26" s="978"/>
      <c r="CQ26" s="978"/>
      <c r="CR26" s="978"/>
      <c r="CS26" s="978"/>
      <c r="CT26" s="978"/>
      <c r="CU26" s="978"/>
      <c r="CV26" s="978"/>
      <c r="CW26" s="978"/>
      <c r="CX26" s="978"/>
      <c r="CY26" s="978"/>
      <c r="CZ26" s="978"/>
      <c r="DA26" s="978"/>
      <c r="DB26" s="978"/>
      <c r="DC26" s="978"/>
      <c r="DD26" s="978"/>
      <c r="DE26" s="978"/>
      <c r="DF26" s="978"/>
      <c r="DG26" s="978"/>
      <c r="DH26" s="978"/>
      <c r="DI26" s="978"/>
      <c r="DJ26" s="978"/>
      <c r="DK26" s="978"/>
      <c r="DL26" s="978"/>
      <c r="DM26" s="978"/>
      <c r="DN26" s="978"/>
      <c r="DO26" s="978"/>
      <c r="DP26" s="978"/>
      <c r="DQ26" s="978"/>
      <c r="DR26" s="978"/>
      <c r="DS26" s="978"/>
      <c r="DT26" s="978"/>
      <c r="DU26" s="978"/>
      <c r="DV26" s="978"/>
      <c r="DW26" s="978"/>
    </row>
    <row r="27" spans="1:127">
      <c r="A27" s="588" t="str">
        <f>Inputs!A236</f>
        <v>Refinancing</v>
      </c>
      <c r="B27" s="588"/>
      <c r="C27" s="588"/>
      <c r="D27" s="588"/>
      <c r="E27" s="588"/>
      <c r="F27" s="593"/>
      <c r="G27" s="978">
        <f>DS!G91</f>
        <v>0</v>
      </c>
      <c r="H27" s="978">
        <f ca="1">DS!H91</f>
        <v>0</v>
      </c>
      <c r="I27" s="978">
        <f ca="1">DS!I91</f>
        <v>0</v>
      </c>
      <c r="J27" s="978">
        <f ca="1">DS!J91</f>
        <v>0</v>
      </c>
      <c r="K27" s="978">
        <f ca="1">DS!K91</f>
        <v>0</v>
      </c>
      <c r="L27" s="978">
        <f ca="1">DS!L91</f>
        <v>0</v>
      </c>
      <c r="M27" s="978">
        <f ca="1">DS!M91</f>
        <v>0</v>
      </c>
      <c r="N27" s="978">
        <f ca="1">DS!N91</f>
        <v>0</v>
      </c>
      <c r="O27" s="978">
        <f ca="1">DS!O91</f>
        <v>0</v>
      </c>
      <c r="P27" s="978">
        <f ca="1">DS!P91</f>
        <v>0</v>
      </c>
      <c r="Q27" s="978">
        <f ca="1">DS!Q91</f>
        <v>0</v>
      </c>
      <c r="R27" s="978">
        <f ca="1">DS!R91</f>
        <v>0</v>
      </c>
      <c r="S27" s="978">
        <f ca="1">DS!S91</f>
        <v>0</v>
      </c>
      <c r="T27" s="978">
        <f ca="1">DS!T91</f>
        <v>0</v>
      </c>
      <c r="U27" s="978">
        <f ca="1">DS!U91</f>
        <v>0</v>
      </c>
      <c r="V27" s="978">
        <f ca="1">DS!V91</f>
        <v>0</v>
      </c>
      <c r="W27" s="978">
        <f ca="1">DS!W91</f>
        <v>0</v>
      </c>
      <c r="X27" s="978">
        <f ca="1">DS!X91</f>
        <v>0</v>
      </c>
      <c r="Y27" s="978">
        <f ca="1">DS!Y91</f>
        <v>0</v>
      </c>
      <c r="Z27" s="978">
        <f ca="1">DS!Z91</f>
        <v>0</v>
      </c>
      <c r="AA27" s="978">
        <f ca="1">DS!AA91</f>
        <v>0</v>
      </c>
      <c r="AB27" s="978">
        <f ca="1">DS!AB91</f>
        <v>0</v>
      </c>
      <c r="AC27" s="978">
        <f ca="1">DS!AC91</f>
        <v>0</v>
      </c>
      <c r="AD27" s="978">
        <f ca="1">DS!AD91</f>
        <v>0</v>
      </c>
      <c r="AE27" s="978">
        <f ca="1">DS!AE91</f>
        <v>0</v>
      </c>
      <c r="AF27" s="978">
        <f ca="1">DS!AF91</f>
        <v>0</v>
      </c>
      <c r="AG27" s="978">
        <f ca="1">DS!AG91</f>
        <v>0</v>
      </c>
      <c r="AH27" s="978">
        <f ca="1">DS!AH91</f>
        <v>0</v>
      </c>
      <c r="AI27" s="978">
        <f ca="1">DS!AI91</f>
        <v>0</v>
      </c>
      <c r="AJ27" s="978">
        <f ca="1">DS!AJ91</f>
        <v>0</v>
      </c>
      <c r="AK27" s="978">
        <f ca="1">DS!AK91</f>
        <v>0</v>
      </c>
      <c r="AL27" s="978">
        <f ca="1">DS!AL91</f>
        <v>0</v>
      </c>
      <c r="AM27" s="978">
        <f ca="1">DS!AM91</f>
        <v>0</v>
      </c>
      <c r="AN27" s="978">
        <f ca="1">DS!AN91</f>
        <v>0</v>
      </c>
      <c r="AO27" s="978">
        <f ca="1">DS!AO91</f>
        <v>0</v>
      </c>
      <c r="AP27" s="978">
        <f ca="1">DS!AP91</f>
        <v>0</v>
      </c>
      <c r="AQ27" s="978">
        <f ca="1">DS!AQ91</f>
        <v>0</v>
      </c>
      <c r="AR27" s="978">
        <f ca="1">DS!AR91</f>
        <v>0</v>
      </c>
      <c r="AS27" s="978">
        <f ca="1">DS!AS91</f>
        <v>0</v>
      </c>
      <c r="AT27" s="978">
        <f ca="1">DS!AT91</f>
        <v>0</v>
      </c>
      <c r="AU27" s="978">
        <f ca="1">DS!AU91</f>
        <v>0</v>
      </c>
      <c r="AV27" s="978">
        <f ca="1">DS!AV91</f>
        <v>0</v>
      </c>
      <c r="AW27" s="978">
        <f ca="1">DS!AW91</f>
        <v>0</v>
      </c>
      <c r="AX27" s="978">
        <f ca="1">DS!AX91</f>
        <v>0</v>
      </c>
      <c r="AY27" s="978">
        <f ca="1">DS!AY91</f>
        <v>0</v>
      </c>
      <c r="AZ27" s="978">
        <f ca="1">DS!AZ91</f>
        <v>0</v>
      </c>
      <c r="BA27" s="978">
        <f ca="1">DS!BA91</f>
        <v>0</v>
      </c>
      <c r="BB27" s="978">
        <f ca="1">DS!BB91</f>
        <v>0</v>
      </c>
      <c r="BC27" s="978">
        <f ca="1">DS!BC91</f>
        <v>0</v>
      </c>
      <c r="BD27" s="978">
        <f ca="1">DS!BD91</f>
        <v>0</v>
      </c>
      <c r="BE27" s="978">
        <f ca="1">DS!BE91</f>
        <v>0</v>
      </c>
      <c r="BF27" s="978">
        <f ca="1">DS!BF91</f>
        <v>0</v>
      </c>
      <c r="BG27" s="978">
        <f ca="1">DS!BG91</f>
        <v>0</v>
      </c>
      <c r="BH27" s="978">
        <f ca="1">DS!BH91</f>
        <v>0</v>
      </c>
      <c r="BI27" s="978">
        <f ca="1">DS!BI91</f>
        <v>0</v>
      </c>
      <c r="BJ27" s="978">
        <f ca="1">DS!BJ91</f>
        <v>0</v>
      </c>
      <c r="BK27" s="978">
        <f ca="1">DS!BK91</f>
        <v>0</v>
      </c>
      <c r="BL27" s="978">
        <f ca="1">DS!BL91</f>
        <v>0</v>
      </c>
      <c r="BM27" s="978">
        <f ca="1">DS!BM91</f>
        <v>0</v>
      </c>
      <c r="BN27" s="978">
        <f ca="1">DS!BN91</f>
        <v>0</v>
      </c>
      <c r="BO27" s="978">
        <f ca="1">DS!BO91</f>
        <v>0</v>
      </c>
      <c r="BP27" s="978"/>
      <c r="BQ27" s="978"/>
      <c r="BR27" s="978"/>
      <c r="BS27" s="978"/>
      <c r="BT27" s="978"/>
      <c r="BU27" s="978"/>
      <c r="BV27" s="978"/>
      <c r="BW27" s="978"/>
      <c r="BX27" s="978"/>
      <c r="BY27" s="978"/>
      <c r="BZ27" s="978"/>
      <c r="CA27" s="978"/>
      <c r="CB27" s="978"/>
      <c r="CC27" s="978"/>
      <c r="CD27" s="978"/>
      <c r="CE27" s="978"/>
      <c r="CF27" s="978"/>
      <c r="CG27" s="978"/>
      <c r="CH27" s="978"/>
      <c r="CI27" s="978"/>
      <c r="CJ27" s="978"/>
      <c r="CK27" s="978"/>
      <c r="CL27" s="978"/>
      <c r="CM27" s="978"/>
      <c r="CN27" s="978"/>
      <c r="CO27" s="978"/>
      <c r="CP27" s="978"/>
      <c r="CQ27" s="978"/>
      <c r="CR27" s="978"/>
      <c r="CS27" s="978"/>
      <c r="CT27" s="978"/>
      <c r="CU27" s="978"/>
      <c r="CV27" s="978"/>
      <c r="CW27" s="978"/>
      <c r="CX27" s="978"/>
      <c r="CY27" s="978"/>
      <c r="CZ27" s="978"/>
      <c r="DA27" s="978"/>
      <c r="DB27" s="978"/>
      <c r="DC27" s="978"/>
      <c r="DD27" s="978"/>
      <c r="DE27" s="978"/>
      <c r="DF27" s="978"/>
      <c r="DG27" s="978"/>
      <c r="DH27" s="978"/>
      <c r="DI27" s="978"/>
      <c r="DJ27" s="978"/>
      <c r="DK27" s="978"/>
      <c r="DL27" s="978"/>
      <c r="DM27" s="978"/>
      <c r="DN27" s="978"/>
      <c r="DO27" s="978"/>
      <c r="DP27" s="978"/>
      <c r="DQ27" s="978"/>
      <c r="DR27" s="978"/>
      <c r="DS27" s="978"/>
      <c r="DT27" s="978"/>
      <c r="DU27" s="978"/>
      <c r="DV27" s="978"/>
      <c r="DW27" s="978"/>
    </row>
    <row r="28" spans="1:127">
      <c r="A28" s="584"/>
      <c r="B28" s="584"/>
      <c r="C28" s="584"/>
      <c r="D28" s="584"/>
      <c r="E28" s="584"/>
      <c r="F28" s="593"/>
      <c r="G28" s="927"/>
      <c r="H28" s="927"/>
      <c r="I28" s="927"/>
      <c r="J28" s="927"/>
      <c r="K28" s="927"/>
      <c r="L28" s="927"/>
      <c r="M28" s="927"/>
      <c r="N28" s="927"/>
      <c r="O28" s="927"/>
      <c r="P28" s="927"/>
      <c r="Q28" s="927"/>
      <c r="R28" s="927"/>
      <c r="S28" s="927"/>
      <c r="T28" s="927"/>
      <c r="U28" s="927"/>
      <c r="V28" s="927"/>
      <c r="W28" s="927"/>
      <c r="X28" s="927"/>
      <c r="Y28" s="927"/>
      <c r="Z28" s="927"/>
      <c r="AA28" s="927"/>
      <c r="AB28" s="927"/>
      <c r="AC28" s="927"/>
      <c r="AD28" s="927"/>
      <c r="AE28" s="927"/>
      <c r="AF28" s="927"/>
      <c r="AG28" s="927"/>
      <c r="AH28" s="927"/>
      <c r="AI28" s="927"/>
      <c r="AJ28" s="927"/>
      <c r="AK28" s="927"/>
      <c r="AL28" s="927"/>
      <c r="AM28" s="927"/>
      <c r="AN28" s="927"/>
      <c r="AO28" s="927"/>
      <c r="AP28" s="927"/>
      <c r="AQ28" s="927"/>
      <c r="AR28" s="927"/>
      <c r="AS28" s="927"/>
      <c r="AT28" s="927"/>
      <c r="AU28" s="927"/>
      <c r="AV28" s="927"/>
      <c r="AW28" s="927"/>
      <c r="AX28" s="927"/>
      <c r="AY28" s="927"/>
      <c r="AZ28" s="927"/>
      <c r="BA28" s="927"/>
      <c r="BB28" s="927"/>
      <c r="BC28" s="927"/>
      <c r="BD28" s="927"/>
      <c r="BE28" s="927"/>
      <c r="BF28" s="927"/>
      <c r="BG28" s="927"/>
      <c r="BH28" s="927"/>
      <c r="BI28" s="927"/>
      <c r="BJ28" s="927"/>
      <c r="BK28" s="927"/>
      <c r="BL28" s="927"/>
      <c r="BM28" s="927"/>
      <c r="BN28" s="927"/>
      <c r="BO28" s="927"/>
      <c r="BP28" s="927"/>
      <c r="BQ28" s="927"/>
      <c r="BR28" s="927"/>
      <c r="BS28" s="927"/>
      <c r="BT28" s="927"/>
      <c r="BU28" s="927"/>
      <c r="BV28" s="927"/>
      <c r="BW28" s="927"/>
      <c r="BX28" s="927"/>
      <c r="BY28" s="927"/>
      <c r="BZ28" s="927"/>
      <c r="CA28" s="927"/>
      <c r="CB28" s="927"/>
      <c r="CC28" s="927"/>
      <c r="CD28" s="927"/>
      <c r="CE28" s="927"/>
      <c r="CF28" s="927"/>
      <c r="CG28" s="927"/>
      <c r="CH28" s="927"/>
      <c r="CI28" s="927"/>
      <c r="CJ28" s="927"/>
      <c r="CK28" s="927"/>
      <c r="CL28" s="927"/>
      <c r="CM28" s="927"/>
      <c r="CN28" s="927"/>
      <c r="CO28" s="927"/>
      <c r="CP28" s="927"/>
      <c r="CQ28" s="927"/>
      <c r="CR28" s="927"/>
      <c r="CS28" s="927"/>
      <c r="CT28" s="927"/>
      <c r="CU28" s="927"/>
      <c r="CV28" s="927"/>
      <c r="CW28" s="927"/>
      <c r="CX28" s="927"/>
      <c r="CY28" s="927"/>
      <c r="CZ28" s="927"/>
      <c r="DA28" s="927"/>
      <c r="DB28" s="927"/>
      <c r="DC28" s="927"/>
      <c r="DD28" s="927"/>
      <c r="DE28" s="927"/>
      <c r="DF28" s="927"/>
      <c r="DG28" s="927"/>
      <c r="DH28" s="927"/>
      <c r="DI28" s="927"/>
      <c r="DJ28" s="927"/>
      <c r="DK28" s="927"/>
      <c r="DL28" s="927"/>
      <c r="DM28" s="927"/>
      <c r="DN28" s="927"/>
      <c r="DO28" s="927"/>
      <c r="DP28" s="927"/>
      <c r="DQ28" s="927"/>
      <c r="DR28" s="927"/>
      <c r="DS28" s="927"/>
      <c r="DT28" s="927"/>
      <c r="DU28" s="927"/>
      <c r="DV28" s="927"/>
      <c r="DW28" s="927"/>
    </row>
    <row r="29" spans="1:127">
      <c r="A29" s="584" t="s">
        <v>1212</v>
      </c>
      <c r="B29" s="584"/>
      <c r="C29" s="584"/>
      <c r="D29" s="584"/>
      <c r="E29" s="584"/>
      <c r="F29" s="585"/>
      <c r="G29" s="927">
        <f ca="1">-MIN(CF!G144,0)</f>
        <v>0</v>
      </c>
      <c r="H29" s="927">
        <f ca="1">-MIN(CF!H144,0)</f>
        <v>0</v>
      </c>
      <c r="I29" s="927">
        <f ca="1">-MIN(CF!I144,0)</f>
        <v>0</v>
      </c>
      <c r="J29" s="927">
        <f ca="1">-MIN(CF!J144,0)</f>
        <v>0</v>
      </c>
      <c r="K29" s="927">
        <f ca="1">-MIN(CF!K144,0)</f>
        <v>0</v>
      </c>
      <c r="L29" s="927">
        <f ca="1">-MIN(CF!L144,0)</f>
        <v>0</v>
      </c>
      <c r="M29" s="927">
        <f ca="1">-MIN(CF!M144,0)</f>
        <v>0</v>
      </c>
      <c r="N29" s="927">
        <f ca="1">-MIN(CF!N144,0)</f>
        <v>0</v>
      </c>
      <c r="O29" s="927">
        <f ca="1">-MIN(CF!O144,0)</f>
        <v>0</v>
      </c>
      <c r="P29" s="927">
        <f ca="1">-MIN(CF!P144,0)</f>
        <v>0</v>
      </c>
      <c r="Q29" s="927">
        <f ca="1">-MIN(CF!Q144,0)</f>
        <v>0</v>
      </c>
      <c r="R29" s="927">
        <f ca="1">-MIN(CF!R144,0)</f>
        <v>0</v>
      </c>
      <c r="S29" s="927">
        <f ca="1">-MIN(CF!S144,0)</f>
        <v>0</v>
      </c>
      <c r="T29" s="927">
        <f ca="1">-MIN(CF!T144,0)</f>
        <v>0</v>
      </c>
      <c r="U29" s="927">
        <f ca="1">-MIN(CF!U144,0)</f>
        <v>0</v>
      </c>
      <c r="V29" s="927">
        <f ca="1">-MIN(CF!V144,0)</f>
        <v>0</v>
      </c>
      <c r="W29" s="927">
        <f ca="1">-MIN(CF!W144,0)</f>
        <v>0</v>
      </c>
      <c r="X29" s="927">
        <f ca="1">-MIN(CF!X144,0)</f>
        <v>0</v>
      </c>
      <c r="Y29" s="927">
        <f ca="1">-MIN(CF!Y144,0)</f>
        <v>0</v>
      </c>
      <c r="Z29" s="927">
        <f ca="1">-MIN(CF!Z144,0)</f>
        <v>0</v>
      </c>
      <c r="AA29" s="927">
        <f ca="1">-MIN(CF!AA144,0)</f>
        <v>0</v>
      </c>
      <c r="AB29" s="927">
        <f ca="1">-MIN(CF!AB144,0)</f>
        <v>0</v>
      </c>
      <c r="AC29" s="927">
        <f ca="1">-MIN(CF!AC144,0)</f>
        <v>0</v>
      </c>
      <c r="AD29" s="927">
        <f ca="1">-MIN(CF!AD144,0)</f>
        <v>0</v>
      </c>
      <c r="AE29" s="927">
        <f ca="1">-MIN(CF!AE144,0)</f>
        <v>0</v>
      </c>
      <c r="AF29" s="927">
        <f ca="1">-MIN(CF!AF144,0)</f>
        <v>0</v>
      </c>
      <c r="AG29" s="927">
        <f ca="1">-MIN(CF!AG144,0)</f>
        <v>0</v>
      </c>
      <c r="AH29" s="927">
        <f ca="1">-MIN(CF!AH144,0)</f>
        <v>0</v>
      </c>
      <c r="AI29" s="927">
        <f ca="1">-MIN(CF!AI144,0)</f>
        <v>0</v>
      </c>
      <c r="AJ29" s="927">
        <f ca="1">-MIN(CF!AJ144,0)</f>
        <v>0</v>
      </c>
      <c r="AK29" s="927">
        <f ca="1">-MIN(CF!AK144,0)</f>
        <v>0</v>
      </c>
      <c r="AL29" s="927">
        <f ca="1">-MIN(CF!AL144,0)</f>
        <v>0</v>
      </c>
      <c r="AM29" s="927">
        <f ca="1">-MIN(CF!AM144,0)</f>
        <v>0</v>
      </c>
      <c r="AN29" s="927">
        <f ca="1">-MIN(CF!AN144,0)</f>
        <v>0</v>
      </c>
      <c r="AO29" s="927">
        <f ca="1">-MIN(CF!AO144,0)</f>
        <v>0</v>
      </c>
      <c r="AP29" s="927">
        <f ca="1">-MIN(CF!AP144,0)</f>
        <v>0</v>
      </c>
      <c r="AQ29" s="927">
        <f ca="1">-MIN(CF!AQ144,0)</f>
        <v>0</v>
      </c>
      <c r="AR29" s="927">
        <f ca="1">-MIN(CF!AR144,0)</f>
        <v>0</v>
      </c>
      <c r="AS29" s="927">
        <f ca="1">-MIN(CF!AS144,0)</f>
        <v>0</v>
      </c>
      <c r="AT29" s="927">
        <f ca="1">-MIN(CF!AT144,0)</f>
        <v>0</v>
      </c>
      <c r="AU29" s="927">
        <f ca="1">-MIN(CF!AU144,0)</f>
        <v>0</v>
      </c>
      <c r="AV29" s="927">
        <f ca="1">-MIN(CF!AV144,0)</f>
        <v>0</v>
      </c>
      <c r="AW29" s="927">
        <f ca="1">-MIN(CF!AW144,0)</f>
        <v>0</v>
      </c>
      <c r="AX29" s="927">
        <f ca="1">-MIN(CF!AX144,0)</f>
        <v>0</v>
      </c>
      <c r="AY29" s="927">
        <f ca="1">-MIN(CF!AY144,0)</f>
        <v>0</v>
      </c>
      <c r="AZ29" s="927">
        <f ca="1">-MIN(CF!AZ144,0)</f>
        <v>0</v>
      </c>
      <c r="BA29" s="927">
        <f ca="1">-MIN(CF!BA144,0)</f>
        <v>0</v>
      </c>
      <c r="BB29" s="927">
        <f ca="1">-MIN(CF!BB144,0)</f>
        <v>0</v>
      </c>
      <c r="BC29" s="927">
        <f ca="1">-MIN(CF!BC144,0)</f>
        <v>0</v>
      </c>
      <c r="BD29" s="927">
        <f ca="1">-MIN(CF!BD144,0)</f>
        <v>0</v>
      </c>
      <c r="BE29" s="927">
        <f ca="1">-MIN(CF!BE144,0)</f>
        <v>0</v>
      </c>
      <c r="BF29" s="927">
        <f ca="1">-MIN(CF!BF144,0)</f>
        <v>0</v>
      </c>
      <c r="BG29" s="927">
        <f ca="1">-MIN(CF!BG144,0)</f>
        <v>0</v>
      </c>
      <c r="BH29" s="927">
        <f ca="1">-MIN(CF!BH144,0)</f>
        <v>0</v>
      </c>
      <c r="BI29" s="927">
        <f ca="1">-MIN(CF!BI144,0)</f>
        <v>0</v>
      </c>
      <c r="BJ29" s="927">
        <f ca="1">-MIN(CF!BJ144,0)</f>
        <v>0</v>
      </c>
      <c r="BK29" s="927">
        <f ca="1">-MIN(CF!BK144,0)</f>
        <v>0</v>
      </c>
      <c r="BL29" s="927">
        <f ca="1">-MIN(CF!BL144,0)</f>
        <v>0</v>
      </c>
      <c r="BM29" s="927">
        <f ca="1">-MIN(CF!BM144,0)</f>
        <v>0</v>
      </c>
      <c r="BN29" s="927">
        <f ca="1">-MIN(CF!BN144,0)</f>
        <v>0</v>
      </c>
      <c r="BO29" s="927">
        <f ca="1">-MIN(CF!BO144,0)</f>
        <v>0</v>
      </c>
      <c r="BP29" s="927"/>
      <c r="BQ29" s="927"/>
      <c r="BR29" s="927"/>
      <c r="BS29" s="927"/>
      <c r="BT29" s="927"/>
      <c r="BU29" s="927"/>
      <c r="BV29" s="927"/>
      <c r="BW29" s="927"/>
      <c r="BX29" s="927"/>
      <c r="BY29" s="927"/>
      <c r="BZ29" s="927"/>
      <c r="CA29" s="927"/>
      <c r="CB29" s="927"/>
      <c r="CC29" s="927"/>
      <c r="CD29" s="927"/>
      <c r="CE29" s="927"/>
      <c r="CF29" s="927"/>
      <c r="CG29" s="927"/>
      <c r="CH29" s="927"/>
      <c r="CI29" s="927"/>
      <c r="CJ29" s="927"/>
      <c r="CK29" s="927"/>
      <c r="CL29" s="927"/>
      <c r="CM29" s="927"/>
      <c r="CN29" s="927"/>
      <c r="CO29" s="927"/>
      <c r="CP29" s="927"/>
      <c r="CQ29" s="927"/>
      <c r="CR29" s="927"/>
      <c r="CS29" s="927"/>
      <c r="CT29" s="927"/>
      <c r="CU29" s="927"/>
      <c r="CV29" s="927"/>
      <c r="CW29" s="927"/>
      <c r="CX29" s="927"/>
      <c r="CY29" s="927"/>
      <c r="CZ29" s="927"/>
      <c r="DA29" s="927"/>
      <c r="DB29" s="927"/>
      <c r="DC29" s="927"/>
      <c r="DD29" s="927"/>
      <c r="DE29" s="927"/>
      <c r="DF29" s="927"/>
      <c r="DG29" s="927"/>
      <c r="DH29" s="927"/>
      <c r="DI29" s="927"/>
      <c r="DJ29" s="927"/>
      <c r="DK29" s="927"/>
      <c r="DL29" s="927"/>
      <c r="DM29" s="927"/>
      <c r="DN29" s="927"/>
      <c r="DO29" s="927"/>
      <c r="DP29" s="927"/>
      <c r="DQ29" s="927"/>
      <c r="DR29" s="927"/>
      <c r="DS29" s="927"/>
      <c r="DT29" s="927"/>
      <c r="DU29" s="927"/>
      <c r="DV29" s="927"/>
      <c r="DW29" s="927"/>
    </row>
    <row r="30" spans="1:127" s="310" customFormat="1">
      <c r="A30" s="581"/>
      <c r="B30" s="591"/>
      <c r="C30" s="591"/>
      <c r="D30" s="581"/>
      <c r="E30" s="581"/>
      <c r="F30" s="583"/>
      <c r="G30" s="590"/>
      <c r="H30" s="590"/>
      <c r="I30" s="590"/>
      <c r="J30" s="590"/>
      <c r="K30" s="590"/>
      <c r="L30" s="590"/>
      <c r="M30" s="590"/>
      <c r="N30" s="590"/>
      <c r="O30" s="590"/>
      <c r="P30" s="590"/>
      <c r="Q30" s="590"/>
      <c r="R30" s="590"/>
      <c r="S30" s="590"/>
      <c r="T30" s="590"/>
      <c r="U30" s="590"/>
      <c r="V30" s="590"/>
      <c r="W30" s="590"/>
      <c r="X30" s="590"/>
      <c r="Y30" s="590"/>
      <c r="Z30" s="590"/>
      <c r="AA30" s="590"/>
      <c r="AB30" s="590"/>
      <c r="AC30" s="590"/>
      <c r="AD30" s="590"/>
      <c r="AE30" s="590"/>
      <c r="AF30" s="590"/>
      <c r="AG30" s="590"/>
      <c r="AH30" s="590"/>
      <c r="AI30" s="590"/>
      <c r="AJ30" s="590"/>
      <c r="AK30" s="590"/>
      <c r="AL30" s="590"/>
      <c r="AM30" s="590"/>
      <c r="AN30" s="590"/>
      <c r="AO30" s="590"/>
      <c r="AP30" s="590"/>
      <c r="AQ30" s="590"/>
      <c r="AR30" s="590"/>
      <c r="AS30" s="590"/>
      <c r="AT30" s="590"/>
      <c r="AU30" s="590"/>
      <c r="AV30" s="590"/>
      <c r="AW30" s="590"/>
      <c r="AX30" s="590"/>
      <c r="AY30" s="590"/>
      <c r="AZ30" s="590"/>
      <c r="BA30" s="590"/>
      <c r="BB30" s="590"/>
      <c r="BC30" s="590"/>
      <c r="BD30" s="590"/>
      <c r="BE30" s="590"/>
      <c r="BF30" s="590"/>
      <c r="BG30" s="590"/>
      <c r="BH30" s="590"/>
      <c r="BI30" s="590"/>
      <c r="BJ30" s="590"/>
      <c r="BK30" s="590"/>
      <c r="BL30" s="590"/>
      <c r="BM30" s="590"/>
      <c r="BN30" s="590"/>
      <c r="BO30" s="590"/>
      <c r="BP30" s="590"/>
      <c r="BQ30" s="590"/>
      <c r="BR30" s="590"/>
      <c r="BS30" s="590"/>
      <c r="BT30" s="590"/>
      <c r="BU30" s="590"/>
      <c r="BV30" s="590"/>
      <c r="BW30" s="590"/>
      <c r="BX30" s="590"/>
      <c r="BY30" s="590"/>
      <c r="BZ30" s="590"/>
      <c r="CA30" s="590"/>
      <c r="CB30" s="590"/>
      <c r="CC30" s="590"/>
      <c r="CD30" s="590"/>
      <c r="CE30" s="590"/>
      <c r="CF30" s="590"/>
      <c r="CG30" s="590"/>
      <c r="CH30" s="590"/>
      <c r="CI30" s="590"/>
      <c r="CJ30" s="590"/>
      <c r="CK30" s="590"/>
      <c r="CL30" s="590"/>
      <c r="CM30" s="590"/>
      <c r="CN30" s="590"/>
      <c r="CO30" s="590"/>
      <c r="CP30" s="590"/>
      <c r="CQ30" s="590"/>
      <c r="CR30" s="590"/>
      <c r="CS30" s="590"/>
      <c r="CT30" s="590"/>
      <c r="CU30" s="590"/>
      <c r="CV30" s="590"/>
      <c r="CW30" s="590"/>
      <c r="CX30" s="590"/>
      <c r="CY30" s="590"/>
      <c r="CZ30" s="590"/>
      <c r="DA30" s="590"/>
      <c r="DB30" s="590"/>
      <c r="DC30" s="590"/>
      <c r="DD30" s="590"/>
      <c r="DE30" s="590"/>
      <c r="DF30" s="590"/>
      <c r="DG30" s="590"/>
      <c r="DH30" s="590"/>
      <c r="DI30" s="590"/>
      <c r="DJ30" s="590"/>
      <c r="DK30" s="590"/>
      <c r="DL30" s="590"/>
      <c r="DM30" s="590"/>
      <c r="DN30" s="590"/>
      <c r="DO30" s="590"/>
      <c r="DP30" s="590"/>
      <c r="DQ30" s="590"/>
      <c r="DR30" s="590"/>
      <c r="DS30" s="590"/>
      <c r="DT30" s="590"/>
      <c r="DU30" s="590"/>
      <c r="DV30" s="590"/>
      <c r="DW30" s="590"/>
    </row>
    <row r="31" spans="1:127">
      <c r="A31" s="592" t="s">
        <v>1211</v>
      </c>
      <c r="B31" s="592"/>
      <c r="C31" s="592"/>
      <c r="D31" s="592"/>
      <c r="E31" s="592"/>
      <c r="F31" s="598"/>
      <c r="G31" s="589">
        <f ca="1">SUM(G21:G27,G29)</f>
        <v>57973.052657378626</v>
      </c>
      <c r="H31" s="589">
        <f ca="1">SUM(H21:H27,H29)</f>
        <v>56482.375790777587</v>
      </c>
      <c r="I31" s="589">
        <f t="shared" ref="I31:BO31" ca="1" si="6">SUM(I21:I27,I29)</f>
        <v>55016.003438305917</v>
      </c>
      <c r="J31" s="589">
        <f t="shared" ca="1" si="6"/>
        <v>53529.399459318549</v>
      </c>
      <c r="K31" s="589">
        <f t="shared" ca="1" si="6"/>
        <v>52058.954219233216</v>
      </c>
      <c r="L31" s="589">
        <f t="shared" ca="1" si="6"/>
        <v>50568.277352632176</v>
      </c>
      <c r="M31" s="589">
        <f t="shared" ca="1" si="6"/>
        <v>49101.905000160506</v>
      </c>
      <c r="N31" s="589">
        <f t="shared" ca="1" si="6"/>
        <v>47611.228133559474</v>
      </c>
      <c r="O31" s="589">
        <f t="shared" ca="1" si="6"/>
        <v>46144.855781087797</v>
      </c>
      <c r="P31" s="589">
        <f t="shared" ca="1" si="6"/>
        <v>44654.178914486765</v>
      </c>
      <c r="Q31" s="589">
        <f t="shared" ca="1" si="6"/>
        <v>43187.806562015096</v>
      </c>
      <c r="R31" s="589">
        <f t="shared" ca="1" si="6"/>
        <v>41701.20258302772</v>
      </c>
      <c r="S31" s="589">
        <f t="shared" ca="1" si="6"/>
        <v>40230.757342942386</v>
      </c>
      <c r="T31" s="589">
        <f t="shared" ca="1" si="6"/>
        <v>38740.080476341347</v>
      </c>
      <c r="U31" s="589">
        <f t="shared" ca="1" si="6"/>
        <v>37273.70812386967</v>
      </c>
      <c r="V31" s="589">
        <f t="shared" ca="1" si="6"/>
        <v>35783.031257268638</v>
      </c>
      <c r="W31" s="589">
        <f t="shared" ca="1" si="6"/>
        <v>34316.658904796968</v>
      </c>
      <c r="X31" s="589">
        <f t="shared" ca="1" si="6"/>
        <v>32825.982038195929</v>
      </c>
      <c r="Y31" s="589">
        <f t="shared" ca="1" si="6"/>
        <v>31359.609685724259</v>
      </c>
      <c r="Z31" s="589">
        <f t="shared" ca="1" si="6"/>
        <v>29873.005706736883</v>
      </c>
      <c r="AA31" s="589">
        <f t="shared" ca="1" si="6"/>
        <v>28402.56046665155</v>
      </c>
      <c r="AB31" s="589">
        <f t="shared" ca="1" si="6"/>
        <v>26911.883600050514</v>
      </c>
      <c r="AC31" s="589">
        <f t="shared" ca="1" si="6"/>
        <v>25445.511247578841</v>
      </c>
      <c r="AD31" s="589">
        <f t="shared" ca="1" si="6"/>
        <v>23954.834380977805</v>
      </c>
      <c r="AE31" s="589">
        <f t="shared" ca="1" si="6"/>
        <v>22488.462028506136</v>
      </c>
      <c r="AF31" s="589">
        <f t="shared" ca="1" si="6"/>
        <v>21071.38085958657</v>
      </c>
      <c r="AG31" s="589">
        <f t="shared" ca="1" si="6"/>
        <v>19677.404274942863</v>
      </c>
      <c r="AH31" s="589">
        <f t="shared" ca="1" si="6"/>
        <v>18264.194912495757</v>
      </c>
      <c r="AI31" s="589">
        <f t="shared" ca="1" si="6"/>
        <v>16866.346521379593</v>
      </c>
      <c r="AJ31" s="589">
        <f t="shared" ca="1" si="6"/>
        <v>15449.265352460026</v>
      </c>
      <c r="AK31" s="589">
        <f t="shared" ca="1" si="6"/>
        <v>14055.288767816324</v>
      </c>
      <c r="AL31" s="589">
        <f t="shared" ca="1" si="6"/>
        <v>12638.207598896757</v>
      </c>
      <c r="AM31" s="589">
        <f t="shared" ca="1" si="6"/>
        <v>11244.231014253053</v>
      </c>
      <c r="AN31" s="589">
        <f t="shared" ca="1" si="6"/>
        <v>9827.1498453334862</v>
      </c>
      <c r="AO31" s="589">
        <f t="shared" ca="1" si="6"/>
        <v>8433.1732606897822</v>
      </c>
      <c r="AP31" s="589">
        <f t="shared" ca="1" si="6"/>
        <v>7019.9638982426732</v>
      </c>
      <c r="AQ31" s="589">
        <f t="shared" ca="1" si="6"/>
        <v>5622.1155071265121</v>
      </c>
      <c r="AR31" s="589">
        <f t="shared" ca="1" si="6"/>
        <v>4205.0343382069459</v>
      </c>
      <c r="AS31" s="589">
        <f t="shared" ca="1" si="6"/>
        <v>2811.0577535632424</v>
      </c>
      <c r="AT31" s="589">
        <f t="shared" ca="1" si="6"/>
        <v>1393.976584643676</v>
      </c>
      <c r="AU31" s="589">
        <f t="shared" ca="1" si="6"/>
        <v>550</v>
      </c>
      <c r="AV31" s="589">
        <f t="shared" ca="1" si="6"/>
        <v>550</v>
      </c>
      <c r="AW31" s="589">
        <f t="shared" ca="1" si="6"/>
        <v>550</v>
      </c>
      <c r="AX31" s="589">
        <f t="shared" ca="1" si="6"/>
        <v>550</v>
      </c>
      <c r="AY31" s="589">
        <f t="shared" ca="1" si="6"/>
        <v>550</v>
      </c>
      <c r="AZ31" s="589">
        <f t="shared" ca="1" si="6"/>
        <v>550</v>
      </c>
      <c r="BA31" s="589">
        <f t="shared" ca="1" si="6"/>
        <v>550</v>
      </c>
      <c r="BB31" s="589">
        <f t="shared" ca="1" si="6"/>
        <v>550</v>
      </c>
      <c r="BC31" s="589">
        <f t="shared" ca="1" si="6"/>
        <v>550</v>
      </c>
      <c r="BD31" s="589">
        <f t="shared" ca="1" si="6"/>
        <v>550</v>
      </c>
      <c r="BE31" s="589">
        <f t="shared" ca="1" si="6"/>
        <v>550</v>
      </c>
      <c r="BF31" s="589">
        <f t="shared" ca="1" si="6"/>
        <v>550</v>
      </c>
      <c r="BG31" s="589">
        <f t="shared" ca="1" si="6"/>
        <v>550</v>
      </c>
      <c r="BH31" s="589">
        <f t="shared" ca="1" si="6"/>
        <v>550</v>
      </c>
      <c r="BI31" s="589">
        <f t="shared" ca="1" si="6"/>
        <v>550</v>
      </c>
      <c r="BJ31" s="589">
        <f t="shared" ca="1" si="6"/>
        <v>550</v>
      </c>
      <c r="BK31" s="589">
        <f t="shared" ca="1" si="6"/>
        <v>550</v>
      </c>
      <c r="BL31" s="589">
        <f t="shared" ca="1" si="6"/>
        <v>550</v>
      </c>
      <c r="BM31" s="589">
        <f t="shared" ca="1" si="6"/>
        <v>550</v>
      </c>
      <c r="BN31" s="589">
        <f t="shared" ca="1" si="6"/>
        <v>550</v>
      </c>
      <c r="BO31" s="589">
        <f t="shared" ca="1" si="6"/>
        <v>550</v>
      </c>
      <c r="BP31" s="589"/>
      <c r="BQ31" s="589"/>
      <c r="BR31" s="589"/>
      <c r="BS31" s="589"/>
      <c r="BT31" s="589"/>
      <c r="BU31" s="589"/>
      <c r="BV31" s="589"/>
      <c r="BW31" s="589"/>
      <c r="BX31" s="589"/>
      <c r="BY31" s="589"/>
      <c r="BZ31" s="589"/>
      <c r="CA31" s="589"/>
      <c r="CB31" s="589"/>
      <c r="CC31" s="589"/>
      <c r="CD31" s="589"/>
      <c r="CE31" s="589"/>
      <c r="CF31" s="589"/>
      <c r="CG31" s="589"/>
      <c r="CH31" s="589"/>
      <c r="CI31" s="589"/>
      <c r="CJ31" s="589"/>
      <c r="CK31" s="589"/>
      <c r="CL31" s="589"/>
      <c r="CM31" s="589"/>
      <c r="CN31" s="589"/>
      <c r="CO31" s="589"/>
      <c r="CP31" s="589"/>
      <c r="CQ31" s="589"/>
      <c r="CR31" s="589"/>
      <c r="CS31" s="589"/>
      <c r="CT31" s="589"/>
      <c r="CU31" s="589"/>
      <c r="CV31" s="589"/>
      <c r="CW31" s="589"/>
      <c r="CX31" s="589"/>
      <c r="CY31" s="589"/>
      <c r="CZ31" s="589"/>
      <c r="DA31" s="589"/>
      <c r="DB31" s="589"/>
      <c r="DC31" s="589"/>
      <c r="DD31" s="589"/>
      <c r="DE31" s="589"/>
      <c r="DF31" s="589"/>
      <c r="DG31" s="589"/>
      <c r="DH31" s="589"/>
      <c r="DI31" s="589"/>
      <c r="DJ31" s="589"/>
      <c r="DK31" s="589"/>
      <c r="DL31" s="589"/>
      <c r="DM31" s="589"/>
      <c r="DN31" s="589"/>
      <c r="DO31" s="589"/>
      <c r="DP31" s="589"/>
      <c r="DQ31" s="589"/>
      <c r="DR31" s="589"/>
      <c r="DS31" s="589"/>
      <c r="DT31" s="589"/>
      <c r="DU31" s="589"/>
      <c r="DV31" s="589"/>
      <c r="DW31" s="589"/>
    </row>
    <row r="32" spans="1:127" s="310" customFormat="1">
      <c r="A32" s="599"/>
      <c r="B32" s="975"/>
      <c r="C32" s="975"/>
      <c r="D32" s="599"/>
      <c r="E32" s="599"/>
      <c r="F32" s="600"/>
      <c r="G32" s="594"/>
      <c r="H32" s="594"/>
      <c r="I32" s="594"/>
      <c r="J32" s="594"/>
      <c r="K32" s="594"/>
      <c r="L32" s="594"/>
      <c r="M32" s="594"/>
      <c r="N32" s="594"/>
      <c r="O32" s="594"/>
      <c r="P32" s="594"/>
      <c r="Q32" s="594"/>
      <c r="R32" s="594"/>
      <c r="S32" s="594"/>
      <c r="T32" s="594"/>
      <c r="U32" s="594"/>
      <c r="V32" s="594"/>
      <c r="W32" s="594"/>
      <c r="X32" s="594"/>
      <c r="Y32" s="594"/>
      <c r="Z32" s="594"/>
      <c r="AA32" s="594"/>
      <c r="AB32" s="594"/>
      <c r="AC32" s="594"/>
      <c r="AD32" s="594"/>
      <c r="AE32" s="594"/>
      <c r="AF32" s="594"/>
      <c r="AG32" s="594"/>
      <c r="AH32" s="594"/>
      <c r="AI32" s="594"/>
      <c r="AJ32" s="594"/>
      <c r="AK32" s="594"/>
      <c r="AL32" s="594"/>
      <c r="AM32" s="594"/>
      <c r="AN32" s="594"/>
      <c r="AO32" s="594"/>
      <c r="AP32" s="594"/>
      <c r="AQ32" s="594"/>
      <c r="AR32" s="594"/>
      <c r="AS32" s="594"/>
      <c r="AT32" s="594"/>
      <c r="AU32" s="594"/>
      <c r="AV32" s="594"/>
      <c r="AW32" s="594"/>
      <c r="AX32" s="594"/>
      <c r="AY32" s="594"/>
      <c r="AZ32" s="594"/>
      <c r="BA32" s="594"/>
      <c r="BB32" s="594"/>
      <c r="BC32" s="594"/>
      <c r="BD32" s="594"/>
      <c r="BE32" s="594"/>
      <c r="BF32" s="594"/>
      <c r="BG32" s="594"/>
      <c r="BH32" s="594"/>
      <c r="BI32" s="594"/>
      <c r="BJ32" s="594"/>
      <c r="BK32" s="594"/>
      <c r="BL32" s="594"/>
      <c r="BM32" s="594"/>
      <c r="BN32" s="594"/>
      <c r="BO32" s="594"/>
      <c r="BP32" s="594"/>
      <c r="BQ32" s="594"/>
      <c r="BR32" s="594"/>
      <c r="BS32" s="594"/>
      <c r="BT32" s="594"/>
      <c r="BU32" s="594"/>
      <c r="BV32" s="594"/>
      <c r="BW32" s="594"/>
      <c r="BX32" s="594"/>
      <c r="BY32" s="594"/>
      <c r="BZ32" s="594"/>
      <c r="CA32" s="594"/>
      <c r="CB32" s="594"/>
      <c r="CC32" s="594"/>
      <c r="CD32" s="594"/>
      <c r="CE32" s="594"/>
      <c r="CF32" s="594"/>
      <c r="CG32" s="594"/>
      <c r="CH32" s="594"/>
      <c r="CI32" s="594"/>
      <c r="CJ32" s="594"/>
      <c r="CK32" s="594"/>
      <c r="CL32" s="594"/>
      <c r="CM32" s="594"/>
      <c r="CN32" s="594"/>
      <c r="CO32" s="594"/>
      <c r="CP32" s="594"/>
      <c r="CQ32" s="594"/>
      <c r="CR32" s="594"/>
      <c r="CS32" s="594"/>
      <c r="CT32" s="594"/>
      <c r="CU32" s="594"/>
      <c r="CV32" s="594"/>
      <c r="CW32" s="594"/>
      <c r="CX32" s="594"/>
      <c r="CY32" s="594"/>
      <c r="CZ32" s="594"/>
      <c r="DA32" s="594"/>
      <c r="DB32" s="594"/>
      <c r="DC32" s="594"/>
      <c r="DD32" s="594"/>
      <c r="DE32" s="594"/>
      <c r="DF32" s="594"/>
      <c r="DG32" s="594"/>
      <c r="DH32" s="594"/>
      <c r="DI32" s="594"/>
      <c r="DJ32" s="594"/>
      <c r="DK32" s="594"/>
      <c r="DL32" s="594"/>
      <c r="DM32" s="594"/>
      <c r="DN32" s="594"/>
      <c r="DO32" s="594"/>
      <c r="DP32" s="594"/>
      <c r="DQ32" s="594"/>
      <c r="DR32" s="594"/>
      <c r="DS32" s="594"/>
      <c r="DT32" s="594"/>
      <c r="DU32" s="594"/>
      <c r="DV32" s="594"/>
      <c r="DW32" s="594"/>
    </row>
    <row r="33" spans="1:127" s="481" customFormat="1">
      <c r="A33" s="570" t="s">
        <v>1116</v>
      </c>
      <c r="B33" s="980"/>
      <c r="C33" s="980"/>
      <c r="E33" s="396">
        <f ca="1">ABS(SUM(G33:DW33))</f>
        <v>8.4196472016628832E-10</v>
      </c>
      <c r="G33" s="601">
        <f ca="1">G17-G31</f>
        <v>0</v>
      </c>
      <c r="H33" s="601">
        <f ca="1">H17-H31</f>
        <v>0</v>
      </c>
      <c r="I33" s="601">
        <f t="shared" ref="I33:BO33" ca="1" si="7">I17-I31</f>
        <v>0</v>
      </c>
      <c r="J33" s="601">
        <f t="shared" ca="1" si="7"/>
        <v>0</v>
      </c>
      <c r="K33" s="601">
        <f t="shared" ca="1" si="7"/>
        <v>0</v>
      </c>
      <c r="L33" s="601">
        <f t="shared" ca="1" si="7"/>
        <v>0</v>
      </c>
      <c r="M33" s="601">
        <f t="shared" ca="1" si="7"/>
        <v>0</v>
      </c>
      <c r="N33" s="601">
        <f t="shared" ca="1" si="7"/>
        <v>0</v>
      </c>
      <c r="O33" s="601">
        <f t="shared" ca="1" si="7"/>
        <v>0</v>
      </c>
      <c r="P33" s="601">
        <f t="shared" ca="1" si="7"/>
        <v>0</v>
      </c>
      <c r="Q33" s="601">
        <f t="shared" ca="1" si="7"/>
        <v>0</v>
      </c>
      <c r="R33" s="601">
        <f t="shared" ca="1" si="7"/>
        <v>0</v>
      </c>
      <c r="S33" s="601">
        <f t="shared" ca="1" si="7"/>
        <v>0</v>
      </c>
      <c r="T33" s="601">
        <f t="shared" ca="1" si="7"/>
        <v>0</v>
      </c>
      <c r="U33" s="601">
        <f t="shared" ca="1" si="7"/>
        <v>0</v>
      </c>
      <c r="V33" s="601">
        <f t="shared" ca="1" si="7"/>
        <v>0</v>
      </c>
      <c r="W33" s="601">
        <f t="shared" ca="1" si="7"/>
        <v>0</v>
      </c>
      <c r="X33" s="601">
        <f t="shared" ca="1" si="7"/>
        <v>0</v>
      </c>
      <c r="Y33" s="601">
        <f t="shared" ca="1" si="7"/>
        <v>0</v>
      </c>
      <c r="Z33" s="601">
        <f t="shared" ca="1" si="7"/>
        <v>0</v>
      </c>
      <c r="AA33" s="601">
        <f t="shared" ca="1" si="7"/>
        <v>0</v>
      </c>
      <c r="AB33" s="601">
        <f t="shared" ca="1" si="7"/>
        <v>0</v>
      </c>
      <c r="AC33" s="601">
        <f t="shared" ca="1" si="7"/>
        <v>0</v>
      </c>
      <c r="AD33" s="601">
        <f t="shared" ca="1" si="7"/>
        <v>0</v>
      </c>
      <c r="AE33" s="601">
        <f t="shared" ca="1" si="7"/>
        <v>0</v>
      </c>
      <c r="AF33" s="601">
        <f t="shared" ca="1" si="7"/>
        <v>0</v>
      </c>
      <c r="AG33" s="601">
        <f t="shared" ca="1" si="7"/>
        <v>0</v>
      </c>
      <c r="AH33" s="601">
        <f t="shared" ca="1" si="7"/>
        <v>0</v>
      </c>
      <c r="AI33" s="601">
        <f t="shared" ca="1" si="7"/>
        <v>0</v>
      </c>
      <c r="AJ33" s="601">
        <f t="shared" ca="1" si="7"/>
        <v>2.0008883439004421E-11</v>
      </c>
      <c r="AK33" s="601">
        <f t="shared" ca="1" si="7"/>
        <v>2.1827872842550278E-11</v>
      </c>
      <c r="AL33" s="601">
        <f t="shared" ca="1" si="7"/>
        <v>2.0008883439004421E-11</v>
      </c>
      <c r="AM33" s="601">
        <f t="shared" ca="1" si="7"/>
        <v>2.3646862246096134E-11</v>
      </c>
      <c r="AN33" s="601">
        <f t="shared" ca="1" si="7"/>
        <v>2.1827872842550278E-11</v>
      </c>
      <c r="AO33" s="601">
        <f t="shared" ca="1" si="7"/>
        <v>2.5465851649641991E-11</v>
      </c>
      <c r="AP33" s="601">
        <f t="shared" ca="1" si="7"/>
        <v>2.5465851649641991E-11</v>
      </c>
      <c r="AQ33" s="601">
        <f t="shared" ca="1" si="7"/>
        <v>2.6375346351414919E-11</v>
      </c>
      <c r="AR33" s="601">
        <f t="shared" ca="1" si="7"/>
        <v>2.3646862246096134E-11</v>
      </c>
      <c r="AS33" s="601">
        <f t="shared" ca="1" si="7"/>
        <v>2.6830093702301383E-11</v>
      </c>
      <c r="AT33" s="601">
        <f t="shared" ca="1" si="7"/>
        <v>2.432898327242583E-11</v>
      </c>
      <c r="AU33" s="601">
        <f t="shared" ca="1" si="7"/>
        <v>2.7739588404074311E-11</v>
      </c>
      <c r="AV33" s="601">
        <f t="shared" ca="1" si="7"/>
        <v>2.7739588404074311E-11</v>
      </c>
      <c r="AW33" s="601">
        <f t="shared" ca="1" si="7"/>
        <v>2.7739588404074311E-11</v>
      </c>
      <c r="AX33" s="601">
        <f t="shared" ca="1" si="7"/>
        <v>2.7739588404074311E-11</v>
      </c>
      <c r="AY33" s="601">
        <f t="shared" ca="1" si="7"/>
        <v>2.7739588404074311E-11</v>
      </c>
      <c r="AZ33" s="601">
        <f t="shared" ca="1" si="7"/>
        <v>2.7739588404074311E-11</v>
      </c>
      <c r="BA33" s="601">
        <f t="shared" ca="1" si="7"/>
        <v>2.7739588404074311E-11</v>
      </c>
      <c r="BB33" s="601">
        <f t="shared" ca="1" si="7"/>
        <v>2.7739588404074311E-11</v>
      </c>
      <c r="BC33" s="601">
        <f t="shared" ca="1" si="7"/>
        <v>2.7739588404074311E-11</v>
      </c>
      <c r="BD33" s="601">
        <f t="shared" ca="1" si="7"/>
        <v>2.7739588404074311E-11</v>
      </c>
      <c r="BE33" s="601">
        <f t="shared" ca="1" si="7"/>
        <v>2.7739588404074311E-11</v>
      </c>
      <c r="BF33" s="601">
        <f t="shared" ca="1" si="7"/>
        <v>2.7739588404074311E-11</v>
      </c>
      <c r="BG33" s="601">
        <f t="shared" ca="1" si="7"/>
        <v>2.7739588404074311E-11</v>
      </c>
      <c r="BH33" s="601">
        <f t="shared" ca="1" si="7"/>
        <v>2.7739588404074311E-11</v>
      </c>
      <c r="BI33" s="601">
        <f t="shared" ca="1" si="7"/>
        <v>2.7739588404074311E-11</v>
      </c>
      <c r="BJ33" s="601">
        <f t="shared" ca="1" si="7"/>
        <v>2.7739588404074311E-11</v>
      </c>
      <c r="BK33" s="601">
        <f t="shared" ca="1" si="7"/>
        <v>2.7739588404074311E-11</v>
      </c>
      <c r="BL33" s="601">
        <f t="shared" ca="1" si="7"/>
        <v>2.7739588404074311E-11</v>
      </c>
      <c r="BM33" s="601">
        <f t="shared" ca="1" si="7"/>
        <v>2.7739588404074311E-11</v>
      </c>
      <c r="BN33" s="601">
        <f t="shared" ca="1" si="7"/>
        <v>2.7739588404074311E-11</v>
      </c>
      <c r="BO33" s="601">
        <f t="shared" ca="1" si="7"/>
        <v>2.7739588404074311E-11</v>
      </c>
      <c r="BP33" s="601"/>
      <c r="BQ33" s="601"/>
      <c r="BR33" s="601"/>
      <c r="BS33" s="601"/>
      <c r="BT33" s="601"/>
      <c r="BU33" s="601"/>
      <c r="BV33" s="601"/>
      <c r="BW33" s="601"/>
      <c r="BX33" s="601"/>
      <c r="BY33" s="601"/>
      <c r="BZ33" s="601"/>
      <c r="CA33" s="601"/>
      <c r="CB33" s="601"/>
      <c r="CC33" s="601"/>
      <c r="CD33" s="601"/>
      <c r="CE33" s="601"/>
      <c r="CF33" s="601"/>
      <c r="CG33" s="601"/>
      <c r="CH33" s="601"/>
      <c r="CI33" s="601"/>
      <c r="CJ33" s="601"/>
      <c r="CK33" s="601"/>
      <c r="CL33" s="601"/>
      <c r="CM33" s="601"/>
      <c r="CN33" s="601"/>
      <c r="CO33" s="601"/>
      <c r="CP33" s="601"/>
      <c r="CQ33" s="601"/>
      <c r="CR33" s="601"/>
      <c r="CS33" s="601"/>
      <c r="CT33" s="601"/>
      <c r="CU33" s="601"/>
      <c r="CV33" s="601"/>
      <c r="CW33" s="601"/>
      <c r="CX33" s="601"/>
      <c r="CY33" s="601"/>
      <c r="CZ33" s="601"/>
      <c r="DA33" s="601"/>
      <c r="DB33" s="601"/>
      <c r="DC33" s="601"/>
      <c r="DD33" s="601"/>
      <c r="DE33" s="601"/>
      <c r="DF33" s="601"/>
      <c r="DG33" s="601"/>
      <c r="DH33" s="601"/>
      <c r="DI33" s="601"/>
      <c r="DJ33" s="601"/>
      <c r="DK33" s="601"/>
      <c r="DL33" s="601"/>
      <c r="DM33" s="601"/>
      <c r="DN33" s="601"/>
      <c r="DO33" s="601"/>
      <c r="DP33" s="601"/>
      <c r="DQ33" s="601"/>
      <c r="DR33" s="601"/>
      <c r="DS33" s="601"/>
      <c r="DT33" s="601"/>
      <c r="DU33" s="601"/>
      <c r="DV33" s="601"/>
      <c r="DW33" s="601"/>
    </row>
    <row r="34" spans="1:127" s="310" customFormat="1">
      <c r="A34" s="570" t="s">
        <v>1213</v>
      </c>
      <c r="B34" s="980"/>
      <c r="C34" s="980"/>
      <c r="E34" s="396">
        <f ca="1">ABS(MIN($H$10:$DW$10))</f>
        <v>0</v>
      </c>
      <c r="G34" s="602"/>
      <c r="H34" s="583"/>
      <c r="I34" s="583"/>
      <c r="J34" s="583"/>
      <c r="K34" s="583"/>
      <c r="L34" s="583"/>
      <c r="M34" s="583"/>
      <c r="N34" s="583"/>
      <c r="O34" s="583"/>
      <c r="P34" s="583"/>
      <c r="Q34" s="583"/>
      <c r="R34" s="583"/>
      <c r="S34" s="583"/>
      <c r="T34" s="583"/>
      <c r="U34" s="583"/>
      <c r="V34" s="583"/>
      <c r="W34" s="583"/>
      <c r="X34" s="583"/>
      <c r="Y34" s="583"/>
      <c r="Z34" s="583"/>
      <c r="AA34" s="583"/>
      <c r="AB34" s="583"/>
      <c r="AC34" s="583"/>
      <c r="AD34" s="583"/>
      <c r="AE34" s="583"/>
      <c r="AF34" s="583"/>
      <c r="AG34" s="583"/>
      <c r="AH34" s="583"/>
      <c r="AI34" s="583"/>
      <c r="AJ34" s="583"/>
      <c r="AK34" s="583"/>
      <c r="AL34" s="583"/>
      <c r="AM34" s="583"/>
      <c r="AN34" s="583"/>
      <c r="AO34" s="583"/>
      <c r="AP34" s="583"/>
      <c r="AQ34" s="583"/>
      <c r="AR34" s="583"/>
      <c r="AS34" s="583"/>
      <c r="AT34" s="583"/>
      <c r="AU34" s="583"/>
      <c r="AV34" s="583"/>
      <c r="AW34" s="583"/>
      <c r="AX34" s="583"/>
      <c r="AY34" s="583"/>
      <c r="AZ34" s="583"/>
      <c r="BA34" s="583"/>
      <c r="BB34" s="583"/>
      <c r="BC34" s="583"/>
      <c r="BD34" s="583"/>
      <c r="BE34" s="583"/>
      <c r="BF34" s="583"/>
      <c r="BG34" s="583"/>
      <c r="BH34" s="583"/>
      <c r="BI34" s="583"/>
      <c r="BJ34" s="583"/>
      <c r="BK34" s="583"/>
      <c r="BL34" s="583"/>
      <c r="BM34" s="583"/>
      <c r="BN34" s="583"/>
      <c r="BO34" s="583"/>
      <c r="BP34" s="583"/>
      <c r="BQ34" s="583"/>
      <c r="BR34" s="583"/>
      <c r="BS34" s="583"/>
      <c r="BT34" s="583"/>
      <c r="BU34" s="583"/>
      <c r="BV34" s="583"/>
      <c r="BW34" s="583"/>
      <c r="BX34" s="583"/>
      <c r="BY34" s="583"/>
      <c r="BZ34" s="583"/>
      <c r="CA34" s="583"/>
      <c r="CB34" s="583"/>
      <c r="CC34" s="583"/>
      <c r="CD34" s="583"/>
      <c r="CE34" s="583"/>
      <c r="CF34" s="583"/>
      <c r="CG34" s="583"/>
      <c r="CH34" s="583"/>
      <c r="CI34" s="583"/>
      <c r="CJ34" s="583"/>
      <c r="CK34" s="583"/>
      <c r="CL34" s="583"/>
      <c r="CM34" s="583"/>
      <c r="CN34" s="583"/>
      <c r="CO34" s="583"/>
      <c r="CP34" s="583"/>
      <c r="CQ34" s="583"/>
      <c r="CR34" s="583"/>
      <c r="CS34" s="583"/>
      <c r="CT34" s="583"/>
      <c r="CU34" s="583"/>
      <c r="CV34" s="583"/>
      <c r="CW34" s="583"/>
      <c r="CX34" s="583"/>
      <c r="CY34" s="583"/>
      <c r="CZ34" s="583"/>
      <c r="DA34" s="583"/>
      <c r="DB34" s="583"/>
      <c r="DC34" s="583"/>
      <c r="DD34" s="583"/>
      <c r="DE34" s="583"/>
      <c r="DF34" s="583"/>
      <c r="DG34" s="583"/>
      <c r="DH34" s="583"/>
      <c r="DI34" s="583"/>
      <c r="DJ34" s="583"/>
      <c r="DK34" s="583"/>
      <c r="DL34" s="583"/>
      <c r="DM34" s="583"/>
      <c r="DN34" s="583"/>
      <c r="DO34" s="583"/>
      <c r="DP34" s="583"/>
      <c r="DQ34" s="583"/>
      <c r="DR34" s="583"/>
      <c r="DS34" s="583"/>
      <c r="DT34" s="583"/>
      <c r="DU34" s="583"/>
      <c r="DV34" s="583"/>
      <c r="DW34" s="583"/>
    </row>
    <row r="36" spans="1:127" ht="11.1" customHeight="1">
      <c r="A36" s="481" t="s">
        <v>1214</v>
      </c>
      <c r="B36" s="481"/>
      <c r="C36" s="481"/>
      <c r="E36" s="344"/>
      <c r="G36" s="577">
        <f ca="1">MAX(SUM(BS!G25:G27,BS!G29)/BS!G31,0)</f>
        <v>0.73917582045955776</v>
      </c>
      <c r="H36" s="577">
        <f ca="1">MAX(SUM(BS!H25:H27,BS!H29)/BS!H31,0)</f>
        <v>0.74211872366594778</v>
      </c>
      <c r="I36" s="577">
        <f ca="1">MAX(SUM(BS!I25:I27,BS!I29)/BS!I31,0)</f>
        <v>0.74466036196470509</v>
      </c>
      <c r="J36" s="577">
        <f ca="1">MAX(SUM(BS!J25:J27,BS!J29)/BS!J31,0)</f>
        <v>0.74632289907596694</v>
      </c>
      <c r="K36" s="577">
        <f ca="1">MAX(SUM(BS!K25:K27,BS!K29)/BS!K31,0)</f>
        <v>0.74644427212439624</v>
      </c>
      <c r="L36" s="577">
        <f ca="1">MAX(SUM(BS!L25:L27,BS!L29)/BS!L31,0)</f>
        <v>0.74584627344116627</v>
      </c>
      <c r="M36" s="577">
        <f ca="1">MAX(SUM(BS!M25:M27,BS!M29)/BS!M31,0)</f>
        <v>0.74358597628921785</v>
      </c>
      <c r="N36" s="577">
        <f ca="1">MAX(SUM(BS!N25:N27,BS!N29)/BS!N31,0)</f>
        <v>0.74063752825091056</v>
      </c>
      <c r="O36" s="577">
        <f ca="1">MAX(SUM(BS!O25:O27,BS!O29)/BS!O31,0)</f>
        <v>0.73614809840590723</v>
      </c>
      <c r="P36" s="577">
        <f ca="1">MAX(SUM(BS!P25:P27,BS!P29)/BS!P31,0)</f>
        <v>0.73031184053151299</v>
      </c>
      <c r="Q36" s="577">
        <f ca="1">MAX(SUM(BS!Q25:Q27,BS!Q29)/BS!Q31,0)</f>
        <v>0.72304885363715921</v>
      </c>
      <c r="R36" s="577">
        <f ca="1">MAX(SUM(BS!R25:R27,BS!R29)/BS!R31,0)</f>
        <v>0.71366907537536706</v>
      </c>
      <c r="S36" s="577">
        <f ca="1">MAX(SUM(BS!S25:S27,BS!S29)/BS!S31,0)</f>
        <v>0.70289827768813962</v>
      </c>
      <c r="T36" s="577">
        <f ca="1">MAX(SUM(BS!T25:T27,BS!T29)/BS!T31,0)</f>
        <v>0.6888036250670404</v>
      </c>
      <c r="U36" s="577">
        <f ca="1">MAX(SUM(BS!U25:U27,BS!U29)/BS!U31,0)</f>
        <v>0.67345434524377201</v>
      </c>
      <c r="V36" s="577">
        <f ca="1">MAX(SUM(BS!V25:V27,BS!V29)/BS!V31,0)</f>
        <v>0.65335717793820747</v>
      </c>
      <c r="W36" s="577">
        <f ca="1">MAX(SUM(BS!W25:W27,BS!W29)/BS!W31,0)</f>
        <v>0.63201532646835923</v>
      </c>
      <c r="X36" s="577">
        <f ca="1">MAX(SUM(BS!X25:X27,BS!X29)/BS!X31,0)</f>
        <v>0.60403397137768799</v>
      </c>
      <c r="Y36" s="577">
        <f ca="1">MAX(SUM(BS!Y25:Y27,BS!Y29)/BS!Y31,0)</f>
        <v>0.57469651688527623</v>
      </c>
      <c r="Z36" s="577">
        <f ca="1">MAX(SUM(BS!Z25:Z27,BS!Z29)/BS!Z31,0)</f>
        <v>0.536344850599629</v>
      </c>
      <c r="AA36" s="577">
        <f ca="1">MAX(SUM(BS!AA25:AA27,BS!AA29)/BS!AA31,0)</f>
        <v>0.49605812124431298</v>
      </c>
      <c r="AB36" s="577">
        <f ca="1">MAX(SUM(BS!AB25:AB27,BS!AB29)/BS!AB31,0)</f>
        <v>0.44949538522723714</v>
      </c>
      <c r="AC36" s="577">
        <f ca="1">MAX(SUM(BS!AC25:AC27,BS!AC29)/BS!AC31,0)</f>
        <v>0.39991927171840685</v>
      </c>
      <c r="AD36" s="577">
        <f ca="1">MAX(SUM(BS!AD25:AD27,BS!AD29)/BS!AD31,0)</f>
        <v>0.33510705091247778</v>
      </c>
      <c r="AE36" s="577">
        <f ca="1">MAX(SUM(BS!AE25:AE27,BS!AE29)/BS!AE31,0)</f>
        <v>0.26573874681041487</v>
      </c>
      <c r="AF36" s="577">
        <f ca="1">MAX(SUM(BS!AF25:AF27,BS!AF29)/BS!AF31,0)</f>
        <v>0.21195372499221662</v>
      </c>
      <c r="AG36" s="577">
        <f ca="1">MAX(SUM(BS!AG25:AG27,BS!AG29)/BS!AG31,0)</f>
        <v>0.15445255751337217</v>
      </c>
      <c r="AH36" s="577">
        <f ca="1">MAX(SUM(BS!AH25:AH27,BS!AH29)/BS!AH31,0)</f>
        <v>8.0167988851289701E-2</v>
      </c>
      <c r="AI36" s="577">
        <f ca="1">MAX(SUM(BS!AI25:AI27,BS!AI29)/BS!AI31,0)</f>
        <v>0</v>
      </c>
      <c r="AJ36" s="577">
        <f ca="1">MAX(SUM(BS!AJ25:AJ27,BS!AJ29)/BS!AJ31,0)</f>
        <v>0</v>
      </c>
      <c r="AK36" s="577">
        <f ca="1">MAX(SUM(BS!AK25:AK27,BS!AK29)/BS!AK31,0)</f>
        <v>0</v>
      </c>
      <c r="AL36" s="577">
        <f ca="1">MAX(SUM(BS!AL25:AL27,BS!AL29)/BS!AL31,0)</f>
        <v>0</v>
      </c>
      <c r="AM36" s="577">
        <f ca="1">MAX(SUM(BS!AM25:AM27,BS!AM29)/BS!AM31,0)</f>
        <v>0</v>
      </c>
      <c r="AN36" s="577">
        <f ca="1">MAX(SUM(BS!AN25:AN27,BS!AN29)/BS!AN31,0)</f>
        <v>0</v>
      </c>
      <c r="AO36" s="577">
        <f ca="1">MAX(SUM(BS!AO25:AO27,BS!AO29)/BS!AO31,0)</f>
        <v>0</v>
      </c>
      <c r="AP36" s="577">
        <f ca="1">MAX(SUM(BS!AP25:AP27,BS!AP29)/BS!AP31,0)</f>
        <v>0</v>
      </c>
      <c r="AQ36" s="577">
        <f ca="1">MAX(SUM(BS!AQ25:AQ27,BS!AQ29)/BS!AQ31,0)</f>
        <v>0</v>
      </c>
      <c r="AR36" s="577">
        <f ca="1">MAX(SUM(BS!AR25:AR27,BS!AR29)/BS!AR31,0)</f>
        <v>0</v>
      </c>
      <c r="AS36" s="577">
        <f ca="1">MAX(SUM(BS!AS25:AS27,BS!AS29)/BS!AS31,0)</f>
        <v>0</v>
      </c>
      <c r="AT36" s="577">
        <f ca="1">MAX(SUM(BS!AT25:AT27,BS!AT29)/BS!AT31,0)</f>
        <v>0</v>
      </c>
      <c r="AU36" s="577">
        <f ca="1">MAX(SUM(BS!AU25:AU27,BS!AU29)/BS!AU31,0)</f>
        <v>0</v>
      </c>
      <c r="AV36" s="577">
        <f ca="1">MAX(SUM(BS!AV25:AV27,BS!AV29)/BS!AV31,0)</f>
        <v>0</v>
      </c>
      <c r="AW36" s="577">
        <f ca="1">MAX(SUM(BS!AW25:AW27,BS!AW29)/BS!AW31,0)</f>
        <v>0</v>
      </c>
      <c r="AX36" s="577">
        <f ca="1">MAX(SUM(BS!AX25:AX27,BS!AX29)/BS!AX31,0)</f>
        <v>0</v>
      </c>
      <c r="AY36" s="577">
        <f ca="1">MAX(SUM(BS!AY25:AY27,BS!AY29)/BS!AY31,0)</f>
        <v>0</v>
      </c>
      <c r="AZ36" s="577">
        <f ca="1">MAX(SUM(BS!AZ25:AZ27,BS!AZ29)/BS!AZ31,0)</f>
        <v>0</v>
      </c>
      <c r="BA36" s="577">
        <f ca="1">MAX(SUM(BS!BA25:BA27,BS!BA29)/BS!BA31,0)</f>
        <v>0</v>
      </c>
      <c r="BB36" s="577">
        <f ca="1">MAX(SUM(BS!BB25:BB27,BS!BB29)/BS!BB31,0)</f>
        <v>0</v>
      </c>
      <c r="BC36" s="577">
        <f ca="1">MAX(SUM(BS!BC25:BC27,BS!BC29)/BS!BC31,0)</f>
        <v>0</v>
      </c>
      <c r="BD36" s="577">
        <f ca="1">MAX(SUM(BS!BD25:BD27,BS!BD29)/BS!BD31,0)</f>
        <v>0</v>
      </c>
      <c r="BE36" s="577">
        <f ca="1">MAX(SUM(BS!BE25:BE27,BS!BE29)/BS!BE31,0)</f>
        <v>0</v>
      </c>
      <c r="BF36" s="577">
        <f ca="1">MAX(SUM(BS!BF25:BF27,BS!BF29)/BS!BF31,0)</f>
        <v>0</v>
      </c>
      <c r="BG36" s="577">
        <f ca="1">MAX(SUM(BS!BG25:BG27,BS!BG29)/BS!BG31,0)</f>
        <v>0</v>
      </c>
      <c r="BH36" s="577">
        <f ca="1">MAX(SUM(BS!BH25:BH27,BS!BH29)/BS!BH31,0)</f>
        <v>0</v>
      </c>
      <c r="BI36" s="577">
        <f ca="1">MAX(SUM(BS!BI25:BI27,BS!BI29)/BS!BI31,0)</f>
        <v>0</v>
      </c>
      <c r="BJ36" s="577">
        <f ca="1">MAX(SUM(BS!BJ25:BJ27,BS!BJ29)/BS!BJ31,0)</f>
        <v>0</v>
      </c>
      <c r="BK36" s="577">
        <f ca="1">MAX(SUM(BS!BK25:BK27,BS!BK29)/BS!BK31,0)</f>
        <v>0</v>
      </c>
      <c r="BL36" s="577">
        <f ca="1">MAX(SUM(BS!BL25:BL27,BS!BL29)/BS!BL31,0)</f>
        <v>0</v>
      </c>
      <c r="BM36" s="577">
        <f ca="1">MAX(SUM(BS!BM25:BM27,BS!BM29)/BS!BM31,0)</f>
        <v>0</v>
      </c>
      <c r="BN36" s="577">
        <f ca="1">MAX(SUM(BS!BN25:BN27,BS!BN29)/BS!BN31,0)</f>
        <v>0</v>
      </c>
      <c r="BO36" s="577">
        <f ca="1">MAX(SUM(BS!BO25:BO27,BS!BO29)/BS!BO31,0)</f>
        <v>0</v>
      </c>
      <c r="BP36" s="577"/>
      <c r="BQ36" s="577"/>
      <c r="BR36" s="577"/>
      <c r="BS36" s="577"/>
      <c r="BT36" s="577"/>
      <c r="BU36" s="577"/>
      <c r="BV36" s="577"/>
      <c r="BW36" s="577"/>
      <c r="BX36" s="577"/>
      <c r="BY36" s="577"/>
      <c r="BZ36" s="577"/>
      <c r="CA36" s="577"/>
      <c r="CB36" s="577"/>
      <c r="CC36" s="577"/>
      <c r="CD36" s="577"/>
      <c r="CE36" s="577"/>
      <c r="CF36" s="577"/>
      <c r="CG36" s="577"/>
      <c r="CH36" s="577"/>
      <c r="CI36" s="577"/>
      <c r="CJ36" s="577"/>
      <c r="CK36" s="577"/>
      <c r="CL36" s="577"/>
      <c r="CM36" s="577"/>
      <c r="CN36" s="577"/>
      <c r="CO36" s="577"/>
      <c r="CP36" s="577"/>
      <c r="CQ36" s="577"/>
      <c r="CR36" s="577"/>
      <c r="CS36" s="577"/>
      <c r="CT36" s="577"/>
      <c r="CU36" s="577"/>
      <c r="CV36" s="577"/>
      <c r="CW36" s="577"/>
      <c r="CX36" s="577"/>
      <c r="CY36" s="577"/>
      <c r="CZ36" s="577"/>
      <c r="DA36" s="577"/>
      <c r="DB36" s="577"/>
      <c r="DC36" s="577"/>
      <c r="DD36" s="577"/>
      <c r="DE36" s="577"/>
      <c r="DF36" s="577"/>
      <c r="DG36" s="577"/>
      <c r="DH36" s="577"/>
      <c r="DI36" s="577"/>
      <c r="DJ36" s="577"/>
      <c r="DK36" s="577"/>
      <c r="DL36" s="577"/>
      <c r="DM36" s="577"/>
      <c r="DN36" s="577"/>
      <c r="DO36" s="577"/>
      <c r="DP36" s="577"/>
      <c r="DQ36" s="577"/>
      <c r="DR36" s="577"/>
      <c r="DS36" s="577"/>
      <c r="DT36" s="577"/>
      <c r="DU36" s="577"/>
      <c r="DV36" s="577"/>
      <c r="DW36" s="577"/>
    </row>
    <row r="37" spans="1:127">
      <c r="A37" s="481" t="s">
        <v>1215</v>
      </c>
      <c r="B37" s="927">
        <f>Inputs!$D$196</f>
        <v>14</v>
      </c>
      <c r="C37" s="927"/>
      <c r="E37" s="344"/>
      <c r="G37" s="979">
        <f>VLOOKUP(BS!G3,Inputs!$C$226:$D$227,2,1)*(BS!G3&lt;=$B37)</f>
        <v>1</v>
      </c>
      <c r="H37" s="979">
        <f>VLOOKUP(BS!H3,Inputs!$C$226:$D$227,2,1)*(BS!H3&lt;=$B37)</f>
        <v>1</v>
      </c>
      <c r="I37" s="979">
        <f>VLOOKUP(BS!I3,Inputs!$C$226:$D$227,2,1)*(BS!I3&lt;=$B37)</f>
        <v>1</v>
      </c>
      <c r="J37" s="979">
        <f>VLOOKUP(BS!J3,Inputs!$C$226:$D$227,2,1)*(BS!J3&lt;=$B37)</f>
        <v>1</v>
      </c>
      <c r="K37" s="979">
        <f>VLOOKUP(BS!K3,Inputs!$C$226:$D$227,2,1)*(BS!K3&lt;=$B37)</f>
        <v>1</v>
      </c>
      <c r="L37" s="979">
        <f>VLOOKUP(BS!L3,Inputs!$C$226:$D$227,2,1)*(BS!L3&lt;=$B37)</f>
        <v>1</v>
      </c>
      <c r="M37" s="979">
        <f>VLOOKUP(BS!M3,Inputs!$C$226:$D$227,2,1)*(BS!M3&lt;=$B37)</f>
        <v>1</v>
      </c>
      <c r="N37" s="979">
        <f>VLOOKUP(BS!N3,Inputs!$C$226:$D$227,2,1)*(BS!N3&lt;=$B37)</f>
        <v>1</v>
      </c>
      <c r="O37" s="979">
        <f>VLOOKUP(BS!O3,Inputs!$C$226:$D$227,2,1)*(BS!O3&lt;=$B37)</f>
        <v>1</v>
      </c>
      <c r="P37" s="979">
        <f>VLOOKUP(BS!P3,Inputs!$C$226:$D$227,2,1)*(BS!P3&lt;=$B37)</f>
        <v>1</v>
      </c>
      <c r="Q37" s="979">
        <f>VLOOKUP(BS!Q3,Inputs!$C$226:$D$227,2,1)*(BS!Q3&lt;=$B37)</f>
        <v>1</v>
      </c>
      <c r="R37" s="979">
        <f>VLOOKUP(BS!R3,Inputs!$C$226:$D$227,2,1)*(BS!R3&lt;=$B37)</f>
        <v>1</v>
      </c>
      <c r="S37" s="979">
        <f>VLOOKUP(BS!S3,Inputs!$C$226:$D$227,2,1)*(BS!S3&lt;=$B37)</f>
        <v>1</v>
      </c>
      <c r="T37" s="979">
        <f>VLOOKUP(BS!T3,Inputs!$C$226:$D$227,2,1)*(BS!T3&lt;=$B37)</f>
        <v>1</v>
      </c>
      <c r="U37" s="979">
        <f>VLOOKUP(BS!U3,Inputs!$C$226:$D$227,2,1)*(BS!U3&lt;=$B37)</f>
        <v>1</v>
      </c>
      <c r="V37" s="979">
        <f>VLOOKUP(BS!V3,Inputs!$C$226:$D$227,2,1)*(BS!V3&lt;=$B37)</f>
        <v>1</v>
      </c>
      <c r="W37" s="979">
        <f>VLOOKUP(BS!W3,Inputs!$C$226:$D$227,2,1)*(BS!W3&lt;=$B37)</f>
        <v>1</v>
      </c>
      <c r="X37" s="979">
        <f>VLOOKUP(BS!X3,Inputs!$C$226:$D$227,2,1)*(BS!X3&lt;=$B37)</f>
        <v>1</v>
      </c>
      <c r="Y37" s="979">
        <f>VLOOKUP(BS!Y3,Inputs!$C$226:$D$227,2,1)*(BS!Y3&lt;=$B37)</f>
        <v>1</v>
      </c>
      <c r="Z37" s="979">
        <f>VLOOKUP(BS!Z3,Inputs!$C$226:$D$227,2,1)*(BS!Z3&lt;=$B37)</f>
        <v>1</v>
      </c>
      <c r="AA37" s="979">
        <f>VLOOKUP(BS!AA3,Inputs!$C$226:$D$227,2,1)*(BS!AA3&lt;=$B37)</f>
        <v>1</v>
      </c>
      <c r="AB37" s="979">
        <f>VLOOKUP(BS!AB3,Inputs!$C$226:$D$227,2,1)*(BS!AB3&lt;=$B37)</f>
        <v>1</v>
      </c>
      <c r="AC37" s="979">
        <f>VLOOKUP(BS!AC3,Inputs!$C$226:$D$227,2,1)*(BS!AC3&lt;=$B37)</f>
        <v>1</v>
      </c>
      <c r="AD37" s="979">
        <f>VLOOKUP(BS!AD3,Inputs!$C$226:$D$227,2,1)*(BS!AD3&lt;=$B37)</f>
        <v>1</v>
      </c>
      <c r="AE37" s="979">
        <f>VLOOKUP(BS!AE3,Inputs!$C$226:$D$227,2,1)*(BS!AE3&lt;=$B37)</f>
        <v>1</v>
      </c>
      <c r="AF37" s="979">
        <f>VLOOKUP(BS!AF3,Inputs!$C$226:$D$227,2,1)*(BS!AF3&lt;=$B37)</f>
        <v>1</v>
      </c>
      <c r="AG37" s="979">
        <f>VLOOKUP(BS!AG3,Inputs!$C$226:$D$227,2,1)*(BS!AG3&lt;=$B37)</f>
        <v>1</v>
      </c>
      <c r="AH37" s="979">
        <f>VLOOKUP(BS!AH3,Inputs!$C$226:$D$227,2,1)*(BS!AH3&lt;=$B37)</f>
        <v>1</v>
      </c>
      <c r="AI37" s="979">
        <f>VLOOKUP(BS!AI3,Inputs!$C$226:$D$227,2,1)*(BS!AI3&lt;=$B37)</f>
        <v>1</v>
      </c>
      <c r="AJ37" s="979">
        <f>VLOOKUP(BS!AJ3,Inputs!$C$226:$D$227,2,1)*(BS!AJ3&lt;=$B37)</f>
        <v>0</v>
      </c>
      <c r="AK37" s="979">
        <f>VLOOKUP(BS!AK3,Inputs!$C$226:$D$227,2,1)*(BS!AK3&lt;=$B37)</f>
        <v>0</v>
      </c>
      <c r="AL37" s="979">
        <f>VLOOKUP(BS!AL3,Inputs!$C$226:$D$227,2,1)*(BS!AL3&lt;=$B37)</f>
        <v>0</v>
      </c>
      <c r="AM37" s="979">
        <f>VLOOKUP(BS!AM3,Inputs!$C$226:$D$227,2,1)*(BS!AM3&lt;=$B37)</f>
        <v>0</v>
      </c>
      <c r="AN37" s="979">
        <f>VLOOKUP(BS!AN3,Inputs!$C$226:$D$227,2,1)*(BS!AN3&lt;=$B37)</f>
        <v>0</v>
      </c>
      <c r="AO37" s="979">
        <f>VLOOKUP(BS!AO3,Inputs!$C$226:$D$227,2,1)*(BS!AO3&lt;=$B37)</f>
        <v>0</v>
      </c>
      <c r="AP37" s="979">
        <f>VLOOKUP(BS!AP3,Inputs!$C$226:$D$227,2,1)*(BS!AP3&lt;=$B37)</f>
        <v>0</v>
      </c>
      <c r="AQ37" s="979">
        <f>VLOOKUP(BS!AQ3,Inputs!$C$226:$D$227,2,1)*(BS!AQ3&lt;=$B37)</f>
        <v>0</v>
      </c>
      <c r="AR37" s="979">
        <f>VLOOKUP(BS!AR3,Inputs!$C$226:$D$227,2,1)*(BS!AR3&lt;=$B37)</f>
        <v>0</v>
      </c>
      <c r="AS37" s="979">
        <f>VLOOKUP(BS!AS3,Inputs!$C$226:$D$227,2,1)*(BS!AS3&lt;=$B37)</f>
        <v>0</v>
      </c>
      <c r="AT37" s="979">
        <f>VLOOKUP(BS!AT3,Inputs!$C$226:$D$227,2,1)*(BS!AT3&lt;=$B37)</f>
        <v>0</v>
      </c>
      <c r="AU37" s="979">
        <f>VLOOKUP(BS!AU3,Inputs!$C$226:$D$227,2,1)*(BS!AU3&lt;=$B37)</f>
        <v>0</v>
      </c>
      <c r="AV37" s="979">
        <f>VLOOKUP(BS!AV3,Inputs!$C$226:$D$227,2,1)*(BS!AV3&lt;=$B37)</f>
        <v>0</v>
      </c>
      <c r="AW37" s="979">
        <f>VLOOKUP(BS!AW3,Inputs!$C$226:$D$227,2,1)*(BS!AW3&lt;=$B37)</f>
        <v>0</v>
      </c>
      <c r="AX37" s="979">
        <f>VLOOKUP(BS!AX3,Inputs!$C$226:$D$227,2,1)*(BS!AX3&lt;=$B37)</f>
        <v>0</v>
      </c>
      <c r="AY37" s="979">
        <f>VLOOKUP(BS!AY3,Inputs!$C$226:$D$227,2,1)*(BS!AY3&lt;=$B37)</f>
        <v>0</v>
      </c>
      <c r="AZ37" s="979">
        <f>VLOOKUP(BS!AZ3,Inputs!$C$226:$D$227,2,1)*(BS!AZ3&lt;=$B37)</f>
        <v>0</v>
      </c>
      <c r="BA37" s="979">
        <f>VLOOKUP(BS!BA3,Inputs!$C$226:$D$227,2,1)*(BS!BA3&lt;=$B37)</f>
        <v>0</v>
      </c>
      <c r="BB37" s="979">
        <f>VLOOKUP(BS!BB3,Inputs!$C$226:$D$227,2,1)*(BS!BB3&lt;=$B37)</f>
        <v>0</v>
      </c>
      <c r="BC37" s="979">
        <f>VLOOKUP(BS!BC3,Inputs!$C$226:$D$227,2,1)*(BS!BC3&lt;=$B37)</f>
        <v>0</v>
      </c>
      <c r="BD37" s="979">
        <f>VLOOKUP(BS!BD3,Inputs!$C$226:$D$227,2,1)*(BS!BD3&lt;=$B37)</f>
        <v>0</v>
      </c>
      <c r="BE37" s="979">
        <f>VLOOKUP(BS!BE3,Inputs!$C$226:$D$227,2,1)*(BS!BE3&lt;=$B37)</f>
        <v>0</v>
      </c>
      <c r="BF37" s="979">
        <f>VLOOKUP(BS!BF3,Inputs!$C$226:$D$227,2,1)*(BS!BF3&lt;=$B37)</f>
        <v>0</v>
      </c>
      <c r="BG37" s="979">
        <f>VLOOKUP(BS!BG3,Inputs!$C$226:$D$227,2,1)*(BS!BG3&lt;=$B37)</f>
        <v>0</v>
      </c>
      <c r="BH37" s="979">
        <f>VLOOKUP(BS!BH3,Inputs!$C$226:$D$227,2,1)*(BS!BH3&lt;=$B37)</f>
        <v>0</v>
      </c>
      <c r="BI37" s="979">
        <f>VLOOKUP(BS!BI3,Inputs!$C$226:$D$227,2,1)*(BS!BI3&lt;=$B37)</f>
        <v>0</v>
      </c>
      <c r="BJ37" s="979">
        <f>VLOOKUP(BS!BJ3,Inputs!$C$226:$D$227,2,1)*(BS!BJ3&lt;=$B37)</f>
        <v>0</v>
      </c>
      <c r="BK37" s="979">
        <f>VLOOKUP(BS!BK3,Inputs!$C$226:$D$227,2,1)*(BS!BK3&lt;=$B37)</f>
        <v>0</v>
      </c>
      <c r="BL37" s="979">
        <f>VLOOKUP(BS!BL3,Inputs!$C$226:$D$227,2,1)*(BS!BL3&lt;=$B37)</f>
        <v>0</v>
      </c>
      <c r="BM37" s="979">
        <f>VLOOKUP(BS!BM3,Inputs!$C$226:$D$227,2,1)*(BS!BM3&lt;=$B37)</f>
        <v>0</v>
      </c>
      <c r="BN37" s="979">
        <f>VLOOKUP(BS!BN3,Inputs!$C$226:$D$227,2,1)*(BS!BN3&lt;=$B37)</f>
        <v>0</v>
      </c>
      <c r="BO37" s="979">
        <f>VLOOKUP(BS!BO3,Inputs!$C$226:$D$227,2,1)*(BS!BO3&lt;=$B37)</f>
        <v>0</v>
      </c>
      <c r="BP37" s="979"/>
      <c r="BQ37" s="979"/>
      <c r="BR37" s="979"/>
      <c r="BS37" s="979"/>
      <c r="BT37" s="979"/>
      <c r="BU37" s="979"/>
      <c r="BV37" s="979"/>
      <c r="BW37" s="979"/>
      <c r="BX37" s="979"/>
      <c r="BY37" s="979"/>
      <c r="BZ37" s="979"/>
      <c r="CA37" s="979"/>
      <c r="CB37" s="979"/>
      <c r="CC37" s="979"/>
      <c r="CD37" s="979"/>
      <c r="CE37" s="979"/>
      <c r="CF37" s="979"/>
      <c r="CG37" s="979"/>
      <c r="CH37" s="979"/>
      <c r="CI37" s="979"/>
      <c r="CJ37" s="979"/>
      <c r="CK37" s="979"/>
      <c r="CL37" s="979"/>
      <c r="CM37" s="979"/>
      <c r="CN37" s="979"/>
      <c r="CO37" s="979"/>
      <c r="CP37" s="979"/>
      <c r="CQ37" s="979"/>
      <c r="CR37" s="979"/>
      <c r="CS37" s="979"/>
      <c r="CT37" s="979"/>
      <c r="CU37" s="979"/>
      <c r="CV37" s="979"/>
      <c r="CW37" s="979"/>
      <c r="CX37" s="979"/>
      <c r="CY37" s="979"/>
      <c r="CZ37" s="979"/>
      <c r="DA37" s="979"/>
      <c r="DB37" s="979"/>
      <c r="DC37" s="979"/>
      <c r="DD37" s="979"/>
      <c r="DE37" s="979"/>
      <c r="DF37" s="979"/>
      <c r="DG37" s="979"/>
      <c r="DH37" s="979"/>
      <c r="DI37" s="979"/>
      <c r="DJ37" s="979"/>
      <c r="DK37" s="979"/>
      <c r="DL37" s="979"/>
      <c r="DM37" s="979"/>
      <c r="DN37" s="979"/>
      <c r="DO37" s="979"/>
      <c r="DP37" s="979"/>
      <c r="DQ37" s="979"/>
      <c r="DR37" s="979"/>
      <c r="DS37" s="979"/>
      <c r="DT37" s="979"/>
      <c r="DU37" s="979"/>
      <c r="DV37" s="979"/>
      <c r="DW37" s="979"/>
    </row>
    <row r="38" spans="1:127">
      <c r="A38" s="570" t="s">
        <v>1216</v>
      </c>
      <c r="B38" s="980"/>
      <c r="C38" s="980"/>
      <c r="E38" s="396">
        <f ca="1">COUNTIF(G38:DW38,"="&amp;TRUE)</f>
        <v>0</v>
      </c>
      <c r="G38" s="601" t="b">
        <f ca="1">AND(G36&gt;=G37+precision,BS!G3&lt;=$B37)</f>
        <v>0</v>
      </c>
      <c r="H38" s="601" t="b">
        <f ca="1">AND(H36&gt;=H37+precision,BS!H3&lt;=$B37)</f>
        <v>0</v>
      </c>
      <c r="I38" s="601" t="b">
        <f ca="1">AND(I36&gt;=I37+precision,BS!I3&lt;=$B37)</f>
        <v>0</v>
      </c>
      <c r="J38" s="601" t="b">
        <f ca="1">AND(J36&gt;=J37+precision,BS!J3&lt;=$B37)</f>
        <v>0</v>
      </c>
      <c r="K38" s="601" t="b">
        <f ca="1">AND(K36&gt;=K37+precision,BS!K3&lt;=$B37)</f>
        <v>0</v>
      </c>
      <c r="L38" s="601" t="b">
        <f ca="1">AND(L36&gt;=L37+precision,BS!L3&lt;=$B37)</f>
        <v>0</v>
      </c>
      <c r="M38" s="601" t="b">
        <f ca="1">AND(M36&gt;=M37+precision,BS!M3&lt;=$B37)</f>
        <v>0</v>
      </c>
      <c r="N38" s="601" t="b">
        <f ca="1">AND(N36&gt;=N37+precision,BS!N3&lt;=$B37)</f>
        <v>0</v>
      </c>
      <c r="O38" s="601" t="b">
        <f ca="1">AND(O36&gt;=O37+precision,BS!O3&lt;=$B37)</f>
        <v>0</v>
      </c>
      <c r="P38" s="601" t="b">
        <f ca="1">AND(P36&gt;=P37+precision,BS!P3&lt;=$B37)</f>
        <v>0</v>
      </c>
      <c r="Q38" s="601" t="b">
        <f ca="1">AND(Q36&gt;=Q37+precision,BS!Q3&lt;=$B37)</f>
        <v>0</v>
      </c>
      <c r="R38" s="601" t="b">
        <f ca="1">AND(R36&gt;=R37+precision,BS!R3&lt;=$B37)</f>
        <v>0</v>
      </c>
      <c r="S38" s="601" t="b">
        <f ca="1">AND(S36&gt;=S37+precision,BS!S3&lt;=$B37)</f>
        <v>0</v>
      </c>
      <c r="T38" s="601" t="b">
        <f ca="1">AND(T36&gt;=T37+precision,BS!T3&lt;=$B37)</f>
        <v>0</v>
      </c>
      <c r="U38" s="601" t="b">
        <f ca="1">AND(U36&gt;=U37+precision,BS!U3&lt;=$B37)</f>
        <v>0</v>
      </c>
      <c r="V38" s="601" t="b">
        <f ca="1">AND(V36&gt;=V37+precision,BS!V3&lt;=$B37)</f>
        <v>0</v>
      </c>
      <c r="W38" s="601" t="b">
        <f ca="1">AND(W36&gt;=W37+precision,BS!W3&lt;=$B37)</f>
        <v>0</v>
      </c>
      <c r="X38" s="601" t="b">
        <f ca="1">AND(X36&gt;=X37+precision,BS!X3&lt;=$B37)</f>
        <v>0</v>
      </c>
      <c r="Y38" s="601" t="b">
        <f ca="1">AND(Y36&gt;=Y37+precision,BS!Y3&lt;=$B37)</f>
        <v>0</v>
      </c>
      <c r="Z38" s="601" t="b">
        <f ca="1">AND(Z36&gt;=Z37+precision,BS!Z3&lt;=$B37)</f>
        <v>0</v>
      </c>
      <c r="AA38" s="601" t="b">
        <f ca="1">AND(AA36&gt;=AA37+precision,BS!AA3&lt;=$B37)</f>
        <v>0</v>
      </c>
      <c r="AB38" s="601" t="b">
        <f ca="1">AND(AB36&gt;=AB37+precision,BS!AB3&lt;=$B37)</f>
        <v>0</v>
      </c>
      <c r="AC38" s="601" t="b">
        <f ca="1">AND(AC36&gt;=AC37+precision,BS!AC3&lt;=$B37)</f>
        <v>0</v>
      </c>
      <c r="AD38" s="601" t="b">
        <f ca="1">AND(AD36&gt;=AD37+precision,BS!AD3&lt;=$B37)</f>
        <v>0</v>
      </c>
      <c r="AE38" s="601" t="b">
        <f ca="1">AND(AE36&gt;=AE37+precision,BS!AE3&lt;=$B37)</f>
        <v>0</v>
      </c>
      <c r="AF38" s="601" t="b">
        <f ca="1">AND(AF36&gt;=AF37+precision,BS!AF3&lt;=$B37)</f>
        <v>0</v>
      </c>
      <c r="AG38" s="601" t="b">
        <f ca="1">AND(AG36&gt;=AG37+precision,BS!AG3&lt;=$B37)</f>
        <v>0</v>
      </c>
      <c r="AH38" s="601" t="b">
        <f ca="1">AND(AH36&gt;=AH37+precision,BS!AH3&lt;=$B37)</f>
        <v>0</v>
      </c>
      <c r="AI38" s="601" t="b">
        <f ca="1">AND(AI36&gt;=AI37+precision,BS!AI3&lt;=$B37)</f>
        <v>0</v>
      </c>
      <c r="AJ38" s="601" t="b">
        <f ca="1">AND(AJ36&gt;=AJ37+precision,BS!AJ3&lt;=$B37)</f>
        <v>0</v>
      </c>
      <c r="AK38" s="601" t="b">
        <f ca="1">AND(AK36&gt;=AK37+precision,BS!AK3&lt;=$B37)</f>
        <v>0</v>
      </c>
      <c r="AL38" s="601" t="b">
        <f ca="1">AND(AL36&gt;=AL37+precision,BS!AL3&lt;=$B37)</f>
        <v>0</v>
      </c>
      <c r="AM38" s="601" t="b">
        <f ca="1">AND(AM36&gt;=AM37+precision,BS!AM3&lt;=$B37)</f>
        <v>0</v>
      </c>
      <c r="AN38" s="601" t="b">
        <f ca="1">AND(AN36&gt;=AN37+precision,BS!AN3&lt;=$B37)</f>
        <v>0</v>
      </c>
      <c r="AO38" s="601" t="b">
        <f ca="1">AND(AO36&gt;=AO37+precision,BS!AO3&lt;=$B37)</f>
        <v>0</v>
      </c>
      <c r="AP38" s="601" t="b">
        <f ca="1">AND(AP36&gt;=AP37+precision,BS!AP3&lt;=$B37)</f>
        <v>0</v>
      </c>
      <c r="AQ38" s="601" t="b">
        <f ca="1">AND(AQ36&gt;=AQ37+precision,BS!AQ3&lt;=$B37)</f>
        <v>0</v>
      </c>
      <c r="AR38" s="601" t="b">
        <f ca="1">AND(AR36&gt;=AR37+precision,BS!AR3&lt;=$B37)</f>
        <v>0</v>
      </c>
      <c r="AS38" s="601" t="b">
        <f ca="1">AND(AS36&gt;=AS37+precision,BS!AS3&lt;=$B37)</f>
        <v>0</v>
      </c>
      <c r="AT38" s="601" t="b">
        <f ca="1">AND(AT36&gt;=AT37+precision,BS!AT3&lt;=$B37)</f>
        <v>0</v>
      </c>
      <c r="AU38" s="601" t="b">
        <f ca="1">AND(AU36&gt;=AU37+precision,BS!AU3&lt;=$B37)</f>
        <v>0</v>
      </c>
      <c r="AV38" s="601" t="b">
        <f ca="1">AND(AV36&gt;=AV37+precision,BS!AV3&lt;=$B37)</f>
        <v>0</v>
      </c>
      <c r="AW38" s="601" t="b">
        <f ca="1">AND(AW36&gt;=AW37+precision,BS!AW3&lt;=$B37)</f>
        <v>0</v>
      </c>
      <c r="AX38" s="601" t="b">
        <f ca="1">AND(AX36&gt;=AX37+precision,BS!AX3&lt;=$B37)</f>
        <v>0</v>
      </c>
      <c r="AY38" s="601" t="b">
        <f ca="1">AND(AY36&gt;=AY37+precision,BS!AY3&lt;=$B37)</f>
        <v>0</v>
      </c>
      <c r="AZ38" s="601" t="b">
        <f ca="1">AND(AZ36&gt;=AZ37+precision,BS!AZ3&lt;=$B37)</f>
        <v>0</v>
      </c>
      <c r="BA38" s="601" t="b">
        <f ca="1">AND(BA36&gt;=BA37+precision,BS!BA3&lt;=$B37)</f>
        <v>0</v>
      </c>
      <c r="BB38" s="601" t="b">
        <f ca="1">AND(BB36&gt;=BB37+precision,BS!BB3&lt;=$B37)</f>
        <v>0</v>
      </c>
      <c r="BC38" s="601" t="b">
        <f ca="1">AND(BC36&gt;=BC37+precision,BS!BC3&lt;=$B37)</f>
        <v>0</v>
      </c>
      <c r="BD38" s="601" t="b">
        <f ca="1">AND(BD36&gt;=BD37+precision,BS!BD3&lt;=$B37)</f>
        <v>0</v>
      </c>
      <c r="BE38" s="601" t="b">
        <f ca="1">AND(BE36&gt;=BE37+precision,BS!BE3&lt;=$B37)</f>
        <v>0</v>
      </c>
      <c r="BF38" s="601" t="b">
        <f ca="1">AND(BF36&gt;=BF37+precision,BS!BF3&lt;=$B37)</f>
        <v>0</v>
      </c>
      <c r="BG38" s="601" t="b">
        <f ca="1">AND(BG36&gt;=BG37+precision,BS!BG3&lt;=$B37)</f>
        <v>0</v>
      </c>
      <c r="BH38" s="601" t="b">
        <f ca="1">AND(BH36&gt;=BH37+precision,BS!BH3&lt;=$B37)</f>
        <v>0</v>
      </c>
      <c r="BI38" s="601" t="b">
        <f ca="1">AND(BI36&gt;=BI37+precision,BS!BI3&lt;=$B37)</f>
        <v>0</v>
      </c>
      <c r="BJ38" s="601" t="b">
        <f ca="1">AND(BJ36&gt;=BJ37+precision,BS!BJ3&lt;=$B37)</f>
        <v>0</v>
      </c>
      <c r="BK38" s="601" t="b">
        <f ca="1">AND(BK36&gt;=BK37+precision,BS!BK3&lt;=$B37)</f>
        <v>0</v>
      </c>
      <c r="BL38" s="601" t="b">
        <f ca="1">AND(BL36&gt;=BL37+precision,BS!BL3&lt;=$B37)</f>
        <v>0</v>
      </c>
      <c r="BM38" s="601" t="b">
        <f ca="1">AND(BM36&gt;=BM37+precision,BS!BM3&lt;=$B37)</f>
        <v>0</v>
      </c>
      <c r="BN38" s="601" t="b">
        <f ca="1">AND(BN36&gt;=BN37+precision,BS!BN3&lt;=$B37)</f>
        <v>0</v>
      </c>
      <c r="BO38" s="601" t="b">
        <f ca="1">AND(BO36&gt;=BO37+precision,BS!BO3&lt;=$B37)</f>
        <v>0</v>
      </c>
      <c r="BP38" s="601"/>
      <c r="BQ38" s="601"/>
      <c r="BR38" s="601"/>
      <c r="BS38" s="601"/>
      <c r="BT38" s="601"/>
      <c r="BU38" s="601"/>
      <c r="BV38" s="601"/>
      <c r="BW38" s="601"/>
      <c r="BX38" s="601"/>
      <c r="BY38" s="601"/>
      <c r="BZ38" s="601"/>
      <c r="CA38" s="601"/>
      <c r="CB38" s="601"/>
      <c r="CC38" s="601"/>
      <c r="CD38" s="601"/>
      <c r="CE38" s="601"/>
      <c r="CF38" s="601"/>
      <c r="CG38" s="601"/>
      <c r="CH38" s="601"/>
      <c r="CI38" s="601"/>
      <c r="CJ38" s="601"/>
      <c r="CK38" s="601"/>
      <c r="CL38" s="601"/>
      <c r="CM38" s="601"/>
      <c r="CN38" s="601"/>
      <c r="CO38" s="601"/>
      <c r="CP38" s="601"/>
      <c r="CQ38" s="601"/>
      <c r="CR38" s="601"/>
      <c r="CS38" s="601"/>
      <c r="CT38" s="601"/>
      <c r="CU38" s="601"/>
      <c r="CV38" s="601"/>
      <c r="CW38" s="601"/>
      <c r="CX38" s="601"/>
      <c r="CY38" s="601"/>
      <c r="CZ38" s="601"/>
      <c r="DA38" s="601"/>
      <c r="DB38" s="601"/>
      <c r="DC38" s="601"/>
      <c r="DD38" s="601"/>
      <c r="DE38" s="601"/>
      <c r="DF38" s="601"/>
      <c r="DG38" s="601"/>
      <c r="DH38" s="601"/>
      <c r="DI38" s="601"/>
      <c r="DJ38" s="601"/>
      <c r="DK38" s="601"/>
      <c r="DL38" s="601"/>
      <c r="DM38" s="601"/>
      <c r="DN38" s="601"/>
      <c r="DO38" s="601"/>
      <c r="DP38" s="601"/>
      <c r="DQ38" s="601"/>
      <c r="DR38" s="601"/>
      <c r="DS38" s="601"/>
      <c r="DT38" s="601"/>
      <c r="DU38" s="601"/>
      <c r="DV38" s="601"/>
      <c r="DW38" s="601"/>
    </row>
    <row r="39" spans="1:127">
      <c r="A39" s="570" t="s">
        <v>1217</v>
      </c>
      <c r="E39" s="396">
        <f ca="1">COUNTIF(G39:DW39,"="&amp;TRUE)</f>
        <v>39</v>
      </c>
      <c r="G39" s="601" t="b">
        <f ca="1">AND(SUM(G21:G23)&lt;=50%*G21,G3&gt;0)</f>
        <v>0</v>
      </c>
      <c r="H39" s="601" t="b">
        <f t="shared" ref="H39:BO39" ca="1" si="8">AND(SUM(H21:H23)&lt;=50%*H21,H3&gt;0)</f>
        <v>1</v>
      </c>
      <c r="I39" s="601" t="b">
        <f ca="1">AND(SUM(I21:I23)&lt;=50%*I21,I3&gt;0)</f>
        <v>1</v>
      </c>
      <c r="J39" s="601" t="b">
        <f t="shared" ca="1" si="8"/>
        <v>1</v>
      </c>
      <c r="K39" s="601" t="b">
        <f t="shared" ca="1" si="8"/>
        <v>1</v>
      </c>
      <c r="L39" s="601" t="b">
        <f t="shared" ca="1" si="8"/>
        <v>1</v>
      </c>
      <c r="M39" s="601" t="b">
        <f t="shared" ca="1" si="8"/>
        <v>1</v>
      </c>
      <c r="N39" s="601" t="b">
        <f t="shared" ca="1" si="8"/>
        <v>1</v>
      </c>
      <c r="O39" s="601" t="b">
        <f t="shared" ca="1" si="8"/>
        <v>1</v>
      </c>
      <c r="P39" s="601" t="b">
        <f t="shared" ca="1" si="8"/>
        <v>1</v>
      </c>
      <c r="Q39" s="601" t="b">
        <f t="shared" ca="1" si="8"/>
        <v>1</v>
      </c>
      <c r="R39" s="601" t="b">
        <f t="shared" ca="1" si="8"/>
        <v>1</v>
      </c>
      <c r="S39" s="601" t="b">
        <f t="shared" ca="1" si="8"/>
        <v>1</v>
      </c>
      <c r="T39" s="601" t="b">
        <f t="shared" ca="1" si="8"/>
        <v>1</v>
      </c>
      <c r="U39" s="601" t="b">
        <f t="shared" ca="1" si="8"/>
        <v>1</v>
      </c>
      <c r="V39" s="601" t="b">
        <f t="shared" ca="1" si="8"/>
        <v>1</v>
      </c>
      <c r="W39" s="601" t="b">
        <f t="shared" ca="1" si="8"/>
        <v>1</v>
      </c>
      <c r="X39" s="601" t="b">
        <f t="shared" ca="1" si="8"/>
        <v>1</v>
      </c>
      <c r="Y39" s="601" t="b">
        <f t="shared" ca="1" si="8"/>
        <v>1</v>
      </c>
      <c r="Z39" s="601" t="b">
        <f t="shared" ca="1" si="8"/>
        <v>1</v>
      </c>
      <c r="AA39" s="601" t="b">
        <f t="shared" ca="1" si="8"/>
        <v>1</v>
      </c>
      <c r="AB39" s="601" t="b">
        <f t="shared" ca="1" si="8"/>
        <v>1</v>
      </c>
      <c r="AC39" s="601" t="b">
        <f t="shared" ca="1" si="8"/>
        <v>1</v>
      </c>
      <c r="AD39" s="601" t="b">
        <f t="shared" ca="1" si="8"/>
        <v>1</v>
      </c>
      <c r="AE39" s="601" t="b">
        <f t="shared" ca="1" si="8"/>
        <v>1</v>
      </c>
      <c r="AF39" s="601" t="b">
        <f t="shared" ca="1" si="8"/>
        <v>1</v>
      </c>
      <c r="AG39" s="601" t="b">
        <f t="shared" ca="1" si="8"/>
        <v>1</v>
      </c>
      <c r="AH39" s="601" t="b">
        <f t="shared" ca="1" si="8"/>
        <v>1</v>
      </c>
      <c r="AI39" s="601" t="b">
        <f t="shared" ca="1" si="8"/>
        <v>1</v>
      </c>
      <c r="AJ39" s="601" t="b">
        <f t="shared" ca="1" si="8"/>
        <v>1</v>
      </c>
      <c r="AK39" s="601" t="b">
        <f t="shared" ca="1" si="8"/>
        <v>1</v>
      </c>
      <c r="AL39" s="601" t="b">
        <f t="shared" ca="1" si="8"/>
        <v>1</v>
      </c>
      <c r="AM39" s="601" t="b">
        <f t="shared" ca="1" si="8"/>
        <v>1</v>
      </c>
      <c r="AN39" s="601" t="b">
        <f t="shared" ca="1" si="8"/>
        <v>1</v>
      </c>
      <c r="AO39" s="601" t="b">
        <f t="shared" ca="1" si="8"/>
        <v>1</v>
      </c>
      <c r="AP39" s="601" t="b">
        <f t="shared" ca="1" si="8"/>
        <v>1</v>
      </c>
      <c r="AQ39" s="601" t="b">
        <f t="shared" ca="1" si="8"/>
        <v>1</v>
      </c>
      <c r="AR39" s="601" t="b">
        <f t="shared" ca="1" si="8"/>
        <v>1</v>
      </c>
      <c r="AS39" s="601" t="b">
        <f t="shared" ca="1" si="8"/>
        <v>1</v>
      </c>
      <c r="AT39" s="601" t="b">
        <f t="shared" ca="1" si="8"/>
        <v>1</v>
      </c>
      <c r="AU39" s="601" t="b">
        <f t="shared" ca="1" si="8"/>
        <v>0</v>
      </c>
      <c r="AV39" s="601" t="b">
        <f t="shared" ca="1" si="8"/>
        <v>0</v>
      </c>
      <c r="AW39" s="601" t="b">
        <f t="shared" ca="1" si="8"/>
        <v>0</v>
      </c>
      <c r="AX39" s="601" t="b">
        <f t="shared" ca="1" si="8"/>
        <v>0</v>
      </c>
      <c r="AY39" s="601" t="b">
        <f t="shared" ca="1" si="8"/>
        <v>0</v>
      </c>
      <c r="AZ39" s="601" t="b">
        <f t="shared" ca="1" si="8"/>
        <v>0</v>
      </c>
      <c r="BA39" s="601" t="b">
        <f t="shared" ca="1" si="8"/>
        <v>0</v>
      </c>
      <c r="BB39" s="601" t="b">
        <f t="shared" ca="1" si="8"/>
        <v>0</v>
      </c>
      <c r="BC39" s="601" t="b">
        <f t="shared" ca="1" si="8"/>
        <v>0</v>
      </c>
      <c r="BD39" s="601" t="b">
        <f t="shared" ca="1" si="8"/>
        <v>0</v>
      </c>
      <c r="BE39" s="601" t="b">
        <f t="shared" ca="1" si="8"/>
        <v>0</v>
      </c>
      <c r="BF39" s="601" t="b">
        <f t="shared" ca="1" si="8"/>
        <v>0</v>
      </c>
      <c r="BG39" s="601" t="b">
        <f t="shared" ca="1" si="8"/>
        <v>0</v>
      </c>
      <c r="BH39" s="601" t="b">
        <f t="shared" ca="1" si="8"/>
        <v>0</v>
      </c>
      <c r="BI39" s="601" t="b">
        <f t="shared" ca="1" si="8"/>
        <v>0</v>
      </c>
      <c r="BJ39" s="601" t="b">
        <f t="shared" ca="1" si="8"/>
        <v>0</v>
      </c>
      <c r="BK39" s="601" t="b">
        <f t="shared" ca="1" si="8"/>
        <v>0</v>
      </c>
      <c r="BL39" s="601" t="b">
        <f t="shared" ca="1" si="8"/>
        <v>0</v>
      </c>
      <c r="BM39" s="601" t="b">
        <f t="shared" ca="1" si="8"/>
        <v>0</v>
      </c>
      <c r="BN39" s="601" t="b">
        <f t="shared" ca="1" si="8"/>
        <v>0</v>
      </c>
      <c r="BO39" s="601" t="b">
        <f t="shared" ca="1" si="8"/>
        <v>0</v>
      </c>
      <c r="BP39" s="601"/>
      <c r="BQ39" s="601"/>
      <c r="BR39" s="601"/>
      <c r="BS39" s="601"/>
      <c r="BT39" s="601"/>
      <c r="BU39" s="601"/>
      <c r="BV39" s="601"/>
      <c r="BW39" s="601"/>
      <c r="BX39" s="601"/>
      <c r="BY39" s="601"/>
      <c r="BZ39" s="601"/>
      <c r="CA39" s="601"/>
      <c r="CB39" s="601"/>
      <c r="CC39" s="601"/>
      <c r="CD39" s="601"/>
      <c r="CE39" s="601"/>
      <c r="CF39" s="601"/>
      <c r="CG39" s="601"/>
      <c r="CH39" s="601"/>
      <c r="CI39" s="601"/>
      <c r="CJ39" s="601"/>
      <c r="CK39" s="601"/>
      <c r="CL39" s="601"/>
      <c r="CM39" s="601"/>
      <c r="CN39" s="601"/>
      <c r="CO39" s="601"/>
      <c r="CP39" s="601"/>
      <c r="CQ39" s="601"/>
      <c r="CR39" s="601"/>
      <c r="CS39" s="601"/>
      <c r="CT39" s="601"/>
      <c r="CU39" s="601"/>
      <c r="CV39" s="601"/>
      <c r="CW39" s="601"/>
      <c r="CX39" s="601"/>
      <c r="CY39" s="601"/>
      <c r="CZ39" s="601"/>
      <c r="DA39" s="601"/>
      <c r="DB39" s="601"/>
      <c r="DC39" s="601"/>
      <c r="DD39" s="601"/>
      <c r="DE39" s="601"/>
      <c r="DF39" s="601"/>
      <c r="DG39" s="601"/>
      <c r="DH39" s="601"/>
      <c r="DI39" s="601"/>
      <c r="DJ39" s="601"/>
      <c r="DK39" s="601"/>
      <c r="DL39" s="601"/>
      <c r="DM39" s="601"/>
      <c r="DN39" s="601"/>
      <c r="DO39" s="601"/>
      <c r="DP39" s="601"/>
      <c r="DQ39" s="601"/>
      <c r="DR39" s="601"/>
      <c r="DS39" s="601"/>
      <c r="DT39" s="601"/>
      <c r="DU39" s="601"/>
      <c r="DV39" s="601"/>
      <c r="DW39" s="601"/>
    </row>
    <row r="40" spans="1:127">
      <c r="B40" s="304"/>
      <c r="C40" s="304"/>
      <c r="S40" s="857"/>
      <c r="T40" s="857"/>
      <c r="U40" s="857"/>
      <c r="V40" s="857"/>
      <c r="W40" s="857"/>
      <c r="X40" s="857"/>
      <c r="Y40" s="857"/>
      <c r="Z40" s="857"/>
      <c r="AA40" s="857"/>
      <c r="AB40" s="857"/>
      <c r="AC40" s="857"/>
      <c r="AD40" s="857"/>
      <c r="AE40" s="857"/>
      <c r="AF40" s="857"/>
      <c r="AG40" s="857"/>
      <c r="AH40" s="857"/>
      <c r="AI40" s="857"/>
      <c r="AJ40" s="857"/>
      <c r="AK40" s="857"/>
      <c r="AL40" s="857"/>
      <c r="AM40" s="857"/>
      <c r="AN40" s="857"/>
      <c r="AO40" s="857"/>
      <c r="AP40" s="857"/>
      <c r="AQ40" s="857"/>
      <c r="AR40" s="857"/>
      <c r="AS40" s="857"/>
      <c r="AT40" s="857"/>
      <c r="AU40" s="857"/>
      <c r="AV40" s="857"/>
      <c r="AW40" s="857"/>
      <c r="AX40" s="857"/>
      <c r="AY40" s="857"/>
      <c r="AZ40" s="857"/>
      <c r="BA40" s="857"/>
      <c r="BB40" s="857"/>
      <c r="BC40" s="857"/>
      <c r="BD40" s="857"/>
      <c r="BE40" s="857"/>
      <c r="BF40" s="857"/>
      <c r="BG40" s="857"/>
      <c r="BH40" s="857"/>
      <c r="BI40" s="857"/>
      <c r="BJ40" s="857"/>
      <c r="BK40" s="857"/>
      <c r="BL40" s="857"/>
      <c r="BM40" s="857"/>
      <c r="BN40" s="857"/>
      <c r="BO40" s="857"/>
      <c r="BP40" s="857"/>
      <c r="BQ40" s="857"/>
      <c r="BR40" s="857"/>
      <c r="BS40" s="857"/>
      <c r="BT40" s="857"/>
      <c r="BU40" s="857"/>
      <c r="BV40" s="857"/>
      <c r="BW40" s="857"/>
      <c r="BX40" s="857"/>
      <c r="BY40" s="857"/>
      <c r="BZ40" s="857"/>
      <c r="CA40" s="857"/>
      <c r="CB40" s="857"/>
      <c r="CC40" s="857"/>
      <c r="CD40" s="857"/>
      <c r="CE40" s="857"/>
      <c r="CF40" s="857"/>
      <c r="CG40" s="857"/>
      <c r="CH40" s="857"/>
      <c r="CI40" s="857"/>
      <c r="CJ40" s="857"/>
      <c r="CK40" s="857"/>
      <c r="CL40" s="857"/>
      <c r="CM40" s="857"/>
      <c r="CN40" s="857"/>
      <c r="CO40" s="857"/>
      <c r="CP40" s="857"/>
      <c r="CQ40" s="857"/>
      <c r="CR40" s="857"/>
      <c r="CS40" s="857"/>
      <c r="CT40" s="857"/>
      <c r="CU40" s="857"/>
      <c r="CV40" s="857"/>
      <c r="CW40" s="857"/>
      <c r="CX40" s="857"/>
      <c r="CY40" s="857"/>
      <c r="CZ40" s="857"/>
      <c r="DA40" s="857"/>
      <c r="DB40" s="857"/>
      <c r="DC40" s="857"/>
      <c r="DD40" s="857"/>
      <c r="DE40" s="857"/>
      <c r="DF40" s="857"/>
      <c r="DG40" s="857"/>
      <c r="DH40" s="857"/>
      <c r="DI40" s="857"/>
      <c r="DJ40" s="857"/>
      <c r="DK40" s="857"/>
      <c r="DL40" s="857"/>
      <c r="DM40" s="857"/>
      <c r="DN40" s="857"/>
      <c r="DO40" s="857"/>
      <c r="DP40" s="857"/>
      <c r="DQ40" s="857"/>
      <c r="DR40" s="857"/>
      <c r="DS40" s="857"/>
      <c r="DT40" s="857"/>
      <c r="DU40" s="857"/>
      <c r="DV40" s="857"/>
      <c r="DW40" s="857"/>
    </row>
    <row r="41" spans="1:127">
      <c r="A41" s="304" t="s">
        <v>1218</v>
      </c>
      <c r="G41" s="1147">
        <f ca="1">SUM(G21:G23)/G21</f>
        <v>-1.3393238231705031</v>
      </c>
      <c r="H41" s="1147">
        <f t="shared" ref="H41:BO41" ca="1" si="9">SUM(H21:H23)/H21</f>
        <v>-3.0512548871579912</v>
      </c>
      <c r="I41" s="1147">
        <f t="shared" ca="1" si="9"/>
        <v>-4.7031579950936706</v>
      </c>
      <c r="J41" s="1147">
        <f t="shared" ca="1" si="9"/>
        <v>-6.2908983229618505</v>
      </c>
      <c r="K41" s="1147">
        <f t="shared" ca="1" si="9"/>
        <v>-7.7027937796286565</v>
      </c>
      <c r="L41" s="1147">
        <f t="shared" ca="1" si="9"/>
        <v>-9.0854559554419332</v>
      </c>
      <c r="M41" s="1147">
        <f t="shared" ca="1" si="9"/>
        <v>-10.297981928907197</v>
      </c>
      <c r="N41" s="1147">
        <f t="shared" ca="1" si="9"/>
        <v>-11.51403602258554</v>
      </c>
      <c r="O41" s="1147">
        <f t="shared" ca="1" si="9"/>
        <v>-12.60127517139566</v>
      </c>
      <c r="P41" s="1147">
        <f t="shared" ca="1" si="9"/>
        <v>-13.647940093868353</v>
      </c>
      <c r="Q41" s="1147">
        <f t="shared" ca="1" si="9"/>
        <v>-14.608257531734919</v>
      </c>
      <c r="R41" s="1147">
        <f t="shared" ca="1" si="9"/>
        <v>-15.485586716816059</v>
      </c>
      <c r="S41" s="1147">
        <f t="shared" ca="1" si="9"/>
        <v>-16.324584897056276</v>
      </c>
      <c r="T41" s="1147">
        <f t="shared" ca="1" si="9"/>
        <v>-17.010241164610097</v>
      </c>
      <c r="U41" s="1147">
        <f t="shared" ca="1" si="9"/>
        <v>-17.701123010103039</v>
      </c>
      <c r="V41" s="1147">
        <f t="shared" ca="1" si="9"/>
        <v>-18.190526592686137</v>
      </c>
      <c r="W41" s="1147">
        <f t="shared" ca="1" si="9"/>
        <v>-18.735310553002165</v>
      </c>
      <c r="X41" s="1147">
        <f t="shared" ca="1" si="9"/>
        <v>-19.016871784282397</v>
      </c>
      <c r="Y41" s="1147">
        <f t="shared" ca="1" si="9"/>
        <v>-19.407254635223122</v>
      </c>
      <c r="Z41" s="1147">
        <f t="shared" ca="1" si="9"/>
        <v>-19.476991119690446</v>
      </c>
      <c r="AA41" s="1147">
        <f t="shared" ca="1" si="9"/>
        <v>-19.711832796059539</v>
      </c>
      <c r="AB41" s="1147">
        <f t="shared" ca="1" si="9"/>
        <v>-19.933080745223663</v>
      </c>
      <c r="AC41" s="1147">
        <f t="shared" ca="1" si="9"/>
        <v>-20.307665948523187</v>
      </c>
      <c r="AD41" s="1147">
        <f t="shared" ca="1" si="9"/>
        <v>-20.306075485220514</v>
      </c>
      <c r="AE41" s="1147">
        <f t="shared" ca="1" si="9"/>
        <v>-20.518953131811738</v>
      </c>
      <c r="AF41" s="1147">
        <f t="shared" ca="1" si="9"/>
        <v>-19.885086227366443</v>
      </c>
      <c r="AG41" s="1147">
        <f t="shared" ca="1" si="9"/>
        <v>-19.652751183902577</v>
      </c>
      <c r="AH41" s="1147">
        <f t="shared" ca="1" si="9"/>
        <v>-18.811714930172634</v>
      </c>
      <c r="AI41" s="1147">
        <f t="shared" ca="1" si="9"/>
        <v>-18.448920207684136</v>
      </c>
      <c r="AJ41" s="1147">
        <f t="shared" ca="1" si="9"/>
        <v>-17.39840625410779</v>
      </c>
      <c r="AK41" s="1147">
        <f t="shared" ca="1" si="9"/>
        <v>-17.011525999858307</v>
      </c>
      <c r="AL41" s="1147">
        <f t="shared" ca="1" si="9"/>
        <v>-15.932005224137075</v>
      </c>
      <c r="AM41" s="1147">
        <f t="shared" ca="1" si="9"/>
        <v>-15.138007164578466</v>
      </c>
      <c r="AN41" s="1147">
        <f t="shared" ca="1" si="9"/>
        <v>-13.643970390212344</v>
      </c>
      <c r="AO41" s="1147">
        <f t="shared" ca="1" si="9"/>
        <v>-12.447996295281555</v>
      </c>
      <c r="AP41" s="1147">
        <f t="shared" ca="1" si="9"/>
        <v>-10.516123282289431</v>
      </c>
      <c r="AQ41" s="1147">
        <f t="shared" ca="1" si="9"/>
        <v>-8.883970357467037</v>
      </c>
      <c r="AR41" s="1147">
        <f t="shared" ca="1" si="9"/>
        <v>-6.4647548291589292</v>
      </c>
      <c r="AS41" s="1147">
        <f t="shared" ca="1" si="9"/>
        <v>-4.3654890433532865</v>
      </c>
      <c r="AT41" s="1147">
        <f t="shared" ca="1" si="9"/>
        <v>-1.4283802236342213</v>
      </c>
      <c r="AU41" s="1147">
        <f t="shared" ca="1" si="9"/>
        <v>1.1000000000000001</v>
      </c>
      <c r="AV41" s="1147">
        <f t="shared" ca="1" si="9"/>
        <v>1.1000000000000001</v>
      </c>
      <c r="AW41" s="1147">
        <f t="shared" ca="1" si="9"/>
        <v>1.1000000000000001</v>
      </c>
      <c r="AX41" s="1147">
        <f t="shared" ca="1" si="9"/>
        <v>1.1000000000000001</v>
      </c>
      <c r="AY41" s="1147">
        <f t="shared" ca="1" si="9"/>
        <v>1.1000000000000001</v>
      </c>
      <c r="AZ41" s="1147">
        <f t="shared" ca="1" si="9"/>
        <v>1.1000000000000001</v>
      </c>
      <c r="BA41" s="1147">
        <f t="shared" ca="1" si="9"/>
        <v>1.1000000000000001</v>
      </c>
      <c r="BB41" s="1147">
        <f t="shared" ca="1" si="9"/>
        <v>1.1000000000000001</v>
      </c>
      <c r="BC41" s="1147">
        <f t="shared" ca="1" si="9"/>
        <v>1.1000000000000001</v>
      </c>
      <c r="BD41" s="1147">
        <f t="shared" ca="1" si="9"/>
        <v>1.1000000000000001</v>
      </c>
      <c r="BE41" s="1147">
        <f t="shared" ca="1" si="9"/>
        <v>1.1000000000000001</v>
      </c>
      <c r="BF41" s="1147">
        <f t="shared" ca="1" si="9"/>
        <v>1.1000000000000001</v>
      </c>
      <c r="BG41" s="1147">
        <f t="shared" ca="1" si="9"/>
        <v>1.1000000000000001</v>
      </c>
      <c r="BH41" s="1147">
        <f t="shared" ca="1" si="9"/>
        <v>1.1000000000000001</v>
      </c>
      <c r="BI41" s="1147">
        <f t="shared" ca="1" si="9"/>
        <v>1.1000000000000001</v>
      </c>
      <c r="BJ41" s="1147">
        <f t="shared" ca="1" si="9"/>
        <v>1.1000000000000001</v>
      </c>
      <c r="BK41" s="1147">
        <f t="shared" ca="1" si="9"/>
        <v>1.1000000000000001</v>
      </c>
      <c r="BL41" s="1147">
        <f t="shared" ca="1" si="9"/>
        <v>1.1000000000000001</v>
      </c>
      <c r="BM41" s="1147">
        <f t="shared" ca="1" si="9"/>
        <v>1.1000000000000001</v>
      </c>
      <c r="BN41" s="1147">
        <f t="shared" ca="1" si="9"/>
        <v>1.1000000000000001</v>
      </c>
      <c r="BO41" s="1147">
        <f t="shared" ca="1" si="9"/>
        <v>1.1000000000000001</v>
      </c>
      <c r="BP41" s="857"/>
      <c r="BQ41" s="857"/>
      <c r="BR41" s="857"/>
      <c r="BS41" s="857"/>
      <c r="BT41" s="857"/>
      <c r="BU41" s="857"/>
      <c r="BV41" s="857"/>
      <c r="BW41" s="857"/>
      <c r="BX41" s="857"/>
      <c r="BY41" s="857"/>
      <c r="BZ41" s="857"/>
      <c r="CA41" s="857"/>
      <c r="CB41" s="857"/>
      <c r="CC41" s="857"/>
      <c r="CD41" s="857"/>
      <c r="CE41" s="857"/>
      <c r="CF41" s="857"/>
      <c r="CG41" s="857"/>
      <c r="CH41" s="857"/>
      <c r="CI41" s="857"/>
      <c r="CJ41" s="857"/>
      <c r="CK41" s="857"/>
      <c r="CL41" s="857"/>
      <c r="CM41" s="857"/>
      <c r="CN41" s="857"/>
      <c r="CO41" s="857"/>
      <c r="CP41" s="857"/>
      <c r="CQ41" s="857"/>
      <c r="CR41" s="857"/>
      <c r="CS41" s="857"/>
      <c r="CT41" s="857"/>
      <c r="CU41" s="857"/>
      <c r="CV41" s="857"/>
      <c r="CW41" s="857"/>
      <c r="CX41" s="857"/>
      <c r="CY41" s="857"/>
      <c r="CZ41" s="857"/>
      <c r="DA41" s="857"/>
      <c r="DB41" s="857"/>
      <c r="DC41" s="857"/>
      <c r="DD41" s="857"/>
      <c r="DE41" s="857"/>
      <c r="DF41" s="857"/>
      <c r="DG41" s="857"/>
      <c r="DH41" s="857"/>
      <c r="DI41" s="857"/>
      <c r="DJ41" s="857"/>
      <c r="DK41" s="857"/>
      <c r="DL41" s="857"/>
      <c r="DM41" s="857"/>
      <c r="DN41" s="857"/>
      <c r="DO41" s="857"/>
      <c r="DP41" s="857"/>
      <c r="DQ41" s="857"/>
      <c r="DR41" s="857"/>
      <c r="DS41" s="857"/>
      <c r="DT41" s="857"/>
      <c r="DU41" s="857"/>
      <c r="DV41" s="857"/>
      <c r="DW41" s="857"/>
    </row>
    <row r="42" spans="1:127">
      <c r="H42" s="578"/>
    </row>
    <row r="43" spans="1:127">
      <c r="A43" s="304" t="s">
        <v>1219</v>
      </c>
      <c r="B43" s="673" t="b">
        <f>Inputs!$D$414</f>
        <v>0</v>
      </c>
      <c r="H43" s="578"/>
    </row>
    <row r="44" spans="1:127">
      <c r="A44" s="304" t="s">
        <v>1220</v>
      </c>
      <c r="B44" s="979">
        <f>Inputs!D415</f>
        <v>0.8</v>
      </c>
      <c r="G44" s="1147">
        <f ca="1">IF($B$43,G24/SUM(G20:G24),0)</f>
        <v>0</v>
      </c>
      <c r="H44" s="1147">
        <f t="shared" ref="H44:AT44" ca="1" si="10">IF($B$43,H24/SUM(H20:H24),0)</f>
        <v>0</v>
      </c>
      <c r="I44" s="1147">
        <f t="shared" ca="1" si="10"/>
        <v>0</v>
      </c>
      <c r="J44" s="1147">
        <f t="shared" ca="1" si="10"/>
        <v>0</v>
      </c>
      <c r="K44" s="1147">
        <f t="shared" ca="1" si="10"/>
        <v>0</v>
      </c>
      <c r="L44" s="1147">
        <f t="shared" ca="1" si="10"/>
        <v>0</v>
      </c>
      <c r="M44" s="1147">
        <f t="shared" ca="1" si="10"/>
        <v>0</v>
      </c>
      <c r="N44" s="1147">
        <f t="shared" ca="1" si="10"/>
        <v>0</v>
      </c>
      <c r="O44" s="1147">
        <f t="shared" ca="1" si="10"/>
        <v>0</v>
      </c>
      <c r="P44" s="1147">
        <f t="shared" ca="1" si="10"/>
        <v>0</v>
      </c>
      <c r="Q44" s="1147">
        <f t="shared" ca="1" si="10"/>
        <v>0</v>
      </c>
      <c r="R44" s="1147">
        <f t="shared" ca="1" si="10"/>
        <v>0</v>
      </c>
      <c r="S44" s="1147">
        <f t="shared" ca="1" si="10"/>
        <v>0</v>
      </c>
      <c r="T44" s="1147">
        <f t="shared" ca="1" si="10"/>
        <v>0</v>
      </c>
      <c r="U44" s="1147">
        <f t="shared" ca="1" si="10"/>
        <v>0</v>
      </c>
      <c r="V44" s="1147">
        <f t="shared" ca="1" si="10"/>
        <v>0</v>
      </c>
      <c r="W44" s="1147">
        <f t="shared" ca="1" si="10"/>
        <v>0</v>
      </c>
      <c r="X44" s="1147">
        <f t="shared" ca="1" si="10"/>
        <v>0</v>
      </c>
      <c r="Y44" s="1147">
        <f t="shared" ca="1" si="10"/>
        <v>0</v>
      </c>
      <c r="Z44" s="1147">
        <f t="shared" ca="1" si="10"/>
        <v>0</v>
      </c>
      <c r="AA44" s="1147">
        <f t="shared" ca="1" si="10"/>
        <v>0</v>
      </c>
      <c r="AB44" s="1147">
        <f t="shared" ca="1" si="10"/>
        <v>0</v>
      </c>
      <c r="AC44" s="1147">
        <f t="shared" ca="1" si="10"/>
        <v>0</v>
      </c>
      <c r="AD44" s="1147">
        <f t="shared" ca="1" si="10"/>
        <v>0</v>
      </c>
      <c r="AE44" s="1147">
        <f t="shared" ca="1" si="10"/>
        <v>0</v>
      </c>
      <c r="AF44" s="1147">
        <f t="shared" ca="1" si="10"/>
        <v>0</v>
      </c>
      <c r="AG44" s="1147">
        <f t="shared" ca="1" si="10"/>
        <v>0</v>
      </c>
      <c r="AH44" s="1147">
        <f t="shared" ca="1" si="10"/>
        <v>0</v>
      </c>
      <c r="AI44" s="1147">
        <f t="shared" ca="1" si="10"/>
        <v>0</v>
      </c>
      <c r="AJ44" s="1147">
        <f t="shared" ca="1" si="10"/>
        <v>0</v>
      </c>
      <c r="AK44" s="1147">
        <f t="shared" ca="1" si="10"/>
        <v>0</v>
      </c>
      <c r="AL44" s="1147">
        <f t="shared" ca="1" si="10"/>
        <v>0</v>
      </c>
      <c r="AM44" s="1147">
        <f t="shared" ca="1" si="10"/>
        <v>0</v>
      </c>
      <c r="AN44" s="1147">
        <f t="shared" ca="1" si="10"/>
        <v>0</v>
      </c>
      <c r="AO44" s="1147">
        <f t="shared" ca="1" si="10"/>
        <v>0</v>
      </c>
      <c r="AP44" s="1147">
        <f t="shared" ca="1" si="10"/>
        <v>0</v>
      </c>
      <c r="AQ44" s="1147">
        <f t="shared" ca="1" si="10"/>
        <v>0</v>
      </c>
      <c r="AR44" s="1147">
        <f t="shared" ca="1" si="10"/>
        <v>0</v>
      </c>
      <c r="AS44" s="1147">
        <f t="shared" ca="1" si="10"/>
        <v>0</v>
      </c>
      <c r="AT44" s="1147">
        <f t="shared" ca="1" si="10"/>
        <v>0</v>
      </c>
      <c r="AU44" s="1147">
        <f ca="1">IFERROR(IF($B$43,AU24/SUM(AU20:AU24),0),0)</f>
        <v>0</v>
      </c>
      <c r="AV44" s="1147">
        <f t="shared" ref="AV44:BO44" ca="1" si="11">IFERROR(IF($B$43,AV24/SUM(AV20:AV24),0),0)</f>
        <v>0</v>
      </c>
      <c r="AW44" s="1147">
        <f t="shared" ca="1" si="11"/>
        <v>0</v>
      </c>
      <c r="AX44" s="1147">
        <f t="shared" ca="1" si="11"/>
        <v>0</v>
      </c>
      <c r="AY44" s="1147">
        <f t="shared" ca="1" si="11"/>
        <v>0</v>
      </c>
      <c r="AZ44" s="1147">
        <f t="shared" ca="1" si="11"/>
        <v>0</v>
      </c>
      <c r="BA44" s="1269">
        <f t="shared" ca="1" si="11"/>
        <v>0</v>
      </c>
      <c r="BB44" s="1147">
        <f t="shared" ca="1" si="11"/>
        <v>0</v>
      </c>
      <c r="BC44" s="1147">
        <f t="shared" ca="1" si="11"/>
        <v>0</v>
      </c>
      <c r="BD44" s="1147">
        <f t="shared" ca="1" si="11"/>
        <v>0</v>
      </c>
      <c r="BE44" s="1147">
        <f t="shared" ca="1" si="11"/>
        <v>0</v>
      </c>
      <c r="BF44" s="1147">
        <f t="shared" ca="1" si="11"/>
        <v>0</v>
      </c>
      <c r="BG44" s="1147">
        <f t="shared" ca="1" si="11"/>
        <v>0</v>
      </c>
      <c r="BH44" s="1147">
        <f t="shared" ca="1" si="11"/>
        <v>0</v>
      </c>
      <c r="BI44" s="1147">
        <f t="shared" ca="1" si="11"/>
        <v>0</v>
      </c>
      <c r="BJ44" s="1147">
        <f t="shared" ca="1" si="11"/>
        <v>0</v>
      </c>
      <c r="BK44" s="1147">
        <f t="shared" ca="1" si="11"/>
        <v>0</v>
      </c>
      <c r="BL44" s="1147">
        <f t="shared" ca="1" si="11"/>
        <v>0</v>
      </c>
      <c r="BM44" s="1147">
        <f t="shared" ca="1" si="11"/>
        <v>0</v>
      </c>
      <c r="BN44" s="1147">
        <f t="shared" ca="1" si="11"/>
        <v>0</v>
      </c>
      <c r="BO44" s="1147">
        <f t="shared" ca="1" si="11"/>
        <v>0</v>
      </c>
    </row>
    <row r="45" spans="1:127">
      <c r="A45" s="304" t="s">
        <v>1221</v>
      </c>
      <c r="B45" s="1195"/>
      <c r="G45" s="304" t="b">
        <f ca="1">IF(G44&lt;$B$44,FALSE,TRUE)</f>
        <v>0</v>
      </c>
      <c r="H45" s="304" t="b">
        <f t="shared" ref="H45:J45" ca="1" si="12">IF(H44&lt;$B$44,FALSE,TRUE)</f>
        <v>0</v>
      </c>
      <c r="I45" s="304" t="b">
        <f t="shared" ca="1" si="12"/>
        <v>0</v>
      </c>
      <c r="J45" s="304" t="b">
        <f t="shared" ca="1" si="12"/>
        <v>0</v>
      </c>
      <c r="K45" s="304" t="b">
        <f t="shared" ref="K45" ca="1" si="13">IF(K44&lt;$B$44,FALSE,TRUE)</f>
        <v>0</v>
      </c>
      <c r="L45" s="304" t="b">
        <f t="shared" ref="L45" ca="1" si="14">IF(L44&lt;$B$44,FALSE,TRUE)</f>
        <v>0</v>
      </c>
      <c r="M45" s="304" t="b">
        <f t="shared" ref="M45" ca="1" si="15">IF(M44&lt;$B$44,FALSE,TRUE)</f>
        <v>0</v>
      </c>
      <c r="N45" s="304" t="b">
        <f t="shared" ref="N45" ca="1" si="16">IF(N44&lt;$B$44,FALSE,TRUE)</f>
        <v>0</v>
      </c>
      <c r="O45" s="304" t="b">
        <f t="shared" ref="O45" ca="1" si="17">IF(O44&lt;$B$44,FALSE,TRUE)</f>
        <v>0</v>
      </c>
      <c r="P45" s="304" t="b">
        <f t="shared" ref="P45" ca="1" si="18">IF(P44&lt;$B$44,FALSE,TRUE)</f>
        <v>0</v>
      </c>
      <c r="Q45" s="304" t="b">
        <f t="shared" ref="Q45" ca="1" si="19">IF(Q44&lt;$B$44,FALSE,TRUE)</f>
        <v>0</v>
      </c>
      <c r="R45" s="304" t="b">
        <f t="shared" ref="R45" ca="1" si="20">IF(R44&lt;$B$44,FALSE,TRUE)</f>
        <v>0</v>
      </c>
      <c r="S45" s="304" t="b">
        <f t="shared" ref="S45" ca="1" si="21">IF(S44&lt;$B$44,FALSE,TRUE)</f>
        <v>0</v>
      </c>
      <c r="T45" s="304" t="b">
        <f t="shared" ref="T45" ca="1" si="22">IF(T44&lt;$B$44,FALSE,TRUE)</f>
        <v>0</v>
      </c>
      <c r="U45" s="304" t="b">
        <f t="shared" ref="U45" ca="1" si="23">IF(U44&lt;$B$44,FALSE,TRUE)</f>
        <v>0</v>
      </c>
      <c r="V45" s="304" t="b">
        <f t="shared" ref="V45" ca="1" si="24">IF(V44&lt;$B$44,FALSE,TRUE)</f>
        <v>0</v>
      </c>
      <c r="W45" s="304" t="b">
        <f t="shared" ref="W45" ca="1" si="25">IF(W44&lt;$B$44,FALSE,TRUE)</f>
        <v>0</v>
      </c>
      <c r="X45" s="304" t="b">
        <f t="shared" ref="X45" ca="1" si="26">IF(X44&lt;$B$44,FALSE,TRUE)</f>
        <v>0</v>
      </c>
      <c r="Y45" s="304" t="b">
        <f t="shared" ref="Y45" ca="1" si="27">IF(Y44&lt;$B$44,FALSE,TRUE)</f>
        <v>0</v>
      </c>
      <c r="Z45" s="304" t="b">
        <f t="shared" ref="Z45" ca="1" si="28">IF(Z44&lt;$B$44,FALSE,TRUE)</f>
        <v>0</v>
      </c>
      <c r="AA45" s="304" t="b">
        <f t="shared" ref="AA45" ca="1" si="29">IF(AA44&lt;$B$44,FALSE,TRUE)</f>
        <v>0</v>
      </c>
      <c r="AB45" s="304" t="b">
        <f t="shared" ref="AB45" ca="1" si="30">IF(AB44&lt;$B$44,FALSE,TRUE)</f>
        <v>0</v>
      </c>
      <c r="AC45" s="304" t="b">
        <f t="shared" ref="AC45" ca="1" si="31">IF(AC44&lt;$B$44,FALSE,TRUE)</f>
        <v>0</v>
      </c>
      <c r="AD45" s="304" t="b">
        <f t="shared" ref="AD45" ca="1" si="32">IF(AD44&lt;$B$44,FALSE,TRUE)</f>
        <v>0</v>
      </c>
      <c r="AE45" s="304" t="b">
        <f t="shared" ref="AE45" ca="1" si="33">IF(AE44&lt;$B$44,FALSE,TRUE)</f>
        <v>0</v>
      </c>
      <c r="AF45" s="304" t="b">
        <f t="shared" ref="AF45" ca="1" si="34">IF(AF44&lt;$B$44,FALSE,TRUE)</f>
        <v>0</v>
      </c>
      <c r="AG45" s="304" t="b">
        <f t="shared" ref="AG45" ca="1" si="35">IF(AG44&lt;$B$44,FALSE,TRUE)</f>
        <v>0</v>
      </c>
      <c r="AH45" s="304" t="b">
        <f t="shared" ref="AH45" ca="1" si="36">IF(AH44&lt;$B$44,FALSE,TRUE)</f>
        <v>0</v>
      </c>
      <c r="AI45" s="304" t="b">
        <f t="shared" ref="AI45" ca="1" si="37">IF(AI44&lt;$B$44,FALSE,TRUE)</f>
        <v>0</v>
      </c>
      <c r="AJ45" s="304" t="b">
        <f t="shared" ref="AJ45" ca="1" si="38">IF(AJ44&lt;$B$44,FALSE,TRUE)</f>
        <v>0</v>
      </c>
      <c r="AK45" s="304" t="b">
        <f t="shared" ref="AK45" ca="1" si="39">IF(AK44&lt;$B$44,FALSE,TRUE)</f>
        <v>0</v>
      </c>
      <c r="AL45" s="304" t="b">
        <f t="shared" ref="AL45" ca="1" si="40">IF(AL44&lt;$B$44,FALSE,TRUE)</f>
        <v>0</v>
      </c>
      <c r="AM45" s="304" t="b">
        <f t="shared" ref="AM45" ca="1" si="41">IF(AM44&lt;$B$44,FALSE,TRUE)</f>
        <v>0</v>
      </c>
      <c r="AN45" s="304" t="b">
        <f t="shared" ref="AN45" ca="1" si="42">IF(AN44&lt;$B$44,FALSE,TRUE)</f>
        <v>0</v>
      </c>
      <c r="AO45" s="304" t="b">
        <f t="shared" ref="AO45" ca="1" si="43">IF(AO44&lt;$B$44,FALSE,TRUE)</f>
        <v>0</v>
      </c>
      <c r="AP45" s="304" t="b">
        <f t="shared" ref="AP45" ca="1" si="44">IF(AP44&lt;$B$44,FALSE,TRUE)</f>
        <v>0</v>
      </c>
      <c r="AQ45" s="304" t="b">
        <f t="shared" ref="AQ45" ca="1" si="45">IF(AQ44&lt;$B$44,FALSE,TRUE)</f>
        <v>0</v>
      </c>
      <c r="AR45" s="304" t="b">
        <f t="shared" ref="AR45" ca="1" si="46">IF(AR44&lt;$B$44,FALSE,TRUE)</f>
        <v>0</v>
      </c>
      <c r="AS45" s="304" t="b">
        <f t="shared" ref="AS45" ca="1" si="47">IF(AS44&lt;$B$44,FALSE,TRUE)</f>
        <v>0</v>
      </c>
      <c r="AT45" s="304" t="b">
        <f t="shared" ref="AT45" ca="1" si="48">IF(AT44&lt;$B$44,FALSE,TRUE)</f>
        <v>0</v>
      </c>
      <c r="AU45" s="304" t="b">
        <f t="shared" ref="AU45" ca="1" si="49">IF(AU44&lt;$B$44,FALSE,TRUE)</f>
        <v>0</v>
      </c>
      <c r="AV45" s="304" t="b">
        <f t="shared" ref="AV45" ca="1" si="50">IF(AV44&lt;$B$44,FALSE,TRUE)</f>
        <v>0</v>
      </c>
      <c r="AW45" s="304" t="b">
        <f t="shared" ref="AW45" ca="1" si="51">IF(AW44&lt;$B$44,FALSE,TRUE)</f>
        <v>0</v>
      </c>
      <c r="AX45" s="304" t="b">
        <f t="shared" ref="AX45" ca="1" si="52">IF(AX44&lt;$B$44,FALSE,TRUE)</f>
        <v>0</v>
      </c>
      <c r="AY45" s="304" t="b">
        <f t="shared" ref="AY45" ca="1" si="53">IF(AY44&lt;$B$44,FALSE,TRUE)</f>
        <v>0</v>
      </c>
      <c r="AZ45" s="304" t="b">
        <f t="shared" ref="AZ45" ca="1" si="54">IF(AZ44&lt;$B$44,FALSE,TRUE)</f>
        <v>0</v>
      </c>
      <c r="BA45" s="304" t="b">
        <f t="shared" ref="BA45" ca="1" si="55">IF(BA44&lt;$B$44,FALSE,TRUE)</f>
        <v>0</v>
      </c>
      <c r="BB45" s="304" t="b">
        <f t="shared" ref="BB45" ca="1" si="56">IF(BB44&lt;$B$44,FALSE,TRUE)</f>
        <v>0</v>
      </c>
      <c r="BC45" s="304" t="b">
        <f t="shared" ref="BC45" ca="1" si="57">IF(BC44&lt;$B$44,FALSE,TRUE)</f>
        <v>0</v>
      </c>
      <c r="BD45" s="304" t="b">
        <f t="shared" ref="BD45" ca="1" si="58">IF(BD44&lt;$B$44,FALSE,TRUE)</f>
        <v>0</v>
      </c>
      <c r="BE45" s="304" t="b">
        <f t="shared" ref="BE45" ca="1" si="59">IF(BE44&lt;$B$44,FALSE,TRUE)</f>
        <v>0</v>
      </c>
      <c r="BF45" s="304" t="b">
        <f t="shared" ref="BF45" ca="1" si="60">IF(BF44&lt;$B$44,FALSE,TRUE)</f>
        <v>0</v>
      </c>
      <c r="BG45" s="304" t="b">
        <f t="shared" ref="BG45" ca="1" si="61">IF(BG44&lt;$B$44,FALSE,TRUE)</f>
        <v>0</v>
      </c>
      <c r="BH45" s="304" t="b">
        <f t="shared" ref="BH45" ca="1" si="62">IF(BH44&lt;$B$44,FALSE,TRUE)</f>
        <v>0</v>
      </c>
      <c r="BI45" s="304" t="b">
        <f t="shared" ref="BI45" ca="1" si="63">IF(BI44&lt;$B$44,FALSE,TRUE)</f>
        <v>0</v>
      </c>
      <c r="BJ45" s="304" t="b">
        <f t="shared" ref="BJ45" ca="1" si="64">IF(BJ44&lt;$B$44,FALSE,TRUE)</f>
        <v>0</v>
      </c>
      <c r="BK45" s="304" t="b">
        <f t="shared" ref="BK45" ca="1" si="65">IF(BK44&lt;$B$44,FALSE,TRUE)</f>
        <v>0</v>
      </c>
      <c r="BL45" s="304" t="b">
        <f t="shared" ref="BL45" ca="1" si="66">IF(BL44&lt;$B$44,FALSE,TRUE)</f>
        <v>0</v>
      </c>
      <c r="BM45" s="304" t="b">
        <f t="shared" ref="BM45" ca="1" si="67">IF(BM44&lt;$B$44,FALSE,TRUE)</f>
        <v>0</v>
      </c>
      <c r="BN45" s="304" t="b">
        <f t="shared" ref="BN45" ca="1" si="68">IF(BN44&lt;$B$44,FALSE,TRUE)</f>
        <v>0</v>
      </c>
      <c r="BO45" s="304" t="b">
        <f t="shared" ref="BO45" ca="1" si="69">IF(BO44&lt;$B$44,FALSE,TRUE)</f>
        <v>0</v>
      </c>
    </row>
    <row r="46" spans="1:127">
      <c r="G46" s="603"/>
      <c r="H46" s="603"/>
      <c r="I46" s="603"/>
      <c r="J46" s="603"/>
      <c r="K46" s="603"/>
      <c r="L46" s="603"/>
      <c r="M46" s="603"/>
      <c r="N46" s="603"/>
      <c r="O46" s="603"/>
      <c r="P46" s="603"/>
      <c r="Q46" s="603"/>
      <c r="R46" s="603"/>
      <c r="S46" s="603"/>
      <c r="T46" s="603"/>
      <c r="U46" s="603"/>
      <c r="V46" s="603"/>
      <c r="W46" s="603"/>
      <c r="X46" s="603"/>
      <c r="Y46" s="603"/>
    </row>
  </sheetData>
  <phoneticPr fontId="0" type="noConversion"/>
  <conditionalFormatting sqref="B8:C8">
    <cfRule type="expression" dxfId="61" priority="19">
      <formula>B$3&gt;30</formula>
    </cfRule>
  </conditionalFormatting>
  <conditionalFormatting sqref="B21:C21">
    <cfRule type="expression" dxfId="60" priority="20">
      <formula>B$3&gt;30</formula>
    </cfRule>
  </conditionalFormatting>
  <conditionalFormatting sqref="AL37:DW37">
    <cfRule type="cellIs" dxfId="59" priority="14" stopIfTrue="1" operator="equal">
      <formula>"OK"</formula>
    </cfRule>
    <cfRule type="cellIs" dxfId="58" priority="15" stopIfTrue="1" operator="equal">
      <formula>"WRONG"</formula>
    </cfRule>
  </conditionalFormatting>
  <conditionalFormatting sqref="G37:DW37">
    <cfRule type="cellIs" dxfId="57" priority="16" stopIfTrue="1" operator="equal">
      <formula>"OK"</formula>
    </cfRule>
    <cfRule type="cellIs" dxfId="56" priority="17" stopIfTrue="1" operator="equal">
      <formula>"WRONG"</formula>
    </cfRule>
  </conditionalFormatting>
  <conditionalFormatting sqref="G36:DW36">
    <cfRule type="cellIs" dxfId="55" priority="12" stopIfTrue="1" operator="equal">
      <formula>"OK"</formula>
    </cfRule>
    <cfRule type="cellIs" dxfId="54" priority="13" stopIfTrue="1" operator="equal">
      <formula>"WRONG"</formula>
    </cfRule>
  </conditionalFormatting>
  <conditionalFormatting sqref="H36:DW36">
    <cfRule type="cellIs" dxfId="53" priority="10" stopIfTrue="1" operator="equal">
      <formula>"OK"</formula>
    </cfRule>
    <cfRule type="cellIs" dxfId="52" priority="11" stopIfTrue="1" operator="equal">
      <formula>"WRONG"</formula>
    </cfRule>
  </conditionalFormatting>
  <conditionalFormatting sqref="W36:AA36">
    <cfRule type="cellIs" dxfId="51" priority="8" stopIfTrue="1" operator="equal">
      <formula>"OK"</formula>
    </cfRule>
    <cfRule type="cellIs" dxfId="50" priority="9" stopIfTrue="1" operator="equal">
      <formula>"WRONG"</formula>
    </cfRule>
  </conditionalFormatting>
  <conditionalFormatting sqref="B37:C37">
    <cfRule type="expression" dxfId="49" priority="6">
      <formula>B$3&gt;30</formula>
    </cfRule>
  </conditionalFormatting>
  <conditionalFormatting sqref="B44">
    <cfRule type="cellIs" dxfId="48" priority="2" stopIfTrue="1" operator="equal">
      <formula>"OK"</formula>
    </cfRule>
    <cfRule type="cellIs" dxfId="47" priority="3" stopIfTrue="1" operator="equal">
      <formula>"WRONG"</formula>
    </cfRule>
  </conditionalFormatting>
  <hyperlinks>
    <hyperlink ref="E1" location="Sensitivity!D43" display="Sensitivity!D43" xr:uid="{00000000-0004-0000-0800-000000000000}"/>
  </hyperlinks>
  <pageMargins left="0.41" right="0.23622047244094491" top="1.86" bottom="0.98425196850393704" header="0.51181102362204722" footer="0.51181102362204722"/>
  <pageSetup paperSize="9" scale="27" orientation="landscape" r:id="rId1"/>
  <headerFooter alignWithMargins="0">
    <oddFooter>&amp;L&amp;F
&amp;T &amp;D</oddFooter>
  </headerFooter>
  <colBreaks count="1" manualBreakCount="1">
    <brk id="128" max="34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00000000-000E-0000-0700-000007000000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G1:DW34</xm:sqref>
        </x14:conditionalFormatting>
        <x14:conditionalFormatting xmlns:xm="http://schemas.microsoft.com/office/excel/2006/main">
          <x14:cfRule type="iconSet" priority="112" id="{CC8ABC1D-06B6-4546-A3C3-708A5E86477F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M19</xm:sqref>
        </x14:conditionalFormatting>
        <x14:conditionalFormatting xmlns:xm="http://schemas.microsoft.com/office/excel/2006/main">
          <x14:cfRule type="iconSet" priority="450" id="{70967911-4A4D-4D10-87D9-011C088C58E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E33</xm:sqref>
        </x14:conditionalFormatting>
        <x14:conditionalFormatting xmlns:xm="http://schemas.microsoft.com/office/excel/2006/main">
          <x14:cfRule type="iconSet" priority="452" id="{D5DC40AB-4E96-4DC6-92A4-B155A1BB72E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E34</xm:sqref>
        </x14:conditionalFormatting>
        <x14:conditionalFormatting xmlns:xm="http://schemas.microsoft.com/office/excel/2006/main">
          <x14:cfRule type="iconSet" priority="27" id="{00902D39-BC24-4412-9F37-B64FF8D66955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iconSet" priority="26" id="{5B9FE901-5146-493B-B485-165A2930D98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M32</xm:sqref>
        </x14:conditionalFormatting>
        <x14:conditionalFormatting xmlns:xm="http://schemas.microsoft.com/office/excel/2006/main">
          <x14:cfRule type="expression" priority="7" id="{60B93F3C-CCAB-432F-A892-15EB5A8EFB0E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G36:DW38</xm:sqref>
        </x14:conditionalFormatting>
        <x14:conditionalFormatting xmlns:xm="http://schemas.microsoft.com/office/excel/2006/main">
          <x14:cfRule type="iconSet" priority="18" id="{667894A1-9E99-46AA-86B5-375EA073502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E38</xm:sqref>
        </x14:conditionalFormatting>
        <x14:conditionalFormatting xmlns:xm="http://schemas.microsoft.com/office/excel/2006/main">
          <x14:cfRule type="expression" priority="5" id="{BFD39C66-A1EA-4FCF-8331-EE64D76D7D14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G39:DW39</xm:sqref>
        </x14:conditionalFormatting>
        <x14:conditionalFormatting xmlns:xm="http://schemas.microsoft.com/office/excel/2006/main">
          <x14:cfRule type="iconSet" priority="4" id="{ACC856FB-027D-4F63-97B8-639CFD797F4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E39</xm:sqref>
        </x14:conditionalFormatting>
        <x14:conditionalFormatting xmlns:xm="http://schemas.microsoft.com/office/excel/2006/main">
          <x14:cfRule type="expression" priority="1" id="{BC5E5833-8C33-42B6-B30D-54C5A3904B56}">
            <xm:f>B$3&gt;Inputs!$D$16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B44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_depreciation"/>
  <dimension ref="A1:DW176"/>
  <sheetViews>
    <sheetView showGridLines="0" zoomScale="130" zoomScaleNormal="130" workbookViewId="0">
      <pane xSplit="6" ySplit="4" topLeftCell="G5" activePane="bottomRight" state="frozen"/>
      <selection pane="bottomRight" activeCell="L31" sqref="L31"/>
      <selection pane="bottomLeft" activeCell="A4" sqref="A4"/>
      <selection pane="topRight" activeCell="F1" sqref="F1"/>
    </sheetView>
  </sheetViews>
  <sheetFormatPr defaultColWidth="11.42578125" defaultRowHeight="11.25"/>
  <cols>
    <col min="1" max="1" width="38.5703125" style="304" customWidth="1"/>
    <col min="2" max="3" width="7.85546875" style="673" customWidth="1"/>
    <col min="4" max="4" width="7.85546875" style="304" customWidth="1"/>
    <col min="5" max="6" width="2.5703125" style="304" customWidth="1"/>
    <col min="7" max="127" width="9.5703125" style="304" customWidth="1"/>
    <col min="128" max="128" width="2.5703125" style="304" customWidth="1"/>
    <col min="129" max="16384" width="11.42578125" style="304"/>
  </cols>
  <sheetData>
    <row r="1" spans="1:127">
      <c r="A1" s="997" t="s">
        <v>1108</v>
      </c>
      <c r="B1" s="689"/>
      <c r="C1" s="689"/>
      <c r="E1" s="894">
        <f ca="1">Outputs!$D$46</f>
        <v>11182.479442004989</v>
      </c>
      <c r="G1" s="972">
        <f>Flags!G5</f>
        <v>47298</v>
      </c>
      <c r="H1" s="972">
        <f>Flags!H5</f>
        <v>47665</v>
      </c>
      <c r="I1" s="972">
        <f>Flags!I5</f>
        <v>47849</v>
      </c>
      <c r="J1" s="972">
        <f>Flags!J5</f>
        <v>48030</v>
      </c>
      <c r="K1" s="972">
        <f>Flags!K5</f>
        <v>48214</v>
      </c>
      <c r="L1" s="972">
        <f>Flags!L5</f>
        <v>48396</v>
      </c>
      <c r="M1" s="972">
        <f>Flags!M5</f>
        <v>48580</v>
      </c>
      <c r="N1" s="972">
        <f>Flags!N5</f>
        <v>48761</v>
      </c>
      <c r="O1" s="972">
        <f>Flags!O5</f>
        <v>48945</v>
      </c>
      <c r="P1" s="972">
        <f>Flags!P5</f>
        <v>49126</v>
      </c>
      <c r="Q1" s="972">
        <f>Flags!Q5</f>
        <v>49310</v>
      </c>
      <c r="R1" s="972">
        <f>Flags!R5</f>
        <v>49491</v>
      </c>
      <c r="S1" s="972">
        <f>Flags!S5</f>
        <v>49675</v>
      </c>
      <c r="T1" s="972">
        <f>Flags!T5</f>
        <v>49857</v>
      </c>
      <c r="U1" s="972">
        <f>Flags!U5</f>
        <v>50041</v>
      </c>
      <c r="V1" s="972">
        <f>Flags!V5</f>
        <v>50222</v>
      </c>
      <c r="W1" s="972">
        <f>Flags!W5</f>
        <v>50406</v>
      </c>
      <c r="X1" s="972">
        <f>Flags!X5</f>
        <v>50587</v>
      </c>
      <c r="Y1" s="972">
        <f>Flags!Y5</f>
        <v>50771</v>
      </c>
      <c r="Z1" s="972">
        <f>Flags!Z5</f>
        <v>50952</v>
      </c>
      <c r="AA1" s="972">
        <f>Flags!AA5</f>
        <v>51136</v>
      </c>
      <c r="AB1" s="972">
        <f>Flags!AB5</f>
        <v>51318</v>
      </c>
      <c r="AC1" s="972">
        <f>Flags!AC5</f>
        <v>51502</v>
      </c>
      <c r="AD1" s="972">
        <f>Flags!AD5</f>
        <v>51683</v>
      </c>
      <c r="AE1" s="972">
        <f>Flags!AE5</f>
        <v>51867</v>
      </c>
      <c r="AF1" s="972">
        <f>Flags!AF5</f>
        <v>52048</v>
      </c>
      <c r="AG1" s="972">
        <f>Flags!AG5</f>
        <v>52232</v>
      </c>
      <c r="AH1" s="972">
        <f>Flags!AH5</f>
        <v>52413</v>
      </c>
      <c r="AI1" s="972">
        <f>Flags!AI5</f>
        <v>52597</v>
      </c>
      <c r="AJ1" s="972">
        <f>Flags!AJ5</f>
        <v>52779</v>
      </c>
      <c r="AK1" s="972">
        <f>Flags!AK5</f>
        <v>52963</v>
      </c>
      <c r="AL1" s="972">
        <f>Flags!AL5</f>
        <v>53144</v>
      </c>
      <c r="AM1" s="972">
        <f>Flags!AM5</f>
        <v>53328</v>
      </c>
      <c r="AN1" s="972">
        <f>Flags!AN5</f>
        <v>53509</v>
      </c>
      <c r="AO1" s="972">
        <f>Flags!AO5</f>
        <v>53693</v>
      </c>
      <c r="AP1" s="972">
        <f>Flags!AP5</f>
        <v>53874</v>
      </c>
      <c r="AQ1" s="972">
        <f>Flags!AQ5</f>
        <v>54058</v>
      </c>
      <c r="AR1" s="972">
        <f>Flags!AR5</f>
        <v>54240</v>
      </c>
      <c r="AS1" s="972">
        <f>Flags!AS5</f>
        <v>54424</v>
      </c>
      <c r="AT1" s="972">
        <f>Flags!AT5</f>
        <v>54605</v>
      </c>
      <c r="AU1" s="972">
        <f>Flags!AU5</f>
        <v>54789</v>
      </c>
      <c r="AV1" s="972">
        <f>Flags!AV5</f>
        <v>54970</v>
      </c>
      <c r="AW1" s="972">
        <f>Flags!AW5</f>
        <v>55154</v>
      </c>
      <c r="AX1" s="972">
        <f>Flags!AX5</f>
        <v>55335</v>
      </c>
      <c r="AY1" s="972">
        <f>Flags!AY5</f>
        <v>55519</v>
      </c>
      <c r="AZ1" s="972">
        <f>Flags!AZ5</f>
        <v>55701</v>
      </c>
      <c r="BA1" s="972">
        <f>Flags!BA5</f>
        <v>55885</v>
      </c>
      <c r="BB1" s="972">
        <f>Flags!BB5</f>
        <v>56066</v>
      </c>
      <c r="BC1" s="972">
        <f>Flags!BC5</f>
        <v>56250</v>
      </c>
      <c r="BD1" s="972">
        <f>Flags!BD5</f>
        <v>56431</v>
      </c>
      <c r="BE1" s="972">
        <f>Flags!BE5</f>
        <v>56615</v>
      </c>
      <c r="BF1" s="972">
        <f>Flags!BF5</f>
        <v>56796</v>
      </c>
      <c r="BG1" s="972">
        <f>Flags!BG5</f>
        <v>56980</v>
      </c>
      <c r="BH1" s="972">
        <f>Flags!BH5</f>
        <v>57162</v>
      </c>
      <c r="BI1" s="972">
        <f>Flags!BI5</f>
        <v>57346</v>
      </c>
      <c r="BJ1" s="972">
        <f>Flags!BJ5</f>
        <v>57527</v>
      </c>
      <c r="BK1" s="972">
        <f>Flags!BK5</f>
        <v>57711</v>
      </c>
      <c r="BL1" s="972">
        <f>Flags!BL5</f>
        <v>57892</v>
      </c>
      <c r="BM1" s="972">
        <f>Flags!BM5</f>
        <v>58076</v>
      </c>
      <c r="BN1" s="972">
        <f>Flags!BN5</f>
        <v>58257</v>
      </c>
      <c r="BO1" s="972">
        <f>Flags!BO5</f>
        <v>58441</v>
      </c>
      <c r="BP1" s="972">
        <f>Flags!BP5</f>
        <v>58623</v>
      </c>
      <c r="BQ1" s="972">
        <f>Flags!BQ5</f>
        <v>58807</v>
      </c>
      <c r="BR1" s="972">
        <f>Flags!BR5</f>
        <v>58988</v>
      </c>
      <c r="BS1" s="972">
        <f>Flags!BS5</f>
        <v>59172</v>
      </c>
      <c r="BT1" s="972">
        <f>Flags!BT5</f>
        <v>59353</v>
      </c>
      <c r="BU1" s="972">
        <f>Flags!BU5</f>
        <v>59537</v>
      </c>
      <c r="BV1" s="972">
        <f>Flags!BV5</f>
        <v>59718</v>
      </c>
      <c r="BW1" s="972">
        <f>Flags!BW5</f>
        <v>59902</v>
      </c>
      <c r="BX1" s="972">
        <f>Flags!BX5</f>
        <v>60084</v>
      </c>
      <c r="BY1" s="972">
        <f>Flags!BY5</f>
        <v>60268</v>
      </c>
      <c r="BZ1" s="972">
        <f>Flags!BZ5</f>
        <v>60449</v>
      </c>
      <c r="CA1" s="972">
        <f>Flags!CA5</f>
        <v>60633</v>
      </c>
      <c r="CB1" s="972">
        <f>Flags!CB5</f>
        <v>60814</v>
      </c>
      <c r="CC1" s="972">
        <f>Flags!CC5</f>
        <v>60998</v>
      </c>
      <c r="CD1" s="972">
        <f>Flags!CD5</f>
        <v>61179</v>
      </c>
      <c r="CE1" s="972">
        <f>Flags!CE5</f>
        <v>61363</v>
      </c>
      <c r="CF1" s="972">
        <f>Flags!CF5</f>
        <v>61545</v>
      </c>
      <c r="CG1" s="972">
        <f>Flags!CG5</f>
        <v>61729</v>
      </c>
      <c r="CH1" s="972">
        <f>Flags!CH5</f>
        <v>61910</v>
      </c>
      <c r="CI1" s="972">
        <f>Flags!CI5</f>
        <v>62094</v>
      </c>
      <c r="CJ1" s="972">
        <f>Flags!CJ5</f>
        <v>62275</v>
      </c>
      <c r="CK1" s="972">
        <f>Flags!CK5</f>
        <v>62459</v>
      </c>
      <c r="CL1" s="972">
        <f>Flags!CL5</f>
        <v>62640</v>
      </c>
      <c r="CM1" s="972">
        <f>Flags!CM5</f>
        <v>62824</v>
      </c>
      <c r="CN1" s="972">
        <f>Flags!CN5</f>
        <v>63006</v>
      </c>
      <c r="CO1" s="972">
        <f>Flags!CO5</f>
        <v>63190</v>
      </c>
      <c r="CP1" s="972">
        <f>Flags!CP5</f>
        <v>63371</v>
      </c>
      <c r="CQ1" s="972">
        <f>Flags!CQ5</f>
        <v>63555</v>
      </c>
      <c r="CR1" s="972">
        <f>Flags!CR5</f>
        <v>63736</v>
      </c>
      <c r="CS1" s="972">
        <f>Flags!CS5</f>
        <v>63920</v>
      </c>
      <c r="CT1" s="972">
        <f>Flags!CT5</f>
        <v>64101</v>
      </c>
      <c r="CU1" s="972">
        <f>Flags!CU5</f>
        <v>64285</v>
      </c>
      <c r="CV1" s="972">
        <f>Flags!CV5</f>
        <v>64467</v>
      </c>
      <c r="CW1" s="972">
        <f>Flags!CW5</f>
        <v>64651</v>
      </c>
      <c r="CX1" s="972">
        <f>Flags!CX5</f>
        <v>64832</v>
      </c>
      <c r="CY1" s="972">
        <f>Flags!CY5</f>
        <v>65016</v>
      </c>
      <c r="CZ1" s="972">
        <f>Flags!CZ5</f>
        <v>65197</v>
      </c>
      <c r="DA1" s="972">
        <f>Flags!DA5</f>
        <v>65381</v>
      </c>
      <c r="DB1" s="972">
        <f>Flags!DB5</f>
        <v>65562</v>
      </c>
      <c r="DC1" s="972">
        <f>Flags!DC5</f>
        <v>65746</v>
      </c>
      <c r="DD1" s="972">
        <f>Flags!DD5</f>
        <v>65928</v>
      </c>
      <c r="DE1" s="972">
        <f>Flags!DE5</f>
        <v>66112</v>
      </c>
      <c r="DF1" s="972">
        <f>Flags!DF5</f>
        <v>66293</v>
      </c>
      <c r="DG1" s="972">
        <f>Flags!DG5</f>
        <v>66477</v>
      </c>
      <c r="DH1" s="972">
        <f>Flags!DH5</f>
        <v>66658</v>
      </c>
      <c r="DI1" s="972">
        <f>Flags!DI5</f>
        <v>66842</v>
      </c>
      <c r="DJ1" s="972">
        <f>Flags!DJ5</f>
        <v>67023</v>
      </c>
      <c r="DK1" s="972">
        <f>Flags!DK5</f>
        <v>67207</v>
      </c>
      <c r="DL1" s="972">
        <f>Flags!DL5</f>
        <v>67389</v>
      </c>
      <c r="DM1" s="972">
        <f>Flags!DM5</f>
        <v>67573</v>
      </c>
      <c r="DN1" s="972">
        <f>Flags!DN5</f>
        <v>67754</v>
      </c>
      <c r="DO1" s="972">
        <f>Flags!DO5</f>
        <v>67938</v>
      </c>
      <c r="DP1" s="972">
        <f>Flags!DP5</f>
        <v>68119</v>
      </c>
      <c r="DQ1" s="972">
        <f>Flags!DQ5</f>
        <v>68303</v>
      </c>
      <c r="DR1" s="972">
        <f>Flags!DR5</f>
        <v>68484</v>
      </c>
      <c r="DS1" s="972">
        <f>Flags!DS5</f>
        <v>68668</v>
      </c>
      <c r="DT1" s="972">
        <f>Flags!DT5</f>
        <v>68850</v>
      </c>
      <c r="DU1" s="972">
        <f>Flags!DU5</f>
        <v>69034</v>
      </c>
      <c r="DV1" s="972">
        <f>Flags!DV5</f>
        <v>69215</v>
      </c>
      <c r="DW1" s="972">
        <f>Flags!DW5</f>
        <v>69399</v>
      </c>
    </row>
    <row r="2" spans="1:127">
      <c r="A2" s="997" t="s">
        <v>1109</v>
      </c>
      <c r="B2" s="690"/>
      <c r="C2" s="690"/>
      <c r="E2" s="486"/>
      <c r="G2" s="972">
        <f>Flags!G6</f>
        <v>47664</v>
      </c>
      <c r="H2" s="972">
        <f>Flags!H6</f>
        <v>47848</v>
      </c>
      <c r="I2" s="972">
        <f>Flags!I6</f>
        <v>48029</v>
      </c>
      <c r="J2" s="972">
        <f>Flags!J6</f>
        <v>48213</v>
      </c>
      <c r="K2" s="972">
        <f>Flags!K6</f>
        <v>48395</v>
      </c>
      <c r="L2" s="972">
        <f>Flags!L6</f>
        <v>48579</v>
      </c>
      <c r="M2" s="972">
        <f>Flags!M6</f>
        <v>48760</v>
      </c>
      <c r="N2" s="972">
        <f>Flags!N6</f>
        <v>48944</v>
      </c>
      <c r="O2" s="972">
        <f>Flags!O6</f>
        <v>49125</v>
      </c>
      <c r="P2" s="972">
        <f>Flags!P6</f>
        <v>49309</v>
      </c>
      <c r="Q2" s="972">
        <f>Flags!Q6</f>
        <v>49490</v>
      </c>
      <c r="R2" s="972">
        <f>Flags!R6</f>
        <v>49674</v>
      </c>
      <c r="S2" s="972">
        <f>Flags!S6</f>
        <v>49856</v>
      </c>
      <c r="T2" s="972">
        <f>Flags!T6</f>
        <v>50040</v>
      </c>
      <c r="U2" s="972">
        <f>Flags!U6</f>
        <v>50221</v>
      </c>
      <c r="V2" s="972">
        <f>Flags!V6</f>
        <v>50405</v>
      </c>
      <c r="W2" s="972">
        <f>Flags!W6</f>
        <v>50586</v>
      </c>
      <c r="X2" s="972">
        <f>Flags!X6</f>
        <v>50770</v>
      </c>
      <c r="Y2" s="972">
        <f>Flags!Y6</f>
        <v>50951</v>
      </c>
      <c r="Z2" s="972">
        <f>Flags!Z6</f>
        <v>51135</v>
      </c>
      <c r="AA2" s="972">
        <f>Flags!AA6</f>
        <v>51317</v>
      </c>
      <c r="AB2" s="972">
        <f>Flags!AB6</f>
        <v>51501</v>
      </c>
      <c r="AC2" s="972">
        <f>Flags!AC6</f>
        <v>51682</v>
      </c>
      <c r="AD2" s="972">
        <f>Flags!AD6</f>
        <v>51866</v>
      </c>
      <c r="AE2" s="972">
        <f>Flags!AE6</f>
        <v>52047</v>
      </c>
      <c r="AF2" s="972">
        <f>Flags!AF6</f>
        <v>52231</v>
      </c>
      <c r="AG2" s="972">
        <f>Flags!AG6</f>
        <v>52412</v>
      </c>
      <c r="AH2" s="972">
        <f>Flags!AH6</f>
        <v>52596</v>
      </c>
      <c r="AI2" s="972">
        <f>Flags!AI6</f>
        <v>52778</v>
      </c>
      <c r="AJ2" s="972">
        <f>Flags!AJ6</f>
        <v>52962</v>
      </c>
      <c r="AK2" s="972">
        <f>Flags!AK6</f>
        <v>53143</v>
      </c>
      <c r="AL2" s="972">
        <f>Flags!AL6</f>
        <v>53327</v>
      </c>
      <c r="AM2" s="972">
        <f>Flags!AM6</f>
        <v>53508</v>
      </c>
      <c r="AN2" s="972">
        <f>Flags!AN6</f>
        <v>53692</v>
      </c>
      <c r="AO2" s="972">
        <f>Flags!AO6</f>
        <v>53873</v>
      </c>
      <c r="AP2" s="972">
        <f>Flags!AP6</f>
        <v>54057</v>
      </c>
      <c r="AQ2" s="972">
        <f>Flags!AQ6</f>
        <v>54239</v>
      </c>
      <c r="AR2" s="972">
        <f>Flags!AR6</f>
        <v>54423</v>
      </c>
      <c r="AS2" s="972">
        <f>Flags!AS6</f>
        <v>54604</v>
      </c>
      <c r="AT2" s="972">
        <f>Flags!AT6</f>
        <v>54788</v>
      </c>
      <c r="AU2" s="972">
        <f>Flags!AU6</f>
        <v>54969</v>
      </c>
      <c r="AV2" s="972">
        <f>Flags!AV6</f>
        <v>55153</v>
      </c>
      <c r="AW2" s="972">
        <f>Flags!AW6</f>
        <v>55334</v>
      </c>
      <c r="AX2" s="972">
        <f>Flags!AX6</f>
        <v>55518</v>
      </c>
      <c r="AY2" s="972">
        <f>Flags!AY6</f>
        <v>55700</v>
      </c>
      <c r="AZ2" s="972">
        <f>Flags!AZ6</f>
        <v>55884</v>
      </c>
      <c r="BA2" s="972">
        <f>Flags!BA6</f>
        <v>56065</v>
      </c>
      <c r="BB2" s="972">
        <f>Flags!BB6</f>
        <v>56249</v>
      </c>
      <c r="BC2" s="972">
        <f>Flags!BC6</f>
        <v>56430</v>
      </c>
      <c r="BD2" s="972">
        <f>Flags!BD6</f>
        <v>56614</v>
      </c>
      <c r="BE2" s="972">
        <f>Flags!BE6</f>
        <v>56795</v>
      </c>
      <c r="BF2" s="972">
        <f>Flags!BF6</f>
        <v>56979</v>
      </c>
      <c r="BG2" s="972">
        <f>Flags!BG6</f>
        <v>57161</v>
      </c>
      <c r="BH2" s="972">
        <f>Flags!BH6</f>
        <v>57345</v>
      </c>
      <c r="BI2" s="972">
        <f>Flags!BI6</f>
        <v>57526</v>
      </c>
      <c r="BJ2" s="972">
        <f>Flags!BJ6</f>
        <v>57710</v>
      </c>
      <c r="BK2" s="972">
        <f>Flags!BK6</f>
        <v>57891</v>
      </c>
      <c r="BL2" s="972">
        <f>Flags!BL6</f>
        <v>58075</v>
      </c>
      <c r="BM2" s="972">
        <f>Flags!BM6</f>
        <v>58256</v>
      </c>
      <c r="BN2" s="972">
        <f>Flags!BN6</f>
        <v>58440</v>
      </c>
      <c r="BO2" s="972">
        <f>Flags!BO6</f>
        <v>58622</v>
      </c>
      <c r="BP2" s="972">
        <f>Flags!BP6</f>
        <v>58806</v>
      </c>
      <c r="BQ2" s="972">
        <f>Flags!BQ6</f>
        <v>58987</v>
      </c>
      <c r="BR2" s="972">
        <f>Flags!BR6</f>
        <v>59171</v>
      </c>
      <c r="BS2" s="972">
        <f>Flags!BS6</f>
        <v>59352</v>
      </c>
      <c r="BT2" s="972">
        <f>Flags!BT6</f>
        <v>59536</v>
      </c>
      <c r="BU2" s="972">
        <f>Flags!BU6</f>
        <v>59717</v>
      </c>
      <c r="BV2" s="972">
        <f>Flags!BV6</f>
        <v>59901</v>
      </c>
      <c r="BW2" s="972">
        <f>Flags!BW6</f>
        <v>60083</v>
      </c>
      <c r="BX2" s="972">
        <f>Flags!BX6</f>
        <v>60267</v>
      </c>
      <c r="BY2" s="972">
        <f>Flags!BY6</f>
        <v>60448</v>
      </c>
      <c r="BZ2" s="972">
        <f>Flags!BZ6</f>
        <v>60632</v>
      </c>
      <c r="CA2" s="972">
        <f>Flags!CA6</f>
        <v>60813</v>
      </c>
      <c r="CB2" s="972">
        <f>Flags!CB6</f>
        <v>60997</v>
      </c>
      <c r="CC2" s="972">
        <f>Flags!CC6</f>
        <v>61178</v>
      </c>
      <c r="CD2" s="972">
        <f>Flags!CD6</f>
        <v>61362</v>
      </c>
      <c r="CE2" s="972">
        <f>Flags!CE6</f>
        <v>61544</v>
      </c>
      <c r="CF2" s="972">
        <f>Flags!CF6</f>
        <v>61728</v>
      </c>
      <c r="CG2" s="972">
        <f>Flags!CG6</f>
        <v>61909</v>
      </c>
      <c r="CH2" s="972">
        <f>Flags!CH6</f>
        <v>62093</v>
      </c>
      <c r="CI2" s="972">
        <f>Flags!CI6</f>
        <v>62274</v>
      </c>
      <c r="CJ2" s="972">
        <f>Flags!CJ6</f>
        <v>62458</v>
      </c>
      <c r="CK2" s="972">
        <f>Flags!CK6</f>
        <v>62639</v>
      </c>
      <c r="CL2" s="972">
        <f>Flags!CL6</f>
        <v>62823</v>
      </c>
      <c r="CM2" s="972">
        <f>Flags!CM6</f>
        <v>63005</v>
      </c>
      <c r="CN2" s="972">
        <f>Flags!CN6</f>
        <v>63189</v>
      </c>
      <c r="CO2" s="972">
        <f>Flags!CO6</f>
        <v>63370</v>
      </c>
      <c r="CP2" s="972">
        <f>Flags!CP6</f>
        <v>63554</v>
      </c>
      <c r="CQ2" s="972">
        <f>Flags!CQ6</f>
        <v>63735</v>
      </c>
      <c r="CR2" s="972">
        <f>Flags!CR6</f>
        <v>63919</v>
      </c>
      <c r="CS2" s="972">
        <f>Flags!CS6</f>
        <v>64100</v>
      </c>
      <c r="CT2" s="972">
        <f>Flags!CT6</f>
        <v>64284</v>
      </c>
      <c r="CU2" s="972">
        <f>Flags!CU6</f>
        <v>64466</v>
      </c>
      <c r="CV2" s="972">
        <f>Flags!CV6</f>
        <v>64650</v>
      </c>
      <c r="CW2" s="972">
        <f>Flags!CW6</f>
        <v>64831</v>
      </c>
      <c r="CX2" s="972">
        <f>Flags!CX6</f>
        <v>65015</v>
      </c>
      <c r="CY2" s="972">
        <f>Flags!CY6</f>
        <v>65196</v>
      </c>
      <c r="CZ2" s="972">
        <f>Flags!CZ6</f>
        <v>65380</v>
      </c>
      <c r="DA2" s="972">
        <f>Flags!DA6</f>
        <v>65561</v>
      </c>
      <c r="DB2" s="972">
        <f>Flags!DB6</f>
        <v>65745</v>
      </c>
      <c r="DC2" s="972">
        <f>Flags!DC6</f>
        <v>65927</v>
      </c>
      <c r="DD2" s="972">
        <f>Flags!DD6</f>
        <v>66111</v>
      </c>
      <c r="DE2" s="972">
        <f>Flags!DE6</f>
        <v>66292</v>
      </c>
      <c r="DF2" s="972">
        <f>Flags!DF6</f>
        <v>66476</v>
      </c>
      <c r="DG2" s="972">
        <f>Flags!DG6</f>
        <v>66657</v>
      </c>
      <c r="DH2" s="972">
        <f>Flags!DH6</f>
        <v>66841</v>
      </c>
      <c r="DI2" s="972">
        <f>Flags!DI6</f>
        <v>67022</v>
      </c>
      <c r="DJ2" s="972">
        <f>Flags!DJ6</f>
        <v>67206</v>
      </c>
      <c r="DK2" s="972">
        <f>Flags!DK6</f>
        <v>67388</v>
      </c>
      <c r="DL2" s="972">
        <f>Flags!DL6</f>
        <v>67572</v>
      </c>
      <c r="DM2" s="972">
        <f>Flags!DM6</f>
        <v>67753</v>
      </c>
      <c r="DN2" s="972">
        <f>Flags!DN6</f>
        <v>67937</v>
      </c>
      <c r="DO2" s="972">
        <f>Flags!DO6</f>
        <v>68118</v>
      </c>
      <c r="DP2" s="972">
        <f>Flags!DP6</f>
        <v>68302</v>
      </c>
      <c r="DQ2" s="972">
        <f>Flags!DQ6</f>
        <v>68483</v>
      </c>
      <c r="DR2" s="972">
        <f>Flags!DR6</f>
        <v>68667</v>
      </c>
      <c r="DS2" s="972">
        <f>Flags!DS6</f>
        <v>68849</v>
      </c>
      <c r="DT2" s="972">
        <f>Flags!DT6</f>
        <v>69033</v>
      </c>
      <c r="DU2" s="972">
        <f>Flags!DU6</f>
        <v>69214</v>
      </c>
      <c r="DV2" s="972">
        <f>Flags!DV6</f>
        <v>69398</v>
      </c>
      <c r="DW2" s="972">
        <f>Flags!DW6</f>
        <v>69579</v>
      </c>
    </row>
    <row r="3" spans="1:127">
      <c r="A3" s="997" t="str">
        <f>Flags!A7</f>
        <v>Year</v>
      </c>
      <c r="B3" s="690"/>
      <c r="C3" s="690"/>
      <c r="D3" s="486"/>
      <c r="E3" s="486"/>
      <c r="G3" s="1001">
        <f>Flags!G7</f>
        <v>0</v>
      </c>
      <c r="H3" s="1001">
        <f>Flags!H7</f>
        <v>1</v>
      </c>
      <c r="I3" s="1001">
        <f>Flags!I7</f>
        <v>1</v>
      </c>
      <c r="J3" s="1001">
        <f>Flags!J7</f>
        <v>2</v>
      </c>
      <c r="K3" s="1001">
        <f>Flags!K7</f>
        <v>2</v>
      </c>
      <c r="L3" s="1001">
        <f>Flags!L7</f>
        <v>3</v>
      </c>
      <c r="M3" s="1001">
        <f>Flags!M7</f>
        <v>3</v>
      </c>
      <c r="N3" s="1001">
        <f>Flags!N7</f>
        <v>4</v>
      </c>
      <c r="O3" s="1001">
        <f>Flags!O7</f>
        <v>4</v>
      </c>
      <c r="P3" s="1001">
        <f>Flags!P7</f>
        <v>5</v>
      </c>
      <c r="Q3" s="1001">
        <f>Flags!Q7</f>
        <v>5</v>
      </c>
      <c r="R3" s="1001">
        <f>Flags!R7</f>
        <v>6</v>
      </c>
      <c r="S3" s="1001">
        <f>Flags!S7</f>
        <v>6</v>
      </c>
      <c r="T3" s="1001">
        <f>Flags!T7</f>
        <v>7</v>
      </c>
      <c r="U3" s="1001">
        <f>Flags!U7</f>
        <v>7</v>
      </c>
      <c r="V3" s="1001">
        <f>Flags!V7</f>
        <v>8</v>
      </c>
      <c r="W3" s="1001">
        <f>Flags!W7</f>
        <v>8</v>
      </c>
      <c r="X3" s="1001">
        <f>Flags!X7</f>
        <v>9</v>
      </c>
      <c r="Y3" s="1001">
        <f>Flags!Y7</f>
        <v>9</v>
      </c>
      <c r="Z3" s="1001">
        <f>Flags!Z7</f>
        <v>10</v>
      </c>
      <c r="AA3" s="1001">
        <f>Flags!AA7</f>
        <v>10</v>
      </c>
      <c r="AB3" s="1001">
        <f>Flags!AB7</f>
        <v>11</v>
      </c>
      <c r="AC3" s="1001">
        <f>Flags!AC7</f>
        <v>11</v>
      </c>
      <c r="AD3" s="1001">
        <f>Flags!AD7</f>
        <v>12</v>
      </c>
      <c r="AE3" s="1001">
        <f>Flags!AE7</f>
        <v>12</v>
      </c>
      <c r="AF3" s="1001">
        <f>Flags!AF7</f>
        <v>13</v>
      </c>
      <c r="AG3" s="1001">
        <f>Flags!AG7</f>
        <v>13</v>
      </c>
      <c r="AH3" s="1001">
        <f>Flags!AH7</f>
        <v>14</v>
      </c>
      <c r="AI3" s="1001">
        <f>Flags!AI7</f>
        <v>14</v>
      </c>
      <c r="AJ3" s="1001">
        <f>Flags!AJ7</f>
        <v>15</v>
      </c>
      <c r="AK3" s="1001">
        <f>Flags!AK7</f>
        <v>15</v>
      </c>
      <c r="AL3" s="1001">
        <f>Flags!AL7</f>
        <v>16</v>
      </c>
      <c r="AM3" s="1001">
        <f>Flags!AM7</f>
        <v>16</v>
      </c>
      <c r="AN3" s="1001">
        <f>Flags!AN7</f>
        <v>17</v>
      </c>
      <c r="AO3" s="1001">
        <f>Flags!AO7</f>
        <v>17</v>
      </c>
      <c r="AP3" s="1001">
        <f>Flags!AP7</f>
        <v>18</v>
      </c>
      <c r="AQ3" s="1001">
        <f>Flags!AQ7</f>
        <v>18</v>
      </c>
      <c r="AR3" s="1001">
        <f>Flags!AR7</f>
        <v>19</v>
      </c>
      <c r="AS3" s="1001">
        <f>Flags!AS7</f>
        <v>19</v>
      </c>
      <c r="AT3" s="1001">
        <f>Flags!AT7</f>
        <v>20</v>
      </c>
      <c r="AU3" s="1001">
        <f>Flags!AU7</f>
        <v>20</v>
      </c>
      <c r="AV3" s="1001">
        <f>Flags!AV7</f>
        <v>21</v>
      </c>
      <c r="AW3" s="1001">
        <f>Flags!AW7</f>
        <v>21</v>
      </c>
      <c r="AX3" s="1001">
        <f>Flags!AX7</f>
        <v>22</v>
      </c>
      <c r="AY3" s="1001">
        <f>Flags!AY7</f>
        <v>22</v>
      </c>
      <c r="AZ3" s="1001">
        <f>Flags!AZ7</f>
        <v>23</v>
      </c>
      <c r="BA3" s="1001">
        <f>Flags!BA7</f>
        <v>23</v>
      </c>
      <c r="BB3" s="1001">
        <f>Flags!BB7</f>
        <v>24</v>
      </c>
      <c r="BC3" s="1001">
        <f>Flags!BC7</f>
        <v>24</v>
      </c>
      <c r="BD3" s="1001">
        <f>Flags!BD7</f>
        <v>25</v>
      </c>
      <c r="BE3" s="1001">
        <f>Flags!BE7</f>
        <v>25</v>
      </c>
      <c r="BF3" s="1001">
        <f>Flags!BF7</f>
        <v>26</v>
      </c>
      <c r="BG3" s="1001">
        <f>Flags!BG7</f>
        <v>26</v>
      </c>
      <c r="BH3" s="1001">
        <f>Flags!BH7</f>
        <v>27</v>
      </c>
      <c r="BI3" s="1001">
        <f>Flags!BI7</f>
        <v>27</v>
      </c>
      <c r="BJ3" s="1001">
        <f>Flags!BJ7</f>
        <v>28</v>
      </c>
      <c r="BK3" s="1001">
        <f>Flags!BK7</f>
        <v>28</v>
      </c>
      <c r="BL3" s="1001">
        <f>Flags!BL7</f>
        <v>29</v>
      </c>
      <c r="BM3" s="1001">
        <f>Flags!BM7</f>
        <v>29</v>
      </c>
      <c r="BN3" s="1001">
        <f>Flags!BN7</f>
        <v>30</v>
      </c>
      <c r="BO3" s="1001">
        <f>Flags!BO7</f>
        <v>30</v>
      </c>
      <c r="BP3" s="1001">
        <f>Flags!BP7</f>
        <v>31</v>
      </c>
      <c r="BQ3" s="1001">
        <f>Flags!BQ7</f>
        <v>31</v>
      </c>
      <c r="BR3" s="1001">
        <f>Flags!BR7</f>
        <v>32</v>
      </c>
      <c r="BS3" s="1001">
        <f>Flags!BS7</f>
        <v>32</v>
      </c>
      <c r="BT3" s="1001">
        <f>Flags!BT7</f>
        <v>33</v>
      </c>
      <c r="BU3" s="1001">
        <f>Flags!BU7</f>
        <v>33</v>
      </c>
      <c r="BV3" s="1001">
        <f>Flags!BV7</f>
        <v>34</v>
      </c>
      <c r="BW3" s="1001">
        <f>Flags!BW7</f>
        <v>34</v>
      </c>
      <c r="BX3" s="1001">
        <f>Flags!BX7</f>
        <v>35</v>
      </c>
      <c r="BY3" s="1001">
        <f>Flags!BY7</f>
        <v>35</v>
      </c>
      <c r="BZ3" s="1001">
        <f>Flags!BZ7</f>
        <v>36</v>
      </c>
      <c r="CA3" s="1001">
        <f>Flags!CA7</f>
        <v>36</v>
      </c>
      <c r="CB3" s="1001">
        <f>Flags!CB7</f>
        <v>37</v>
      </c>
      <c r="CC3" s="1001">
        <f>Flags!CC7</f>
        <v>37</v>
      </c>
      <c r="CD3" s="1001">
        <f>Flags!CD7</f>
        <v>38</v>
      </c>
      <c r="CE3" s="1001">
        <f>Flags!CE7</f>
        <v>38</v>
      </c>
      <c r="CF3" s="1001">
        <f>Flags!CF7</f>
        <v>39</v>
      </c>
      <c r="CG3" s="1001">
        <f>Flags!CG7</f>
        <v>39</v>
      </c>
      <c r="CH3" s="1001">
        <f>Flags!CH7</f>
        <v>40</v>
      </c>
      <c r="CI3" s="1001">
        <f>Flags!CI7</f>
        <v>40</v>
      </c>
      <c r="CJ3" s="1001">
        <f>Flags!CJ7</f>
        <v>41</v>
      </c>
      <c r="CK3" s="1001">
        <f>Flags!CK7</f>
        <v>41</v>
      </c>
      <c r="CL3" s="1001">
        <f>Flags!CL7</f>
        <v>42</v>
      </c>
      <c r="CM3" s="1001">
        <f>Flags!CM7</f>
        <v>42</v>
      </c>
      <c r="CN3" s="1001">
        <f>Flags!CN7</f>
        <v>43</v>
      </c>
      <c r="CO3" s="1001">
        <f>Flags!CO7</f>
        <v>43</v>
      </c>
      <c r="CP3" s="1001">
        <f>Flags!CP7</f>
        <v>44</v>
      </c>
      <c r="CQ3" s="1001">
        <f>Flags!CQ7</f>
        <v>44</v>
      </c>
      <c r="CR3" s="1001">
        <f>Flags!CR7</f>
        <v>45</v>
      </c>
      <c r="CS3" s="1001">
        <f>Flags!CS7</f>
        <v>45</v>
      </c>
      <c r="CT3" s="1001">
        <f>Flags!CT7</f>
        <v>46</v>
      </c>
      <c r="CU3" s="1001">
        <f>Flags!CU7</f>
        <v>46</v>
      </c>
      <c r="CV3" s="1001">
        <f>Flags!CV7</f>
        <v>47</v>
      </c>
      <c r="CW3" s="1001">
        <f>Flags!CW7</f>
        <v>47</v>
      </c>
      <c r="CX3" s="1001">
        <f>Flags!CX7</f>
        <v>48</v>
      </c>
      <c r="CY3" s="1001">
        <f>Flags!CY7</f>
        <v>48</v>
      </c>
      <c r="CZ3" s="1001">
        <f>Flags!CZ7</f>
        <v>49</v>
      </c>
      <c r="DA3" s="1001">
        <f>Flags!DA7</f>
        <v>49</v>
      </c>
      <c r="DB3" s="1001">
        <f>Flags!DB7</f>
        <v>50</v>
      </c>
      <c r="DC3" s="1001">
        <f>Flags!DC7</f>
        <v>50</v>
      </c>
      <c r="DD3" s="1001">
        <f>Flags!DD7</f>
        <v>51</v>
      </c>
      <c r="DE3" s="1001">
        <f>Flags!DE7</f>
        <v>51</v>
      </c>
      <c r="DF3" s="1001">
        <f>Flags!DF7</f>
        <v>52</v>
      </c>
      <c r="DG3" s="1001">
        <f>Flags!DG7</f>
        <v>52</v>
      </c>
      <c r="DH3" s="1001">
        <f>Flags!DH7</f>
        <v>53</v>
      </c>
      <c r="DI3" s="1001">
        <f>Flags!DI7</f>
        <v>53</v>
      </c>
      <c r="DJ3" s="1001">
        <f>Flags!DJ7</f>
        <v>54</v>
      </c>
      <c r="DK3" s="1001">
        <f>Flags!DK7</f>
        <v>54</v>
      </c>
      <c r="DL3" s="1001">
        <f>Flags!DL7</f>
        <v>55</v>
      </c>
      <c r="DM3" s="1001">
        <f>Flags!DM7</f>
        <v>55</v>
      </c>
      <c r="DN3" s="1001">
        <f>Flags!DN7</f>
        <v>56</v>
      </c>
      <c r="DO3" s="1001">
        <f>Flags!DO7</f>
        <v>56</v>
      </c>
      <c r="DP3" s="1001">
        <f>Flags!DP7</f>
        <v>57</v>
      </c>
      <c r="DQ3" s="1001">
        <f>Flags!DQ7</f>
        <v>57</v>
      </c>
      <c r="DR3" s="1001">
        <f>Flags!DR7</f>
        <v>58</v>
      </c>
      <c r="DS3" s="1001">
        <f>Flags!DS7</f>
        <v>58</v>
      </c>
      <c r="DT3" s="1001">
        <f>Flags!DT7</f>
        <v>59</v>
      </c>
      <c r="DU3" s="1001">
        <f>Flags!DU7</f>
        <v>59</v>
      </c>
      <c r="DV3" s="1001">
        <f>Flags!DV7</f>
        <v>60</v>
      </c>
      <c r="DW3" s="1001">
        <f>Flags!DW7</f>
        <v>60</v>
      </c>
    </row>
    <row r="4" spans="1:127">
      <c r="A4" s="861" t="s">
        <v>6</v>
      </c>
      <c r="B4" s="862"/>
      <c r="C4" s="862"/>
      <c r="D4" s="864"/>
      <c r="E4" s="864"/>
      <c r="F4" s="863"/>
      <c r="G4" s="1076">
        <f>Flags!G8</f>
        <v>0</v>
      </c>
      <c r="H4" s="1076">
        <f>Flags!H8</f>
        <v>1</v>
      </c>
      <c r="I4" s="1076">
        <f>Flags!I8</f>
        <v>2</v>
      </c>
      <c r="J4" s="1076">
        <f>Flags!J8</f>
        <v>3</v>
      </c>
      <c r="K4" s="1076">
        <f>Flags!K8</f>
        <v>4</v>
      </c>
      <c r="L4" s="1076">
        <f>Flags!L8</f>
        <v>5</v>
      </c>
      <c r="M4" s="1076">
        <f>Flags!M8</f>
        <v>6</v>
      </c>
      <c r="N4" s="1076">
        <f>Flags!N8</f>
        <v>7</v>
      </c>
      <c r="O4" s="1076">
        <f>Flags!O8</f>
        <v>8</v>
      </c>
      <c r="P4" s="1076">
        <f>Flags!P8</f>
        <v>9</v>
      </c>
      <c r="Q4" s="1076">
        <f>Flags!Q8</f>
        <v>10</v>
      </c>
      <c r="R4" s="1076">
        <f>Flags!R8</f>
        <v>11</v>
      </c>
      <c r="S4" s="1076">
        <f>Flags!S8</f>
        <v>12</v>
      </c>
      <c r="T4" s="1076">
        <f>Flags!T8</f>
        <v>13</v>
      </c>
      <c r="U4" s="1076">
        <f>Flags!U8</f>
        <v>14</v>
      </c>
      <c r="V4" s="1076">
        <f>Flags!V8</f>
        <v>15</v>
      </c>
      <c r="W4" s="1076">
        <f>Flags!W8</f>
        <v>16</v>
      </c>
      <c r="X4" s="1076">
        <f>Flags!X8</f>
        <v>17</v>
      </c>
      <c r="Y4" s="1076">
        <f>Flags!Y8</f>
        <v>18</v>
      </c>
      <c r="Z4" s="1076">
        <f>Flags!Z8</f>
        <v>19</v>
      </c>
      <c r="AA4" s="1076">
        <f>Flags!AA8</f>
        <v>20</v>
      </c>
      <c r="AB4" s="1076">
        <f>Flags!AB8</f>
        <v>21</v>
      </c>
      <c r="AC4" s="1076">
        <f>Flags!AC8</f>
        <v>22</v>
      </c>
      <c r="AD4" s="1076">
        <f>Flags!AD8</f>
        <v>23</v>
      </c>
      <c r="AE4" s="1076">
        <f>Flags!AE8</f>
        <v>24</v>
      </c>
      <c r="AF4" s="1076">
        <f>Flags!AF8</f>
        <v>25</v>
      </c>
      <c r="AG4" s="1076">
        <f>Flags!AG8</f>
        <v>26</v>
      </c>
      <c r="AH4" s="1076">
        <f>Flags!AH8</f>
        <v>27</v>
      </c>
      <c r="AI4" s="1076">
        <f>Flags!AI8</f>
        <v>28</v>
      </c>
      <c r="AJ4" s="1076">
        <f>Flags!AJ8</f>
        <v>29</v>
      </c>
      <c r="AK4" s="1076">
        <f>Flags!AK8</f>
        <v>30</v>
      </c>
      <c r="AL4" s="1076">
        <f>Flags!AL8</f>
        <v>31</v>
      </c>
      <c r="AM4" s="1076">
        <f>Flags!AM8</f>
        <v>32</v>
      </c>
      <c r="AN4" s="1076">
        <f>Flags!AN8</f>
        <v>33</v>
      </c>
      <c r="AO4" s="1076">
        <f>Flags!AO8</f>
        <v>34</v>
      </c>
      <c r="AP4" s="1076">
        <f>Flags!AP8</f>
        <v>35</v>
      </c>
      <c r="AQ4" s="1076">
        <f>Flags!AQ8</f>
        <v>36</v>
      </c>
      <c r="AR4" s="1076">
        <f>Flags!AR8</f>
        <v>37</v>
      </c>
      <c r="AS4" s="1076">
        <f>Flags!AS8</f>
        <v>38</v>
      </c>
      <c r="AT4" s="1076">
        <f>Flags!AT8</f>
        <v>39</v>
      </c>
      <c r="AU4" s="1076">
        <f>Flags!AU8</f>
        <v>40</v>
      </c>
      <c r="AV4" s="1076">
        <f>Flags!AV8</f>
        <v>41</v>
      </c>
      <c r="AW4" s="1076">
        <f>Flags!AW8</f>
        <v>42</v>
      </c>
      <c r="AX4" s="1076">
        <f>Flags!AX8</f>
        <v>43</v>
      </c>
      <c r="AY4" s="1076">
        <f>Flags!AY8</f>
        <v>44</v>
      </c>
      <c r="AZ4" s="1076">
        <f>Flags!AZ8</f>
        <v>45</v>
      </c>
      <c r="BA4" s="1076">
        <f>Flags!BA8</f>
        <v>46</v>
      </c>
      <c r="BB4" s="1076">
        <f>Flags!BB8</f>
        <v>47</v>
      </c>
      <c r="BC4" s="1076">
        <f>Flags!BC8</f>
        <v>48</v>
      </c>
      <c r="BD4" s="1076">
        <f>Flags!BD8</f>
        <v>49</v>
      </c>
      <c r="BE4" s="1076">
        <f>Flags!BE8</f>
        <v>50</v>
      </c>
      <c r="BF4" s="1076">
        <f>Flags!BF8</f>
        <v>51</v>
      </c>
      <c r="BG4" s="1076">
        <f>Flags!BG8</f>
        <v>52</v>
      </c>
      <c r="BH4" s="1076">
        <f>Flags!BH8</f>
        <v>53</v>
      </c>
      <c r="BI4" s="1076">
        <f>Flags!BI8</f>
        <v>54</v>
      </c>
      <c r="BJ4" s="1076">
        <f>Flags!BJ8</f>
        <v>55</v>
      </c>
      <c r="BK4" s="1076">
        <f>Flags!BK8</f>
        <v>56</v>
      </c>
      <c r="BL4" s="1076">
        <f>Flags!BL8</f>
        <v>57</v>
      </c>
      <c r="BM4" s="1076">
        <f>Flags!BM8</f>
        <v>58</v>
      </c>
      <c r="BN4" s="1076">
        <f>Flags!BN8</f>
        <v>59</v>
      </c>
      <c r="BO4" s="1076">
        <f>Flags!BO8</f>
        <v>60</v>
      </c>
      <c r="BP4" s="1076">
        <f>Flags!BP8</f>
        <v>61</v>
      </c>
      <c r="BQ4" s="1076">
        <f>Flags!BQ8</f>
        <v>62</v>
      </c>
      <c r="BR4" s="1076">
        <f>Flags!BR8</f>
        <v>63</v>
      </c>
      <c r="BS4" s="1076">
        <f>Flags!BS8</f>
        <v>64</v>
      </c>
      <c r="BT4" s="1076">
        <f>Flags!BT8</f>
        <v>65</v>
      </c>
      <c r="BU4" s="1076">
        <f>Flags!BU8</f>
        <v>66</v>
      </c>
      <c r="BV4" s="1076">
        <f>Flags!BV8</f>
        <v>67</v>
      </c>
      <c r="BW4" s="1076">
        <f>Flags!BW8</f>
        <v>68</v>
      </c>
      <c r="BX4" s="1076">
        <f>Flags!BX8</f>
        <v>69</v>
      </c>
      <c r="BY4" s="1076">
        <f>Flags!BY8</f>
        <v>70</v>
      </c>
      <c r="BZ4" s="1076">
        <f>Flags!BZ8</f>
        <v>71</v>
      </c>
      <c r="CA4" s="1076">
        <f>Flags!CA8</f>
        <v>72</v>
      </c>
      <c r="CB4" s="1076">
        <f>Flags!CB8</f>
        <v>73</v>
      </c>
      <c r="CC4" s="1076">
        <f>Flags!CC8</f>
        <v>74</v>
      </c>
      <c r="CD4" s="1076">
        <f>Flags!CD8</f>
        <v>75</v>
      </c>
      <c r="CE4" s="1076">
        <f>Flags!CE8</f>
        <v>76</v>
      </c>
      <c r="CF4" s="1076">
        <f>Flags!CF8</f>
        <v>77</v>
      </c>
      <c r="CG4" s="1076">
        <f>Flags!CG8</f>
        <v>78</v>
      </c>
      <c r="CH4" s="1076">
        <f>Flags!CH8</f>
        <v>79</v>
      </c>
      <c r="CI4" s="1076">
        <f>Flags!CI8</f>
        <v>80</v>
      </c>
      <c r="CJ4" s="1076">
        <f>Flags!CJ8</f>
        <v>81</v>
      </c>
      <c r="CK4" s="1076">
        <f>Flags!CK8</f>
        <v>82</v>
      </c>
      <c r="CL4" s="1076">
        <f>Flags!CL8</f>
        <v>83</v>
      </c>
      <c r="CM4" s="1076">
        <f>Flags!CM8</f>
        <v>84</v>
      </c>
      <c r="CN4" s="1076">
        <f>Flags!CN8</f>
        <v>85</v>
      </c>
      <c r="CO4" s="1076">
        <f>Flags!CO8</f>
        <v>86</v>
      </c>
      <c r="CP4" s="1076">
        <f>Flags!CP8</f>
        <v>87</v>
      </c>
      <c r="CQ4" s="1076">
        <f>Flags!CQ8</f>
        <v>88</v>
      </c>
      <c r="CR4" s="1076">
        <f>Flags!CR8</f>
        <v>89</v>
      </c>
      <c r="CS4" s="1076">
        <f>Flags!CS8</f>
        <v>90</v>
      </c>
      <c r="CT4" s="1076">
        <f>Flags!CT8</f>
        <v>91</v>
      </c>
      <c r="CU4" s="1076">
        <f>Flags!CU8</f>
        <v>92</v>
      </c>
      <c r="CV4" s="1076">
        <f>Flags!CV8</f>
        <v>93</v>
      </c>
      <c r="CW4" s="1076">
        <f>Flags!CW8</f>
        <v>94</v>
      </c>
      <c r="CX4" s="1076">
        <f>Flags!CX8</f>
        <v>95</v>
      </c>
      <c r="CY4" s="1076">
        <f>Flags!CY8</f>
        <v>96</v>
      </c>
      <c r="CZ4" s="1076">
        <f>Flags!CZ8</f>
        <v>97</v>
      </c>
      <c r="DA4" s="1076">
        <f>Flags!DA8</f>
        <v>98</v>
      </c>
      <c r="DB4" s="1076">
        <f>Flags!DB8</f>
        <v>99</v>
      </c>
      <c r="DC4" s="1076">
        <f>Flags!DC8</f>
        <v>100</v>
      </c>
      <c r="DD4" s="1076">
        <f>Flags!DD8</f>
        <v>101</v>
      </c>
      <c r="DE4" s="1076">
        <f>Flags!DE8</f>
        <v>102</v>
      </c>
      <c r="DF4" s="1076">
        <f>Flags!DF8</f>
        <v>103</v>
      </c>
      <c r="DG4" s="1076">
        <f>Flags!DG8</f>
        <v>104</v>
      </c>
      <c r="DH4" s="1076">
        <f>Flags!DH8</f>
        <v>105</v>
      </c>
      <c r="DI4" s="1076">
        <f>Flags!DI8</f>
        <v>106</v>
      </c>
      <c r="DJ4" s="1076">
        <f>Flags!DJ8</f>
        <v>107</v>
      </c>
      <c r="DK4" s="1076">
        <f>Flags!DK8</f>
        <v>108</v>
      </c>
      <c r="DL4" s="1076">
        <f>Flags!DL8</f>
        <v>109</v>
      </c>
      <c r="DM4" s="1076">
        <f>Flags!DM8</f>
        <v>110</v>
      </c>
      <c r="DN4" s="1076">
        <f>Flags!DN8</f>
        <v>111</v>
      </c>
      <c r="DO4" s="1076">
        <f>Flags!DO8</f>
        <v>112</v>
      </c>
      <c r="DP4" s="1076">
        <f>Flags!DP8</f>
        <v>113</v>
      </c>
      <c r="DQ4" s="1076">
        <f>Flags!DQ8</f>
        <v>114</v>
      </c>
      <c r="DR4" s="1076">
        <f>Flags!DR8</f>
        <v>115</v>
      </c>
      <c r="DS4" s="1076">
        <f>Flags!DS8</f>
        <v>116</v>
      </c>
      <c r="DT4" s="1076">
        <f>Flags!DT8</f>
        <v>117</v>
      </c>
      <c r="DU4" s="1076">
        <f>Flags!DU8</f>
        <v>118</v>
      </c>
      <c r="DV4" s="1076">
        <f>Flags!DV8</f>
        <v>119</v>
      </c>
      <c r="DW4" s="1076">
        <f>Flags!DW8</f>
        <v>120</v>
      </c>
    </row>
    <row r="5" spans="1:127">
      <c r="A5" s="997" t="str">
        <f>Flags!A13</f>
        <v>Operation Period (incl. Leap)</v>
      </c>
      <c r="B5" s="690"/>
      <c r="C5" s="690"/>
      <c r="D5" s="486"/>
      <c r="E5" s="486"/>
      <c r="G5" s="1281">
        <f>Flags!G15</f>
        <v>0</v>
      </c>
      <c r="H5" s="1281">
        <f>Flags!H15</f>
        <v>0.50410958904109593</v>
      </c>
      <c r="I5" s="1281">
        <f>Flags!I15</f>
        <v>0.49589041095890413</v>
      </c>
      <c r="J5" s="1281">
        <f>Flags!J15</f>
        <v>0.50273224043715847</v>
      </c>
      <c r="K5" s="1281">
        <f>Flags!K15</f>
        <v>0.49726775956284153</v>
      </c>
      <c r="L5" s="1281">
        <f>Flags!L15</f>
        <v>0.50410958904109593</v>
      </c>
      <c r="M5" s="1281">
        <f>Flags!M15</f>
        <v>0.49589041095890413</v>
      </c>
      <c r="N5" s="1281">
        <f>Flags!N15</f>
        <v>0.50410958904109593</v>
      </c>
      <c r="O5" s="1281">
        <f>Flags!O15</f>
        <v>0.49589041095890413</v>
      </c>
      <c r="P5" s="1281">
        <f>Flags!P15</f>
        <v>0.50410958904109593</v>
      </c>
      <c r="Q5" s="1281">
        <f>Flags!Q15</f>
        <v>0.49589041095890413</v>
      </c>
      <c r="R5" s="1281">
        <f>Flags!R15</f>
        <v>0.50273224043715847</v>
      </c>
      <c r="S5" s="1281">
        <f>Flags!S15</f>
        <v>0.49726775956284153</v>
      </c>
      <c r="T5" s="1281">
        <f>Flags!T15</f>
        <v>0.50410958904109593</v>
      </c>
      <c r="U5" s="1281">
        <f>Flags!U15</f>
        <v>0.49589041095890413</v>
      </c>
      <c r="V5" s="1281">
        <f>Flags!V15</f>
        <v>0.50410958904109593</v>
      </c>
      <c r="W5" s="1281">
        <f>Flags!W15</f>
        <v>0.49589041095890413</v>
      </c>
      <c r="X5" s="1281">
        <f>Flags!X15</f>
        <v>0.50410958904109593</v>
      </c>
      <c r="Y5" s="1281">
        <f>Flags!Y15</f>
        <v>0.49589041095890413</v>
      </c>
      <c r="Z5" s="1281">
        <f>Flags!Z15</f>
        <v>0.50273224043715847</v>
      </c>
      <c r="AA5" s="1281">
        <f>Flags!AA15</f>
        <v>0.49726775956284153</v>
      </c>
      <c r="AB5" s="1281">
        <f>Flags!AB15</f>
        <v>0.50410958904109593</v>
      </c>
      <c r="AC5" s="1281">
        <f>Flags!AC15</f>
        <v>0.49589041095890413</v>
      </c>
      <c r="AD5" s="1281">
        <f>Flags!AD15</f>
        <v>0.50410958904109593</v>
      </c>
      <c r="AE5" s="1281">
        <f>Flags!AE15</f>
        <v>0.49589041095890413</v>
      </c>
      <c r="AF5" s="1281">
        <f>Flags!AF15</f>
        <v>0.50410958904109593</v>
      </c>
      <c r="AG5" s="1281">
        <f>Flags!AG15</f>
        <v>0.49589041095890413</v>
      </c>
      <c r="AH5" s="1281">
        <f>Flags!AH15</f>
        <v>0.50273224043715847</v>
      </c>
      <c r="AI5" s="1281">
        <f>Flags!AI15</f>
        <v>0.49726775956284153</v>
      </c>
      <c r="AJ5" s="1281">
        <f>Flags!AJ15</f>
        <v>0.50410958904109593</v>
      </c>
      <c r="AK5" s="1281">
        <f>Flags!AK15</f>
        <v>0.49589041095890413</v>
      </c>
      <c r="AL5" s="1281">
        <f>Flags!AL15</f>
        <v>0.50410958904109593</v>
      </c>
      <c r="AM5" s="1281">
        <f>Flags!AM15</f>
        <v>0.49589041095890413</v>
      </c>
      <c r="AN5" s="1281">
        <f>Flags!AN15</f>
        <v>0.50410958904109593</v>
      </c>
      <c r="AO5" s="1281">
        <f>Flags!AO15</f>
        <v>0.49589041095890413</v>
      </c>
      <c r="AP5" s="1281">
        <f>Flags!AP15</f>
        <v>0.50273224043715847</v>
      </c>
      <c r="AQ5" s="1281">
        <f>Flags!AQ15</f>
        <v>0.49726775956284153</v>
      </c>
      <c r="AR5" s="1281">
        <f>Flags!AR15</f>
        <v>0.50410958904109593</v>
      </c>
      <c r="AS5" s="1281">
        <f>Flags!AS15</f>
        <v>0.49589041095890413</v>
      </c>
      <c r="AT5" s="1281">
        <f>Flags!AT15</f>
        <v>0.50410958904109593</v>
      </c>
      <c r="AU5" s="1281">
        <f>Flags!AU15</f>
        <v>0.49589041095890413</v>
      </c>
      <c r="AV5" s="1003">
        <f>Flags!AV15</f>
        <v>0.50410958904109593</v>
      </c>
      <c r="AW5" s="1003">
        <f>Flags!AW15</f>
        <v>0.49589041095890413</v>
      </c>
      <c r="AX5" s="1003">
        <f>Flags!AX15</f>
        <v>0.50273224043715847</v>
      </c>
      <c r="AY5" s="1003">
        <f>Flags!AY15</f>
        <v>0.49726775956284153</v>
      </c>
      <c r="AZ5" s="1003">
        <f>Flags!AZ15</f>
        <v>0.50410958904109593</v>
      </c>
      <c r="BA5" s="1003">
        <f>Flags!BA15</f>
        <v>0.49589041095890413</v>
      </c>
      <c r="BB5" s="1003">
        <f>Flags!BB15</f>
        <v>0.50410958904109593</v>
      </c>
      <c r="BC5" s="1003">
        <f>Flags!BC15</f>
        <v>0.49589041095890413</v>
      </c>
      <c r="BD5" s="1003">
        <f>Flags!BD15</f>
        <v>0.50410958904109593</v>
      </c>
      <c r="BE5" s="1003">
        <f>Flags!BE15</f>
        <v>0.49589041095890413</v>
      </c>
      <c r="BF5" s="1003">
        <f>Flags!BF15</f>
        <v>0.50273224043715847</v>
      </c>
      <c r="BG5" s="1003">
        <f>Flags!BG15</f>
        <v>0.49726775956284153</v>
      </c>
      <c r="BH5" s="1003">
        <f>Flags!BH15</f>
        <v>0.50410958904109593</v>
      </c>
      <c r="BI5" s="1003">
        <f>Flags!BI15</f>
        <v>0.49589041095890413</v>
      </c>
      <c r="BJ5" s="1003">
        <f>Flags!BJ15</f>
        <v>0.50410958904109593</v>
      </c>
      <c r="BK5" s="1003">
        <f>Flags!BK15</f>
        <v>0.49589041095890413</v>
      </c>
      <c r="BL5" s="1003">
        <f>Flags!BL15</f>
        <v>0.50410958904109593</v>
      </c>
      <c r="BM5" s="1003">
        <f>Flags!BM15</f>
        <v>0.49589041095890413</v>
      </c>
      <c r="BN5" s="1003">
        <f>Flags!BN15</f>
        <v>0.50273224043715847</v>
      </c>
      <c r="BO5" s="1003">
        <f>Flags!BO15</f>
        <v>0.49726775956284153</v>
      </c>
      <c r="BP5" s="1003">
        <f>Flags!BP15</f>
        <v>0.50410958904109593</v>
      </c>
      <c r="BQ5" s="1003">
        <f>Flags!BQ15</f>
        <v>0.49589041095890413</v>
      </c>
      <c r="BR5" s="1003">
        <f>Flags!BR15</f>
        <v>0.50410958904109593</v>
      </c>
      <c r="BS5" s="1003">
        <f>Flags!BS15</f>
        <v>0.49589041095890413</v>
      </c>
      <c r="BT5" s="1003">
        <f>Flags!BT15</f>
        <v>0.50410958904109593</v>
      </c>
      <c r="BU5" s="1003">
        <f>Flags!BU15</f>
        <v>0.49589041095890413</v>
      </c>
      <c r="BV5" s="1003">
        <f>Flags!BV15</f>
        <v>0.50273224043715847</v>
      </c>
      <c r="BW5" s="1003">
        <f>Flags!BW15</f>
        <v>0.49726775956284153</v>
      </c>
      <c r="BX5" s="1003">
        <f>Flags!BX15</f>
        <v>0.50410958904109593</v>
      </c>
      <c r="BY5" s="1003">
        <f>Flags!BY15</f>
        <v>0.49589041095890413</v>
      </c>
      <c r="BZ5" s="1003">
        <f>Flags!BZ15</f>
        <v>0.50410958904109593</v>
      </c>
      <c r="CA5" s="1003">
        <f>Flags!CA15</f>
        <v>0.49589041095890413</v>
      </c>
      <c r="CB5" s="1003">
        <f>Flags!CB15</f>
        <v>0.50410958904109593</v>
      </c>
      <c r="CC5" s="1003">
        <f>Flags!CC15</f>
        <v>0.49589041095890413</v>
      </c>
      <c r="CD5" s="1003">
        <f>Flags!CD15</f>
        <v>0.50273224043715847</v>
      </c>
      <c r="CE5" s="1003">
        <f>Flags!CE15</f>
        <v>0.49726775956284153</v>
      </c>
      <c r="CF5" s="1003">
        <f>Flags!CF15</f>
        <v>0.50410958904109593</v>
      </c>
      <c r="CG5" s="1003">
        <f>Flags!CG15</f>
        <v>0.49589041095890413</v>
      </c>
      <c r="CH5" s="1003">
        <f>Flags!CH15</f>
        <v>0.50410958904109593</v>
      </c>
      <c r="CI5" s="1003">
        <f>Flags!CI15</f>
        <v>0.49589041095890413</v>
      </c>
      <c r="CJ5" s="1003">
        <f>Flags!CJ15</f>
        <v>0.50410958904109593</v>
      </c>
      <c r="CK5" s="1003">
        <f>Flags!CK15</f>
        <v>0.49589041095890413</v>
      </c>
      <c r="CL5" s="1003">
        <f>Flags!CL15</f>
        <v>0.50273224043715847</v>
      </c>
      <c r="CM5" s="1003">
        <f>Flags!CM15</f>
        <v>0.49726775956284153</v>
      </c>
      <c r="CN5" s="1003">
        <f>Flags!CN15</f>
        <v>0.50410958904109593</v>
      </c>
      <c r="CO5" s="1003">
        <f>Flags!CO15</f>
        <v>0.49589041095890413</v>
      </c>
      <c r="CP5" s="1003">
        <f>Flags!CP15</f>
        <v>0.50410958904109593</v>
      </c>
      <c r="CQ5" s="1003">
        <f>Flags!CQ15</f>
        <v>0.49589041095890413</v>
      </c>
      <c r="CR5" s="1003">
        <f>Flags!CR15</f>
        <v>0.50410958904109593</v>
      </c>
      <c r="CS5" s="1003">
        <f>Flags!CS15</f>
        <v>0.49589041095890413</v>
      </c>
      <c r="CT5" s="1003">
        <f>Flags!CT15</f>
        <v>0.50273224043715847</v>
      </c>
      <c r="CU5" s="1003">
        <f>Flags!CU15</f>
        <v>0.49726775956284153</v>
      </c>
      <c r="CV5" s="1003">
        <f>Flags!CV15</f>
        <v>0.50410958904109593</v>
      </c>
      <c r="CW5" s="1003">
        <f>Flags!CW15</f>
        <v>0.49589041095890413</v>
      </c>
      <c r="CX5" s="1003">
        <f>Flags!CX15</f>
        <v>0.50410958904109593</v>
      </c>
      <c r="CY5" s="1003">
        <f>Flags!CY15</f>
        <v>0.49589041095890413</v>
      </c>
      <c r="CZ5" s="1003">
        <f>Flags!CZ15</f>
        <v>0.50410958904109593</v>
      </c>
      <c r="DA5" s="1003">
        <f>Flags!DA15</f>
        <v>0.49589041095890413</v>
      </c>
      <c r="DB5" s="1003">
        <f>Flags!DB15</f>
        <v>0.50273224043715847</v>
      </c>
      <c r="DC5" s="1003">
        <f>Flags!DC15</f>
        <v>0.49726775956284153</v>
      </c>
      <c r="DD5" s="1003">
        <f>Flags!DD15</f>
        <v>0.50410958904109593</v>
      </c>
      <c r="DE5" s="1003">
        <f>Flags!DE15</f>
        <v>0.49589041095890413</v>
      </c>
      <c r="DF5" s="1003">
        <f>Flags!DF15</f>
        <v>0.50410958904109593</v>
      </c>
      <c r="DG5" s="1003">
        <f>Flags!DG15</f>
        <v>0.49589041095890413</v>
      </c>
      <c r="DH5" s="1003">
        <f>Flags!DH15</f>
        <v>0.50410958904109593</v>
      </c>
      <c r="DI5" s="1003">
        <f>Flags!DI15</f>
        <v>0.49589041095890413</v>
      </c>
      <c r="DJ5" s="1003">
        <f>Flags!DJ15</f>
        <v>0.50273224043715847</v>
      </c>
      <c r="DK5" s="1003">
        <f>Flags!DK15</f>
        <v>0.49726775956284153</v>
      </c>
      <c r="DL5" s="1003">
        <f>Flags!DL15</f>
        <v>0.50410958904109593</v>
      </c>
      <c r="DM5" s="1003">
        <f>Flags!DM15</f>
        <v>0.49589041095890413</v>
      </c>
      <c r="DN5" s="1003">
        <f>Flags!DN15</f>
        <v>0.50410958904109593</v>
      </c>
      <c r="DO5" s="1003">
        <f>Flags!DO15</f>
        <v>0.49589041095890413</v>
      </c>
      <c r="DP5" s="1003">
        <f>Flags!DP15</f>
        <v>0.50410958904109593</v>
      </c>
      <c r="DQ5" s="1003">
        <f>Flags!DQ15</f>
        <v>0.49589041095890413</v>
      </c>
      <c r="DR5" s="1003">
        <f>Flags!DR15</f>
        <v>0.50273224043715847</v>
      </c>
      <c r="DS5" s="1003">
        <f>Flags!DS15</f>
        <v>0.49726775956284153</v>
      </c>
      <c r="DT5" s="1003">
        <f>Flags!DT15</f>
        <v>0.50410958904109593</v>
      </c>
      <c r="DU5" s="1003">
        <f>Flags!DU15</f>
        <v>0.49589041095890413</v>
      </c>
      <c r="DV5" s="1003">
        <f>Flags!DV15</f>
        <v>0.50410958904109593</v>
      </c>
      <c r="DW5" s="1003">
        <f>Flags!DW15</f>
        <v>0.49589041095890413</v>
      </c>
    </row>
    <row r="6" spans="1:127">
      <c r="A6" s="604"/>
      <c r="B6" s="699"/>
      <c r="C6" s="699"/>
      <c r="D6" s="604"/>
      <c r="E6" s="604"/>
      <c r="F6" s="481"/>
      <c r="G6" s="505"/>
      <c r="H6" s="505"/>
      <c r="I6" s="505"/>
      <c r="J6" s="505"/>
      <c r="K6" s="505"/>
      <c r="L6" s="505"/>
      <c r="M6" s="505"/>
      <c r="N6" s="505"/>
      <c r="O6" s="505"/>
      <c r="P6" s="505"/>
      <c r="Q6" s="505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  <c r="AH6" s="505"/>
      <c r="AI6" s="505"/>
      <c r="AJ6" s="505"/>
      <c r="AK6" s="505"/>
      <c r="AL6" s="505"/>
      <c r="AM6" s="505"/>
      <c r="AN6" s="505"/>
      <c r="AO6" s="505"/>
      <c r="AP6" s="505"/>
      <c r="AQ6" s="505"/>
      <c r="AR6" s="505"/>
      <c r="AS6" s="505"/>
      <c r="AT6" s="505"/>
      <c r="AU6" s="505"/>
      <c r="AV6" s="505"/>
      <c r="AW6" s="505"/>
      <c r="AX6" s="505"/>
      <c r="AY6" s="505"/>
      <c r="AZ6" s="505"/>
      <c r="BA6" s="505"/>
      <c r="BB6" s="505"/>
      <c r="BC6" s="505"/>
      <c r="BD6" s="505"/>
      <c r="BE6" s="505"/>
      <c r="BF6" s="505"/>
      <c r="BG6" s="505"/>
      <c r="BH6" s="505"/>
      <c r="BI6" s="505"/>
      <c r="BJ6" s="505"/>
      <c r="BK6" s="505"/>
      <c r="BL6" s="505"/>
      <c r="BM6" s="505"/>
      <c r="BN6" s="505"/>
      <c r="BO6" s="505"/>
      <c r="BP6" s="505"/>
      <c r="BQ6" s="505"/>
      <c r="BR6" s="505"/>
      <c r="BS6" s="505"/>
      <c r="BT6" s="505"/>
      <c r="BU6" s="505"/>
      <c r="BV6" s="505"/>
      <c r="BW6" s="505"/>
      <c r="BX6" s="505"/>
      <c r="BY6" s="505"/>
      <c r="BZ6" s="505"/>
      <c r="CA6" s="505"/>
      <c r="CB6" s="505"/>
      <c r="CC6" s="505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5"/>
      <c r="CV6" s="505"/>
      <c r="CW6" s="505"/>
      <c r="CX6" s="505"/>
      <c r="CY6" s="505"/>
      <c r="CZ6" s="505"/>
      <c r="DA6" s="505"/>
      <c r="DB6" s="505"/>
      <c r="DC6" s="505"/>
      <c r="DD6" s="505"/>
      <c r="DE6" s="505"/>
      <c r="DF6" s="505"/>
      <c r="DG6" s="505"/>
      <c r="DH6" s="505"/>
      <c r="DI6" s="505"/>
      <c r="DJ6" s="505"/>
      <c r="DK6" s="505"/>
      <c r="DL6" s="505"/>
      <c r="DM6" s="505"/>
      <c r="DN6" s="505"/>
      <c r="DO6" s="505"/>
      <c r="DP6" s="505"/>
      <c r="DQ6" s="505"/>
      <c r="DR6" s="505"/>
      <c r="DS6" s="505"/>
      <c r="DT6" s="505"/>
      <c r="DU6" s="505"/>
      <c r="DV6" s="505"/>
      <c r="DW6" s="505"/>
    </row>
    <row r="7" spans="1:127">
      <c r="A7" s="605" t="str">
        <f>Inputs!A375</f>
        <v>Production Units</v>
      </c>
      <c r="B7" s="989">
        <f>Inputs!$D375</f>
        <v>20</v>
      </c>
      <c r="C7" s="976">
        <f>Inputs!$G375</f>
        <v>10912.7</v>
      </c>
      <c r="D7" s="510">
        <f>SUM(G7:DW7)</f>
        <v>10912.7</v>
      </c>
      <c r="E7" s="513"/>
      <c r="F7" s="481"/>
      <c r="G7" s="510">
        <f t="shared" ref="G7:P16" si="0">AND(G$3&gt;0,G$3&lt;=$B7)*($C7/$B7)*G$5</f>
        <v>0</v>
      </c>
      <c r="H7" s="510">
        <f>AND(H$3&gt;0,H$3&lt;=$B7)*($C7/$B7)*H$5</f>
        <v>275.05983561643836</v>
      </c>
      <c r="I7" s="510">
        <f>AND(I$3&gt;0,I$3&lt;=$B7)*($C7/$B7)*I$5</f>
        <v>270.57516438356163</v>
      </c>
      <c r="J7" s="510">
        <f t="shared" si="0"/>
        <v>274.30830601092896</v>
      </c>
      <c r="K7" s="510">
        <f t="shared" si="0"/>
        <v>271.32669398907103</v>
      </c>
      <c r="L7" s="510">
        <f t="shared" si="0"/>
        <v>275.05983561643836</v>
      </c>
      <c r="M7" s="510">
        <f t="shared" si="0"/>
        <v>270.57516438356163</v>
      </c>
      <c r="N7" s="510">
        <f t="shared" si="0"/>
        <v>275.05983561643836</v>
      </c>
      <c r="O7" s="510">
        <f t="shared" si="0"/>
        <v>270.57516438356163</v>
      </c>
      <c r="P7" s="510">
        <f t="shared" si="0"/>
        <v>275.05983561643836</v>
      </c>
      <c r="Q7" s="510">
        <f t="shared" ref="Q7:Z16" si="1">AND(Q$3&gt;0,Q$3&lt;=$B7)*($C7/$B7)*Q$5</f>
        <v>270.57516438356163</v>
      </c>
      <c r="R7" s="510">
        <f t="shared" si="1"/>
        <v>274.30830601092896</v>
      </c>
      <c r="S7" s="510">
        <f t="shared" si="1"/>
        <v>271.32669398907103</v>
      </c>
      <c r="T7" s="510">
        <f t="shared" si="1"/>
        <v>275.05983561643836</v>
      </c>
      <c r="U7" s="510">
        <f t="shared" si="1"/>
        <v>270.57516438356163</v>
      </c>
      <c r="V7" s="510">
        <f t="shared" si="1"/>
        <v>275.05983561643836</v>
      </c>
      <c r="W7" s="510">
        <f t="shared" si="1"/>
        <v>270.57516438356163</v>
      </c>
      <c r="X7" s="510">
        <f t="shared" si="1"/>
        <v>275.05983561643836</v>
      </c>
      <c r="Y7" s="510">
        <f t="shared" si="1"/>
        <v>270.57516438356163</v>
      </c>
      <c r="Z7" s="510">
        <f t="shared" si="1"/>
        <v>274.30830601092896</v>
      </c>
      <c r="AA7" s="510">
        <f t="shared" ref="AA7:AJ16" si="2">AND(AA$3&gt;0,AA$3&lt;=$B7)*($C7/$B7)*AA$5</f>
        <v>271.32669398907103</v>
      </c>
      <c r="AB7" s="510">
        <f t="shared" si="2"/>
        <v>275.05983561643836</v>
      </c>
      <c r="AC7" s="510">
        <f t="shared" si="2"/>
        <v>270.57516438356163</v>
      </c>
      <c r="AD7" s="510">
        <f t="shared" si="2"/>
        <v>275.05983561643836</v>
      </c>
      <c r="AE7" s="510">
        <f t="shared" si="2"/>
        <v>270.57516438356163</v>
      </c>
      <c r="AF7" s="510">
        <f t="shared" si="2"/>
        <v>275.05983561643836</v>
      </c>
      <c r="AG7" s="510">
        <f t="shared" si="2"/>
        <v>270.57516438356163</v>
      </c>
      <c r="AH7" s="510">
        <f t="shared" si="2"/>
        <v>274.30830601092896</v>
      </c>
      <c r="AI7" s="510">
        <f t="shared" si="2"/>
        <v>271.32669398907103</v>
      </c>
      <c r="AJ7" s="510">
        <f t="shared" si="2"/>
        <v>275.05983561643836</v>
      </c>
      <c r="AK7" s="510">
        <f t="shared" ref="AK7:AT16" si="3">AND(AK$3&gt;0,AK$3&lt;=$B7)*($C7/$B7)*AK$5</f>
        <v>270.57516438356163</v>
      </c>
      <c r="AL7" s="510">
        <f>AND(AL$3&gt;0,AL$3&lt;=$B7)*($C7/$B7)*AL$5</f>
        <v>275.05983561643836</v>
      </c>
      <c r="AM7" s="510">
        <f t="shared" si="3"/>
        <v>270.57516438356163</v>
      </c>
      <c r="AN7" s="510">
        <f t="shared" si="3"/>
        <v>275.05983561643836</v>
      </c>
      <c r="AO7" s="510">
        <f t="shared" si="3"/>
        <v>270.57516438356163</v>
      </c>
      <c r="AP7" s="510">
        <f t="shared" si="3"/>
        <v>274.30830601092896</v>
      </c>
      <c r="AQ7" s="510">
        <f t="shared" si="3"/>
        <v>271.32669398907103</v>
      </c>
      <c r="AR7" s="510">
        <f t="shared" si="3"/>
        <v>275.05983561643836</v>
      </c>
      <c r="AS7" s="510">
        <f t="shared" si="3"/>
        <v>270.57516438356163</v>
      </c>
      <c r="AT7" s="510">
        <f t="shared" si="3"/>
        <v>275.05983561643836</v>
      </c>
      <c r="AU7" s="510">
        <f t="shared" ref="AU7:BD16" si="4">AND(AU$3&gt;0,AU$3&lt;=$B7)*($C7/$B7)*AU$5</f>
        <v>270.57516438356163</v>
      </c>
      <c r="AV7" s="510">
        <f t="shared" si="4"/>
        <v>0</v>
      </c>
      <c r="AW7" s="510">
        <f t="shared" si="4"/>
        <v>0</v>
      </c>
      <c r="AX7" s="510">
        <f t="shared" si="4"/>
        <v>0</v>
      </c>
      <c r="AY7" s="510">
        <f t="shared" si="4"/>
        <v>0</v>
      </c>
      <c r="AZ7" s="510">
        <f t="shared" si="4"/>
        <v>0</v>
      </c>
      <c r="BA7" s="510">
        <f t="shared" si="4"/>
        <v>0</v>
      </c>
      <c r="BB7" s="510">
        <f t="shared" si="4"/>
        <v>0</v>
      </c>
      <c r="BC7" s="510">
        <f t="shared" si="4"/>
        <v>0</v>
      </c>
      <c r="BD7" s="510">
        <f t="shared" si="4"/>
        <v>0</v>
      </c>
      <c r="BE7" s="510">
        <f t="shared" ref="BE7:BN16" si="5">AND(BE$3&gt;0,BE$3&lt;=$B7)*($C7/$B7)*BE$5</f>
        <v>0</v>
      </c>
      <c r="BF7" s="510">
        <f t="shared" si="5"/>
        <v>0</v>
      </c>
      <c r="BG7" s="510">
        <f t="shared" si="5"/>
        <v>0</v>
      </c>
      <c r="BH7" s="510">
        <f t="shared" si="5"/>
        <v>0</v>
      </c>
      <c r="BI7" s="510">
        <f t="shared" si="5"/>
        <v>0</v>
      </c>
      <c r="BJ7" s="510">
        <f t="shared" si="5"/>
        <v>0</v>
      </c>
      <c r="BK7" s="510">
        <f t="shared" si="5"/>
        <v>0</v>
      </c>
      <c r="BL7" s="510">
        <f t="shared" si="5"/>
        <v>0</v>
      </c>
      <c r="BM7" s="510">
        <f t="shared" si="5"/>
        <v>0</v>
      </c>
      <c r="BN7" s="510">
        <f t="shared" si="5"/>
        <v>0</v>
      </c>
      <c r="BO7" s="510">
        <f t="shared" ref="BO7:BX16" si="6">AND(BO$3&gt;0,BO$3&lt;=$B7)*($C7/$B7)*BO$5</f>
        <v>0</v>
      </c>
      <c r="BP7" s="510">
        <f t="shared" si="6"/>
        <v>0</v>
      </c>
      <c r="BQ7" s="510">
        <f t="shared" si="6"/>
        <v>0</v>
      </c>
      <c r="BR7" s="510">
        <f t="shared" si="6"/>
        <v>0</v>
      </c>
      <c r="BS7" s="510">
        <f t="shared" si="6"/>
        <v>0</v>
      </c>
      <c r="BT7" s="510">
        <f t="shared" si="6"/>
        <v>0</v>
      </c>
      <c r="BU7" s="510">
        <f t="shared" si="6"/>
        <v>0</v>
      </c>
      <c r="BV7" s="510">
        <f t="shared" si="6"/>
        <v>0</v>
      </c>
      <c r="BW7" s="510">
        <f t="shared" si="6"/>
        <v>0</v>
      </c>
      <c r="BX7" s="510">
        <f t="shared" si="6"/>
        <v>0</v>
      </c>
      <c r="BY7" s="510">
        <f t="shared" ref="BY7:CH16" si="7">AND(BY$3&gt;0,BY$3&lt;=$B7)*($C7/$B7)*BY$5</f>
        <v>0</v>
      </c>
      <c r="BZ7" s="510">
        <f t="shared" si="7"/>
        <v>0</v>
      </c>
      <c r="CA7" s="510">
        <f t="shared" si="7"/>
        <v>0</v>
      </c>
      <c r="CB7" s="510">
        <f t="shared" si="7"/>
        <v>0</v>
      </c>
      <c r="CC7" s="510">
        <f t="shared" si="7"/>
        <v>0</v>
      </c>
      <c r="CD7" s="510">
        <f t="shared" si="7"/>
        <v>0</v>
      </c>
      <c r="CE7" s="510">
        <f t="shared" si="7"/>
        <v>0</v>
      </c>
      <c r="CF7" s="510">
        <f t="shared" si="7"/>
        <v>0</v>
      </c>
      <c r="CG7" s="510">
        <f t="shared" si="7"/>
        <v>0</v>
      </c>
      <c r="CH7" s="510">
        <f t="shared" si="7"/>
        <v>0</v>
      </c>
      <c r="CI7" s="510">
        <f t="shared" ref="CI7:CR16" si="8">AND(CI$3&gt;0,CI$3&lt;=$B7)*($C7/$B7)*CI$5</f>
        <v>0</v>
      </c>
      <c r="CJ7" s="510">
        <f t="shared" si="8"/>
        <v>0</v>
      </c>
      <c r="CK7" s="510">
        <f t="shared" si="8"/>
        <v>0</v>
      </c>
      <c r="CL7" s="510">
        <f t="shared" si="8"/>
        <v>0</v>
      </c>
      <c r="CM7" s="510">
        <f t="shared" si="8"/>
        <v>0</v>
      </c>
      <c r="CN7" s="510">
        <f t="shared" si="8"/>
        <v>0</v>
      </c>
      <c r="CO7" s="510">
        <f t="shared" si="8"/>
        <v>0</v>
      </c>
      <c r="CP7" s="510">
        <f t="shared" si="8"/>
        <v>0</v>
      </c>
      <c r="CQ7" s="510">
        <f t="shared" si="8"/>
        <v>0</v>
      </c>
      <c r="CR7" s="510">
        <f t="shared" si="8"/>
        <v>0</v>
      </c>
      <c r="CS7" s="510">
        <f t="shared" ref="CS7:DB16" si="9">AND(CS$3&gt;0,CS$3&lt;=$B7)*($C7/$B7)*CS$5</f>
        <v>0</v>
      </c>
      <c r="CT7" s="510">
        <f t="shared" si="9"/>
        <v>0</v>
      </c>
      <c r="CU7" s="510">
        <f t="shared" si="9"/>
        <v>0</v>
      </c>
      <c r="CV7" s="510">
        <f t="shared" si="9"/>
        <v>0</v>
      </c>
      <c r="CW7" s="510">
        <f t="shared" si="9"/>
        <v>0</v>
      </c>
      <c r="CX7" s="510">
        <f t="shared" si="9"/>
        <v>0</v>
      </c>
      <c r="CY7" s="510">
        <f t="shared" si="9"/>
        <v>0</v>
      </c>
      <c r="CZ7" s="510">
        <f t="shared" si="9"/>
        <v>0</v>
      </c>
      <c r="DA7" s="510">
        <f t="shared" si="9"/>
        <v>0</v>
      </c>
      <c r="DB7" s="510">
        <f t="shared" si="9"/>
        <v>0</v>
      </c>
      <c r="DC7" s="510">
        <f t="shared" ref="DC7:DL16" si="10">AND(DC$3&gt;0,DC$3&lt;=$B7)*($C7/$B7)*DC$5</f>
        <v>0</v>
      </c>
      <c r="DD7" s="510">
        <f t="shared" si="10"/>
        <v>0</v>
      </c>
      <c r="DE7" s="510">
        <f t="shared" si="10"/>
        <v>0</v>
      </c>
      <c r="DF7" s="510">
        <f t="shared" si="10"/>
        <v>0</v>
      </c>
      <c r="DG7" s="510">
        <f t="shared" si="10"/>
        <v>0</v>
      </c>
      <c r="DH7" s="510">
        <f t="shared" si="10"/>
        <v>0</v>
      </c>
      <c r="DI7" s="510">
        <f t="shared" si="10"/>
        <v>0</v>
      </c>
      <c r="DJ7" s="510">
        <f t="shared" si="10"/>
        <v>0</v>
      </c>
      <c r="DK7" s="510">
        <f t="shared" si="10"/>
        <v>0</v>
      </c>
      <c r="DL7" s="510">
        <f t="shared" si="10"/>
        <v>0</v>
      </c>
      <c r="DM7" s="510">
        <f t="shared" ref="DM7:DW16" si="11">AND(DM$3&gt;0,DM$3&lt;=$B7)*($C7/$B7)*DM$5</f>
        <v>0</v>
      </c>
      <c r="DN7" s="510">
        <f t="shared" si="11"/>
        <v>0</v>
      </c>
      <c r="DO7" s="510">
        <f t="shared" si="11"/>
        <v>0</v>
      </c>
      <c r="DP7" s="510">
        <f t="shared" si="11"/>
        <v>0</v>
      </c>
      <c r="DQ7" s="510">
        <f t="shared" si="11"/>
        <v>0</v>
      </c>
      <c r="DR7" s="510">
        <f t="shared" si="11"/>
        <v>0</v>
      </c>
      <c r="DS7" s="510">
        <f t="shared" si="11"/>
        <v>0</v>
      </c>
      <c r="DT7" s="510">
        <f t="shared" si="11"/>
        <v>0</v>
      </c>
      <c r="DU7" s="510">
        <f t="shared" si="11"/>
        <v>0</v>
      </c>
      <c r="DV7" s="510">
        <f t="shared" si="11"/>
        <v>0</v>
      </c>
      <c r="DW7" s="510">
        <f t="shared" si="11"/>
        <v>0</v>
      </c>
    </row>
    <row r="8" spans="1:127">
      <c r="A8" s="605" t="str">
        <f>Inputs!A376</f>
        <v>EPC Contract</v>
      </c>
      <c r="B8" s="989">
        <f>Inputs!$D376</f>
        <v>20</v>
      </c>
      <c r="C8" s="976">
        <f>Inputs!$G376</f>
        <v>26430</v>
      </c>
      <c r="D8" s="510">
        <f t="shared" ref="D8:D25" si="12">SUM(G8:DW8)</f>
        <v>26430</v>
      </c>
      <c r="E8" s="513"/>
      <c r="F8" s="481"/>
      <c r="G8" s="510">
        <f t="shared" si="0"/>
        <v>0</v>
      </c>
      <c r="H8" s="510">
        <f t="shared" si="0"/>
        <v>666.18082191780832</v>
      </c>
      <c r="I8" s="510">
        <f t="shared" si="0"/>
        <v>655.3191780821918</v>
      </c>
      <c r="J8" s="510">
        <f t="shared" si="0"/>
        <v>664.36065573770497</v>
      </c>
      <c r="K8" s="510">
        <f t="shared" si="0"/>
        <v>657.13934426229503</v>
      </c>
      <c r="L8" s="510">
        <f t="shared" si="0"/>
        <v>666.18082191780832</v>
      </c>
      <c r="M8" s="510">
        <f t="shared" si="0"/>
        <v>655.3191780821918</v>
      </c>
      <c r="N8" s="510">
        <f t="shared" si="0"/>
        <v>666.18082191780832</v>
      </c>
      <c r="O8" s="510">
        <f t="shared" si="0"/>
        <v>655.3191780821918</v>
      </c>
      <c r="P8" s="510">
        <f t="shared" si="0"/>
        <v>666.18082191780832</v>
      </c>
      <c r="Q8" s="510">
        <f t="shared" si="1"/>
        <v>655.3191780821918</v>
      </c>
      <c r="R8" s="510">
        <f t="shared" si="1"/>
        <v>664.36065573770497</v>
      </c>
      <c r="S8" s="510">
        <f t="shared" si="1"/>
        <v>657.13934426229503</v>
      </c>
      <c r="T8" s="510">
        <f t="shared" si="1"/>
        <v>666.18082191780832</v>
      </c>
      <c r="U8" s="510">
        <f t="shared" si="1"/>
        <v>655.3191780821918</v>
      </c>
      <c r="V8" s="510">
        <f t="shared" si="1"/>
        <v>666.18082191780832</v>
      </c>
      <c r="W8" s="510">
        <f t="shared" si="1"/>
        <v>655.3191780821918</v>
      </c>
      <c r="X8" s="510">
        <f t="shared" si="1"/>
        <v>666.18082191780832</v>
      </c>
      <c r="Y8" s="510">
        <f t="shared" si="1"/>
        <v>655.3191780821918</v>
      </c>
      <c r="Z8" s="510">
        <f t="shared" si="1"/>
        <v>664.36065573770497</v>
      </c>
      <c r="AA8" s="510">
        <f t="shared" si="2"/>
        <v>657.13934426229503</v>
      </c>
      <c r="AB8" s="510">
        <f t="shared" si="2"/>
        <v>666.18082191780832</v>
      </c>
      <c r="AC8" s="510">
        <f t="shared" si="2"/>
        <v>655.3191780821918</v>
      </c>
      <c r="AD8" s="510">
        <f t="shared" si="2"/>
        <v>666.18082191780832</v>
      </c>
      <c r="AE8" s="510">
        <f t="shared" si="2"/>
        <v>655.3191780821918</v>
      </c>
      <c r="AF8" s="510">
        <f t="shared" si="2"/>
        <v>666.18082191780832</v>
      </c>
      <c r="AG8" s="510">
        <f t="shared" si="2"/>
        <v>655.3191780821918</v>
      </c>
      <c r="AH8" s="510">
        <f t="shared" si="2"/>
        <v>664.36065573770497</v>
      </c>
      <c r="AI8" s="510">
        <f t="shared" si="2"/>
        <v>657.13934426229503</v>
      </c>
      <c r="AJ8" s="510">
        <f t="shared" si="2"/>
        <v>666.18082191780832</v>
      </c>
      <c r="AK8" s="510">
        <f t="shared" si="3"/>
        <v>655.3191780821918</v>
      </c>
      <c r="AL8" s="510">
        <f t="shared" si="3"/>
        <v>666.18082191780832</v>
      </c>
      <c r="AM8" s="510">
        <f t="shared" si="3"/>
        <v>655.3191780821918</v>
      </c>
      <c r="AN8" s="510">
        <f t="shared" si="3"/>
        <v>666.18082191780832</v>
      </c>
      <c r="AO8" s="510">
        <f t="shared" si="3"/>
        <v>655.3191780821918</v>
      </c>
      <c r="AP8" s="510">
        <f t="shared" si="3"/>
        <v>664.36065573770497</v>
      </c>
      <c r="AQ8" s="510">
        <f t="shared" si="3"/>
        <v>657.13934426229503</v>
      </c>
      <c r="AR8" s="510">
        <f t="shared" si="3"/>
        <v>666.18082191780832</v>
      </c>
      <c r="AS8" s="510">
        <f t="shared" si="3"/>
        <v>655.3191780821918</v>
      </c>
      <c r="AT8" s="510">
        <f t="shared" si="3"/>
        <v>666.18082191780832</v>
      </c>
      <c r="AU8" s="510">
        <f t="shared" si="4"/>
        <v>655.3191780821918</v>
      </c>
      <c r="AV8" s="510">
        <f t="shared" si="4"/>
        <v>0</v>
      </c>
      <c r="AW8" s="510">
        <f t="shared" si="4"/>
        <v>0</v>
      </c>
      <c r="AX8" s="510">
        <f t="shared" si="4"/>
        <v>0</v>
      </c>
      <c r="AY8" s="510">
        <f t="shared" si="4"/>
        <v>0</v>
      </c>
      <c r="AZ8" s="510">
        <f t="shared" si="4"/>
        <v>0</v>
      </c>
      <c r="BA8" s="510">
        <f t="shared" si="4"/>
        <v>0</v>
      </c>
      <c r="BB8" s="510">
        <f t="shared" si="4"/>
        <v>0</v>
      </c>
      <c r="BC8" s="510">
        <f t="shared" si="4"/>
        <v>0</v>
      </c>
      <c r="BD8" s="510">
        <f t="shared" si="4"/>
        <v>0</v>
      </c>
      <c r="BE8" s="510">
        <f t="shared" si="5"/>
        <v>0</v>
      </c>
      <c r="BF8" s="510">
        <f t="shared" si="5"/>
        <v>0</v>
      </c>
      <c r="BG8" s="510">
        <f t="shared" si="5"/>
        <v>0</v>
      </c>
      <c r="BH8" s="510">
        <f t="shared" si="5"/>
        <v>0</v>
      </c>
      <c r="BI8" s="510">
        <f t="shared" si="5"/>
        <v>0</v>
      </c>
      <c r="BJ8" s="510">
        <f t="shared" si="5"/>
        <v>0</v>
      </c>
      <c r="BK8" s="510">
        <f t="shared" si="5"/>
        <v>0</v>
      </c>
      <c r="BL8" s="510">
        <f t="shared" si="5"/>
        <v>0</v>
      </c>
      <c r="BM8" s="510">
        <f t="shared" si="5"/>
        <v>0</v>
      </c>
      <c r="BN8" s="510">
        <f t="shared" si="5"/>
        <v>0</v>
      </c>
      <c r="BO8" s="510">
        <f t="shared" si="6"/>
        <v>0</v>
      </c>
      <c r="BP8" s="510">
        <f t="shared" si="6"/>
        <v>0</v>
      </c>
      <c r="BQ8" s="510">
        <f t="shared" si="6"/>
        <v>0</v>
      </c>
      <c r="BR8" s="510">
        <f t="shared" si="6"/>
        <v>0</v>
      </c>
      <c r="BS8" s="510">
        <f t="shared" si="6"/>
        <v>0</v>
      </c>
      <c r="BT8" s="510">
        <f t="shared" si="6"/>
        <v>0</v>
      </c>
      <c r="BU8" s="510">
        <f t="shared" si="6"/>
        <v>0</v>
      </c>
      <c r="BV8" s="510">
        <f t="shared" si="6"/>
        <v>0</v>
      </c>
      <c r="BW8" s="510">
        <f t="shared" si="6"/>
        <v>0</v>
      </c>
      <c r="BX8" s="510">
        <f t="shared" si="6"/>
        <v>0</v>
      </c>
      <c r="BY8" s="510">
        <f t="shared" si="7"/>
        <v>0</v>
      </c>
      <c r="BZ8" s="510">
        <f t="shared" si="7"/>
        <v>0</v>
      </c>
      <c r="CA8" s="510">
        <f t="shared" si="7"/>
        <v>0</v>
      </c>
      <c r="CB8" s="510">
        <f t="shared" si="7"/>
        <v>0</v>
      </c>
      <c r="CC8" s="510">
        <f t="shared" si="7"/>
        <v>0</v>
      </c>
      <c r="CD8" s="510">
        <f t="shared" si="7"/>
        <v>0</v>
      </c>
      <c r="CE8" s="510">
        <f t="shared" si="7"/>
        <v>0</v>
      </c>
      <c r="CF8" s="510">
        <f t="shared" si="7"/>
        <v>0</v>
      </c>
      <c r="CG8" s="510">
        <f t="shared" si="7"/>
        <v>0</v>
      </c>
      <c r="CH8" s="510">
        <f t="shared" si="7"/>
        <v>0</v>
      </c>
      <c r="CI8" s="510">
        <f t="shared" si="8"/>
        <v>0</v>
      </c>
      <c r="CJ8" s="510">
        <f t="shared" si="8"/>
        <v>0</v>
      </c>
      <c r="CK8" s="510">
        <f t="shared" si="8"/>
        <v>0</v>
      </c>
      <c r="CL8" s="510">
        <f t="shared" si="8"/>
        <v>0</v>
      </c>
      <c r="CM8" s="510">
        <f t="shared" si="8"/>
        <v>0</v>
      </c>
      <c r="CN8" s="510">
        <f t="shared" si="8"/>
        <v>0</v>
      </c>
      <c r="CO8" s="510">
        <f t="shared" si="8"/>
        <v>0</v>
      </c>
      <c r="CP8" s="510">
        <f t="shared" si="8"/>
        <v>0</v>
      </c>
      <c r="CQ8" s="510">
        <f t="shared" si="8"/>
        <v>0</v>
      </c>
      <c r="CR8" s="510">
        <f t="shared" si="8"/>
        <v>0</v>
      </c>
      <c r="CS8" s="510">
        <f t="shared" si="9"/>
        <v>0</v>
      </c>
      <c r="CT8" s="510">
        <f t="shared" si="9"/>
        <v>0</v>
      </c>
      <c r="CU8" s="510">
        <f t="shared" si="9"/>
        <v>0</v>
      </c>
      <c r="CV8" s="510">
        <f t="shared" si="9"/>
        <v>0</v>
      </c>
      <c r="CW8" s="510">
        <f t="shared" si="9"/>
        <v>0</v>
      </c>
      <c r="CX8" s="510">
        <f t="shared" si="9"/>
        <v>0</v>
      </c>
      <c r="CY8" s="510">
        <f t="shared" si="9"/>
        <v>0</v>
      </c>
      <c r="CZ8" s="510">
        <f t="shared" si="9"/>
        <v>0</v>
      </c>
      <c r="DA8" s="510">
        <f t="shared" si="9"/>
        <v>0</v>
      </c>
      <c r="DB8" s="510">
        <f t="shared" si="9"/>
        <v>0</v>
      </c>
      <c r="DC8" s="510">
        <f t="shared" si="10"/>
        <v>0</v>
      </c>
      <c r="DD8" s="510">
        <f t="shared" si="10"/>
        <v>0</v>
      </c>
      <c r="DE8" s="510">
        <f t="shared" si="10"/>
        <v>0</v>
      </c>
      <c r="DF8" s="510">
        <f t="shared" si="10"/>
        <v>0</v>
      </c>
      <c r="DG8" s="510">
        <f t="shared" si="10"/>
        <v>0</v>
      </c>
      <c r="DH8" s="510">
        <f t="shared" si="10"/>
        <v>0</v>
      </c>
      <c r="DI8" s="510">
        <f t="shared" si="10"/>
        <v>0</v>
      </c>
      <c r="DJ8" s="510">
        <f t="shared" si="10"/>
        <v>0</v>
      </c>
      <c r="DK8" s="510">
        <f t="shared" si="10"/>
        <v>0</v>
      </c>
      <c r="DL8" s="510">
        <f t="shared" si="10"/>
        <v>0</v>
      </c>
      <c r="DM8" s="510">
        <f t="shared" si="11"/>
        <v>0</v>
      </c>
      <c r="DN8" s="510">
        <f t="shared" si="11"/>
        <v>0</v>
      </c>
      <c r="DO8" s="510">
        <f t="shared" si="11"/>
        <v>0</v>
      </c>
      <c r="DP8" s="510">
        <f t="shared" si="11"/>
        <v>0</v>
      </c>
      <c r="DQ8" s="510">
        <f t="shared" si="11"/>
        <v>0</v>
      </c>
      <c r="DR8" s="510">
        <f t="shared" si="11"/>
        <v>0</v>
      </c>
      <c r="DS8" s="510">
        <f t="shared" si="11"/>
        <v>0</v>
      </c>
      <c r="DT8" s="510">
        <f t="shared" si="11"/>
        <v>0</v>
      </c>
      <c r="DU8" s="510">
        <f t="shared" si="11"/>
        <v>0</v>
      </c>
      <c r="DV8" s="510">
        <f t="shared" si="11"/>
        <v>0</v>
      </c>
      <c r="DW8" s="510">
        <f t="shared" si="11"/>
        <v>0</v>
      </c>
    </row>
    <row r="9" spans="1:127">
      <c r="A9" s="605" t="str">
        <f>Inputs!A377</f>
        <v>EPC other costs</v>
      </c>
      <c r="B9" s="989">
        <f>Inputs!$D377</f>
        <v>20</v>
      </c>
      <c r="C9" s="976">
        <f>Inputs!$G377</f>
        <v>2014</v>
      </c>
      <c r="D9" s="510">
        <f t="shared" si="12"/>
        <v>2014.0000000000002</v>
      </c>
      <c r="E9" s="513"/>
      <c r="F9" s="481"/>
      <c r="G9" s="510">
        <f t="shared" si="0"/>
        <v>0</v>
      </c>
      <c r="H9" s="510">
        <f t="shared" si="0"/>
        <v>50.763835616438364</v>
      </c>
      <c r="I9" s="510">
        <f t="shared" si="0"/>
        <v>49.936164383561646</v>
      </c>
      <c r="J9" s="510">
        <f t="shared" si="0"/>
        <v>50.625136612021862</v>
      </c>
      <c r="K9" s="510">
        <f t="shared" si="0"/>
        <v>50.074863387978141</v>
      </c>
      <c r="L9" s="510">
        <f t="shared" si="0"/>
        <v>50.763835616438364</v>
      </c>
      <c r="M9" s="510">
        <f t="shared" si="0"/>
        <v>49.936164383561646</v>
      </c>
      <c r="N9" s="510">
        <f t="shared" si="0"/>
        <v>50.763835616438364</v>
      </c>
      <c r="O9" s="510">
        <f t="shared" si="0"/>
        <v>49.936164383561646</v>
      </c>
      <c r="P9" s="510">
        <f t="shared" si="0"/>
        <v>50.763835616438364</v>
      </c>
      <c r="Q9" s="510">
        <f t="shared" si="1"/>
        <v>49.936164383561646</v>
      </c>
      <c r="R9" s="510">
        <f t="shared" si="1"/>
        <v>50.625136612021862</v>
      </c>
      <c r="S9" s="510">
        <f t="shared" si="1"/>
        <v>50.074863387978141</v>
      </c>
      <c r="T9" s="510">
        <f t="shared" si="1"/>
        <v>50.763835616438364</v>
      </c>
      <c r="U9" s="510">
        <f t="shared" si="1"/>
        <v>49.936164383561646</v>
      </c>
      <c r="V9" s="510">
        <f t="shared" si="1"/>
        <v>50.763835616438364</v>
      </c>
      <c r="W9" s="510">
        <f t="shared" si="1"/>
        <v>49.936164383561646</v>
      </c>
      <c r="X9" s="510">
        <f t="shared" si="1"/>
        <v>50.763835616438364</v>
      </c>
      <c r="Y9" s="510">
        <f t="shared" si="1"/>
        <v>49.936164383561646</v>
      </c>
      <c r="Z9" s="510">
        <f t="shared" si="1"/>
        <v>50.625136612021862</v>
      </c>
      <c r="AA9" s="510">
        <f t="shared" si="2"/>
        <v>50.074863387978141</v>
      </c>
      <c r="AB9" s="510">
        <f t="shared" si="2"/>
        <v>50.763835616438364</v>
      </c>
      <c r="AC9" s="510">
        <f t="shared" si="2"/>
        <v>49.936164383561646</v>
      </c>
      <c r="AD9" s="510">
        <f t="shared" si="2"/>
        <v>50.763835616438364</v>
      </c>
      <c r="AE9" s="510">
        <f t="shared" si="2"/>
        <v>49.936164383561646</v>
      </c>
      <c r="AF9" s="510">
        <f t="shared" si="2"/>
        <v>50.763835616438364</v>
      </c>
      <c r="AG9" s="510">
        <f t="shared" si="2"/>
        <v>49.936164383561646</v>
      </c>
      <c r="AH9" s="510">
        <f t="shared" si="2"/>
        <v>50.625136612021862</v>
      </c>
      <c r="AI9" s="510">
        <f t="shared" si="2"/>
        <v>50.074863387978141</v>
      </c>
      <c r="AJ9" s="510">
        <f t="shared" si="2"/>
        <v>50.763835616438364</v>
      </c>
      <c r="AK9" s="510">
        <f t="shared" si="3"/>
        <v>49.936164383561646</v>
      </c>
      <c r="AL9" s="510">
        <f t="shared" si="3"/>
        <v>50.763835616438364</v>
      </c>
      <c r="AM9" s="510">
        <f t="shared" si="3"/>
        <v>49.936164383561646</v>
      </c>
      <c r="AN9" s="510">
        <f t="shared" si="3"/>
        <v>50.763835616438364</v>
      </c>
      <c r="AO9" s="510">
        <f t="shared" si="3"/>
        <v>49.936164383561646</v>
      </c>
      <c r="AP9" s="510">
        <f t="shared" si="3"/>
        <v>50.625136612021862</v>
      </c>
      <c r="AQ9" s="510">
        <f t="shared" si="3"/>
        <v>50.074863387978141</v>
      </c>
      <c r="AR9" s="510">
        <f t="shared" si="3"/>
        <v>50.763835616438364</v>
      </c>
      <c r="AS9" s="510">
        <f t="shared" si="3"/>
        <v>49.936164383561646</v>
      </c>
      <c r="AT9" s="510">
        <f t="shared" si="3"/>
        <v>50.763835616438364</v>
      </c>
      <c r="AU9" s="510">
        <f t="shared" si="4"/>
        <v>49.936164383561646</v>
      </c>
      <c r="AV9" s="510">
        <f t="shared" si="4"/>
        <v>0</v>
      </c>
      <c r="AW9" s="510">
        <f t="shared" si="4"/>
        <v>0</v>
      </c>
      <c r="AX9" s="510">
        <f t="shared" si="4"/>
        <v>0</v>
      </c>
      <c r="AY9" s="510">
        <f t="shared" si="4"/>
        <v>0</v>
      </c>
      <c r="AZ9" s="510">
        <f t="shared" si="4"/>
        <v>0</v>
      </c>
      <c r="BA9" s="510">
        <f t="shared" si="4"/>
        <v>0</v>
      </c>
      <c r="BB9" s="510">
        <f t="shared" si="4"/>
        <v>0</v>
      </c>
      <c r="BC9" s="510">
        <f t="shared" si="4"/>
        <v>0</v>
      </c>
      <c r="BD9" s="510">
        <f t="shared" si="4"/>
        <v>0</v>
      </c>
      <c r="BE9" s="510">
        <f t="shared" si="5"/>
        <v>0</v>
      </c>
      <c r="BF9" s="510">
        <f t="shared" si="5"/>
        <v>0</v>
      </c>
      <c r="BG9" s="510">
        <f t="shared" si="5"/>
        <v>0</v>
      </c>
      <c r="BH9" s="510">
        <f t="shared" si="5"/>
        <v>0</v>
      </c>
      <c r="BI9" s="510">
        <f t="shared" si="5"/>
        <v>0</v>
      </c>
      <c r="BJ9" s="510">
        <f t="shared" si="5"/>
        <v>0</v>
      </c>
      <c r="BK9" s="510">
        <f t="shared" si="5"/>
        <v>0</v>
      </c>
      <c r="BL9" s="510">
        <f t="shared" si="5"/>
        <v>0</v>
      </c>
      <c r="BM9" s="510">
        <f t="shared" si="5"/>
        <v>0</v>
      </c>
      <c r="BN9" s="510">
        <f t="shared" si="5"/>
        <v>0</v>
      </c>
      <c r="BO9" s="510">
        <f t="shared" si="6"/>
        <v>0</v>
      </c>
      <c r="BP9" s="510">
        <f t="shared" si="6"/>
        <v>0</v>
      </c>
      <c r="BQ9" s="510">
        <f t="shared" si="6"/>
        <v>0</v>
      </c>
      <c r="BR9" s="510">
        <f t="shared" si="6"/>
        <v>0</v>
      </c>
      <c r="BS9" s="510">
        <f t="shared" si="6"/>
        <v>0</v>
      </c>
      <c r="BT9" s="510">
        <f t="shared" si="6"/>
        <v>0</v>
      </c>
      <c r="BU9" s="510">
        <f t="shared" si="6"/>
        <v>0</v>
      </c>
      <c r="BV9" s="510">
        <f t="shared" si="6"/>
        <v>0</v>
      </c>
      <c r="BW9" s="510">
        <f t="shared" si="6"/>
        <v>0</v>
      </c>
      <c r="BX9" s="510">
        <f t="shared" si="6"/>
        <v>0</v>
      </c>
      <c r="BY9" s="510">
        <f t="shared" si="7"/>
        <v>0</v>
      </c>
      <c r="BZ9" s="510">
        <f t="shared" si="7"/>
        <v>0</v>
      </c>
      <c r="CA9" s="510">
        <f t="shared" si="7"/>
        <v>0</v>
      </c>
      <c r="CB9" s="510">
        <f t="shared" si="7"/>
        <v>0</v>
      </c>
      <c r="CC9" s="510">
        <f t="shared" si="7"/>
        <v>0</v>
      </c>
      <c r="CD9" s="510">
        <f t="shared" si="7"/>
        <v>0</v>
      </c>
      <c r="CE9" s="510">
        <f t="shared" si="7"/>
        <v>0</v>
      </c>
      <c r="CF9" s="510">
        <f t="shared" si="7"/>
        <v>0</v>
      </c>
      <c r="CG9" s="510">
        <f t="shared" si="7"/>
        <v>0</v>
      </c>
      <c r="CH9" s="510">
        <f t="shared" si="7"/>
        <v>0</v>
      </c>
      <c r="CI9" s="510">
        <f t="shared" si="8"/>
        <v>0</v>
      </c>
      <c r="CJ9" s="510">
        <f t="shared" si="8"/>
        <v>0</v>
      </c>
      <c r="CK9" s="510">
        <f t="shared" si="8"/>
        <v>0</v>
      </c>
      <c r="CL9" s="510">
        <f t="shared" si="8"/>
        <v>0</v>
      </c>
      <c r="CM9" s="510">
        <f t="shared" si="8"/>
        <v>0</v>
      </c>
      <c r="CN9" s="510">
        <f t="shared" si="8"/>
        <v>0</v>
      </c>
      <c r="CO9" s="510">
        <f t="shared" si="8"/>
        <v>0</v>
      </c>
      <c r="CP9" s="510">
        <f t="shared" si="8"/>
        <v>0</v>
      </c>
      <c r="CQ9" s="510">
        <f t="shared" si="8"/>
        <v>0</v>
      </c>
      <c r="CR9" s="510">
        <f t="shared" si="8"/>
        <v>0</v>
      </c>
      <c r="CS9" s="510">
        <f t="shared" si="9"/>
        <v>0</v>
      </c>
      <c r="CT9" s="510">
        <f t="shared" si="9"/>
        <v>0</v>
      </c>
      <c r="CU9" s="510">
        <f t="shared" si="9"/>
        <v>0</v>
      </c>
      <c r="CV9" s="510">
        <f t="shared" si="9"/>
        <v>0</v>
      </c>
      <c r="CW9" s="510">
        <f t="shared" si="9"/>
        <v>0</v>
      </c>
      <c r="CX9" s="510">
        <f t="shared" si="9"/>
        <v>0</v>
      </c>
      <c r="CY9" s="510">
        <f t="shared" si="9"/>
        <v>0</v>
      </c>
      <c r="CZ9" s="510">
        <f t="shared" si="9"/>
        <v>0</v>
      </c>
      <c r="DA9" s="510">
        <f t="shared" si="9"/>
        <v>0</v>
      </c>
      <c r="DB9" s="510">
        <f t="shared" si="9"/>
        <v>0</v>
      </c>
      <c r="DC9" s="510">
        <f t="shared" si="10"/>
        <v>0</v>
      </c>
      <c r="DD9" s="510">
        <f t="shared" si="10"/>
        <v>0</v>
      </c>
      <c r="DE9" s="510">
        <f t="shared" si="10"/>
        <v>0</v>
      </c>
      <c r="DF9" s="510">
        <f t="shared" si="10"/>
        <v>0</v>
      </c>
      <c r="DG9" s="510">
        <f t="shared" si="10"/>
        <v>0</v>
      </c>
      <c r="DH9" s="510">
        <f t="shared" si="10"/>
        <v>0</v>
      </c>
      <c r="DI9" s="510">
        <f t="shared" si="10"/>
        <v>0</v>
      </c>
      <c r="DJ9" s="510">
        <f t="shared" si="10"/>
        <v>0</v>
      </c>
      <c r="DK9" s="510">
        <f t="shared" si="10"/>
        <v>0</v>
      </c>
      <c r="DL9" s="510">
        <f t="shared" si="10"/>
        <v>0</v>
      </c>
      <c r="DM9" s="510">
        <f t="shared" si="11"/>
        <v>0</v>
      </c>
      <c r="DN9" s="510">
        <f t="shared" si="11"/>
        <v>0</v>
      </c>
      <c r="DO9" s="510">
        <f t="shared" si="11"/>
        <v>0</v>
      </c>
      <c r="DP9" s="510">
        <f t="shared" si="11"/>
        <v>0</v>
      </c>
      <c r="DQ9" s="510">
        <f t="shared" si="11"/>
        <v>0</v>
      </c>
      <c r="DR9" s="510">
        <f t="shared" si="11"/>
        <v>0</v>
      </c>
      <c r="DS9" s="510">
        <f t="shared" si="11"/>
        <v>0</v>
      </c>
      <c r="DT9" s="510">
        <f t="shared" si="11"/>
        <v>0</v>
      </c>
      <c r="DU9" s="510">
        <f t="shared" si="11"/>
        <v>0</v>
      </c>
      <c r="DV9" s="510">
        <f t="shared" si="11"/>
        <v>0</v>
      </c>
      <c r="DW9" s="510">
        <f t="shared" si="11"/>
        <v>0</v>
      </c>
    </row>
    <row r="10" spans="1:127">
      <c r="A10" s="605" t="str">
        <f>Inputs!A378</f>
        <v>Grid connection</v>
      </c>
      <c r="B10" s="989">
        <f>Inputs!$D378</f>
        <v>20</v>
      </c>
      <c r="C10" s="976">
        <f>Inputs!$G378</f>
        <v>4050</v>
      </c>
      <c r="D10" s="510">
        <f t="shared" si="12"/>
        <v>4050</v>
      </c>
      <c r="E10" s="513"/>
      <c r="F10" s="481"/>
      <c r="G10" s="510">
        <f t="shared" si="0"/>
        <v>0</v>
      </c>
      <c r="H10" s="510">
        <f t="shared" si="0"/>
        <v>102.08219178082193</v>
      </c>
      <c r="I10" s="510">
        <f t="shared" si="0"/>
        <v>100.41780821917808</v>
      </c>
      <c r="J10" s="510">
        <f t="shared" si="0"/>
        <v>101.80327868852459</v>
      </c>
      <c r="K10" s="510">
        <f t="shared" si="0"/>
        <v>100.69672131147541</v>
      </c>
      <c r="L10" s="510">
        <f t="shared" si="0"/>
        <v>102.08219178082193</v>
      </c>
      <c r="M10" s="510">
        <f t="shared" si="0"/>
        <v>100.41780821917808</v>
      </c>
      <c r="N10" s="510">
        <f t="shared" si="0"/>
        <v>102.08219178082193</v>
      </c>
      <c r="O10" s="510">
        <f t="shared" si="0"/>
        <v>100.41780821917808</v>
      </c>
      <c r="P10" s="510">
        <f t="shared" si="0"/>
        <v>102.08219178082193</v>
      </c>
      <c r="Q10" s="510">
        <f t="shared" si="1"/>
        <v>100.41780821917808</v>
      </c>
      <c r="R10" s="510">
        <f t="shared" si="1"/>
        <v>101.80327868852459</v>
      </c>
      <c r="S10" s="510">
        <f t="shared" si="1"/>
        <v>100.69672131147541</v>
      </c>
      <c r="T10" s="510">
        <f t="shared" si="1"/>
        <v>102.08219178082193</v>
      </c>
      <c r="U10" s="510">
        <f t="shared" si="1"/>
        <v>100.41780821917808</v>
      </c>
      <c r="V10" s="510">
        <f t="shared" si="1"/>
        <v>102.08219178082193</v>
      </c>
      <c r="W10" s="510">
        <f t="shared" si="1"/>
        <v>100.41780821917808</v>
      </c>
      <c r="X10" s="510">
        <f t="shared" si="1"/>
        <v>102.08219178082193</v>
      </c>
      <c r="Y10" s="510">
        <f t="shared" si="1"/>
        <v>100.41780821917808</v>
      </c>
      <c r="Z10" s="510">
        <f t="shared" si="1"/>
        <v>101.80327868852459</v>
      </c>
      <c r="AA10" s="510">
        <f t="shared" si="2"/>
        <v>100.69672131147541</v>
      </c>
      <c r="AB10" s="510">
        <f t="shared" si="2"/>
        <v>102.08219178082193</v>
      </c>
      <c r="AC10" s="510">
        <f t="shared" si="2"/>
        <v>100.41780821917808</v>
      </c>
      <c r="AD10" s="510">
        <f t="shared" si="2"/>
        <v>102.08219178082193</v>
      </c>
      <c r="AE10" s="510">
        <f t="shared" si="2"/>
        <v>100.41780821917808</v>
      </c>
      <c r="AF10" s="510">
        <f t="shared" si="2"/>
        <v>102.08219178082193</v>
      </c>
      <c r="AG10" s="510">
        <f t="shared" si="2"/>
        <v>100.41780821917808</v>
      </c>
      <c r="AH10" s="510">
        <f t="shared" si="2"/>
        <v>101.80327868852459</v>
      </c>
      <c r="AI10" s="510">
        <f t="shared" si="2"/>
        <v>100.69672131147541</v>
      </c>
      <c r="AJ10" s="510">
        <f t="shared" si="2"/>
        <v>102.08219178082193</v>
      </c>
      <c r="AK10" s="510">
        <f t="shared" si="3"/>
        <v>100.41780821917808</v>
      </c>
      <c r="AL10" s="510">
        <f t="shared" si="3"/>
        <v>102.08219178082193</v>
      </c>
      <c r="AM10" s="510">
        <f t="shared" si="3"/>
        <v>100.41780821917808</v>
      </c>
      <c r="AN10" s="510">
        <f t="shared" si="3"/>
        <v>102.08219178082193</v>
      </c>
      <c r="AO10" s="510">
        <f t="shared" si="3"/>
        <v>100.41780821917808</v>
      </c>
      <c r="AP10" s="510">
        <f t="shared" si="3"/>
        <v>101.80327868852459</v>
      </c>
      <c r="AQ10" s="510">
        <f t="shared" si="3"/>
        <v>100.69672131147541</v>
      </c>
      <c r="AR10" s="510">
        <f t="shared" si="3"/>
        <v>102.08219178082193</v>
      </c>
      <c r="AS10" s="510">
        <f t="shared" si="3"/>
        <v>100.41780821917808</v>
      </c>
      <c r="AT10" s="510">
        <f t="shared" si="3"/>
        <v>102.08219178082193</v>
      </c>
      <c r="AU10" s="510">
        <f t="shared" si="4"/>
        <v>100.41780821917808</v>
      </c>
      <c r="AV10" s="510">
        <f t="shared" si="4"/>
        <v>0</v>
      </c>
      <c r="AW10" s="510">
        <f t="shared" si="4"/>
        <v>0</v>
      </c>
      <c r="AX10" s="510">
        <f t="shared" si="4"/>
        <v>0</v>
      </c>
      <c r="AY10" s="510">
        <f t="shared" si="4"/>
        <v>0</v>
      </c>
      <c r="AZ10" s="510">
        <f t="shared" si="4"/>
        <v>0</v>
      </c>
      <c r="BA10" s="510">
        <f t="shared" si="4"/>
        <v>0</v>
      </c>
      <c r="BB10" s="510">
        <f t="shared" si="4"/>
        <v>0</v>
      </c>
      <c r="BC10" s="510">
        <f t="shared" si="4"/>
        <v>0</v>
      </c>
      <c r="BD10" s="510">
        <f t="shared" si="4"/>
        <v>0</v>
      </c>
      <c r="BE10" s="510">
        <f t="shared" si="5"/>
        <v>0</v>
      </c>
      <c r="BF10" s="510">
        <f t="shared" si="5"/>
        <v>0</v>
      </c>
      <c r="BG10" s="510">
        <f t="shared" si="5"/>
        <v>0</v>
      </c>
      <c r="BH10" s="510">
        <f t="shared" si="5"/>
        <v>0</v>
      </c>
      <c r="BI10" s="510">
        <f t="shared" si="5"/>
        <v>0</v>
      </c>
      <c r="BJ10" s="510">
        <f t="shared" si="5"/>
        <v>0</v>
      </c>
      <c r="BK10" s="510">
        <f t="shared" si="5"/>
        <v>0</v>
      </c>
      <c r="BL10" s="510">
        <f t="shared" si="5"/>
        <v>0</v>
      </c>
      <c r="BM10" s="510">
        <f t="shared" si="5"/>
        <v>0</v>
      </c>
      <c r="BN10" s="510">
        <f t="shared" si="5"/>
        <v>0</v>
      </c>
      <c r="BO10" s="510">
        <f t="shared" si="6"/>
        <v>0</v>
      </c>
      <c r="BP10" s="510">
        <f t="shared" si="6"/>
        <v>0</v>
      </c>
      <c r="BQ10" s="510">
        <f t="shared" si="6"/>
        <v>0</v>
      </c>
      <c r="BR10" s="510">
        <f t="shared" si="6"/>
        <v>0</v>
      </c>
      <c r="BS10" s="510">
        <f t="shared" si="6"/>
        <v>0</v>
      </c>
      <c r="BT10" s="510">
        <f t="shared" si="6"/>
        <v>0</v>
      </c>
      <c r="BU10" s="510">
        <f t="shared" si="6"/>
        <v>0</v>
      </c>
      <c r="BV10" s="510">
        <f t="shared" si="6"/>
        <v>0</v>
      </c>
      <c r="BW10" s="510">
        <f t="shared" si="6"/>
        <v>0</v>
      </c>
      <c r="BX10" s="510">
        <f t="shared" si="6"/>
        <v>0</v>
      </c>
      <c r="BY10" s="510">
        <f t="shared" si="7"/>
        <v>0</v>
      </c>
      <c r="BZ10" s="510">
        <f t="shared" si="7"/>
        <v>0</v>
      </c>
      <c r="CA10" s="510">
        <f t="shared" si="7"/>
        <v>0</v>
      </c>
      <c r="CB10" s="510">
        <f t="shared" si="7"/>
        <v>0</v>
      </c>
      <c r="CC10" s="510">
        <f t="shared" si="7"/>
        <v>0</v>
      </c>
      <c r="CD10" s="510">
        <f t="shared" si="7"/>
        <v>0</v>
      </c>
      <c r="CE10" s="510">
        <f t="shared" si="7"/>
        <v>0</v>
      </c>
      <c r="CF10" s="510">
        <f t="shared" si="7"/>
        <v>0</v>
      </c>
      <c r="CG10" s="510">
        <f t="shared" si="7"/>
        <v>0</v>
      </c>
      <c r="CH10" s="510">
        <f t="shared" si="7"/>
        <v>0</v>
      </c>
      <c r="CI10" s="510">
        <f t="shared" si="8"/>
        <v>0</v>
      </c>
      <c r="CJ10" s="510">
        <f t="shared" si="8"/>
        <v>0</v>
      </c>
      <c r="CK10" s="510">
        <f t="shared" si="8"/>
        <v>0</v>
      </c>
      <c r="CL10" s="510">
        <f t="shared" si="8"/>
        <v>0</v>
      </c>
      <c r="CM10" s="510">
        <f t="shared" si="8"/>
        <v>0</v>
      </c>
      <c r="CN10" s="510">
        <f t="shared" si="8"/>
        <v>0</v>
      </c>
      <c r="CO10" s="510">
        <f t="shared" si="8"/>
        <v>0</v>
      </c>
      <c r="CP10" s="510">
        <f t="shared" si="8"/>
        <v>0</v>
      </c>
      <c r="CQ10" s="510">
        <f t="shared" si="8"/>
        <v>0</v>
      </c>
      <c r="CR10" s="510">
        <f t="shared" si="8"/>
        <v>0</v>
      </c>
      <c r="CS10" s="510">
        <f t="shared" si="9"/>
        <v>0</v>
      </c>
      <c r="CT10" s="510">
        <f t="shared" si="9"/>
        <v>0</v>
      </c>
      <c r="CU10" s="510">
        <f t="shared" si="9"/>
        <v>0</v>
      </c>
      <c r="CV10" s="510">
        <f t="shared" si="9"/>
        <v>0</v>
      </c>
      <c r="CW10" s="510">
        <f t="shared" si="9"/>
        <v>0</v>
      </c>
      <c r="CX10" s="510">
        <f t="shared" si="9"/>
        <v>0</v>
      </c>
      <c r="CY10" s="510">
        <f t="shared" si="9"/>
        <v>0</v>
      </c>
      <c r="CZ10" s="510">
        <f t="shared" si="9"/>
        <v>0</v>
      </c>
      <c r="DA10" s="510">
        <f t="shared" si="9"/>
        <v>0</v>
      </c>
      <c r="DB10" s="510">
        <f t="shared" si="9"/>
        <v>0</v>
      </c>
      <c r="DC10" s="510">
        <f t="shared" si="10"/>
        <v>0</v>
      </c>
      <c r="DD10" s="510">
        <f t="shared" si="10"/>
        <v>0</v>
      </c>
      <c r="DE10" s="510">
        <f t="shared" si="10"/>
        <v>0</v>
      </c>
      <c r="DF10" s="510">
        <f t="shared" si="10"/>
        <v>0</v>
      </c>
      <c r="DG10" s="510">
        <f t="shared" si="10"/>
        <v>0</v>
      </c>
      <c r="DH10" s="510">
        <f t="shared" si="10"/>
        <v>0</v>
      </c>
      <c r="DI10" s="510">
        <f t="shared" si="10"/>
        <v>0</v>
      </c>
      <c r="DJ10" s="510">
        <f t="shared" si="10"/>
        <v>0</v>
      </c>
      <c r="DK10" s="510">
        <f t="shared" si="10"/>
        <v>0</v>
      </c>
      <c r="DL10" s="510">
        <f t="shared" si="10"/>
        <v>0</v>
      </c>
      <c r="DM10" s="510">
        <f t="shared" si="11"/>
        <v>0</v>
      </c>
      <c r="DN10" s="510">
        <f t="shared" si="11"/>
        <v>0</v>
      </c>
      <c r="DO10" s="510">
        <f t="shared" si="11"/>
        <v>0</v>
      </c>
      <c r="DP10" s="510">
        <f t="shared" si="11"/>
        <v>0</v>
      </c>
      <c r="DQ10" s="510">
        <f t="shared" si="11"/>
        <v>0</v>
      </c>
      <c r="DR10" s="510">
        <f t="shared" si="11"/>
        <v>0</v>
      </c>
      <c r="DS10" s="510">
        <f t="shared" si="11"/>
        <v>0</v>
      </c>
      <c r="DT10" s="510">
        <f t="shared" si="11"/>
        <v>0</v>
      </c>
      <c r="DU10" s="510">
        <f t="shared" si="11"/>
        <v>0</v>
      </c>
      <c r="DV10" s="510">
        <f t="shared" si="11"/>
        <v>0</v>
      </c>
      <c r="DW10" s="510">
        <f t="shared" si="11"/>
        <v>0</v>
      </c>
    </row>
    <row r="11" spans="1:127">
      <c r="A11" s="605" t="str">
        <f>Inputs!A379</f>
        <v>Investments to prepare operation phase</v>
      </c>
      <c r="B11" s="989">
        <f>Inputs!$D379</f>
        <v>20</v>
      </c>
      <c r="C11" s="976">
        <f>Inputs!$G379</f>
        <v>150</v>
      </c>
      <c r="D11" s="510">
        <f t="shared" si="12"/>
        <v>150</v>
      </c>
      <c r="E11" s="513"/>
      <c r="F11" s="481"/>
      <c r="G11" s="510">
        <f t="shared" si="0"/>
        <v>0</v>
      </c>
      <c r="H11" s="510">
        <f t="shared" si="0"/>
        <v>3.7808219178082196</v>
      </c>
      <c r="I11" s="510">
        <f t="shared" si="0"/>
        <v>3.7191780821917808</v>
      </c>
      <c r="J11" s="510">
        <f t="shared" si="0"/>
        <v>3.7704918032786887</v>
      </c>
      <c r="K11" s="510">
        <f t="shared" si="0"/>
        <v>3.7295081967213113</v>
      </c>
      <c r="L11" s="510">
        <f t="shared" si="0"/>
        <v>3.7808219178082196</v>
      </c>
      <c r="M11" s="510">
        <f t="shared" si="0"/>
        <v>3.7191780821917808</v>
      </c>
      <c r="N11" s="510">
        <f t="shared" si="0"/>
        <v>3.7808219178082196</v>
      </c>
      <c r="O11" s="510">
        <f t="shared" si="0"/>
        <v>3.7191780821917808</v>
      </c>
      <c r="P11" s="510">
        <f t="shared" si="0"/>
        <v>3.7808219178082196</v>
      </c>
      <c r="Q11" s="510">
        <f t="shared" si="1"/>
        <v>3.7191780821917808</v>
      </c>
      <c r="R11" s="510">
        <f t="shared" si="1"/>
        <v>3.7704918032786887</v>
      </c>
      <c r="S11" s="510">
        <f t="shared" si="1"/>
        <v>3.7295081967213113</v>
      </c>
      <c r="T11" s="510">
        <f t="shared" si="1"/>
        <v>3.7808219178082196</v>
      </c>
      <c r="U11" s="510">
        <f t="shared" si="1"/>
        <v>3.7191780821917808</v>
      </c>
      <c r="V11" s="510">
        <f t="shared" si="1"/>
        <v>3.7808219178082196</v>
      </c>
      <c r="W11" s="510">
        <f t="shared" si="1"/>
        <v>3.7191780821917808</v>
      </c>
      <c r="X11" s="510">
        <f t="shared" si="1"/>
        <v>3.7808219178082196</v>
      </c>
      <c r="Y11" s="510">
        <f t="shared" si="1"/>
        <v>3.7191780821917808</v>
      </c>
      <c r="Z11" s="510">
        <f t="shared" si="1"/>
        <v>3.7704918032786887</v>
      </c>
      <c r="AA11" s="510">
        <f t="shared" si="2"/>
        <v>3.7295081967213113</v>
      </c>
      <c r="AB11" s="510">
        <f t="shared" si="2"/>
        <v>3.7808219178082196</v>
      </c>
      <c r="AC11" s="510">
        <f t="shared" si="2"/>
        <v>3.7191780821917808</v>
      </c>
      <c r="AD11" s="510">
        <f t="shared" si="2"/>
        <v>3.7808219178082196</v>
      </c>
      <c r="AE11" s="510">
        <f t="shared" si="2"/>
        <v>3.7191780821917808</v>
      </c>
      <c r="AF11" s="510">
        <f t="shared" si="2"/>
        <v>3.7808219178082196</v>
      </c>
      <c r="AG11" s="510">
        <f t="shared" si="2"/>
        <v>3.7191780821917808</v>
      </c>
      <c r="AH11" s="510">
        <f t="shared" si="2"/>
        <v>3.7704918032786887</v>
      </c>
      <c r="AI11" s="510">
        <f t="shared" si="2"/>
        <v>3.7295081967213113</v>
      </c>
      <c r="AJ11" s="510">
        <f t="shared" si="2"/>
        <v>3.7808219178082196</v>
      </c>
      <c r="AK11" s="510">
        <f t="shared" si="3"/>
        <v>3.7191780821917808</v>
      </c>
      <c r="AL11" s="510">
        <f t="shared" si="3"/>
        <v>3.7808219178082196</v>
      </c>
      <c r="AM11" s="510">
        <f t="shared" si="3"/>
        <v>3.7191780821917808</v>
      </c>
      <c r="AN11" s="510">
        <f t="shared" si="3"/>
        <v>3.7808219178082196</v>
      </c>
      <c r="AO11" s="510">
        <f t="shared" si="3"/>
        <v>3.7191780821917808</v>
      </c>
      <c r="AP11" s="510">
        <f t="shared" si="3"/>
        <v>3.7704918032786887</v>
      </c>
      <c r="AQ11" s="510">
        <f t="shared" si="3"/>
        <v>3.7295081967213113</v>
      </c>
      <c r="AR11" s="510">
        <f t="shared" si="3"/>
        <v>3.7808219178082196</v>
      </c>
      <c r="AS11" s="510">
        <f t="shared" si="3"/>
        <v>3.7191780821917808</v>
      </c>
      <c r="AT11" s="510">
        <f t="shared" si="3"/>
        <v>3.7808219178082196</v>
      </c>
      <c r="AU11" s="510">
        <f t="shared" si="4"/>
        <v>3.7191780821917808</v>
      </c>
      <c r="AV11" s="510">
        <f t="shared" si="4"/>
        <v>0</v>
      </c>
      <c r="AW11" s="510">
        <f t="shared" si="4"/>
        <v>0</v>
      </c>
      <c r="AX11" s="510">
        <f t="shared" si="4"/>
        <v>0</v>
      </c>
      <c r="AY11" s="510">
        <f t="shared" si="4"/>
        <v>0</v>
      </c>
      <c r="AZ11" s="510">
        <f t="shared" si="4"/>
        <v>0</v>
      </c>
      <c r="BA11" s="510">
        <f t="shared" si="4"/>
        <v>0</v>
      </c>
      <c r="BB11" s="510">
        <f t="shared" si="4"/>
        <v>0</v>
      </c>
      <c r="BC11" s="510">
        <f t="shared" si="4"/>
        <v>0</v>
      </c>
      <c r="BD11" s="510">
        <f t="shared" si="4"/>
        <v>0</v>
      </c>
      <c r="BE11" s="510">
        <f t="shared" si="5"/>
        <v>0</v>
      </c>
      <c r="BF11" s="510">
        <f t="shared" si="5"/>
        <v>0</v>
      </c>
      <c r="BG11" s="510">
        <f t="shared" si="5"/>
        <v>0</v>
      </c>
      <c r="BH11" s="510">
        <f t="shared" si="5"/>
        <v>0</v>
      </c>
      <c r="BI11" s="510">
        <f t="shared" si="5"/>
        <v>0</v>
      </c>
      <c r="BJ11" s="510">
        <f t="shared" si="5"/>
        <v>0</v>
      </c>
      <c r="BK11" s="510">
        <f t="shared" si="5"/>
        <v>0</v>
      </c>
      <c r="BL11" s="510">
        <f t="shared" si="5"/>
        <v>0</v>
      </c>
      <c r="BM11" s="510">
        <f t="shared" si="5"/>
        <v>0</v>
      </c>
      <c r="BN11" s="510">
        <f t="shared" si="5"/>
        <v>0</v>
      </c>
      <c r="BO11" s="510">
        <f t="shared" si="6"/>
        <v>0</v>
      </c>
      <c r="BP11" s="510">
        <f t="shared" si="6"/>
        <v>0</v>
      </c>
      <c r="BQ11" s="510">
        <f t="shared" si="6"/>
        <v>0</v>
      </c>
      <c r="BR11" s="510">
        <f t="shared" si="6"/>
        <v>0</v>
      </c>
      <c r="BS11" s="510">
        <f t="shared" si="6"/>
        <v>0</v>
      </c>
      <c r="BT11" s="510">
        <f t="shared" si="6"/>
        <v>0</v>
      </c>
      <c r="BU11" s="510">
        <f t="shared" si="6"/>
        <v>0</v>
      </c>
      <c r="BV11" s="510">
        <f t="shared" si="6"/>
        <v>0</v>
      </c>
      <c r="BW11" s="510">
        <f t="shared" si="6"/>
        <v>0</v>
      </c>
      <c r="BX11" s="510">
        <f t="shared" si="6"/>
        <v>0</v>
      </c>
      <c r="BY11" s="510">
        <f t="shared" si="7"/>
        <v>0</v>
      </c>
      <c r="BZ11" s="510">
        <f t="shared" si="7"/>
        <v>0</v>
      </c>
      <c r="CA11" s="510">
        <f t="shared" si="7"/>
        <v>0</v>
      </c>
      <c r="CB11" s="510">
        <f t="shared" si="7"/>
        <v>0</v>
      </c>
      <c r="CC11" s="510">
        <f t="shared" si="7"/>
        <v>0</v>
      </c>
      <c r="CD11" s="510">
        <f t="shared" si="7"/>
        <v>0</v>
      </c>
      <c r="CE11" s="510">
        <f t="shared" si="7"/>
        <v>0</v>
      </c>
      <c r="CF11" s="510">
        <f t="shared" si="7"/>
        <v>0</v>
      </c>
      <c r="CG11" s="510">
        <f t="shared" si="7"/>
        <v>0</v>
      </c>
      <c r="CH11" s="510">
        <f t="shared" si="7"/>
        <v>0</v>
      </c>
      <c r="CI11" s="510">
        <f t="shared" si="8"/>
        <v>0</v>
      </c>
      <c r="CJ11" s="510">
        <f t="shared" si="8"/>
        <v>0</v>
      </c>
      <c r="CK11" s="510">
        <f t="shared" si="8"/>
        <v>0</v>
      </c>
      <c r="CL11" s="510">
        <f t="shared" si="8"/>
        <v>0</v>
      </c>
      <c r="CM11" s="510">
        <f t="shared" si="8"/>
        <v>0</v>
      </c>
      <c r="CN11" s="510">
        <f t="shared" si="8"/>
        <v>0</v>
      </c>
      <c r="CO11" s="510">
        <f t="shared" si="8"/>
        <v>0</v>
      </c>
      <c r="CP11" s="510">
        <f t="shared" si="8"/>
        <v>0</v>
      </c>
      <c r="CQ11" s="510">
        <f t="shared" si="8"/>
        <v>0</v>
      </c>
      <c r="CR11" s="510">
        <f t="shared" si="8"/>
        <v>0</v>
      </c>
      <c r="CS11" s="510">
        <f t="shared" si="9"/>
        <v>0</v>
      </c>
      <c r="CT11" s="510">
        <f t="shared" si="9"/>
        <v>0</v>
      </c>
      <c r="CU11" s="510">
        <f t="shared" si="9"/>
        <v>0</v>
      </c>
      <c r="CV11" s="510">
        <f t="shared" si="9"/>
        <v>0</v>
      </c>
      <c r="CW11" s="510">
        <f t="shared" si="9"/>
        <v>0</v>
      </c>
      <c r="CX11" s="510">
        <f t="shared" si="9"/>
        <v>0</v>
      </c>
      <c r="CY11" s="510">
        <f t="shared" si="9"/>
        <v>0</v>
      </c>
      <c r="CZ11" s="510">
        <f t="shared" si="9"/>
        <v>0</v>
      </c>
      <c r="DA11" s="510">
        <f t="shared" si="9"/>
        <v>0</v>
      </c>
      <c r="DB11" s="510">
        <f t="shared" si="9"/>
        <v>0</v>
      </c>
      <c r="DC11" s="510">
        <f t="shared" si="10"/>
        <v>0</v>
      </c>
      <c r="DD11" s="510">
        <f t="shared" si="10"/>
        <v>0</v>
      </c>
      <c r="DE11" s="510">
        <f t="shared" si="10"/>
        <v>0</v>
      </c>
      <c r="DF11" s="510">
        <f t="shared" si="10"/>
        <v>0</v>
      </c>
      <c r="DG11" s="510">
        <f t="shared" si="10"/>
        <v>0</v>
      </c>
      <c r="DH11" s="510">
        <f t="shared" si="10"/>
        <v>0</v>
      </c>
      <c r="DI11" s="510">
        <f t="shared" si="10"/>
        <v>0</v>
      </c>
      <c r="DJ11" s="510">
        <f t="shared" si="10"/>
        <v>0</v>
      </c>
      <c r="DK11" s="510">
        <f t="shared" si="10"/>
        <v>0</v>
      </c>
      <c r="DL11" s="510">
        <f t="shared" si="10"/>
        <v>0</v>
      </c>
      <c r="DM11" s="510">
        <f t="shared" si="11"/>
        <v>0</v>
      </c>
      <c r="DN11" s="510">
        <f t="shared" si="11"/>
        <v>0</v>
      </c>
      <c r="DO11" s="510">
        <f t="shared" si="11"/>
        <v>0</v>
      </c>
      <c r="DP11" s="510">
        <f t="shared" si="11"/>
        <v>0</v>
      </c>
      <c r="DQ11" s="510">
        <f t="shared" si="11"/>
        <v>0</v>
      </c>
      <c r="DR11" s="510">
        <f t="shared" si="11"/>
        <v>0</v>
      </c>
      <c r="DS11" s="510">
        <f t="shared" si="11"/>
        <v>0</v>
      </c>
      <c r="DT11" s="510">
        <f t="shared" si="11"/>
        <v>0</v>
      </c>
      <c r="DU11" s="510">
        <f t="shared" si="11"/>
        <v>0</v>
      </c>
      <c r="DV11" s="510">
        <f t="shared" si="11"/>
        <v>0</v>
      </c>
      <c r="DW11" s="510">
        <f t="shared" si="11"/>
        <v>0</v>
      </c>
    </row>
    <row r="12" spans="1:127">
      <c r="A12" s="605" t="str">
        <f>Inputs!A380</f>
        <v>Insurances</v>
      </c>
      <c r="B12" s="989">
        <f>Inputs!$D380</f>
        <v>20</v>
      </c>
      <c r="C12" s="976">
        <f>Inputs!$G380</f>
        <v>320</v>
      </c>
      <c r="D12" s="510">
        <f t="shared" si="12"/>
        <v>320</v>
      </c>
      <c r="E12" s="513"/>
      <c r="F12" s="481"/>
      <c r="G12" s="510">
        <f t="shared" si="0"/>
        <v>0</v>
      </c>
      <c r="H12" s="510">
        <f t="shared" si="0"/>
        <v>8.0657534246575349</v>
      </c>
      <c r="I12" s="510">
        <f t="shared" si="0"/>
        <v>7.934246575342466</v>
      </c>
      <c r="J12" s="510">
        <f t="shared" si="0"/>
        <v>8.0437158469945356</v>
      </c>
      <c r="K12" s="510">
        <f t="shared" si="0"/>
        <v>7.9562841530054644</v>
      </c>
      <c r="L12" s="510">
        <f t="shared" si="0"/>
        <v>8.0657534246575349</v>
      </c>
      <c r="M12" s="510">
        <f t="shared" si="0"/>
        <v>7.934246575342466</v>
      </c>
      <c r="N12" s="510">
        <f t="shared" si="0"/>
        <v>8.0657534246575349</v>
      </c>
      <c r="O12" s="510">
        <f t="shared" si="0"/>
        <v>7.934246575342466</v>
      </c>
      <c r="P12" s="510">
        <f t="shared" si="0"/>
        <v>8.0657534246575349</v>
      </c>
      <c r="Q12" s="510">
        <f t="shared" si="1"/>
        <v>7.934246575342466</v>
      </c>
      <c r="R12" s="510">
        <f t="shared" si="1"/>
        <v>8.0437158469945356</v>
      </c>
      <c r="S12" s="510">
        <f t="shared" si="1"/>
        <v>7.9562841530054644</v>
      </c>
      <c r="T12" s="510">
        <f t="shared" si="1"/>
        <v>8.0657534246575349</v>
      </c>
      <c r="U12" s="510">
        <f t="shared" si="1"/>
        <v>7.934246575342466</v>
      </c>
      <c r="V12" s="510">
        <f t="shared" si="1"/>
        <v>8.0657534246575349</v>
      </c>
      <c r="W12" s="510">
        <f t="shared" si="1"/>
        <v>7.934246575342466</v>
      </c>
      <c r="X12" s="510">
        <f t="shared" si="1"/>
        <v>8.0657534246575349</v>
      </c>
      <c r="Y12" s="510">
        <f t="shared" si="1"/>
        <v>7.934246575342466</v>
      </c>
      <c r="Z12" s="510">
        <f t="shared" si="1"/>
        <v>8.0437158469945356</v>
      </c>
      <c r="AA12" s="510">
        <f t="shared" si="2"/>
        <v>7.9562841530054644</v>
      </c>
      <c r="AB12" s="510">
        <f t="shared" si="2"/>
        <v>8.0657534246575349</v>
      </c>
      <c r="AC12" s="510">
        <f t="shared" si="2"/>
        <v>7.934246575342466</v>
      </c>
      <c r="AD12" s="510">
        <f t="shared" si="2"/>
        <v>8.0657534246575349</v>
      </c>
      <c r="AE12" s="510">
        <f t="shared" si="2"/>
        <v>7.934246575342466</v>
      </c>
      <c r="AF12" s="510">
        <f t="shared" si="2"/>
        <v>8.0657534246575349</v>
      </c>
      <c r="AG12" s="510">
        <f t="shared" si="2"/>
        <v>7.934246575342466</v>
      </c>
      <c r="AH12" s="510">
        <f t="shared" si="2"/>
        <v>8.0437158469945356</v>
      </c>
      <c r="AI12" s="510">
        <f t="shared" si="2"/>
        <v>7.9562841530054644</v>
      </c>
      <c r="AJ12" s="510">
        <f t="shared" si="2"/>
        <v>8.0657534246575349</v>
      </c>
      <c r="AK12" s="510">
        <f t="shared" si="3"/>
        <v>7.934246575342466</v>
      </c>
      <c r="AL12" s="510">
        <f t="shared" si="3"/>
        <v>8.0657534246575349</v>
      </c>
      <c r="AM12" s="510">
        <f t="shared" si="3"/>
        <v>7.934246575342466</v>
      </c>
      <c r="AN12" s="510">
        <f t="shared" si="3"/>
        <v>8.0657534246575349</v>
      </c>
      <c r="AO12" s="510">
        <f t="shared" si="3"/>
        <v>7.934246575342466</v>
      </c>
      <c r="AP12" s="510">
        <f t="shared" si="3"/>
        <v>8.0437158469945356</v>
      </c>
      <c r="AQ12" s="510">
        <f t="shared" si="3"/>
        <v>7.9562841530054644</v>
      </c>
      <c r="AR12" s="510">
        <f t="shared" si="3"/>
        <v>8.0657534246575349</v>
      </c>
      <c r="AS12" s="510">
        <f t="shared" si="3"/>
        <v>7.934246575342466</v>
      </c>
      <c r="AT12" s="510">
        <f t="shared" si="3"/>
        <v>8.0657534246575349</v>
      </c>
      <c r="AU12" s="510">
        <f t="shared" si="4"/>
        <v>7.934246575342466</v>
      </c>
      <c r="AV12" s="510">
        <f t="shared" si="4"/>
        <v>0</v>
      </c>
      <c r="AW12" s="510">
        <f t="shared" si="4"/>
        <v>0</v>
      </c>
      <c r="AX12" s="510">
        <f t="shared" si="4"/>
        <v>0</v>
      </c>
      <c r="AY12" s="510">
        <f t="shared" si="4"/>
        <v>0</v>
      </c>
      <c r="AZ12" s="510">
        <f t="shared" si="4"/>
        <v>0</v>
      </c>
      <c r="BA12" s="510">
        <f t="shared" si="4"/>
        <v>0</v>
      </c>
      <c r="BB12" s="510">
        <f t="shared" si="4"/>
        <v>0</v>
      </c>
      <c r="BC12" s="510">
        <f t="shared" si="4"/>
        <v>0</v>
      </c>
      <c r="BD12" s="510">
        <f t="shared" si="4"/>
        <v>0</v>
      </c>
      <c r="BE12" s="510">
        <f t="shared" si="5"/>
        <v>0</v>
      </c>
      <c r="BF12" s="510">
        <f t="shared" si="5"/>
        <v>0</v>
      </c>
      <c r="BG12" s="510">
        <f t="shared" si="5"/>
        <v>0</v>
      </c>
      <c r="BH12" s="510">
        <f t="shared" si="5"/>
        <v>0</v>
      </c>
      <c r="BI12" s="510">
        <f t="shared" si="5"/>
        <v>0</v>
      </c>
      <c r="BJ12" s="510">
        <f t="shared" si="5"/>
        <v>0</v>
      </c>
      <c r="BK12" s="510">
        <f t="shared" si="5"/>
        <v>0</v>
      </c>
      <c r="BL12" s="510">
        <f t="shared" si="5"/>
        <v>0</v>
      </c>
      <c r="BM12" s="510">
        <f t="shared" si="5"/>
        <v>0</v>
      </c>
      <c r="BN12" s="510">
        <f t="shared" si="5"/>
        <v>0</v>
      </c>
      <c r="BO12" s="510">
        <f t="shared" si="6"/>
        <v>0</v>
      </c>
      <c r="BP12" s="510">
        <f t="shared" si="6"/>
        <v>0</v>
      </c>
      <c r="BQ12" s="510">
        <f t="shared" si="6"/>
        <v>0</v>
      </c>
      <c r="BR12" s="510">
        <f t="shared" si="6"/>
        <v>0</v>
      </c>
      <c r="BS12" s="510">
        <f t="shared" si="6"/>
        <v>0</v>
      </c>
      <c r="BT12" s="510">
        <f t="shared" si="6"/>
        <v>0</v>
      </c>
      <c r="BU12" s="510">
        <f t="shared" si="6"/>
        <v>0</v>
      </c>
      <c r="BV12" s="510">
        <f t="shared" si="6"/>
        <v>0</v>
      </c>
      <c r="BW12" s="510">
        <f t="shared" si="6"/>
        <v>0</v>
      </c>
      <c r="BX12" s="510">
        <f t="shared" si="6"/>
        <v>0</v>
      </c>
      <c r="BY12" s="510">
        <f t="shared" si="7"/>
        <v>0</v>
      </c>
      <c r="BZ12" s="510">
        <f t="shared" si="7"/>
        <v>0</v>
      </c>
      <c r="CA12" s="510">
        <f t="shared" si="7"/>
        <v>0</v>
      </c>
      <c r="CB12" s="510">
        <f t="shared" si="7"/>
        <v>0</v>
      </c>
      <c r="CC12" s="510">
        <f t="shared" si="7"/>
        <v>0</v>
      </c>
      <c r="CD12" s="510">
        <f t="shared" si="7"/>
        <v>0</v>
      </c>
      <c r="CE12" s="510">
        <f t="shared" si="7"/>
        <v>0</v>
      </c>
      <c r="CF12" s="510">
        <f t="shared" si="7"/>
        <v>0</v>
      </c>
      <c r="CG12" s="510">
        <f t="shared" si="7"/>
        <v>0</v>
      </c>
      <c r="CH12" s="510">
        <f t="shared" si="7"/>
        <v>0</v>
      </c>
      <c r="CI12" s="510">
        <f t="shared" si="8"/>
        <v>0</v>
      </c>
      <c r="CJ12" s="510">
        <f t="shared" si="8"/>
        <v>0</v>
      </c>
      <c r="CK12" s="510">
        <f t="shared" si="8"/>
        <v>0</v>
      </c>
      <c r="CL12" s="510">
        <f t="shared" si="8"/>
        <v>0</v>
      </c>
      <c r="CM12" s="510">
        <f t="shared" si="8"/>
        <v>0</v>
      </c>
      <c r="CN12" s="510">
        <f t="shared" si="8"/>
        <v>0</v>
      </c>
      <c r="CO12" s="510">
        <f t="shared" si="8"/>
        <v>0</v>
      </c>
      <c r="CP12" s="510">
        <f t="shared" si="8"/>
        <v>0</v>
      </c>
      <c r="CQ12" s="510">
        <f t="shared" si="8"/>
        <v>0</v>
      </c>
      <c r="CR12" s="510">
        <f t="shared" si="8"/>
        <v>0</v>
      </c>
      <c r="CS12" s="510">
        <f t="shared" si="9"/>
        <v>0</v>
      </c>
      <c r="CT12" s="510">
        <f t="shared" si="9"/>
        <v>0</v>
      </c>
      <c r="CU12" s="510">
        <f t="shared" si="9"/>
        <v>0</v>
      </c>
      <c r="CV12" s="510">
        <f t="shared" si="9"/>
        <v>0</v>
      </c>
      <c r="CW12" s="510">
        <f t="shared" si="9"/>
        <v>0</v>
      </c>
      <c r="CX12" s="510">
        <f t="shared" si="9"/>
        <v>0</v>
      </c>
      <c r="CY12" s="510">
        <f t="shared" si="9"/>
        <v>0</v>
      </c>
      <c r="CZ12" s="510">
        <f t="shared" si="9"/>
        <v>0</v>
      </c>
      <c r="DA12" s="510">
        <f t="shared" si="9"/>
        <v>0</v>
      </c>
      <c r="DB12" s="510">
        <f t="shared" si="9"/>
        <v>0</v>
      </c>
      <c r="DC12" s="510">
        <f t="shared" si="10"/>
        <v>0</v>
      </c>
      <c r="DD12" s="510">
        <f t="shared" si="10"/>
        <v>0</v>
      </c>
      <c r="DE12" s="510">
        <f t="shared" si="10"/>
        <v>0</v>
      </c>
      <c r="DF12" s="510">
        <f t="shared" si="10"/>
        <v>0</v>
      </c>
      <c r="DG12" s="510">
        <f t="shared" si="10"/>
        <v>0</v>
      </c>
      <c r="DH12" s="510">
        <f t="shared" si="10"/>
        <v>0</v>
      </c>
      <c r="DI12" s="510">
        <f t="shared" si="10"/>
        <v>0</v>
      </c>
      <c r="DJ12" s="510">
        <f t="shared" si="10"/>
        <v>0</v>
      </c>
      <c r="DK12" s="510">
        <f t="shared" si="10"/>
        <v>0</v>
      </c>
      <c r="DL12" s="510">
        <f t="shared" si="10"/>
        <v>0</v>
      </c>
      <c r="DM12" s="510">
        <f t="shared" si="11"/>
        <v>0</v>
      </c>
      <c r="DN12" s="510">
        <f t="shared" si="11"/>
        <v>0</v>
      </c>
      <c r="DO12" s="510">
        <f t="shared" si="11"/>
        <v>0</v>
      </c>
      <c r="DP12" s="510">
        <f t="shared" si="11"/>
        <v>0</v>
      </c>
      <c r="DQ12" s="510">
        <f t="shared" si="11"/>
        <v>0</v>
      </c>
      <c r="DR12" s="510">
        <f t="shared" si="11"/>
        <v>0</v>
      </c>
      <c r="DS12" s="510">
        <f t="shared" si="11"/>
        <v>0</v>
      </c>
      <c r="DT12" s="510">
        <f t="shared" si="11"/>
        <v>0</v>
      </c>
      <c r="DU12" s="510">
        <f t="shared" si="11"/>
        <v>0</v>
      </c>
      <c r="DV12" s="510">
        <f t="shared" si="11"/>
        <v>0</v>
      </c>
      <c r="DW12" s="510">
        <f t="shared" si="11"/>
        <v>0</v>
      </c>
    </row>
    <row r="13" spans="1:127">
      <c r="A13" s="605" t="str">
        <f>Inputs!A381</f>
        <v>Lease and Property Tax</v>
      </c>
      <c r="B13" s="989">
        <f>Inputs!$D381</f>
        <v>20</v>
      </c>
      <c r="C13" s="976">
        <f>Inputs!$G381</f>
        <v>0</v>
      </c>
      <c r="D13" s="510">
        <f t="shared" si="12"/>
        <v>0</v>
      </c>
      <c r="E13" s="513"/>
      <c r="F13" s="481"/>
      <c r="G13" s="510">
        <f t="shared" si="0"/>
        <v>0</v>
      </c>
      <c r="H13" s="510">
        <f>AND(H$3&gt;0,H$3&lt;=$B13)*($C13/$B13)*H$5</f>
        <v>0</v>
      </c>
      <c r="I13" s="510">
        <f t="shared" si="0"/>
        <v>0</v>
      </c>
      <c r="J13" s="510">
        <f t="shared" si="0"/>
        <v>0</v>
      </c>
      <c r="K13" s="510">
        <f t="shared" si="0"/>
        <v>0</v>
      </c>
      <c r="L13" s="510">
        <f t="shared" si="0"/>
        <v>0</v>
      </c>
      <c r="M13" s="510">
        <f t="shared" si="0"/>
        <v>0</v>
      </c>
      <c r="N13" s="510">
        <f t="shared" si="0"/>
        <v>0</v>
      </c>
      <c r="O13" s="510">
        <f t="shared" si="0"/>
        <v>0</v>
      </c>
      <c r="P13" s="510">
        <f t="shared" si="0"/>
        <v>0</v>
      </c>
      <c r="Q13" s="510">
        <f t="shared" si="1"/>
        <v>0</v>
      </c>
      <c r="R13" s="510">
        <f t="shared" si="1"/>
        <v>0</v>
      </c>
      <c r="S13" s="510">
        <f t="shared" si="1"/>
        <v>0</v>
      </c>
      <c r="T13" s="510">
        <f t="shared" si="1"/>
        <v>0</v>
      </c>
      <c r="U13" s="510">
        <f t="shared" si="1"/>
        <v>0</v>
      </c>
      <c r="V13" s="510">
        <f t="shared" si="1"/>
        <v>0</v>
      </c>
      <c r="W13" s="510">
        <f t="shared" si="1"/>
        <v>0</v>
      </c>
      <c r="X13" s="510">
        <f t="shared" si="1"/>
        <v>0</v>
      </c>
      <c r="Y13" s="510">
        <f t="shared" si="1"/>
        <v>0</v>
      </c>
      <c r="Z13" s="510">
        <f t="shared" si="1"/>
        <v>0</v>
      </c>
      <c r="AA13" s="510">
        <f t="shared" si="2"/>
        <v>0</v>
      </c>
      <c r="AB13" s="510">
        <f t="shared" si="2"/>
        <v>0</v>
      </c>
      <c r="AC13" s="510">
        <f t="shared" si="2"/>
        <v>0</v>
      </c>
      <c r="AD13" s="510">
        <f t="shared" si="2"/>
        <v>0</v>
      </c>
      <c r="AE13" s="510">
        <f t="shared" si="2"/>
        <v>0</v>
      </c>
      <c r="AF13" s="510">
        <f t="shared" si="2"/>
        <v>0</v>
      </c>
      <c r="AG13" s="510">
        <f t="shared" si="2"/>
        <v>0</v>
      </c>
      <c r="AH13" s="510">
        <f t="shared" si="2"/>
        <v>0</v>
      </c>
      <c r="AI13" s="510">
        <f t="shared" si="2"/>
        <v>0</v>
      </c>
      <c r="AJ13" s="510">
        <f t="shared" si="2"/>
        <v>0</v>
      </c>
      <c r="AK13" s="510">
        <f t="shared" si="3"/>
        <v>0</v>
      </c>
      <c r="AL13" s="510">
        <f t="shared" si="3"/>
        <v>0</v>
      </c>
      <c r="AM13" s="510">
        <f t="shared" si="3"/>
        <v>0</v>
      </c>
      <c r="AN13" s="510">
        <f t="shared" si="3"/>
        <v>0</v>
      </c>
      <c r="AO13" s="510">
        <f t="shared" si="3"/>
        <v>0</v>
      </c>
      <c r="AP13" s="510">
        <f t="shared" si="3"/>
        <v>0</v>
      </c>
      <c r="AQ13" s="510">
        <f t="shared" si="3"/>
        <v>0</v>
      </c>
      <c r="AR13" s="510">
        <f t="shared" si="3"/>
        <v>0</v>
      </c>
      <c r="AS13" s="510">
        <f t="shared" si="3"/>
        <v>0</v>
      </c>
      <c r="AT13" s="510">
        <f t="shared" si="3"/>
        <v>0</v>
      </c>
      <c r="AU13" s="510">
        <f t="shared" si="4"/>
        <v>0</v>
      </c>
      <c r="AV13" s="510">
        <f t="shared" si="4"/>
        <v>0</v>
      </c>
      <c r="AW13" s="510">
        <f t="shared" si="4"/>
        <v>0</v>
      </c>
      <c r="AX13" s="510">
        <f t="shared" si="4"/>
        <v>0</v>
      </c>
      <c r="AY13" s="510">
        <f t="shared" si="4"/>
        <v>0</v>
      </c>
      <c r="AZ13" s="510">
        <f t="shared" si="4"/>
        <v>0</v>
      </c>
      <c r="BA13" s="510">
        <f t="shared" si="4"/>
        <v>0</v>
      </c>
      <c r="BB13" s="510">
        <f t="shared" si="4"/>
        <v>0</v>
      </c>
      <c r="BC13" s="510">
        <f t="shared" si="4"/>
        <v>0</v>
      </c>
      <c r="BD13" s="510">
        <f t="shared" si="4"/>
        <v>0</v>
      </c>
      <c r="BE13" s="510">
        <f t="shared" si="5"/>
        <v>0</v>
      </c>
      <c r="BF13" s="510">
        <f t="shared" si="5"/>
        <v>0</v>
      </c>
      <c r="BG13" s="510">
        <f t="shared" si="5"/>
        <v>0</v>
      </c>
      <c r="BH13" s="510">
        <f t="shared" si="5"/>
        <v>0</v>
      </c>
      <c r="BI13" s="510">
        <f t="shared" si="5"/>
        <v>0</v>
      </c>
      <c r="BJ13" s="510">
        <f t="shared" si="5"/>
        <v>0</v>
      </c>
      <c r="BK13" s="510">
        <f t="shared" si="5"/>
        <v>0</v>
      </c>
      <c r="BL13" s="510">
        <f t="shared" si="5"/>
        <v>0</v>
      </c>
      <c r="BM13" s="510">
        <f t="shared" si="5"/>
        <v>0</v>
      </c>
      <c r="BN13" s="510">
        <f t="shared" si="5"/>
        <v>0</v>
      </c>
      <c r="BO13" s="510">
        <f t="shared" si="6"/>
        <v>0</v>
      </c>
      <c r="BP13" s="510">
        <f t="shared" si="6"/>
        <v>0</v>
      </c>
      <c r="BQ13" s="510">
        <f t="shared" si="6"/>
        <v>0</v>
      </c>
      <c r="BR13" s="510">
        <f t="shared" si="6"/>
        <v>0</v>
      </c>
      <c r="BS13" s="510">
        <f t="shared" si="6"/>
        <v>0</v>
      </c>
      <c r="BT13" s="510">
        <f t="shared" si="6"/>
        <v>0</v>
      </c>
      <c r="BU13" s="510">
        <f t="shared" si="6"/>
        <v>0</v>
      </c>
      <c r="BV13" s="510">
        <f t="shared" si="6"/>
        <v>0</v>
      </c>
      <c r="BW13" s="510">
        <f t="shared" si="6"/>
        <v>0</v>
      </c>
      <c r="BX13" s="510">
        <f t="shared" si="6"/>
        <v>0</v>
      </c>
      <c r="BY13" s="510">
        <f t="shared" si="7"/>
        <v>0</v>
      </c>
      <c r="BZ13" s="510">
        <f t="shared" si="7"/>
        <v>0</v>
      </c>
      <c r="CA13" s="510">
        <f t="shared" si="7"/>
        <v>0</v>
      </c>
      <c r="CB13" s="510">
        <f t="shared" si="7"/>
        <v>0</v>
      </c>
      <c r="CC13" s="510">
        <f t="shared" si="7"/>
        <v>0</v>
      </c>
      <c r="CD13" s="510">
        <f t="shared" si="7"/>
        <v>0</v>
      </c>
      <c r="CE13" s="510">
        <f t="shared" si="7"/>
        <v>0</v>
      </c>
      <c r="CF13" s="510">
        <f t="shared" si="7"/>
        <v>0</v>
      </c>
      <c r="CG13" s="510">
        <f t="shared" si="7"/>
        <v>0</v>
      </c>
      <c r="CH13" s="510">
        <f t="shared" si="7"/>
        <v>0</v>
      </c>
      <c r="CI13" s="510">
        <f t="shared" si="8"/>
        <v>0</v>
      </c>
      <c r="CJ13" s="510">
        <f t="shared" si="8"/>
        <v>0</v>
      </c>
      <c r="CK13" s="510">
        <f t="shared" si="8"/>
        <v>0</v>
      </c>
      <c r="CL13" s="510">
        <f t="shared" si="8"/>
        <v>0</v>
      </c>
      <c r="CM13" s="510">
        <f t="shared" si="8"/>
        <v>0</v>
      </c>
      <c r="CN13" s="510">
        <f t="shared" si="8"/>
        <v>0</v>
      </c>
      <c r="CO13" s="510">
        <f t="shared" si="8"/>
        <v>0</v>
      </c>
      <c r="CP13" s="510">
        <f t="shared" si="8"/>
        <v>0</v>
      </c>
      <c r="CQ13" s="510">
        <f t="shared" si="8"/>
        <v>0</v>
      </c>
      <c r="CR13" s="510">
        <f t="shared" si="8"/>
        <v>0</v>
      </c>
      <c r="CS13" s="510">
        <f t="shared" si="9"/>
        <v>0</v>
      </c>
      <c r="CT13" s="510">
        <f t="shared" si="9"/>
        <v>0</v>
      </c>
      <c r="CU13" s="510">
        <f t="shared" si="9"/>
        <v>0</v>
      </c>
      <c r="CV13" s="510">
        <f t="shared" si="9"/>
        <v>0</v>
      </c>
      <c r="CW13" s="510">
        <f t="shared" si="9"/>
        <v>0</v>
      </c>
      <c r="CX13" s="510">
        <f t="shared" si="9"/>
        <v>0</v>
      </c>
      <c r="CY13" s="510">
        <f t="shared" si="9"/>
        <v>0</v>
      </c>
      <c r="CZ13" s="510">
        <f t="shared" si="9"/>
        <v>0</v>
      </c>
      <c r="DA13" s="510">
        <f t="shared" si="9"/>
        <v>0</v>
      </c>
      <c r="DB13" s="510">
        <f t="shared" si="9"/>
        <v>0</v>
      </c>
      <c r="DC13" s="510">
        <f t="shared" si="10"/>
        <v>0</v>
      </c>
      <c r="DD13" s="510">
        <f t="shared" si="10"/>
        <v>0</v>
      </c>
      <c r="DE13" s="510">
        <f t="shared" si="10"/>
        <v>0</v>
      </c>
      <c r="DF13" s="510">
        <f t="shared" si="10"/>
        <v>0</v>
      </c>
      <c r="DG13" s="510">
        <f t="shared" si="10"/>
        <v>0</v>
      </c>
      <c r="DH13" s="510">
        <f t="shared" si="10"/>
        <v>0</v>
      </c>
      <c r="DI13" s="510">
        <f t="shared" si="10"/>
        <v>0</v>
      </c>
      <c r="DJ13" s="510">
        <f t="shared" si="10"/>
        <v>0</v>
      </c>
      <c r="DK13" s="510">
        <f t="shared" si="10"/>
        <v>0</v>
      </c>
      <c r="DL13" s="510">
        <f t="shared" si="10"/>
        <v>0</v>
      </c>
      <c r="DM13" s="510">
        <f t="shared" si="11"/>
        <v>0</v>
      </c>
      <c r="DN13" s="510">
        <f t="shared" si="11"/>
        <v>0</v>
      </c>
      <c r="DO13" s="510">
        <f t="shared" si="11"/>
        <v>0</v>
      </c>
      <c r="DP13" s="510">
        <f t="shared" si="11"/>
        <v>0</v>
      </c>
      <c r="DQ13" s="510">
        <f t="shared" si="11"/>
        <v>0</v>
      </c>
      <c r="DR13" s="510">
        <f t="shared" si="11"/>
        <v>0</v>
      </c>
      <c r="DS13" s="510">
        <f t="shared" si="11"/>
        <v>0</v>
      </c>
      <c r="DT13" s="510">
        <f t="shared" si="11"/>
        <v>0</v>
      </c>
      <c r="DU13" s="510">
        <f t="shared" si="11"/>
        <v>0</v>
      </c>
      <c r="DV13" s="510">
        <f t="shared" si="11"/>
        <v>0</v>
      </c>
      <c r="DW13" s="510">
        <f t="shared" si="11"/>
        <v>0</v>
      </c>
    </row>
    <row r="14" spans="1:127">
      <c r="A14" s="605" t="str">
        <f>Inputs!A382</f>
        <v>Project finance costs due at closing</v>
      </c>
      <c r="B14" s="989">
        <f>Inputs!$D382</f>
        <v>20</v>
      </c>
      <c r="C14" s="976">
        <f>Inputs!$G382</f>
        <v>355</v>
      </c>
      <c r="D14" s="510">
        <f t="shared" si="12"/>
        <v>355</v>
      </c>
      <c r="E14" s="513"/>
      <c r="F14" s="481"/>
      <c r="G14" s="510">
        <f t="shared" si="0"/>
        <v>0</v>
      </c>
      <c r="H14" s="510">
        <f t="shared" si="0"/>
        <v>8.9479452054794528</v>
      </c>
      <c r="I14" s="510">
        <f t="shared" si="0"/>
        <v>8.802054794520549</v>
      </c>
      <c r="J14" s="510">
        <f t="shared" si="0"/>
        <v>8.9234972677595632</v>
      </c>
      <c r="K14" s="510">
        <f t="shared" si="0"/>
        <v>8.8265027322404368</v>
      </c>
      <c r="L14" s="510">
        <f t="shared" si="0"/>
        <v>8.9479452054794528</v>
      </c>
      <c r="M14" s="510">
        <f t="shared" si="0"/>
        <v>8.802054794520549</v>
      </c>
      <c r="N14" s="510">
        <f t="shared" si="0"/>
        <v>8.9479452054794528</v>
      </c>
      <c r="O14" s="510">
        <f t="shared" si="0"/>
        <v>8.802054794520549</v>
      </c>
      <c r="P14" s="510">
        <f t="shared" si="0"/>
        <v>8.9479452054794528</v>
      </c>
      <c r="Q14" s="510">
        <f t="shared" si="1"/>
        <v>8.802054794520549</v>
      </c>
      <c r="R14" s="510">
        <f t="shared" si="1"/>
        <v>8.9234972677595632</v>
      </c>
      <c r="S14" s="510">
        <f t="shared" si="1"/>
        <v>8.8265027322404368</v>
      </c>
      <c r="T14" s="510">
        <f t="shared" si="1"/>
        <v>8.9479452054794528</v>
      </c>
      <c r="U14" s="510">
        <f t="shared" si="1"/>
        <v>8.802054794520549</v>
      </c>
      <c r="V14" s="510">
        <f t="shared" si="1"/>
        <v>8.9479452054794528</v>
      </c>
      <c r="W14" s="510">
        <f t="shared" si="1"/>
        <v>8.802054794520549</v>
      </c>
      <c r="X14" s="510">
        <f t="shared" si="1"/>
        <v>8.9479452054794528</v>
      </c>
      <c r="Y14" s="510">
        <f t="shared" si="1"/>
        <v>8.802054794520549</v>
      </c>
      <c r="Z14" s="510">
        <f t="shared" si="1"/>
        <v>8.9234972677595632</v>
      </c>
      <c r="AA14" s="510">
        <f t="shared" si="2"/>
        <v>8.8265027322404368</v>
      </c>
      <c r="AB14" s="510">
        <f t="shared" si="2"/>
        <v>8.9479452054794528</v>
      </c>
      <c r="AC14" s="510">
        <f t="shared" si="2"/>
        <v>8.802054794520549</v>
      </c>
      <c r="AD14" s="510">
        <f t="shared" si="2"/>
        <v>8.9479452054794528</v>
      </c>
      <c r="AE14" s="510">
        <f t="shared" si="2"/>
        <v>8.802054794520549</v>
      </c>
      <c r="AF14" s="510">
        <f t="shared" si="2"/>
        <v>8.9479452054794528</v>
      </c>
      <c r="AG14" s="510">
        <f t="shared" si="2"/>
        <v>8.802054794520549</v>
      </c>
      <c r="AH14" s="510">
        <f t="shared" si="2"/>
        <v>8.9234972677595632</v>
      </c>
      <c r="AI14" s="510">
        <f t="shared" si="2"/>
        <v>8.8265027322404368</v>
      </c>
      <c r="AJ14" s="510">
        <f t="shared" si="2"/>
        <v>8.9479452054794528</v>
      </c>
      <c r="AK14" s="510">
        <f t="shared" si="3"/>
        <v>8.802054794520549</v>
      </c>
      <c r="AL14" s="510">
        <f t="shared" si="3"/>
        <v>8.9479452054794528</v>
      </c>
      <c r="AM14" s="510">
        <f t="shared" si="3"/>
        <v>8.802054794520549</v>
      </c>
      <c r="AN14" s="510">
        <f t="shared" si="3"/>
        <v>8.9479452054794528</v>
      </c>
      <c r="AO14" s="510">
        <f t="shared" si="3"/>
        <v>8.802054794520549</v>
      </c>
      <c r="AP14" s="510">
        <f t="shared" si="3"/>
        <v>8.9234972677595632</v>
      </c>
      <c r="AQ14" s="510">
        <f t="shared" si="3"/>
        <v>8.8265027322404368</v>
      </c>
      <c r="AR14" s="510">
        <f t="shared" si="3"/>
        <v>8.9479452054794528</v>
      </c>
      <c r="AS14" s="510">
        <f t="shared" si="3"/>
        <v>8.802054794520549</v>
      </c>
      <c r="AT14" s="510">
        <f t="shared" si="3"/>
        <v>8.9479452054794528</v>
      </c>
      <c r="AU14" s="510">
        <f t="shared" si="4"/>
        <v>8.802054794520549</v>
      </c>
      <c r="AV14" s="510">
        <f t="shared" si="4"/>
        <v>0</v>
      </c>
      <c r="AW14" s="510">
        <f t="shared" si="4"/>
        <v>0</v>
      </c>
      <c r="AX14" s="510">
        <f t="shared" si="4"/>
        <v>0</v>
      </c>
      <c r="AY14" s="510">
        <f t="shared" si="4"/>
        <v>0</v>
      </c>
      <c r="AZ14" s="510">
        <f t="shared" si="4"/>
        <v>0</v>
      </c>
      <c r="BA14" s="510">
        <f t="shared" si="4"/>
        <v>0</v>
      </c>
      <c r="BB14" s="510">
        <f t="shared" si="4"/>
        <v>0</v>
      </c>
      <c r="BC14" s="510">
        <f t="shared" si="4"/>
        <v>0</v>
      </c>
      <c r="BD14" s="510">
        <f t="shared" si="4"/>
        <v>0</v>
      </c>
      <c r="BE14" s="510">
        <f t="shared" si="5"/>
        <v>0</v>
      </c>
      <c r="BF14" s="510">
        <f t="shared" si="5"/>
        <v>0</v>
      </c>
      <c r="BG14" s="510">
        <f t="shared" si="5"/>
        <v>0</v>
      </c>
      <c r="BH14" s="510">
        <f t="shared" si="5"/>
        <v>0</v>
      </c>
      <c r="BI14" s="510">
        <f t="shared" si="5"/>
        <v>0</v>
      </c>
      <c r="BJ14" s="510">
        <f t="shared" si="5"/>
        <v>0</v>
      </c>
      <c r="BK14" s="510">
        <f t="shared" si="5"/>
        <v>0</v>
      </c>
      <c r="BL14" s="510">
        <f t="shared" si="5"/>
        <v>0</v>
      </c>
      <c r="BM14" s="510">
        <f t="shared" si="5"/>
        <v>0</v>
      </c>
      <c r="BN14" s="510">
        <f t="shared" si="5"/>
        <v>0</v>
      </c>
      <c r="BO14" s="510">
        <f t="shared" si="6"/>
        <v>0</v>
      </c>
      <c r="BP14" s="510">
        <f t="shared" si="6"/>
        <v>0</v>
      </c>
      <c r="BQ14" s="510">
        <f t="shared" si="6"/>
        <v>0</v>
      </c>
      <c r="BR14" s="510">
        <f t="shared" si="6"/>
        <v>0</v>
      </c>
      <c r="BS14" s="510">
        <f t="shared" si="6"/>
        <v>0</v>
      </c>
      <c r="BT14" s="510">
        <f t="shared" si="6"/>
        <v>0</v>
      </c>
      <c r="BU14" s="510">
        <f t="shared" si="6"/>
        <v>0</v>
      </c>
      <c r="BV14" s="510">
        <f t="shared" si="6"/>
        <v>0</v>
      </c>
      <c r="BW14" s="510">
        <f t="shared" si="6"/>
        <v>0</v>
      </c>
      <c r="BX14" s="510">
        <f t="shared" si="6"/>
        <v>0</v>
      </c>
      <c r="BY14" s="510">
        <f t="shared" si="7"/>
        <v>0</v>
      </c>
      <c r="BZ14" s="510">
        <f t="shared" si="7"/>
        <v>0</v>
      </c>
      <c r="CA14" s="510">
        <f t="shared" si="7"/>
        <v>0</v>
      </c>
      <c r="CB14" s="510">
        <f t="shared" si="7"/>
        <v>0</v>
      </c>
      <c r="CC14" s="510">
        <f t="shared" si="7"/>
        <v>0</v>
      </c>
      <c r="CD14" s="510">
        <f t="shared" si="7"/>
        <v>0</v>
      </c>
      <c r="CE14" s="510">
        <f t="shared" si="7"/>
        <v>0</v>
      </c>
      <c r="CF14" s="510">
        <f t="shared" si="7"/>
        <v>0</v>
      </c>
      <c r="CG14" s="510">
        <f t="shared" si="7"/>
        <v>0</v>
      </c>
      <c r="CH14" s="510">
        <f t="shared" si="7"/>
        <v>0</v>
      </c>
      <c r="CI14" s="510">
        <f t="shared" si="8"/>
        <v>0</v>
      </c>
      <c r="CJ14" s="510">
        <f t="shared" si="8"/>
        <v>0</v>
      </c>
      <c r="CK14" s="510">
        <f t="shared" si="8"/>
        <v>0</v>
      </c>
      <c r="CL14" s="510">
        <f t="shared" si="8"/>
        <v>0</v>
      </c>
      <c r="CM14" s="510">
        <f t="shared" si="8"/>
        <v>0</v>
      </c>
      <c r="CN14" s="510">
        <f t="shared" si="8"/>
        <v>0</v>
      </c>
      <c r="CO14" s="510">
        <f t="shared" si="8"/>
        <v>0</v>
      </c>
      <c r="CP14" s="510">
        <f t="shared" si="8"/>
        <v>0</v>
      </c>
      <c r="CQ14" s="510">
        <f t="shared" si="8"/>
        <v>0</v>
      </c>
      <c r="CR14" s="510">
        <f t="shared" si="8"/>
        <v>0</v>
      </c>
      <c r="CS14" s="510">
        <f t="shared" si="9"/>
        <v>0</v>
      </c>
      <c r="CT14" s="510">
        <f t="shared" si="9"/>
        <v>0</v>
      </c>
      <c r="CU14" s="510">
        <f t="shared" si="9"/>
        <v>0</v>
      </c>
      <c r="CV14" s="510">
        <f t="shared" si="9"/>
        <v>0</v>
      </c>
      <c r="CW14" s="510">
        <f t="shared" si="9"/>
        <v>0</v>
      </c>
      <c r="CX14" s="510">
        <f t="shared" si="9"/>
        <v>0</v>
      </c>
      <c r="CY14" s="510">
        <f t="shared" si="9"/>
        <v>0</v>
      </c>
      <c r="CZ14" s="510">
        <f t="shared" si="9"/>
        <v>0</v>
      </c>
      <c r="DA14" s="510">
        <f t="shared" si="9"/>
        <v>0</v>
      </c>
      <c r="DB14" s="510">
        <f t="shared" si="9"/>
        <v>0</v>
      </c>
      <c r="DC14" s="510">
        <f t="shared" si="10"/>
        <v>0</v>
      </c>
      <c r="DD14" s="510">
        <f t="shared" si="10"/>
        <v>0</v>
      </c>
      <c r="DE14" s="510">
        <f t="shared" si="10"/>
        <v>0</v>
      </c>
      <c r="DF14" s="510">
        <f t="shared" si="10"/>
        <v>0</v>
      </c>
      <c r="DG14" s="510">
        <f t="shared" si="10"/>
        <v>0</v>
      </c>
      <c r="DH14" s="510">
        <f t="shared" si="10"/>
        <v>0</v>
      </c>
      <c r="DI14" s="510">
        <f t="shared" si="10"/>
        <v>0</v>
      </c>
      <c r="DJ14" s="510">
        <f t="shared" si="10"/>
        <v>0</v>
      </c>
      <c r="DK14" s="510">
        <f t="shared" si="10"/>
        <v>0</v>
      </c>
      <c r="DL14" s="510">
        <f t="shared" si="10"/>
        <v>0</v>
      </c>
      <c r="DM14" s="510">
        <f t="shared" si="11"/>
        <v>0</v>
      </c>
      <c r="DN14" s="510">
        <f t="shared" si="11"/>
        <v>0</v>
      </c>
      <c r="DO14" s="510">
        <f t="shared" si="11"/>
        <v>0</v>
      </c>
      <c r="DP14" s="510">
        <f t="shared" si="11"/>
        <v>0</v>
      </c>
      <c r="DQ14" s="510">
        <f t="shared" si="11"/>
        <v>0</v>
      </c>
      <c r="DR14" s="510">
        <f t="shared" si="11"/>
        <v>0</v>
      </c>
      <c r="DS14" s="510">
        <f t="shared" si="11"/>
        <v>0</v>
      </c>
      <c r="DT14" s="510">
        <f t="shared" si="11"/>
        <v>0</v>
      </c>
      <c r="DU14" s="510">
        <f t="shared" si="11"/>
        <v>0</v>
      </c>
      <c r="DV14" s="510">
        <f t="shared" si="11"/>
        <v>0</v>
      </c>
      <c r="DW14" s="510">
        <f t="shared" si="11"/>
        <v>0</v>
      </c>
    </row>
    <row r="15" spans="1:127">
      <c r="A15" s="605" t="str">
        <f>Inputs!A383</f>
        <v>Construction Management</v>
      </c>
      <c r="B15" s="989">
        <f>Inputs!$D383</f>
        <v>20</v>
      </c>
      <c r="C15" s="976">
        <f>Inputs!$G383</f>
        <v>0</v>
      </c>
      <c r="D15" s="510">
        <f t="shared" si="12"/>
        <v>0</v>
      </c>
      <c r="E15" s="513"/>
      <c r="F15" s="481"/>
      <c r="G15" s="510">
        <f t="shared" si="0"/>
        <v>0</v>
      </c>
      <c r="H15" s="510">
        <f t="shared" si="0"/>
        <v>0</v>
      </c>
      <c r="I15" s="510">
        <f t="shared" si="0"/>
        <v>0</v>
      </c>
      <c r="J15" s="510">
        <f t="shared" si="0"/>
        <v>0</v>
      </c>
      <c r="K15" s="510">
        <f t="shared" si="0"/>
        <v>0</v>
      </c>
      <c r="L15" s="510">
        <f t="shared" si="0"/>
        <v>0</v>
      </c>
      <c r="M15" s="510">
        <f t="shared" si="0"/>
        <v>0</v>
      </c>
      <c r="N15" s="510">
        <f t="shared" si="0"/>
        <v>0</v>
      </c>
      <c r="O15" s="510">
        <f t="shared" si="0"/>
        <v>0</v>
      </c>
      <c r="P15" s="510">
        <f t="shared" si="0"/>
        <v>0</v>
      </c>
      <c r="Q15" s="510">
        <f t="shared" si="1"/>
        <v>0</v>
      </c>
      <c r="R15" s="510">
        <f t="shared" si="1"/>
        <v>0</v>
      </c>
      <c r="S15" s="510">
        <f t="shared" si="1"/>
        <v>0</v>
      </c>
      <c r="T15" s="510">
        <f t="shared" si="1"/>
        <v>0</v>
      </c>
      <c r="U15" s="510">
        <f t="shared" si="1"/>
        <v>0</v>
      </c>
      <c r="V15" s="510">
        <f t="shared" si="1"/>
        <v>0</v>
      </c>
      <c r="W15" s="510">
        <f t="shared" si="1"/>
        <v>0</v>
      </c>
      <c r="X15" s="510">
        <f t="shared" si="1"/>
        <v>0</v>
      </c>
      <c r="Y15" s="510">
        <f t="shared" si="1"/>
        <v>0</v>
      </c>
      <c r="Z15" s="510">
        <f t="shared" si="1"/>
        <v>0</v>
      </c>
      <c r="AA15" s="510">
        <f t="shared" si="2"/>
        <v>0</v>
      </c>
      <c r="AB15" s="510">
        <f t="shared" si="2"/>
        <v>0</v>
      </c>
      <c r="AC15" s="510">
        <f t="shared" si="2"/>
        <v>0</v>
      </c>
      <c r="AD15" s="510">
        <f t="shared" si="2"/>
        <v>0</v>
      </c>
      <c r="AE15" s="510">
        <f t="shared" si="2"/>
        <v>0</v>
      </c>
      <c r="AF15" s="510">
        <f t="shared" si="2"/>
        <v>0</v>
      </c>
      <c r="AG15" s="510">
        <f t="shared" si="2"/>
        <v>0</v>
      </c>
      <c r="AH15" s="510">
        <f t="shared" si="2"/>
        <v>0</v>
      </c>
      <c r="AI15" s="510">
        <f t="shared" si="2"/>
        <v>0</v>
      </c>
      <c r="AJ15" s="510">
        <f t="shared" si="2"/>
        <v>0</v>
      </c>
      <c r="AK15" s="510">
        <f t="shared" si="3"/>
        <v>0</v>
      </c>
      <c r="AL15" s="510">
        <f t="shared" si="3"/>
        <v>0</v>
      </c>
      <c r="AM15" s="510">
        <f t="shared" si="3"/>
        <v>0</v>
      </c>
      <c r="AN15" s="510">
        <f t="shared" si="3"/>
        <v>0</v>
      </c>
      <c r="AO15" s="510">
        <f t="shared" si="3"/>
        <v>0</v>
      </c>
      <c r="AP15" s="510">
        <f t="shared" si="3"/>
        <v>0</v>
      </c>
      <c r="AQ15" s="510">
        <f t="shared" si="3"/>
        <v>0</v>
      </c>
      <c r="AR15" s="510">
        <f t="shared" si="3"/>
        <v>0</v>
      </c>
      <c r="AS15" s="510">
        <f t="shared" si="3"/>
        <v>0</v>
      </c>
      <c r="AT15" s="510">
        <f t="shared" si="3"/>
        <v>0</v>
      </c>
      <c r="AU15" s="510">
        <f t="shared" si="4"/>
        <v>0</v>
      </c>
      <c r="AV15" s="510">
        <f t="shared" si="4"/>
        <v>0</v>
      </c>
      <c r="AW15" s="510">
        <f t="shared" si="4"/>
        <v>0</v>
      </c>
      <c r="AX15" s="510">
        <f t="shared" si="4"/>
        <v>0</v>
      </c>
      <c r="AY15" s="510">
        <f t="shared" si="4"/>
        <v>0</v>
      </c>
      <c r="AZ15" s="510">
        <f t="shared" si="4"/>
        <v>0</v>
      </c>
      <c r="BA15" s="510">
        <f t="shared" si="4"/>
        <v>0</v>
      </c>
      <c r="BB15" s="510">
        <f t="shared" si="4"/>
        <v>0</v>
      </c>
      <c r="BC15" s="510">
        <f t="shared" si="4"/>
        <v>0</v>
      </c>
      <c r="BD15" s="510">
        <f t="shared" si="4"/>
        <v>0</v>
      </c>
      <c r="BE15" s="510">
        <f t="shared" si="5"/>
        <v>0</v>
      </c>
      <c r="BF15" s="510">
        <f t="shared" si="5"/>
        <v>0</v>
      </c>
      <c r="BG15" s="510">
        <f t="shared" si="5"/>
        <v>0</v>
      </c>
      <c r="BH15" s="510">
        <f t="shared" si="5"/>
        <v>0</v>
      </c>
      <c r="BI15" s="510">
        <f t="shared" si="5"/>
        <v>0</v>
      </c>
      <c r="BJ15" s="510">
        <f t="shared" si="5"/>
        <v>0</v>
      </c>
      <c r="BK15" s="510">
        <f t="shared" si="5"/>
        <v>0</v>
      </c>
      <c r="BL15" s="510">
        <f t="shared" si="5"/>
        <v>0</v>
      </c>
      <c r="BM15" s="510">
        <f t="shared" si="5"/>
        <v>0</v>
      </c>
      <c r="BN15" s="510">
        <f t="shared" si="5"/>
        <v>0</v>
      </c>
      <c r="BO15" s="510">
        <f t="shared" si="6"/>
        <v>0</v>
      </c>
      <c r="BP15" s="510">
        <f t="shared" si="6"/>
        <v>0</v>
      </c>
      <c r="BQ15" s="510">
        <f t="shared" si="6"/>
        <v>0</v>
      </c>
      <c r="BR15" s="510">
        <f t="shared" si="6"/>
        <v>0</v>
      </c>
      <c r="BS15" s="510">
        <f t="shared" si="6"/>
        <v>0</v>
      </c>
      <c r="BT15" s="510">
        <f t="shared" si="6"/>
        <v>0</v>
      </c>
      <c r="BU15" s="510">
        <f t="shared" si="6"/>
        <v>0</v>
      </c>
      <c r="BV15" s="510">
        <f t="shared" si="6"/>
        <v>0</v>
      </c>
      <c r="BW15" s="510">
        <f t="shared" si="6"/>
        <v>0</v>
      </c>
      <c r="BX15" s="510">
        <f t="shared" si="6"/>
        <v>0</v>
      </c>
      <c r="BY15" s="510">
        <f t="shared" si="7"/>
        <v>0</v>
      </c>
      <c r="BZ15" s="510">
        <f t="shared" si="7"/>
        <v>0</v>
      </c>
      <c r="CA15" s="510">
        <f t="shared" si="7"/>
        <v>0</v>
      </c>
      <c r="CB15" s="510">
        <f t="shared" si="7"/>
        <v>0</v>
      </c>
      <c r="CC15" s="510">
        <f t="shared" si="7"/>
        <v>0</v>
      </c>
      <c r="CD15" s="510">
        <f t="shared" si="7"/>
        <v>0</v>
      </c>
      <c r="CE15" s="510">
        <f t="shared" si="7"/>
        <v>0</v>
      </c>
      <c r="CF15" s="510">
        <f t="shared" si="7"/>
        <v>0</v>
      </c>
      <c r="CG15" s="510">
        <f t="shared" si="7"/>
        <v>0</v>
      </c>
      <c r="CH15" s="510">
        <f t="shared" si="7"/>
        <v>0</v>
      </c>
      <c r="CI15" s="510">
        <f t="shared" si="8"/>
        <v>0</v>
      </c>
      <c r="CJ15" s="510">
        <f t="shared" si="8"/>
        <v>0</v>
      </c>
      <c r="CK15" s="510">
        <f t="shared" si="8"/>
        <v>0</v>
      </c>
      <c r="CL15" s="510">
        <f t="shared" si="8"/>
        <v>0</v>
      </c>
      <c r="CM15" s="510">
        <f t="shared" si="8"/>
        <v>0</v>
      </c>
      <c r="CN15" s="510">
        <f t="shared" si="8"/>
        <v>0</v>
      </c>
      <c r="CO15" s="510">
        <f t="shared" si="8"/>
        <v>0</v>
      </c>
      <c r="CP15" s="510">
        <f t="shared" si="8"/>
        <v>0</v>
      </c>
      <c r="CQ15" s="510">
        <f t="shared" si="8"/>
        <v>0</v>
      </c>
      <c r="CR15" s="510">
        <f t="shared" si="8"/>
        <v>0</v>
      </c>
      <c r="CS15" s="510">
        <f t="shared" si="9"/>
        <v>0</v>
      </c>
      <c r="CT15" s="510">
        <f t="shared" si="9"/>
        <v>0</v>
      </c>
      <c r="CU15" s="510">
        <f t="shared" si="9"/>
        <v>0</v>
      </c>
      <c r="CV15" s="510">
        <f t="shared" si="9"/>
        <v>0</v>
      </c>
      <c r="CW15" s="510">
        <f t="shared" si="9"/>
        <v>0</v>
      </c>
      <c r="CX15" s="510">
        <f t="shared" si="9"/>
        <v>0</v>
      </c>
      <c r="CY15" s="510">
        <f t="shared" si="9"/>
        <v>0</v>
      </c>
      <c r="CZ15" s="510">
        <f t="shared" si="9"/>
        <v>0</v>
      </c>
      <c r="DA15" s="510">
        <f t="shared" si="9"/>
        <v>0</v>
      </c>
      <c r="DB15" s="510">
        <f t="shared" si="9"/>
        <v>0</v>
      </c>
      <c r="DC15" s="510">
        <f t="shared" si="10"/>
        <v>0</v>
      </c>
      <c r="DD15" s="510">
        <f t="shared" si="10"/>
        <v>0</v>
      </c>
      <c r="DE15" s="510">
        <f t="shared" si="10"/>
        <v>0</v>
      </c>
      <c r="DF15" s="510">
        <f t="shared" si="10"/>
        <v>0</v>
      </c>
      <c r="DG15" s="510">
        <f t="shared" si="10"/>
        <v>0</v>
      </c>
      <c r="DH15" s="510">
        <f t="shared" si="10"/>
        <v>0</v>
      </c>
      <c r="DI15" s="510">
        <f t="shared" si="10"/>
        <v>0</v>
      </c>
      <c r="DJ15" s="510">
        <f t="shared" si="10"/>
        <v>0</v>
      </c>
      <c r="DK15" s="510">
        <f t="shared" si="10"/>
        <v>0</v>
      </c>
      <c r="DL15" s="510">
        <f t="shared" si="10"/>
        <v>0</v>
      </c>
      <c r="DM15" s="510">
        <f t="shared" si="11"/>
        <v>0</v>
      </c>
      <c r="DN15" s="510">
        <f t="shared" si="11"/>
        <v>0</v>
      </c>
      <c r="DO15" s="510">
        <f t="shared" si="11"/>
        <v>0</v>
      </c>
      <c r="DP15" s="510">
        <f t="shared" si="11"/>
        <v>0</v>
      </c>
      <c r="DQ15" s="510">
        <f t="shared" si="11"/>
        <v>0</v>
      </c>
      <c r="DR15" s="510">
        <f t="shared" si="11"/>
        <v>0</v>
      </c>
      <c r="DS15" s="510">
        <f t="shared" si="11"/>
        <v>0</v>
      </c>
      <c r="DT15" s="510">
        <f t="shared" si="11"/>
        <v>0</v>
      </c>
      <c r="DU15" s="510">
        <f t="shared" si="11"/>
        <v>0</v>
      </c>
      <c r="DV15" s="510">
        <f t="shared" si="11"/>
        <v>0</v>
      </c>
      <c r="DW15" s="510">
        <f t="shared" si="11"/>
        <v>0</v>
      </c>
    </row>
    <row r="16" spans="1:127">
      <c r="A16" s="605" t="str">
        <f>Inputs!A384</f>
        <v>Commissioning</v>
      </c>
      <c r="B16" s="989">
        <f>Inputs!$D384</f>
        <v>20</v>
      </c>
      <c r="C16" s="976">
        <f>Inputs!$G384</f>
        <v>17</v>
      </c>
      <c r="D16" s="510">
        <f t="shared" si="12"/>
        <v>17.000000000000004</v>
      </c>
      <c r="E16" s="513"/>
      <c r="F16" s="481"/>
      <c r="G16" s="510">
        <f t="shared" si="0"/>
        <v>0</v>
      </c>
      <c r="H16" s="510">
        <f t="shared" si="0"/>
        <v>0.42849315068493155</v>
      </c>
      <c r="I16" s="510">
        <f t="shared" si="0"/>
        <v>0.42150684931506849</v>
      </c>
      <c r="J16" s="510">
        <f t="shared" si="0"/>
        <v>0.4273224043715847</v>
      </c>
      <c r="K16" s="510">
        <f t="shared" si="0"/>
        <v>0.42267759562841528</v>
      </c>
      <c r="L16" s="510">
        <f t="shared" si="0"/>
        <v>0.42849315068493155</v>
      </c>
      <c r="M16" s="510">
        <f t="shared" si="0"/>
        <v>0.42150684931506849</v>
      </c>
      <c r="N16" s="510">
        <f t="shared" si="0"/>
        <v>0.42849315068493155</v>
      </c>
      <c r="O16" s="510">
        <f t="shared" si="0"/>
        <v>0.42150684931506849</v>
      </c>
      <c r="P16" s="510">
        <f t="shared" si="0"/>
        <v>0.42849315068493155</v>
      </c>
      <c r="Q16" s="510">
        <f t="shared" si="1"/>
        <v>0.42150684931506849</v>
      </c>
      <c r="R16" s="510">
        <f t="shared" si="1"/>
        <v>0.4273224043715847</v>
      </c>
      <c r="S16" s="510">
        <f t="shared" si="1"/>
        <v>0.42267759562841528</v>
      </c>
      <c r="T16" s="510">
        <f t="shared" si="1"/>
        <v>0.42849315068493155</v>
      </c>
      <c r="U16" s="510">
        <f t="shared" si="1"/>
        <v>0.42150684931506849</v>
      </c>
      <c r="V16" s="510">
        <f t="shared" si="1"/>
        <v>0.42849315068493155</v>
      </c>
      <c r="W16" s="510">
        <f t="shared" si="1"/>
        <v>0.42150684931506849</v>
      </c>
      <c r="X16" s="510">
        <f t="shared" si="1"/>
        <v>0.42849315068493155</v>
      </c>
      <c r="Y16" s="510">
        <f t="shared" si="1"/>
        <v>0.42150684931506849</v>
      </c>
      <c r="Z16" s="510">
        <f t="shared" si="1"/>
        <v>0.4273224043715847</v>
      </c>
      <c r="AA16" s="510">
        <f t="shared" si="2"/>
        <v>0.42267759562841528</v>
      </c>
      <c r="AB16" s="510">
        <f t="shared" si="2"/>
        <v>0.42849315068493155</v>
      </c>
      <c r="AC16" s="510">
        <f t="shared" si="2"/>
        <v>0.42150684931506849</v>
      </c>
      <c r="AD16" s="510">
        <f t="shared" si="2"/>
        <v>0.42849315068493155</v>
      </c>
      <c r="AE16" s="510">
        <f t="shared" si="2"/>
        <v>0.42150684931506849</v>
      </c>
      <c r="AF16" s="510">
        <f t="shared" si="2"/>
        <v>0.42849315068493155</v>
      </c>
      <c r="AG16" s="510">
        <f t="shared" si="2"/>
        <v>0.42150684931506849</v>
      </c>
      <c r="AH16" s="510">
        <f t="shared" si="2"/>
        <v>0.4273224043715847</v>
      </c>
      <c r="AI16" s="510">
        <f t="shared" si="2"/>
        <v>0.42267759562841528</v>
      </c>
      <c r="AJ16" s="510">
        <f t="shared" si="2"/>
        <v>0.42849315068493155</v>
      </c>
      <c r="AK16" s="510">
        <f t="shared" si="3"/>
        <v>0.42150684931506849</v>
      </c>
      <c r="AL16" s="510">
        <f t="shared" si="3"/>
        <v>0.42849315068493155</v>
      </c>
      <c r="AM16" s="510">
        <f t="shared" si="3"/>
        <v>0.42150684931506849</v>
      </c>
      <c r="AN16" s="510">
        <f t="shared" si="3"/>
        <v>0.42849315068493155</v>
      </c>
      <c r="AO16" s="510">
        <f t="shared" si="3"/>
        <v>0.42150684931506849</v>
      </c>
      <c r="AP16" s="510">
        <f t="shared" si="3"/>
        <v>0.4273224043715847</v>
      </c>
      <c r="AQ16" s="510">
        <f t="shared" si="3"/>
        <v>0.42267759562841528</v>
      </c>
      <c r="AR16" s="510">
        <f t="shared" si="3"/>
        <v>0.42849315068493155</v>
      </c>
      <c r="AS16" s="510">
        <f t="shared" si="3"/>
        <v>0.42150684931506849</v>
      </c>
      <c r="AT16" s="510">
        <f t="shared" si="3"/>
        <v>0.42849315068493155</v>
      </c>
      <c r="AU16" s="510">
        <f t="shared" si="4"/>
        <v>0.42150684931506849</v>
      </c>
      <c r="AV16" s="510">
        <f t="shared" si="4"/>
        <v>0</v>
      </c>
      <c r="AW16" s="510">
        <f t="shared" si="4"/>
        <v>0</v>
      </c>
      <c r="AX16" s="510">
        <f t="shared" si="4"/>
        <v>0</v>
      </c>
      <c r="AY16" s="510">
        <f t="shared" si="4"/>
        <v>0</v>
      </c>
      <c r="AZ16" s="510">
        <f t="shared" si="4"/>
        <v>0</v>
      </c>
      <c r="BA16" s="510">
        <f t="shared" si="4"/>
        <v>0</v>
      </c>
      <c r="BB16" s="510">
        <f t="shared" si="4"/>
        <v>0</v>
      </c>
      <c r="BC16" s="510">
        <f t="shared" si="4"/>
        <v>0</v>
      </c>
      <c r="BD16" s="510">
        <f t="shared" si="4"/>
        <v>0</v>
      </c>
      <c r="BE16" s="510">
        <f t="shared" si="5"/>
        <v>0</v>
      </c>
      <c r="BF16" s="510">
        <f t="shared" si="5"/>
        <v>0</v>
      </c>
      <c r="BG16" s="510">
        <f t="shared" si="5"/>
        <v>0</v>
      </c>
      <c r="BH16" s="510">
        <f t="shared" si="5"/>
        <v>0</v>
      </c>
      <c r="BI16" s="510">
        <f t="shared" si="5"/>
        <v>0</v>
      </c>
      <c r="BJ16" s="510">
        <f t="shared" si="5"/>
        <v>0</v>
      </c>
      <c r="BK16" s="510">
        <f t="shared" si="5"/>
        <v>0</v>
      </c>
      <c r="BL16" s="510">
        <f t="shared" si="5"/>
        <v>0</v>
      </c>
      <c r="BM16" s="510">
        <f t="shared" si="5"/>
        <v>0</v>
      </c>
      <c r="BN16" s="510">
        <f t="shared" si="5"/>
        <v>0</v>
      </c>
      <c r="BO16" s="510">
        <f t="shared" si="6"/>
        <v>0</v>
      </c>
      <c r="BP16" s="510">
        <f t="shared" si="6"/>
        <v>0</v>
      </c>
      <c r="BQ16" s="510">
        <f t="shared" si="6"/>
        <v>0</v>
      </c>
      <c r="BR16" s="510">
        <f t="shared" si="6"/>
        <v>0</v>
      </c>
      <c r="BS16" s="510">
        <f t="shared" si="6"/>
        <v>0</v>
      </c>
      <c r="BT16" s="510">
        <f t="shared" si="6"/>
        <v>0</v>
      </c>
      <c r="BU16" s="510">
        <f t="shared" si="6"/>
        <v>0</v>
      </c>
      <c r="BV16" s="510">
        <f t="shared" si="6"/>
        <v>0</v>
      </c>
      <c r="BW16" s="510">
        <f t="shared" si="6"/>
        <v>0</v>
      </c>
      <c r="BX16" s="510">
        <f t="shared" si="6"/>
        <v>0</v>
      </c>
      <c r="BY16" s="510">
        <f t="shared" si="7"/>
        <v>0</v>
      </c>
      <c r="BZ16" s="510">
        <f t="shared" si="7"/>
        <v>0</v>
      </c>
      <c r="CA16" s="510">
        <f t="shared" si="7"/>
        <v>0</v>
      </c>
      <c r="CB16" s="510">
        <f t="shared" si="7"/>
        <v>0</v>
      </c>
      <c r="CC16" s="510">
        <f t="shared" si="7"/>
        <v>0</v>
      </c>
      <c r="CD16" s="510">
        <f t="shared" si="7"/>
        <v>0</v>
      </c>
      <c r="CE16" s="510">
        <f t="shared" si="7"/>
        <v>0</v>
      </c>
      <c r="CF16" s="510">
        <f t="shared" si="7"/>
        <v>0</v>
      </c>
      <c r="CG16" s="510">
        <f t="shared" si="7"/>
        <v>0</v>
      </c>
      <c r="CH16" s="510">
        <f t="shared" si="7"/>
        <v>0</v>
      </c>
      <c r="CI16" s="510">
        <f t="shared" si="8"/>
        <v>0</v>
      </c>
      <c r="CJ16" s="510">
        <f t="shared" si="8"/>
        <v>0</v>
      </c>
      <c r="CK16" s="510">
        <f t="shared" si="8"/>
        <v>0</v>
      </c>
      <c r="CL16" s="510">
        <f t="shared" si="8"/>
        <v>0</v>
      </c>
      <c r="CM16" s="510">
        <f t="shared" si="8"/>
        <v>0</v>
      </c>
      <c r="CN16" s="510">
        <f t="shared" si="8"/>
        <v>0</v>
      </c>
      <c r="CO16" s="510">
        <f t="shared" si="8"/>
        <v>0</v>
      </c>
      <c r="CP16" s="510">
        <f t="shared" si="8"/>
        <v>0</v>
      </c>
      <c r="CQ16" s="510">
        <f t="shared" si="8"/>
        <v>0</v>
      </c>
      <c r="CR16" s="510">
        <f t="shared" si="8"/>
        <v>0</v>
      </c>
      <c r="CS16" s="510">
        <f t="shared" si="9"/>
        <v>0</v>
      </c>
      <c r="CT16" s="510">
        <f t="shared" si="9"/>
        <v>0</v>
      </c>
      <c r="CU16" s="510">
        <f t="shared" si="9"/>
        <v>0</v>
      </c>
      <c r="CV16" s="510">
        <f t="shared" si="9"/>
        <v>0</v>
      </c>
      <c r="CW16" s="510">
        <f t="shared" si="9"/>
        <v>0</v>
      </c>
      <c r="CX16" s="510">
        <f t="shared" si="9"/>
        <v>0</v>
      </c>
      <c r="CY16" s="510">
        <f t="shared" si="9"/>
        <v>0</v>
      </c>
      <c r="CZ16" s="510">
        <f t="shared" si="9"/>
        <v>0</v>
      </c>
      <c r="DA16" s="510">
        <f t="shared" si="9"/>
        <v>0</v>
      </c>
      <c r="DB16" s="510">
        <f t="shared" si="9"/>
        <v>0</v>
      </c>
      <c r="DC16" s="510">
        <f t="shared" si="10"/>
        <v>0</v>
      </c>
      <c r="DD16" s="510">
        <f t="shared" si="10"/>
        <v>0</v>
      </c>
      <c r="DE16" s="510">
        <f t="shared" si="10"/>
        <v>0</v>
      </c>
      <c r="DF16" s="510">
        <f t="shared" si="10"/>
        <v>0</v>
      </c>
      <c r="DG16" s="510">
        <f t="shared" si="10"/>
        <v>0</v>
      </c>
      <c r="DH16" s="510">
        <f t="shared" si="10"/>
        <v>0</v>
      </c>
      <c r="DI16" s="510">
        <f t="shared" si="10"/>
        <v>0</v>
      </c>
      <c r="DJ16" s="510">
        <f t="shared" si="10"/>
        <v>0</v>
      </c>
      <c r="DK16" s="510">
        <f t="shared" si="10"/>
        <v>0</v>
      </c>
      <c r="DL16" s="510">
        <f t="shared" si="10"/>
        <v>0</v>
      </c>
      <c r="DM16" s="510">
        <f t="shared" si="11"/>
        <v>0</v>
      </c>
      <c r="DN16" s="510">
        <f t="shared" si="11"/>
        <v>0</v>
      </c>
      <c r="DO16" s="510">
        <f t="shared" si="11"/>
        <v>0</v>
      </c>
      <c r="DP16" s="510">
        <f t="shared" si="11"/>
        <v>0</v>
      </c>
      <c r="DQ16" s="510">
        <f t="shared" si="11"/>
        <v>0</v>
      </c>
      <c r="DR16" s="510">
        <f t="shared" si="11"/>
        <v>0</v>
      </c>
      <c r="DS16" s="510">
        <f t="shared" si="11"/>
        <v>0</v>
      </c>
      <c r="DT16" s="510">
        <f t="shared" si="11"/>
        <v>0</v>
      </c>
      <c r="DU16" s="510">
        <f t="shared" si="11"/>
        <v>0</v>
      </c>
      <c r="DV16" s="510">
        <f t="shared" si="11"/>
        <v>0</v>
      </c>
      <c r="DW16" s="510">
        <f t="shared" si="11"/>
        <v>0</v>
      </c>
    </row>
    <row r="17" spans="1:127">
      <c r="A17" s="605" t="str">
        <f>Inputs!A385</f>
        <v>Audit&amp;Accounting&amp;Legal Fees</v>
      </c>
      <c r="B17" s="989">
        <f>Inputs!$D385</f>
        <v>20</v>
      </c>
      <c r="C17" s="976">
        <f>Inputs!$G385</f>
        <v>70</v>
      </c>
      <c r="D17" s="510">
        <f t="shared" si="12"/>
        <v>70</v>
      </c>
      <c r="E17" s="513"/>
      <c r="F17" s="481"/>
      <c r="G17" s="510">
        <f t="shared" ref="G17:P28" si="13">AND(G$3&gt;0,G$3&lt;=$B17)*($C17/$B17)*G$5</f>
        <v>0</v>
      </c>
      <c r="H17" s="510">
        <f t="shared" si="13"/>
        <v>1.7643835616438357</v>
      </c>
      <c r="I17" s="510">
        <f t="shared" si="13"/>
        <v>1.7356164383561645</v>
      </c>
      <c r="J17" s="510">
        <f t="shared" si="13"/>
        <v>1.7595628415300546</v>
      </c>
      <c r="K17" s="510">
        <f t="shared" si="13"/>
        <v>1.7404371584699454</v>
      </c>
      <c r="L17" s="510">
        <f t="shared" si="13"/>
        <v>1.7643835616438357</v>
      </c>
      <c r="M17" s="510">
        <f t="shared" si="13"/>
        <v>1.7356164383561645</v>
      </c>
      <c r="N17" s="510">
        <f t="shared" si="13"/>
        <v>1.7643835616438357</v>
      </c>
      <c r="O17" s="510">
        <f t="shared" si="13"/>
        <v>1.7356164383561645</v>
      </c>
      <c r="P17" s="510">
        <f t="shared" si="13"/>
        <v>1.7643835616438357</v>
      </c>
      <c r="Q17" s="510">
        <f t="shared" ref="Q17:Z28" si="14">AND(Q$3&gt;0,Q$3&lt;=$B17)*($C17/$B17)*Q$5</f>
        <v>1.7356164383561645</v>
      </c>
      <c r="R17" s="510">
        <f t="shared" si="14"/>
        <v>1.7595628415300546</v>
      </c>
      <c r="S17" s="510">
        <f t="shared" si="14"/>
        <v>1.7404371584699454</v>
      </c>
      <c r="T17" s="510">
        <f t="shared" si="14"/>
        <v>1.7643835616438357</v>
      </c>
      <c r="U17" s="510">
        <f t="shared" si="14"/>
        <v>1.7356164383561645</v>
      </c>
      <c r="V17" s="510">
        <f t="shared" si="14"/>
        <v>1.7643835616438357</v>
      </c>
      <c r="W17" s="510">
        <f t="shared" si="14"/>
        <v>1.7356164383561645</v>
      </c>
      <c r="X17" s="510">
        <f t="shared" si="14"/>
        <v>1.7643835616438357</v>
      </c>
      <c r="Y17" s="510">
        <f t="shared" si="14"/>
        <v>1.7356164383561645</v>
      </c>
      <c r="Z17" s="510">
        <f t="shared" si="14"/>
        <v>1.7595628415300546</v>
      </c>
      <c r="AA17" s="510">
        <f t="shared" ref="AA17:AJ28" si="15">AND(AA$3&gt;0,AA$3&lt;=$B17)*($C17/$B17)*AA$5</f>
        <v>1.7404371584699454</v>
      </c>
      <c r="AB17" s="510">
        <f t="shared" si="15"/>
        <v>1.7643835616438357</v>
      </c>
      <c r="AC17" s="510">
        <f t="shared" si="15"/>
        <v>1.7356164383561645</v>
      </c>
      <c r="AD17" s="510">
        <f t="shared" si="15"/>
        <v>1.7643835616438357</v>
      </c>
      <c r="AE17" s="510">
        <f t="shared" si="15"/>
        <v>1.7356164383561645</v>
      </c>
      <c r="AF17" s="510">
        <f t="shared" si="15"/>
        <v>1.7643835616438357</v>
      </c>
      <c r="AG17" s="510">
        <f t="shared" si="15"/>
        <v>1.7356164383561645</v>
      </c>
      <c r="AH17" s="510">
        <f t="shared" si="15"/>
        <v>1.7595628415300546</v>
      </c>
      <c r="AI17" s="510">
        <f t="shared" si="15"/>
        <v>1.7404371584699454</v>
      </c>
      <c r="AJ17" s="510">
        <f t="shared" si="15"/>
        <v>1.7643835616438357</v>
      </c>
      <c r="AK17" s="510">
        <f t="shared" ref="AK17:AT28" si="16">AND(AK$3&gt;0,AK$3&lt;=$B17)*($C17/$B17)*AK$5</f>
        <v>1.7356164383561645</v>
      </c>
      <c r="AL17" s="510">
        <f t="shared" si="16"/>
        <v>1.7643835616438357</v>
      </c>
      <c r="AM17" s="510">
        <f t="shared" si="16"/>
        <v>1.7356164383561645</v>
      </c>
      <c r="AN17" s="510">
        <f t="shared" si="16"/>
        <v>1.7643835616438357</v>
      </c>
      <c r="AO17" s="510">
        <f t="shared" si="16"/>
        <v>1.7356164383561645</v>
      </c>
      <c r="AP17" s="510">
        <f t="shared" si="16"/>
        <v>1.7595628415300546</v>
      </c>
      <c r="AQ17" s="510">
        <f t="shared" si="16"/>
        <v>1.7404371584699454</v>
      </c>
      <c r="AR17" s="510">
        <f t="shared" si="16"/>
        <v>1.7643835616438357</v>
      </c>
      <c r="AS17" s="510">
        <f t="shared" si="16"/>
        <v>1.7356164383561645</v>
      </c>
      <c r="AT17" s="510">
        <f t="shared" si="16"/>
        <v>1.7643835616438357</v>
      </c>
      <c r="AU17" s="510">
        <f t="shared" ref="AU17:BD28" si="17">AND(AU$3&gt;0,AU$3&lt;=$B17)*($C17/$B17)*AU$5</f>
        <v>1.7356164383561645</v>
      </c>
      <c r="AV17" s="510">
        <f t="shared" si="17"/>
        <v>0</v>
      </c>
      <c r="AW17" s="510">
        <f t="shared" si="17"/>
        <v>0</v>
      </c>
      <c r="AX17" s="510">
        <f t="shared" si="17"/>
        <v>0</v>
      </c>
      <c r="AY17" s="510">
        <f t="shared" si="17"/>
        <v>0</v>
      </c>
      <c r="AZ17" s="510">
        <f t="shared" si="17"/>
        <v>0</v>
      </c>
      <c r="BA17" s="510">
        <f t="shared" si="17"/>
        <v>0</v>
      </c>
      <c r="BB17" s="510">
        <f t="shared" si="17"/>
        <v>0</v>
      </c>
      <c r="BC17" s="510">
        <f t="shared" si="17"/>
        <v>0</v>
      </c>
      <c r="BD17" s="510">
        <f t="shared" si="17"/>
        <v>0</v>
      </c>
      <c r="BE17" s="510">
        <f t="shared" ref="BE17:BN28" si="18">AND(BE$3&gt;0,BE$3&lt;=$B17)*($C17/$B17)*BE$5</f>
        <v>0</v>
      </c>
      <c r="BF17" s="510">
        <f t="shared" si="18"/>
        <v>0</v>
      </c>
      <c r="BG17" s="510">
        <f t="shared" si="18"/>
        <v>0</v>
      </c>
      <c r="BH17" s="510">
        <f t="shared" si="18"/>
        <v>0</v>
      </c>
      <c r="BI17" s="510">
        <f t="shared" si="18"/>
        <v>0</v>
      </c>
      <c r="BJ17" s="510">
        <f t="shared" si="18"/>
        <v>0</v>
      </c>
      <c r="BK17" s="510">
        <f t="shared" si="18"/>
        <v>0</v>
      </c>
      <c r="BL17" s="510">
        <f t="shared" si="18"/>
        <v>0</v>
      </c>
      <c r="BM17" s="510">
        <f t="shared" si="18"/>
        <v>0</v>
      </c>
      <c r="BN17" s="510">
        <f t="shared" si="18"/>
        <v>0</v>
      </c>
      <c r="BO17" s="510">
        <f t="shared" ref="BO17:BX28" si="19">AND(BO$3&gt;0,BO$3&lt;=$B17)*($C17/$B17)*BO$5</f>
        <v>0</v>
      </c>
      <c r="BP17" s="510">
        <f t="shared" si="19"/>
        <v>0</v>
      </c>
      <c r="BQ17" s="510">
        <f t="shared" si="19"/>
        <v>0</v>
      </c>
      <c r="BR17" s="510">
        <f t="shared" si="19"/>
        <v>0</v>
      </c>
      <c r="BS17" s="510">
        <f t="shared" si="19"/>
        <v>0</v>
      </c>
      <c r="BT17" s="510">
        <f t="shared" si="19"/>
        <v>0</v>
      </c>
      <c r="BU17" s="510">
        <f t="shared" si="19"/>
        <v>0</v>
      </c>
      <c r="BV17" s="510">
        <f t="shared" si="19"/>
        <v>0</v>
      </c>
      <c r="BW17" s="510">
        <f t="shared" si="19"/>
        <v>0</v>
      </c>
      <c r="BX17" s="510">
        <f t="shared" si="19"/>
        <v>0</v>
      </c>
      <c r="BY17" s="510">
        <f t="shared" ref="BY17:CH28" si="20">AND(BY$3&gt;0,BY$3&lt;=$B17)*($C17/$B17)*BY$5</f>
        <v>0</v>
      </c>
      <c r="BZ17" s="510">
        <f t="shared" si="20"/>
        <v>0</v>
      </c>
      <c r="CA17" s="510">
        <f t="shared" si="20"/>
        <v>0</v>
      </c>
      <c r="CB17" s="510">
        <f t="shared" si="20"/>
        <v>0</v>
      </c>
      <c r="CC17" s="510">
        <f t="shared" si="20"/>
        <v>0</v>
      </c>
      <c r="CD17" s="510">
        <f t="shared" si="20"/>
        <v>0</v>
      </c>
      <c r="CE17" s="510">
        <f t="shared" si="20"/>
        <v>0</v>
      </c>
      <c r="CF17" s="510">
        <f t="shared" si="20"/>
        <v>0</v>
      </c>
      <c r="CG17" s="510">
        <f t="shared" si="20"/>
        <v>0</v>
      </c>
      <c r="CH17" s="510">
        <f t="shared" si="20"/>
        <v>0</v>
      </c>
      <c r="CI17" s="510">
        <f t="shared" ref="CI17:CR28" si="21">AND(CI$3&gt;0,CI$3&lt;=$B17)*($C17/$B17)*CI$5</f>
        <v>0</v>
      </c>
      <c r="CJ17" s="510">
        <f t="shared" si="21"/>
        <v>0</v>
      </c>
      <c r="CK17" s="510">
        <f t="shared" si="21"/>
        <v>0</v>
      </c>
      <c r="CL17" s="510">
        <f t="shared" si="21"/>
        <v>0</v>
      </c>
      <c r="CM17" s="510">
        <f t="shared" si="21"/>
        <v>0</v>
      </c>
      <c r="CN17" s="510">
        <f t="shared" si="21"/>
        <v>0</v>
      </c>
      <c r="CO17" s="510">
        <f t="shared" si="21"/>
        <v>0</v>
      </c>
      <c r="CP17" s="510">
        <f t="shared" si="21"/>
        <v>0</v>
      </c>
      <c r="CQ17" s="510">
        <f t="shared" si="21"/>
        <v>0</v>
      </c>
      <c r="CR17" s="510">
        <f t="shared" si="21"/>
        <v>0</v>
      </c>
      <c r="CS17" s="510">
        <f t="shared" ref="CS17:DB28" si="22">AND(CS$3&gt;0,CS$3&lt;=$B17)*($C17/$B17)*CS$5</f>
        <v>0</v>
      </c>
      <c r="CT17" s="510">
        <f t="shared" si="22"/>
        <v>0</v>
      </c>
      <c r="CU17" s="510">
        <f t="shared" si="22"/>
        <v>0</v>
      </c>
      <c r="CV17" s="510">
        <f t="shared" si="22"/>
        <v>0</v>
      </c>
      <c r="CW17" s="510">
        <f t="shared" si="22"/>
        <v>0</v>
      </c>
      <c r="CX17" s="510">
        <f t="shared" si="22"/>
        <v>0</v>
      </c>
      <c r="CY17" s="510">
        <f t="shared" si="22"/>
        <v>0</v>
      </c>
      <c r="CZ17" s="510">
        <f t="shared" si="22"/>
        <v>0</v>
      </c>
      <c r="DA17" s="510">
        <f t="shared" si="22"/>
        <v>0</v>
      </c>
      <c r="DB17" s="510">
        <f t="shared" si="22"/>
        <v>0</v>
      </c>
      <c r="DC17" s="510">
        <f t="shared" ref="DC17:DL28" si="23">AND(DC$3&gt;0,DC$3&lt;=$B17)*($C17/$B17)*DC$5</f>
        <v>0</v>
      </c>
      <c r="DD17" s="510">
        <f t="shared" si="23"/>
        <v>0</v>
      </c>
      <c r="DE17" s="510">
        <f t="shared" si="23"/>
        <v>0</v>
      </c>
      <c r="DF17" s="510">
        <f t="shared" si="23"/>
        <v>0</v>
      </c>
      <c r="DG17" s="510">
        <f t="shared" si="23"/>
        <v>0</v>
      </c>
      <c r="DH17" s="510">
        <f t="shared" si="23"/>
        <v>0</v>
      </c>
      <c r="DI17" s="510">
        <f t="shared" si="23"/>
        <v>0</v>
      </c>
      <c r="DJ17" s="510">
        <f t="shared" si="23"/>
        <v>0</v>
      </c>
      <c r="DK17" s="510">
        <f t="shared" si="23"/>
        <v>0</v>
      </c>
      <c r="DL17" s="510">
        <f t="shared" si="23"/>
        <v>0</v>
      </c>
      <c r="DM17" s="510">
        <f t="shared" ref="DM17:DW28" si="24">AND(DM$3&gt;0,DM$3&lt;=$B17)*($C17/$B17)*DM$5</f>
        <v>0</v>
      </c>
      <c r="DN17" s="510">
        <f t="shared" si="24"/>
        <v>0</v>
      </c>
      <c r="DO17" s="510">
        <f t="shared" si="24"/>
        <v>0</v>
      </c>
      <c r="DP17" s="510">
        <f t="shared" si="24"/>
        <v>0</v>
      </c>
      <c r="DQ17" s="510">
        <f t="shared" si="24"/>
        <v>0</v>
      </c>
      <c r="DR17" s="510">
        <f t="shared" si="24"/>
        <v>0</v>
      </c>
      <c r="DS17" s="510">
        <f t="shared" si="24"/>
        <v>0</v>
      </c>
      <c r="DT17" s="510">
        <f t="shared" si="24"/>
        <v>0</v>
      </c>
      <c r="DU17" s="510">
        <f t="shared" si="24"/>
        <v>0</v>
      </c>
      <c r="DV17" s="510">
        <f t="shared" si="24"/>
        <v>0</v>
      </c>
      <c r="DW17" s="510">
        <f t="shared" si="24"/>
        <v>0</v>
      </c>
    </row>
    <row r="18" spans="1:127">
      <c r="A18" s="605" t="str">
        <f>Inputs!A386</f>
        <v>Construction Management</v>
      </c>
      <c r="B18" s="989">
        <f>Inputs!$D386</f>
        <v>20</v>
      </c>
      <c r="C18" s="976">
        <f>Inputs!$G386</f>
        <v>1151.134</v>
      </c>
      <c r="D18" s="510">
        <f t="shared" si="12"/>
        <v>1151.1339999999996</v>
      </c>
      <c r="E18" s="513"/>
      <c r="F18" s="481"/>
      <c r="G18" s="510">
        <f t="shared" si="13"/>
        <v>0</v>
      </c>
      <c r="H18" s="510">
        <f t="shared" si="13"/>
        <v>29.014884383561647</v>
      </c>
      <c r="I18" s="510">
        <f t="shared" si="13"/>
        <v>28.541815616438356</v>
      </c>
      <c r="J18" s="510">
        <f t="shared" si="13"/>
        <v>28.9356087431694</v>
      </c>
      <c r="K18" s="510">
        <f t="shared" si="13"/>
        <v>28.621091256830599</v>
      </c>
      <c r="L18" s="510">
        <f t="shared" si="13"/>
        <v>29.014884383561647</v>
      </c>
      <c r="M18" s="510">
        <f t="shared" si="13"/>
        <v>28.541815616438356</v>
      </c>
      <c r="N18" s="510">
        <f t="shared" si="13"/>
        <v>29.014884383561647</v>
      </c>
      <c r="O18" s="510">
        <f t="shared" si="13"/>
        <v>28.541815616438356</v>
      </c>
      <c r="P18" s="510">
        <f t="shared" si="13"/>
        <v>29.014884383561647</v>
      </c>
      <c r="Q18" s="510">
        <f t="shared" si="14"/>
        <v>28.541815616438356</v>
      </c>
      <c r="R18" s="510">
        <f t="shared" si="14"/>
        <v>28.9356087431694</v>
      </c>
      <c r="S18" s="510">
        <f t="shared" si="14"/>
        <v>28.621091256830599</v>
      </c>
      <c r="T18" s="510">
        <f t="shared" si="14"/>
        <v>29.014884383561647</v>
      </c>
      <c r="U18" s="510">
        <f t="shared" si="14"/>
        <v>28.541815616438356</v>
      </c>
      <c r="V18" s="510">
        <f t="shared" si="14"/>
        <v>29.014884383561647</v>
      </c>
      <c r="W18" s="510">
        <f t="shared" si="14"/>
        <v>28.541815616438356</v>
      </c>
      <c r="X18" s="510">
        <f t="shared" si="14"/>
        <v>29.014884383561647</v>
      </c>
      <c r="Y18" s="510">
        <f t="shared" si="14"/>
        <v>28.541815616438356</v>
      </c>
      <c r="Z18" s="510">
        <f t="shared" si="14"/>
        <v>28.9356087431694</v>
      </c>
      <c r="AA18" s="510">
        <f t="shared" si="15"/>
        <v>28.621091256830599</v>
      </c>
      <c r="AB18" s="510">
        <f t="shared" si="15"/>
        <v>29.014884383561647</v>
      </c>
      <c r="AC18" s="510">
        <f t="shared" si="15"/>
        <v>28.541815616438356</v>
      </c>
      <c r="AD18" s="510">
        <f t="shared" si="15"/>
        <v>29.014884383561647</v>
      </c>
      <c r="AE18" s="510">
        <f t="shared" si="15"/>
        <v>28.541815616438356</v>
      </c>
      <c r="AF18" s="510">
        <f t="shared" si="15"/>
        <v>29.014884383561647</v>
      </c>
      <c r="AG18" s="510">
        <f t="shared" si="15"/>
        <v>28.541815616438356</v>
      </c>
      <c r="AH18" s="510">
        <f t="shared" si="15"/>
        <v>28.9356087431694</v>
      </c>
      <c r="AI18" s="510">
        <f t="shared" si="15"/>
        <v>28.621091256830599</v>
      </c>
      <c r="AJ18" s="510">
        <f t="shared" si="15"/>
        <v>29.014884383561647</v>
      </c>
      <c r="AK18" s="510">
        <f t="shared" si="16"/>
        <v>28.541815616438356</v>
      </c>
      <c r="AL18" s="510">
        <f t="shared" si="16"/>
        <v>29.014884383561647</v>
      </c>
      <c r="AM18" s="510">
        <f t="shared" si="16"/>
        <v>28.541815616438356</v>
      </c>
      <c r="AN18" s="510">
        <f t="shared" si="16"/>
        <v>29.014884383561647</v>
      </c>
      <c r="AO18" s="510">
        <f t="shared" si="16"/>
        <v>28.541815616438356</v>
      </c>
      <c r="AP18" s="510">
        <f t="shared" si="16"/>
        <v>28.9356087431694</v>
      </c>
      <c r="AQ18" s="510">
        <f t="shared" si="16"/>
        <v>28.621091256830599</v>
      </c>
      <c r="AR18" s="510">
        <f t="shared" si="16"/>
        <v>29.014884383561647</v>
      </c>
      <c r="AS18" s="510">
        <f t="shared" si="16"/>
        <v>28.541815616438356</v>
      </c>
      <c r="AT18" s="510">
        <f t="shared" si="16"/>
        <v>29.014884383561647</v>
      </c>
      <c r="AU18" s="510">
        <f t="shared" si="17"/>
        <v>28.541815616438356</v>
      </c>
      <c r="AV18" s="510">
        <f t="shared" si="17"/>
        <v>0</v>
      </c>
      <c r="AW18" s="510">
        <f t="shared" si="17"/>
        <v>0</v>
      </c>
      <c r="AX18" s="510">
        <f t="shared" si="17"/>
        <v>0</v>
      </c>
      <c r="AY18" s="510">
        <f t="shared" si="17"/>
        <v>0</v>
      </c>
      <c r="AZ18" s="510">
        <f t="shared" si="17"/>
        <v>0</v>
      </c>
      <c r="BA18" s="510">
        <f t="shared" si="17"/>
        <v>0</v>
      </c>
      <c r="BB18" s="510">
        <f t="shared" si="17"/>
        <v>0</v>
      </c>
      <c r="BC18" s="510">
        <f t="shared" si="17"/>
        <v>0</v>
      </c>
      <c r="BD18" s="510">
        <f t="shared" si="17"/>
        <v>0</v>
      </c>
      <c r="BE18" s="510">
        <f t="shared" si="18"/>
        <v>0</v>
      </c>
      <c r="BF18" s="510">
        <f t="shared" si="18"/>
        <v>0</v>
      </c>
      <c r="BG18" s="510">
        <f t="shared" si="18"/>
        <v>0</v>
      </c>
      <c r="BH18" s="510">
        <f t="shared" si="18"/>
        <v>0</v>
      </c>
      <c r="BI18" s="510">
        <f t="shared" si="18"/>
        <v>0</v>
      </c>
      <c r="BJ18" s="510">
        <f t="shared" si="18"/>
        <v>0</v>
      </c>
      <c r="BK18" s="510">
        <f t="shared" si="18"/>
        <v>0</v>
      </c>
      <c r="BL18" s="510">
        <f t="shared" si="18"/>
        <v>0</v>
      </c>
      <c r="BM18" s="510">
        <f t="shared" si="18"/>
        <v>0</v>
      </c>
      <c r="BN18" s="510">
        <f t="shared" si="18"/>
        <v>0</v>
      </c>
      <c r="BO18" s="510">
        <f t="shared" si="19"/>
        <v>0</v>
      </c>
      <c r="BP18" s="510">
        <f t="shared" si="19"/>
        <v>0</v>
      </c>
      <c r="BQ18" s="510">
        <f t="shared" si="19"/>
        <v>0</v>
      </c>
      <c r="BR18" s="510">
        <f t="shared" si="19"/>
        <v>0</v>
      </c>
      <c r="BS18" s="510">
        <f t="shared" si="19"/>
        <v>0</v>
      </c>
      <c r="BT18" s="510">
        <f t="shared" si="19"/>
        <v>0</v>
      </c>
      <c r="BU18" s="510">
        <f t="shared" si="19"/>
        <v>0</v>
      </c>
      <c r="BV18" s="510">
        <f t="shared" si="19"/>
        <v>0</v>
      </c>
      <c r="BW18" s="510">
        <f t="shared" si="19"/>
        <v>0</v>
      </c>
      <c r="BX18" s="510">
        <f t="shared" si="19"/>
        <v>0</v>
      </c>
      <c r="BY18" s="510">
        <f t="shared" si="20"/>
        <v>0</v>
      </c>
      <c r="BZ18" s="510">
        <f t="shared" si="20"/>
        <v>0</v>
      </c>
      <c r="CA18" s="510">
        <f t="shared" si="20"/>
        <v>0</v>
      </c>
      <c r="CB18" s="510">
        <f t="shared" si="20"/>
        <v>0</v>
      </c>
      <c r="CC18" s="510">
        <f t="shared" si="20"/>
        <v>0</v>
      </c>
      <c r="CD18" s="510">
        <f t="shared" si="20"/>
        <v>0</v>
      </c>
      <c r="CE18" s="510">
        <f t="shared" si="20"/>
        <v>0</v>
      </c>
      <c r="CF18" s="510">
        <f t="shared" si="20"/>
        <v>0</v>
      </c>
      <c r="CG18" s="510">
        <f t="shared" si="20"/>
        <v>0</v>
      </c>
      <c r="CH18" s="510">
        <f t="shared" si="20"/>
        <v>0</v>
      </c>
      <c r="CI18" s="510">
        <f t="shared" si="21"/>
        <v>0</v>
      </c>
      <c r="CJ18" s="510">
        <f t="shared" si="21"/>
        <v>0</v>
      </c>
      <c r="CK18" s="510">
        <f t="shared" si="21"/>
        <v>0</v>
      </c>
      <c r="CL18" s="510">
        <f t="shared" si="21"/>
        <v>0</v>
      </c>
      <c r="CM18" s="510">
        <f t="shared" si="21"/>
        <v>0</v>
      </c>
      <c r="CN18" s="510">
        <f t="shared" si="21"/>
        <v>0</v>
      </c>
      <c r="CO18" s="510">
        <f t="shared" si="21"/>
        <v>0</v>
      </c>
      <c r="CP18" s="510">
        <f t="shared" si="21"/>
        <v>0</v>
      </c>
      <c r="CQ18" s="510">
        <f t="shared" si="21"/>
        <v>0</v>
      </c>
      <c r="CR18" s="510">
        <f t="shared" si="21"/>
        <v>0</v>
      </c>
      <c r="CS18" s="510">
        <f t="shared" si="22"/>
        <v>0</v>
      </c>
      <c r="CT18" s="510">
        <f t="shared" si="22"/>
        <v>0</v>
      </c>
      <c r="CU18" s="510">
        <f t="shared" si="22"/>
        <v>0</v>
      </c>
      <c r="CV18" s="510">
        <f t="shared" si="22"/>
        <v>0</v>
      </c>
      <c r="CW18" s="510">
        <f t="shared" si="22"/>
        <v>0</v>
      </c>
      <c r="CX18" s="510">
        <f t="shared" si="22"/>
        <v>0</v>
      </c>
      <c r="CY18" s="510">
        <f t="shared" si="22"/>
        <v>0</v>
      </c>
      <c r="CZ18" s="510">
        <f t="shared" si="22"/>
        <v>0</v>
      </c>
      <c r="DA18" s="510">
        <f t="shared" si="22"/>
        <v>0</v>
      </c>
      <c r="DB18" s="510">
        <f t="shared" si="22"/>
        <v>0</v>
      </c>
      <c r="DC18" s="510">
        <f t="shared" si="23"/>
        <v>0</v>
      </c>
      <c r="DD18" s="510">
        <f t="shared" si="23"/>
        <v>0</v>
      </c>
      <c r="DE18" s="510">
        <f t="shared" si="23"/>
        <v>0</v>
      </c>
      <c r="DF18" s="510">
        <f t="shared" si="23"/>
        <v>0</v>
      </c>
      <c r="DG18" s="510">
        <f t="shared" si="23"/>
        <v>0</v>
      </c>
      <c r="DH18" s="510">
        <f t="shared" si="23"/>
        <v>0</v>
      </c>
      <c r="DI18" s="510">
        <f t="shared" si="23"/>
        <v>0</v>
      </c>
      <c r="DJ18" s="510">
        <f t="shared" si="23"/>
        <v>0</v>
      </c>
      <c r="DK18" s="510">
        <f t="shared" si="23"/>
        <v>0</v>
      </c>
      <c r="DL18" s="510">
        <f t="shared" si="23"/>
        <v>0</v>
      </c>
      <c r="DM18" s="510">
        <f t="shared" si="24"/>
        <v>0</v>
      </c>
      <c r="DN18" s="510">
        <f t="shared" si="24"/>
        <v>0</v>
      </c>
      <c r="DO18" s="510">
        <f t="shared" si="24"/>
        <v>0</v>
      </c>
      <c r="DP18" s="510">
        <f t="shared" si="24"/>
        <v>0</v>
      </c>
      <c r="DQ18" s="510">
        <f t="shared" si="24"/>
        <v>0</v>
      </c>
      <c r="DR18" s="510">
        <f t="shared" si="24"/>
        <v>0</v>
      </c>
      <c r="DS18" s="510">
        <f t="shared" si="24"/>
        <v>0</v>
      </c>
      <c r="DT18" s="510">
        <f t="shared" si="24"/>
        <v>0</v>
      </c>
      <c r="DU18" s="510">
        <f t="shared" si="24"/>
        <v>0</v>
      </c>
      <c r="DV18" s="510">
        <f t="shared" si="24"/>
        <v>0</v>
      </c>
      <c r="DW18" s="510">
        <f t="shared" si="24"/>
        <v>0</v>
      </c>
    </row>
    <row r="19" spans="1:127">
      <c r="A19" s="605" t="str">
        <f>Inputs!A387</f>
        <v>Contingencies</v>
      </c>
      <c r="B19" s="989">
        <f>Inputs!$D387</f>
        <v>20</v>
      </c>
      <c r="C19" s="976">
        <f>Inputs!$G387</f>
        <v>1986.4400000000007</v>
      </c>
      <c r="D19" s="510">
        <f t="shared" si="12"/>
        <v>1986.4400000000012</v>
      </c>
      <c r="E19" s="513"/>
      <c r="F19" s="481"/>
      <c r="G19" s="510">
        <f t="shared" si="13"/>
        <v>0</v>
      </c>
      <c r="H19" s="510">
        <f t="shared" si="13"/>
        <v>50.069172602739748</v>
      </c>
      <c r="I19" s="510">
        <f t="shared" si="13"/>
        <v>49.25282739726029</v>
      </c>
      <c r="J19" s="510">
        <f t="shared" si="13"/>
        <v>49.932371584699467</v>
      </c>
      <c r="K19" s="510">
        <f t="shared" si="13"/>
        <v>49.389628415300564</v>
      </c>
      <c r="L19" s="510">
        <f t="shared" si="13"/>
        <v>50.069172602739748</v>
      </c>
      <c r="M19" s="510">
        <f t="shared" si="13"/>
        <v>49.25282739726029</v>
      </c>
      <c r="N19" s="510">
        <f t="shared" si="13"/>
        <v>50.069172602739748</v>
      </c>
      <c r="O19" s="510">
        <f t="shared" si="13"/>
        <v>49.25282739726029</v>
      </c>
      <c r="P19" s="510">
        <f t="shared" si="13"/>
        <v>50.069172602739748</v>
      </c>
      <c r="Q19" s="510">
        <f t="shared" si="14"/>
        <v>49.25282739726029</v>
      </c>
      <c r="R19" s="510">
        <f t="shared" si="14"/>
        <v>49.932371584699467</v>
      </c>
      <c r="S19" s="510">
        <f t="shared" si="14"/>
        <v>49.389628415300564</v>
      </c>
      <c r="T19" s="510">
        <f t="shared" si="14"/>
        <v>50.069172602739748</v>
      </c>
      <c r="U19" s="510">
        <f t="shared" si="14"/>
        <v>49.25282739726029</v>
      </c>
      <c r="V19" s="510">
        <f t="shared" si="14"/>
        <v>50.069172602739748</v>
      </c>
      <c r="W19" s="510">
        <f t="shared" si="14"/>
        <v>49.25282739726029</v>
      </c>
      <c r="X19" s="510">
        <f t="shared" si="14"/>
        <v>50.069172602739748</v>
      </c>
      <c r="Y19" s="510">
        <f t="shared" si="14"/>
        <v>49.25282739726029</v>
      </c>
      <c r="Z19" s="510">
        <f t="shared" si="14"/>
        <v>49.932371584699467</v>
      </c>
      <c r="AA19" s="510">
        <f t="shared" si="15"/>
        <v>49.389628415300564</v>
      </c>
      <c r="AB19" s="510">
        <f t="shared" si="15"/>
        <v>50.069172602739748</v>
      </c>
      <c r="AC19" s="510">
        <f t="shared" si="15"/>
        <v>49.25282739726029</v>
      </c>
      <c r="AD19" s="510">
        <f t="shared" si="15"/>
        <v>50.069172602739748</v>
      </c>
      <c r="AE19" s="510">
        <f t="shared" si="15"/>
        <v>49.25282739726029</v>
      </c>
      <c r="AF19" s="510">
        <f t="shared" si="15"/>
        <v>50.069172602739748</v>
      </c>
      <c r="AG19" s="510">
        <f t="shared" si="15"/>
        <v>49.25282739726029</v>
      </c>
      <c r="AH19" s="510">
        <f t="shared" si="15"/>
        <v>49.932371584699467</v>
      </c>
      <c r="AI19" s="510">
        <f t="shared" si="15"/>
        <v>49.389628415300564</v>
      </c>
      <c r="AJ19" s="510">
        <f t="shared" si="15"/>
        <v>50.069172602739748</v>
      </c>
      <c r="AK19" s="510">
        <f t="shared" si="16"/>
        <v>49.25282739726029</v>
      </c>
      <c r="AL19" s="510">
        <f t="shared" si="16"/>
        <v>50.069172602739748</v>
      </c>
      <c r="AM19" s="510">
        <f t="shared" si="16"/>
        <v>49.25282739726029</v>
      </c>
      <c r="AN19" s="510">
        <f t="shared" si="16"/>
        <v>50.069172602739748</v>
      </c>
      <c r="AO19" s="510">
        <f t="shared" si="16"/>
        <v>49.25282739726029</v>
      </c>
      <c r="AP19" s="510">
        <f t="shared" si="16"/>
        <v>49.932371584699467</v>
      </c>
      <c r="AQ19" s="510">
        <f t="shared" si="16"/>
        <v>49.389628415300564</v>
      </c>
      <c r="AR19" s="510">
        <f t="shared" si="16"/>
        <v>50.069172602739748</v>
      </c>
      <c r="AS19" s="510">
        <f t="shared" si="16"/>
        <v>49.25282739726029</v>
      </c>
      <c r="AT19" s="510">
        <f t="shared" si="16"/>
        <v>50.069172602739748</v>
      </c>
      <c r="AU19" s="510">
        <f t="shared" si="17"/>
        <v>49.25282739726029</v>
      </c>
      <c r="AV19" s="510">
        <f t="shared" si="17"/>
        <v>0</v>
      </c>
      <c r="AW19" s="510">
        <f t="shared" si="17"/>
        <v>0</v>
      </c>
      <c r="AX19" s="510">
        <f t="shared" si="17"/>
        <v>0</v>
      </c>
      <c r="AY19" s="510">
        <f t="shared" si="17"/>
        <v>0</v>
      </c>
      <c r="AZ19" s="510">
        <f t="shared" si="17"/>
        <v>0</v>
      </c>
      <c r="BA19" s="510">
        <f t="shared" si="17"/>
        <v>0</v>
      </c>
      <c r="BB19" s="510">
        <f t="shared" si="17"/>
        <v>0</v>
      </c>
      <c r="BC19" s="510">
        <f t="shared" si="17"/>
        <v>0</v>
      </c>
      <c r="BD19" s="510">
        <f t="shared" si="17"/>
        <v>0</v>
      </c>
      <c r="BE19" s="510">
        <f t="shared" si="18"/>
        <v>0</v>
      </c>
      <c r="BF19" s="510">
        <f t="shared" si="18"/>
        <v>0</v>
      </c>
      <c r="BG19" s="510">
        <f t="shared" si="18"/>
        <v>0</v>
      </c>
      <c r="BH19" s="510">
        <f t="shared" si="18"/>
        <v>0</v>
      </c>
      <c r="BI19" s="510">
        <f t="shared" si="18"/>
        <v>0</v>
      </c>
      <c r="BJ19" s="510">
        <f t="shared" si="18"/>
        <v>0</v>
      </c>
      <c r="BK19" s="510">
        <f t="shared" si="18"/>
        <v>0</v>
      </c>
      <c r="BL19" s="510">
        <f t="shared" si="18"/>
        <v>0</v>
      </c>
      <c r="BM19" s="510">
        <f t="shared" si="18"/>
        <v>0</v>
      </c>
      <c r="BN19" s="510">
        <f t="shared" si="18"/>
        <v>0</v>
      </c>
      <c r="BO19" s="510">
        <f t="shared" si="19"/>
        <v>0</v>
      </c>
      <c r="BP19" s="510">
        <f t="shared" si="19"/>
        <v>0</v>
      </c>
      <c r="BQ19" s="510">
        <f t="shared" si="19"/>
        <v>0</v>
      </c>
      <c r="BR19" s="510">
        <f t="shared" si="19"/>
        <v>0</v>
      </c>
      <c r="BS19" s="510">
        <f t="shared" si="19"/>
        <v>0</v>
      </c>
      <c r="BT19" s="510">
        <f t="shared" si="19"/>
        <v>0</v>
      </c>
      <c r="BU19" s="510">
        <f t="shared" si="19"/>
        <v>0</v>
      </c>
      <c r="BV19" s="510">
        <f t="shared" si="19"/>
        <v>0</v>
      </c>
      <c r="BW19" s="510">
        <f t="shared" si="19"/>
        <v>0</v>
      </c>
      <c r="BX19" s="510">
        <f t="shared" si="19"/>
        <v>0</v>
      </c>
      <c r="BY19" s="510">
        <f t="shared" si="20"/>
        <v>0</v>
      </c>
      <c r="BZ19" s="510">
        <f t="shared" si="20"/>
        <v>0</v>
      </c>
      <c r="CA19" s="510">
        <f t="shared" si="20"/>
        <v>0</v>
      </c>
      <c r="CB19" s="510">
        <f t="shared" si="20"/>
        <v>0</v>
      </c>
      <c r="CC19" s="510">
        <f t="shared" si="20"/>
        <v>0</v>
      </c>
      <c r="CD19" s="510">
        <f t="shared" si="20"/>
        <v>0</v>
      </c>
      <c r="CE19" s="510">
        <f t="shared" si="20"/>
        <v>0</v>
      </c>
      <c r="CF19" s="510">
        <f t="shared" si="20"/>
        <v>0</v>
      </c>
      <c r="CG19" s="510">
        <f t="shared" si="20"/>
        <v>0</v>
      </c>
      <c r="CH19" s="510">
        <f t="shared" si="20"/>
        <v>0</v>
      </c>
      <c r="CI19" s="510">
        <f t="shared" si="21"/>
        <v>0</v>
      </c>
      <c r="CJ19" s="510">
        <f t="shared" si="21"/>
        <v>0</v>
      </c>
      <c r="CK19" s="510">
        <f t="shared" si="21"/>
        <v>0</v>
      </c>
      <c r="CL19" s="510">
        <f t="shared" si="21"/>
        <v>0</v>
      </c>
      <c r="CM19" s="510">
        <f t="shared" si="21"/>
        <v>0</v>
      </c>
      <c r="CN19" s="510">
        <f t="shared" si="21"/>
        <v>0</v>
      </c>
      <c r="CO19" s="510">
        <f t="shared" si="21"/>
        <v>0</v>
      </c>
      <c r="CP19" s="510">
        <f t="shared" si="21"/>
        <v>0</v>
      </c>
      <c r="CQ19" s="510">
        <f t="shared" si="21"/>
        <v>0</v>
      </c>
      <c r="CR19" s="510">
        <f t="shared" si="21"/>
        <v>0</v>
      </c>
      <c r="CS19" s="510">
        <f t="shared" si="22"/>
        <v>0</v>
      </c>
      <c r="CT19" s="510">
        <f t="shared" si="22"/>
        <v>0</v>
      </c>
      <c r="CU19" s="510">
        <f t="shared" si="22"/>
        <v>0</v>
      </c>
      <c r="CV19" s="510">
        <f t="shared" si="22"/>
        <v>0</v>
      </c>
      <c r="CW19" s="510">
        <f t="shared" si="22"/>
        <v>0</v>
      </c>
      <c r="CX19" s="510">
        <f t="shared" si="22"/>
        <v>0</v>
      </c>
      <c r="CY19" s="510">
        <f t="shared" si="22"/>
        <v>0</v>
      </c>
      <c r="CZ19" s="510">
        <f t="shared" si="22"/>
        <v>0</v>
      </c>
      <c r="DA19" s="510">
        <f t="shared" si="22"/>
        <v>0</v>
      </c>
      <c r="DB19" s="510">
        <f t="shared" si="22"/>
        <v>0</v>
      </c>
      <c r="DC19" s="510">
        <f t="shared" si="23"/>
        <v>0</v>
      </c>
      <c r="DD19" s="510">
        <f t="shared" si="23"/>
        <v>0</v>
      </c>
      <c r="DE19" s="510">
        <f t="shared" si="23"/>
        <v>0</v>
      </c>
      <c r="DF19" s="510">
        <f t="shared" si="23"/>
        <v>0</v>
      </c>
      <c r="DG19" s="510">
        <f t="shared" si="23"/>
        <v>0</v>
      </c>
      <c r="DH19" s="510">
        <f t="shared" si="23"/>
        <v>0</v>
      </c>
      <c r="DI19" s="510">
        <f t="shared" si="23"/>
        <v>0</v>
      </c>
      <c r="DJ19" s="510">
        <f t="shared" si="23"/>
        <v>0</v>
      </c>
      <c r="DK19" s="510">
        <f t="shared" si="23"/>
        <v>0</v>
      </c>
      <c r="DL19" s="510">
        <f t="shared" si="23"/>
        <v>0</v>
      </c>
      <c r="DM19" s="510">
        <f t="shared" si="24"/>
        <v>0</v>
      </c>
      <c r="DN19" s="510">
        <f t="shared" si="24"/>
        <v>0</v>
      </c>
      <c r="DO19" s="510">
        <f t="shared" si="24"/>
        <v>0</v>
      </c>
      <c r="DP19" s="510">
        <f t="shared" si="24"/>
        <v>0</v>
      </c>
      <c r="DQ19" s="510">
        <f t="shared" si="24"/>
        <v>0</v>
      </c>
      <c r="DR19" s="510">
        <f t="shared" si="24"/>
        <v>0</v>
      </c>
      <c r="DS19" s="510">
        <f t="shared" si="24"/>
        <v>0</v>
      </c>
      <c r="DT19" s="510">
        <f t="shared" si="24"/>
        <v>0</v>
      </c>
      <c r="DU19" s="510">
        <f t="shared" si="24"/>
        <v>0</v>
      </c>
      <c r="DV19" s="510">
        <f t="shared" si="24"/>
        <v>0</v>
      </c>
      <c r="DW19" s="510">
        <f t="shared" si="24"/>
        <v>0</v>
      </c>
    </row>
    <row r="20" spans="1:127">
      <c r="A20" s="605" t="str">
        <f>Inputs!A388</f>
        <v>Taxes</v>
      </c>
      <c r="B20" s="989">
        <f>Inputs!$D388</f>
        <v>20</v>
      </c>
      <c r="C20" s="976">
        <f>Inputs!$G388</f>
        <v>0</v>
      </c>
      <c r="D20" s="510">
        <f t="shared" si="12"/>
        <v>0</v>
      </c>
      <c r="E20" s="513"/>
      <c r="F20" s="481"/>
      <c r="G20" s="510">
        <f t="shared" si="13"/>
        <v>0</v>
      </c>
      <c r="H20" s="510">
        <f t="shared" si="13"/>
        <v>0</v>
      </c>
      <c r="I20" s="510">
        <f t="shared" si="13"/>
        <v>0</v>
      </c>
      <c r="J20" s="510">
        <f t="shared" si="13"/>
        <v>0</v>
      </c>
      <c r="K20" s="510">
        <f t="shared" si="13"/>
        <v>0</v>
      </c>
      <c r="L20" s="510">
        <f t="shared" si="13"/>
        <v>0</v>
      </c>
      <c r="M20" s="510">
        <f t="shared" si="13"/>
        <v>0</v>
      </c>
      <c r="N20" s="510">
        <f t="shared" si="13"/>
        <v>0</v>
      </c>
      <c r="O20" s="510">
        <f t="shared" si="13"/>
        <v>0</v>
      </c>
      <c r="P20" s="510">
        <f t="shared" si="13"/>
        <v>0</v>
      </c>
      <c r="Q20" s="510">
        <f t="shared" si="14"/>
        <v>0</v>
      </c>
      <c r="R20" s="510">
        <f t="shared" si="14"/>
        <v>0</v>
      </c>
      <c r="S20" s="510">
        <f t="shared" si="14"/>
        <v>0</v>
      </c>
      <c r="T20" s="510">
        <f t="shared" si="14"/>
        <v>0</v>
      </c>
      <c r="U20" s="510">
        <f t="shared" si="14"/>
        <v>0</v>
      </c>
      <c r="V20" s="510">
        <f t="shared" si="14"/>
        <v>0</v>
      </c>
      <c r="W20" s="510">
        <f t="shared" si="14"/>
        <v>0</v>
      </c>
      <c r="X20" s="510">
        <f t="shared" si="14"/>
        <v>0</v>
      </c>
      <c r="Y20" s="510">
        <f t="shared" si="14"/>
        <v>0</v>
      </c>
      <c r="Z20" s="510">
        <f t="shared" si="14"/>
        <v>0</v>
      </c>
      <c r="AA20" s="510">
        <f t="shared" si="15"/>
        <v>0</v>
      </c>
      <c r="AB20" s="510">
        <f t="shared" si="15"/>
        <v>0</v>
      </c>
      <c r="AC20" s="510">
        <f t="shared" si="15"/>
        <v>0</v>
      </c>
      <c r="AD20" s="510">
        <f t="shared" si="15"/>
        <v>0</v>
      </c>
      <c r="AE20" s="510">
        <f t="shared" si="15"/>
        <v>0</v>
      </c>
      <c r="AF20" s="510">
        <f t="shared" si="15"/>
        <v>0</v>
      </c>
      <c r="AG20" s="510">
        <f t="shared" si="15"/>
        <v>0</v>
      </c>
      <c r="AH20" s="510">
        <f t="shared" si="15"/>
        <v>0</v>
      </c>
      <c r="AI20" s="510">
        <f t="shared" si="15"/>
        <v>0</v>
      </c>
      <c r="AJ20" s="510">
        <f t="shared" si="15"/>
        <v>0</v>
      </c>
      <c r="AK20" s="510">
        <f t="shared" si="16"/>
        <v>0</v>
      </c>
      <c r="AL20" s="510">
        <f t="shared" si="16"/>
        <v>0</v>
      </c>
      <c r="AM20" s="510">
        <f t="shared" si="16"/>
        <v>0</v>
      </c>
      <c r="AN20" s="510">
        <f t="shared" si="16"/>
        <v>0</v>
      </c>
      <c r="AO20" s="510">
        <f t="shared" si="16"/>
        <v>0</v>
      </c>
      <c r="AP20" s="510">
        <f t="shared" si="16"/>
        <v>0</v>
      </c>
      <c r="AQ20" s="510">
        <f t="shared" si="16"/>
        <v>0</v>
      </c>
      <c r="AR20" s="510">
        <f t="shared" si="16"/>
        <v>0</v>
      </c>
      <c r="AS20" s="510">
        <f t="shared" si="16"/>
        <v>0</v>
      </c>
      <c r="AT20" s="510">
        <f t="shared" si="16"/>
        <v>0</v>
      </c>
      <c r="AU20" s="510">
        <f t="shared" si="17"/>
        <v>0</v>
      </c>
      <c r="AV20" s="510">
        <f t="shared" si="17"/>
        <v>0</v>
      </c>
      <c r="AW20" s="510">
        <f t="shared" si="17"/>
        <v>0</v>
      </c>
      <c r="AX20" s="510">
        <f t="shared" si="17"/>
        <v>0</v>
      </c>
      <c r="AY20" s="510">
        <f t="shared" si="17"/>
        <v>0</v>
      </c>
      <c r="AZ20" s="510">
        <f t="shared" si="17"/>
        <v>0</v>
      </c>
      <c r="BA20" s="510">
        <f t="shared" si="17"/>
        <v>0</v>
      </c>
      <c r="BB20" s="510">
        <f t="shared" si="17"/>
        <v>0</v>
      </c>
      <c r="BC20" s="510">
        <f t="shared" si="17"/>
        <v>0</v>
      </c>
      <c r="BD20" s="510">
        <f t="shared" si="17"/>
        <v>0</v>
      </c>
      <c r="BE20" s="510">
        <f t="shared" si="18"/>
        <v>0</v>
      </c>
      <c r="BF20" s="510">
        <f t="shared" si="18"/>
        <v>0</v>
      </c>
      <c r="BG20" s="510">
        <f t="shared" si="18"/>
        <v>0</v>
      </c>
      <c r="BH20" s="510">
        <f t="shared" si="18"/>
        <v>0</v>
      </c>
      <c r="BI20" s="510">
        <f t="shared" si="18"/>
        <v>0</v>
      </c>
      <c r="BJ20" s="510">
        <f t="shared" si="18"/>
        <v>0</v>
      </c>
      <c r="BK20" s="510">
        <f t="shared" si="18"/>
        <v>0</v>
      </c>
      <c r="BL20" s="510">
        <f t="shared" si="18"/>
        <v>0</v>
      </c>
      <c r="BM20" s="510">
        <f t="shared" si="18"/>
        <v>0</v>
      </c>
      <c r="BN20" s="510">
        <f t="shared" si="18"/>
        <v>0</v>
      </c>
      <c r="BO20" s="510">
        <f t="shared" si="19"/>
        <v>0</v>
      </c>
      <c r="BP20" s="510">
        <f t="shared" si="19"/>
        <v>0</v>
      </c>
      <c r="BQ20" s="510">
        <f t="shared" si="19"/>
        <v>0</v>
      </c>
      <c r="BR20" s="510">
        <f t="shared" si="19"/>
        <v>0</v>
      </c>
      <c r="BS20" s="510">
        <f t="shared" si="19"/>
        <v>0</v>
      </c>
      <c r="BT20" s="510">
        <f t="shared" si="19"/>
        <v>0</v>
      </c>
      <c r="BU20" s="510">
        <f t="shared" si="19"/>
        <v>0</v>
      </c>
      <c r="BV20" s="510">
        <f t="shared" si="19"/>
        <v>0</v>
      </c>
      <c r="BW20" s="510">
        <f t="shared" si="19"/>
        <v>0</v>
      </c>
      <c r="BX20" s="510">
        <f t="shared" si="19"/>
        <v>0</v>
      </c>
      <c r="BY20" s="510">
        <f t="shared" si="20"/>
        <v>0</v>
      </c>
      <c r="BZ20" s="510">
        <f t="shared" si="20"/>
        <v>0</v>
      </c>
      <c r="CA20" s="510">
        <f t="shared" si="20"/>
        <v>0</v>
      </c>
      <c r="CB20" s="510">
        <f t="shared" si="20"/>
        <v>0</v>
      </c>
      <c r="CC20" s="510">
        <f t="shared" si="20"/>
        <v>0</v>
      </c>
      <c r="CD20" s="510">
        <f t="shared" si="20"/>
        <v>0</v>
      </c>
      <c r="CE20" s="510">
        <f t="shared" si="20"/>
        <v>0</v>
      </c>
      <c r="CF20" s="510">
        <f t="shared" si="20"/>
        <v>0</v>
      </c>
      <c r="CG20" s="510">
        <f t="shared" si="20"/>
        <v>0</v>
      </c>
      <c r="CH20" s="510">
        <f t="shared" si="20"/>
        <v>0</v>
      </c>
      <c r="CI20" s="510">
        <f t="shared" si="21"/>
        <v>0</v>
      </c>
      <c r="CJ20" s="510">
        <f t="shared" si="21"/>
        <v>0</v>
      </c>
      <c r="CK20" s="510">
        <f t="shared" si="21"/>
        <v>0</v>
      </c>
      <c r="CL20" s="510">
        <f t="shared" si="21"/>
        <v>0</v>
      </c>
      <c r="CM20" s="510">
        <f t="shared" si="21"/>
        <v>0</v>
      </c>
      <c r="CN20" s="510">
        <f t="shared" si="21"/>
        <v>0</v>
      </c>
      <c r="CO20" s="510">
        <f t="shared" si="21"/>
        <v>0</v>
      </c>
      <c r="CP20" s="510">
        <f t="shared" si="21"/>
        <v>0</v>
      </c>
      <c r="CQ20" s="510">
        <f t="shared" si="21"/>
        <v>0</v>
      </c>
      <c r="CR20" s="510">
        <f t="shared" si="21"/>
        <v>0</v>
      </c>
      <c r="CS20" s="510">
        <f t="shared" si="22"/>
        <v>0</v>
      </c>
      <c r="CT20" s="510">
        <f t="shared" si="22"/>
        <v>0</v>
      </c>
      <c r="CU20" s="510">
        <f t="shared" si="22"/>
        <v>0</v>
      </c>
      <c r="CV20" s="510">
        <f t="shared" si="22"/>
        <v>0</v>
      </c>
      <c r="CW20" s="510">
        <f t="shared" si="22"/>
        <v>0</v>
      </c>
      <c r="CX20" s="510">
        <f t="shared" si="22"/>
        <v>0</v>
      </c>
      <c r="CY20" s="510">
        <f t="shared" si="22"/>
        <v>0</v>
      </c>
      <c r="CZ20" s="510">
        <f t="shared" si="22"/>
        <v>0</v>
      </c>
      <c r="DA20" s="510">
        <f t="shared" si="22"/>
        <v>0</v>
      </c>
      <c r="DB20" s="510">
        <f t="shared" si="22"/>
        <v>0</v>
      </c>
      <c r="DC20" s="510">
        <f t="shared" si="23"/>
        <v>0</v>
      </c>
      <c r="DD20" s="510">
        <f t="shared" si="23"/>
        <v>0</v>
      </c>
      <c r="DE20" s="510">
        <f t="shared" si="23"/>
        <v>0</v>
      </c>
      <c r="DF20" s="510">
        <f t="shared" si="23"/>
        <v>0</v>
      </c>
      <c r="DG20" s="510">
        <f t="shared" si="23"/>
        <v>0</v>
      </c>
      <c r="DH20" s="510">
        <f t="shared" si="23"/>
        <v>0</v>
      </c>
      <c r="DI20" s="510">
        <f t="shared" si="23"/>
        <v>0</v>
      </c>
      <c r="DJ20" s="510">
        <f t="shared" si="23"/>
        <v>0</v>
      </c>
      <c r="DK20" s="510">
        <f t="shared" si="23"/>
        <v>0</v>
      </c>
      <c r="DL20" s="510">
        <f t="shared" si="23"/>
        <v>0</v>
      </c>
      <c r="DM20" s="510">
        <f t="shared" si="24"/>
        <v>0</v>
      </c>
      <c r="DN20" s="510">
        <f t="shared" si="24"/>
        <v>0</v>
      </c>
      <c r="DO20" s="510">
        <f t="shared" si="24"/>
        <v>0</v>
      </c>
      <c r="DP20" s="510">
        <f t="shared" si="24"/>
        <v>0</v>
      </c>
      <c r="DQ20" s="510">
        <f t="shared" si="24"/>
        <v>0</v>
      </c>
      <c r="DR20" s="510">
        <f t="shared" si="24"/>
        <v>0</v>
      </c>
      <c r="DS20" s="510">
        <f t="shared" si="24"/>
        <v>0</v>
      </c>
      <c r="DT20" s="510">
        <f t="shared" si="24"/>
        <v>0</v>
      </c>
      <c r="DU20" s="510">
        <f t="shared" si="24"/>
        <v>0</v>
      </c>
      <c r="DV20" s="510">
        <f t="shared" si="24"/>
        <v>0</v>
      </c>
      <c r="DW20" s="510">
        <f t="shared" si="24"/>
        <v>0</v>
      </c>
    </row>
    <row r="21" spans="1:127">
      <c r="A21" s="605" t="str">
        <f>Inputs!A389</f>
        <v xml:space="preserve"> Project Acquisition / Project Development </v>
      </c>
      <c r="B21" s="989">
        <f>Inputs!$D389</f>
        <v>20</v>
      </c>
      <c r="C21" s="976">
        <f>Inputs!$G389</f>
        <v>18.326999999999998</v>
      </c>
      <c r="D21" s="510">
        <f t="shared" si="12"/>
        <v>18.326999999999998</v>
      </c>
      <c r="E21" s="513"/>
      <c r="F21" s="481"/>
      <c r="G21" s="510">
        <f t="shared" si="13"/>
        <v>0</v>
      </c>
      <c r="H21" s="510">
        <f t="shared" si="13"/>
        <v>0.46194082191780822</v>
      </c>
      <c r="I21" s="510">
        <f t="shared" si="13"/>
        <v>0.45440917808219172</v>
      </c>
      <c r="J21" s="510">
        <f t="shared" si="13"/>
        <v>0.4606786885245901</v>
      </c>
      <c r="K21" s="510">
        <f t="shared" si="13"/>
        <v>0.45567131147540979</v>
      </c>
      <c r="L21" s="510">
        <f t="shared" si="13"/>
        <v>0.46194082191780822</v>
      </c>
      <c r="M21" s="510">
        <f t="shared" si="13"/>
        <v>0.45440917808219172</v>
      </c>
      <c r="N21" s="510">
        <f t="shared" si="13"/>
        <v>0.46194082191780822</v>
      </c>
      <c r="O21" s="510">
        <f t="shared" si="13"/>
        <v>0.45440917808219172</v>
      </c>
      <c r="P21" s="510">
        <f t="shared" si="13"/>
        <v>0.46194082191780822</v>
      </c>
      <c r="Q21" s="510">
        <f t="shared" si="14"/>
        <v>0.45440917808219172</v>
      </c>
      <c r="R21" s="510">
        <f t="shared" si="14"/>
        <v>0.4606786885245901</v>
      </c>
      <c r="S21" s="510">
        <f t="shared" si="14"/>
        <v>0.45567131147540979</v>
      </c>
      <c r="T21" s="510">
        <f t="shared" si="14"/>
        <v>0.46194082191780822</v>
      </c>
      <c r="U21" s="510">
        <f t="shared" si="14"/>
        <v>0.45440917808219172</v>
      </c>
      <c r="V21" s="510">
        <f t="shared" si="14"/>
        <v>0.46194082191780822</v>
      </c>
      <c r="W21" s="510">
        <f t="shared" si="14"/>
        <v>0.45440917808219172</v>
      </c>
      <c r="X21" s="510">
        <f t="shared" si="14"/>
        <v>0.46194082191780822</v>
      </c>
      <c r="Y21" s="510">
        <f t="shared" si="14"/>
        <v>0.45440917808219172</v>
      </c>
      <c r="Z21" s="510">
        <f t="shared" si="14"/>
        <v>0.4606786885245901</v>
      </c>
      <c r="AA21" s="510">
        <f t="shared" si="15"/>
        <v>0.45567131147540979</v>
      </c>
      <c r="AB21" s="510">
        <f t="shared" si="15"/>
        <v>0.46194082191780822</v>
      </c>
      <c r="AC21" s="510">
        <f t="shared" si="15"/>
        <v>0.45440917808219172</v>
      </c>
      <c r="AD21" s="510">
        <f t="shared" si="15"/>
        <v>0.46194082191780822</v>
      </c>
      <c r="AE21" s="510">
        <f t="shared" si="15"/>
        <v>0.45440917808219172</v>
      </c>
      <c r="AF21" s="510">
        <f t="shared" si="15"/>
        <v>0.46194082191780822</v>
      </c>
      <c r="AG21" s="510">
        <f t="shared" si="15"/>
        <v>0.45440917808219172</v>
      </c>
      <c r="AH21" s="510">
        <f t="shared" si="15"/>
        <v>0.4606786885245901</v>
      </c>
      <c r="AI21" s="510">
        <f t="shared" si="15"/>
        <v>0.45567131147540979</v>
      </c>
      <c r="AJ21" s="510">
        <f t="shared" si="15"/>
        <v>0.46194082191780822</v>
      </c>
      <c r="AK21" s="510">
        <f t="shared" si="16"/>
        <v>0.45440917808219172</v>
      </c>
      <c r="AL21" s="510">
        <f t="shared" si="16"/>
        <v>0.46194082191780822</v>
      </c>
      <c r="AM21" s="510">
        <f t="shared" si="16"/>
        <v>0.45440917808219172</v>
      </c>
      <c r="AN21" s="510">
        <f t="shared" si="16"/>
        <v>0.46194082191780822</v>
      </c>
      <c r="AO21" s="510">
        <f t="shared" si="16"/>
        <v>0.45440917808219172</v>
      </c>
      <c r="AP21" s="510">
        <f t="shared" si="16"/>
        <v>0.4606786885245901</v>
      </c>
      <c r="AQ21" s="510">
        <f t="shared" si="16"/>
        <v>0.45567131147540979</v>
      </c>
      <c r="AR21" s="510">
        <f t="shared" si="16"/>
        <v>0.46194082191780822</v>
      </c>
      <c r="AS21" s="510">
        <f t="shared" si="16"/>
        <v>0.45440917808219172</v>
      </c>
      <c r="AT21" s="510">
        <f t="shared" si="16"/>
        <v>0.46194082191780822</v>
      </c>
      <c r="AU21" s="510">
        <f t="shared" si="17"/>
        <v>0.45440917808219172</v>
      </c>
      <c r="AV21" s="510">
        <f t="shared" si="17"/>
        <v>0</v>
      </c>
      <c r="AW21" s="510">
        <f t="shared" si="17"/>
        <v>0</v>
      </c>
      <c r="AX21" s="510">
        <f t="shared" si="17"/>
        <v>0</v>
      </c>
      <c r="AY21" s="510">
        <f t="shared" si="17"/>
        <v>0</v>
      </c>
      <c r="AZ21" s="510">
        <f t="shared" si="17"/>
        <v>0</v>
      </c>
      <c r="BA21" s="510">
        <f t="shared" si="17"/>
        <v>0</v>
      </c>
      <c r="BB21" s="510">
        <f t="shared" si="17"/>
        <v>0</v>
      </c>
      <c r="BC21" s="510">
        <f t="shared" si="17"/>
        <v>0</v>
      </c>
      <c r="BD21" s="510">
        <f t="shared" si="17"/>
        <v>0</v>
      </c>
      <c r="BE21" s="510">
        <f t="shared" si="18"/>
        <v>0</v>
      </c>
      <c r="BF21" s="510">
        <f t="shared" si="18"/>
        <v>0</v>
      </c>
      <c r="BG21" s="510">
        <f t="shared" si="18"/>
        <v>0</v>
      </c>
      <c r="BH21" s="510">
        <f t="shared" si="18"/>
        <v>0</v>
      </c>
      <c r="BI21" s="510">
        <f t="shared" si="18"/>
        <v>0</v>
      </c>
      <c r="BJ21" s="510">
        <f t="shared" si="18"/>
        <v>0</v>
      </c>
      <c r="BK21" s="510">
        <f t="shared" si="18"/>
        <v>0</v>
      </c>
      <c r="BL21" s="510">
        <f t="shared" si="18"/>
        <v>0</v>
      </c>
      <c r="BM21" s="510">
        <f t="shared" si="18"/>
        <v>0</v>
      </c>
      <c r="BN21" s="510">
        <f t="shared" si="18"/>
        <v>0</v>
      </c>
      <c r="BO21" s="510">
        <f t="shared" si="19"/>
        <v>0</v>
      </c>
      <c r="BP21" s="510">
        <f t="shared" si="19"/>
        <v>0</v>
      </c>
      <c r="BQ21" s="510">
        <f t="shared" si="19"/>
        <v>0</v>
      </c>
      <c r="BR21" s="510">
        <f t="shared" si="19"/>
        <v>0</v>
      </c>
      <c r="BS21" s="510">
        <f t="shared" si="19"/>
        <v>0</v>
      </c>
      <c r="BT21" s="510">
        <f t="shared" si="19"/>
        <v>0</v>
      </c>
      <c r="BU21" s="510">
        <f t="shared" si="19"/>
        <v>0</v>
      </c>
      <c r="BV21" s="510">
        <f t="shared" si="19"/>
        <v>0</v>
      </c>
      <c r="BW21" s="510">
        <f t="shared" si="19"/>
        <v>0</v>
      </c>
      <c r="BX21" s="510">
        <f t="shared" si="19"/>
        <v>0</v>
      </c>
      <c r="BY21" s="510">
        <f t="shared" si="20"/>
        <v>0</v>
      </c>
      <c r="BZ21" s="510">
        <f t="shared" si="20"/>
        <v>0</v>
      </c>
      <c r="CA21" s="510">
        <f t="shared" si="20"/>
        <v>0</v>
      </c>
      <c r="CB21" s="510">
        <f t="shared" si="20"/>
        <v>0</v>
      </c>
      <c r="CC21" s="510">
        <f t="shared" si="20"/>
        <v>0</v>
      </c>
      <c r="CD21" s="510">
        <f t="shared" si="20"/>
        <v>0</v>
      </c>
      <c r="CE21" s="510">
        <f t="shared" si="20"/>
        <v>0</v>
      </c>
      <c r="CF21" s="510">
        <f t="shared" si="20"/>
        <v>0</v>
      </c>
      <c r="CG21" s="510">
        <f t="shared" si="20"/>
        <v>0</v>
      </c>
      <c r="CH21" s="510">
        <f t="shared" si="20"/>
        <v>0</v>
      </c>
      <c r="CI21" s="510">
        <f t="shared" si="21"/>
        <v>0</v>
      </c>
      <c r="CJ21" s="510">
        <f t="shared" si="21"/>
        <v>0</v>
      </c>
      <c r="CK21" s="510">
        <f t="shared" si="21"/>
        <v>0</v>
      </c>
      <c r="CL21" s="510">
        <f t="shared" si="21"/>
        <v>0</v>
      </c>
      <c r="CM21" s="510">
        <f t="shared" si="21"/>
        <v>0</v>
      </c>
      <c r="CN21" s="510">
        <f t="shared" si="21"/>
        <v>0</v>
      </c>
      <c r="CO21" s="510">
        <f t="shared" si="21"/>
        <v>0</v>
      </c>
      <c r="CP21" s="510">
        <f t="shared" si="21"/>
        <v>0</v>
      </c>
      <c r="CQ21" s="510">
        <f t="shared" si="21"/>
        <v>0</v>
      </c>
      <c r="CR21" s="510">
        <f t="shared" si="21"/>
        <v>0</v>
      </c>
      <c r="CS21" s="510">
        <f t="shared" si="22"/>
        <v>0</v>
      </c>
      <c r="CT21" s="510">
        <f t="shared" si="22"/>
        <v>0</v>
      </c>
      <c r="CU21" s="510">
        <f t="shared" si="22"/>
        <v>0</v>
      </c>
      <c r="CV21" s="510">
        <f t="shared" si="22"/>
        <v>0</v>
      </c>
      <c r="CW21" s="510">
        <f t="shared" si="22"/>
        <v>0</v>
      </c>
      <c r="CX21" s="510">
        <f t="shared" si="22"/>
        <v>0</v>
      </c>
      <c r="CY21" s="510">
        <f t="shared" si="22"/>
        <v>0</v>
      </c>
      <c r="CZ21" s="510">
        <f t="shared" si="22"/>
        <v>0</v>
      </c>
      <c r="DA21" s="510">
        <f t="shared" si="22"/>
        <v>0</v>
      </c>
      <c r="DB21" s="510">
        <f t="shared" si="22"/>
        <v>0</v>
      </c>
      <c r="DC21" s="510">
        <f t="shared" si="23"/>
        <v>0</v>
      </c>
      <c r="DD21" s="510">
        <f t="shared" si="23"/>
        <v>0</v>
      </c>
      <c r="DE21" s="510">
        <f t="shared" si="23"/>
        <v>0</v>
      </c>
      <c r="DF21" s="510">
        <f t="shared" si="23"/>
        <v>0</v>
      </c>
      <c r="DG21" s="510">
        <f t="shared" si="23"/>
        <v>0</v>
      </c>
      <c r="DH21" s="510">
        <f t="shared" si="23"/>
        <v>0</v>
      </c>
      <c r="DI21" s="510">
        <f t="shared" si="23"/>
        <v>0</v>
      </c>
      <c r="DJ21" s="510">
        <f t="shared" si="23"/>
        <v>0</v>
      </c>
      <c r="DK21" s="510">
        <f t="shared" si="23"/>
        <v>0</v>
      </c>
      <c r="DL21" s="510">
        <f t="shared" si="23"/>
        <v>0</v>
      </c>
      <c r="DM21" s="510">
        <f t="shared" si="24"/>
        <v>0</v>
      </c>
      <c r="DN21" s="510">
        <f t="shared" si="24"/>
        <v>0</v>
      </c>
      <c r="DO21" s="510">
        <f t="shared" si="24"/>
        <v>0</v>
      </c>
      <c r="DP21" s="510">
        <f t="shared" si="24"/>
        <v>0</v>
      </c>
      <c r="DQ21" s="510">
        <f t="shared" si="24"/>
        <v>0</v>
      </c>
      <c r="DR21" s="510">
        <f t="shared" si="24"/>
        <v>0</v>
      </c>
      <c r="DS21" s="510">
        <f t="shared" si="24"/>
        <v>0</v>
      </c>
      <c r="DT21" s="510">
        <f t="shared" si="24"/>
        <v>0</v>
      </c>
      <c r="DU21" s="510">
        <f t="shared" si="24"/>
        <v>0</v>
      </c>
      <c r="DV21" s="510">
        <f t="shared" si="24"/>
        <v>0</v>
      </c>
      <c r="DW21" s="510">
        <f t="shared" si="24"/>
        <v>0</v>
      </c>
    </row>
    <row r="22" spans="1:127">
      <c r="A22" s="605" t="str">
        <f>Inputs!A390</f>
        <v xml:space="preserve"> Project Rights </v>
      </c>
      <c r="B22" s="989">
        <f>Inputs!$D390</f>
        <v>20</v>
      </c>
      <c r="C22" s="976">
        <f>Inputs!$G390</f>
        <v>8524.4845000000005</v>
      </c>
      <c r="D22" s="510">
        <f t="shared" si="12"/>
        <v>8524.4845000000005</v>
      </c>
      <c r="E22" s="513"/>
      <c r="F22" s="481"/>
      <c r="G22" s="510">
        <f t="shared" si="13"/>
        <v>0</v>
      </c>
      <c r="H22" s="510">
        <f t="shared" si="13"/>
        <v>214.86371890410962</v>
      </c>
      <c r="I22" s="510">
        <f t="shared" si="13"/>
        <v>211.36050609589043</v>
      </c>
      <c r="J22" s="510">
        <f t="shared" si="13"/>
        <v>214.27665956284156</v>
      </c>
      <c r="K22" s="510">
        <f t="shared" si="13"/>
        <v>211.94756543715849</v>
      </c>
      <c r="L22" s="510">
        <f t="shared" si="13"/>
        <v>214.86371890410962</v>
      </c>
      <c r="M22" s="510">
        <f t="shared" si="13"/>
        <v>211.36050609589043</v>
      </c>
      <c r="N22" s="510">
        <f t="shared" si="13"/>
        <v>214.86371890410962</v>
      </c>
      <c r="O22" s="510">
        <f t="shared" si="13"/>
        <v>211.36050609589043</v>
      </c>
      <c r="P22" s="510">
        <f t="shared" si="13"/>
        <v>214.86371890410962</v>
      </c>
      <c r="Q22" s="510">
        <f t="shared" si="14"/>
        <v>211.36050609589043</v>
      </c>
      <c r="R22" s="510">
        <f t="shared" si="14"/>
        <v>214.27665956284156</v>
      </c>
      <c r="S22" s="510">
        <f t="shared" si="14"/>
        <v>211.94756543715849</v>
      </c>
      <c r="T22" s="510">
        <f t="shared" si="14"/>
        <v>214.86371890410962</v>
      </c>
      <c r="U22" s="510">
        <f t="shared" si="14"/>
        <v>211.36050609589043</v>
      </c>
      <c r="V22" s="510">
        <f t="shared" si="14"/>
        <v>214.86371890410962</v>
      </c>
      <c r="W22" s="510">
        <f t="shared" si="14"/>
        <v>211.36050609589043</v>
      </c>
      <c r="X22" s="510">
        <f t="shared" si="14"/>
        <v>214.86371890410962</v>
      </c>
      <c r="Y22" s="510">
        <f t="shared" si="14"/>
        <v>211.36050609589043</v>
      </c>
      <c r="Z22" s="510">
        <f t="shared" si="14"/>
        <v>214.27665956284156</v>
      </c>
      <c r="AA22" s="510">
        <f t="shared" si="15"/>
        <v>211.94756543715849</v>
      </c>
      <c r="AB22" s="510">
        <f t="shared" si="15"/>
        <v>214.86371890410962</v>
      </c>
      <c r="AC22" s="510">
        <f t="shared" si="15"/>
        <v>211.36050609589043</v>
      </c>
      <c r="AD22" s="510">
        <f t="shared" si="15"/>
        <v>214.86371890410962</v>
      </c>
      <c r="AE22" s="510">
        <f t="shared" si="15"/>
        <v>211.36050609589043</v>
      </c>
      <c r="AF22" s="510">
        <f t="shared" si="15"/>
        <v>214.86371890410962</v>
      </c>
      <c r="AG22" s="510">
        <f t="shared" si="15"/>
        <v>211.36050609589043</v>
      </c>
      <c r="AH22" s="510">
        <f t="shared" si="15"/>
        <v>214.27665956284156</v>
      </c>
      <c r="AI22" s="510">
        <f t="shared" si="15"/>
        <v>211.94756543715849</v>
      </c>
      <c r="AJ22" s="510">
        <f t="shared" si="15"/>
        <v>214.86371890410962</v>
      </c>
      <c r="AK22" s="510">
        <f t="shared" si="16"/>
        <v>211.36050609589043</v>
      </c>
      <c r="AL22" s="510">
        <f t="shared" si="16"/>
        <v>214.86371890410962</v>
      </c>
      <c r="AM22" s="510">
        <f t="shared" si="16"/>
        <v>211.36050609589043</v>
      </c>
      <c r="AN22" s="510">
        <f t="shared" si="16"/>
        <v>214.86371890410962</v>
      </c>
      <c r="AO22" s="510">
        <f t="shared" si="16"/>
        <v>211.36050609589043</v>
      </c>
      <c r="AP22" s="510">
        <f t="shared" si="16"/>
        <v>214.27665956284156</v>
      </c>
      <c r="AQ22" s="510">
        <f t="shared" si="16"/>
        <v>211.94756543715849</v>
      </c>
      <c r="AR22" s="510">
        <f t="shared" si="16"/>
        <v>214.86371890410962</v>
      </c>
      <c r="AS22" s="510">
        <f t="shared" si="16"/>
        <v>211.36050609589043</v>
      </c>
      <c r="AT22" s="510">
        <f t="shared" si="16"/>
        <v>214.86371890410962</v>
      </c>
      <c r="AU22" s="510">
        <f t="shared" si="17"/>
        <v>211.36050609589043</v>
      </c>
      <c r="AV22" s="510">
        <f t="shared" si="17"/>
        <v>0</v>
      </c>
      <c r="AW22" s="510">
        <f t="shared" si="17"/>
        <v>0</v>
      </c>
      <c r="AX22" s="510">
        <f t="shared" si="17"/>
        <v>0</v>
      </c>
      <c r="AY22" s="510">
        <f t="shared" si="17"/>
        <v>0</v>
      </c>
      <c r="AZ22" s="510">
        <f t="shared" si="17"/>
        <v>0</v>
      </c>
      <c r="BA22" s="510">
        <f t="shared" si="17"/>
        <v>0</v>
      </c>
      <c r="BB22" s="510">
        <f t="shared" si="17"/>
        <v>0</v>
      </c>
      <c r="BC22" s="510">
        <f t="shared" si="17"/>
        <v>0</v>
      </c>
      <c r="BD22" s="510">
        <f t="shared" si="17"/>
        <v>0</v>
      </c>
      <c r="BE22" s="510">
        <f t="shared" si="18"/>
        <v>0</v>
      </c>
      <c r="BF22" s="510">
        <f t="shared" si="18"/>
        <v>0</v>
      </c>
      <c r="BG22" s="510">
        <f t="shared" si="18"/>
        <v>0</v>
      </c>
      <c r="BH22" s="510">
        <f t="shared" si="18"/>
        <v>0</v>
      </c>
      <c r="BI22" s="510">
        <f t="shared" si="18"/>
        <v>0</v>
      </c>
      <c r="BJ22" s="510">
        <f t="shared" si="18"/>
        <v>0</v>
      </c>
      <c r="BK22" s="510">
        <f t="shared" si="18"/>
        <v>0</v>
      </c>
      <c r="BL22" s="510">
        <f t="shared" si="18"/>
        <v>0</v>
      </c>
      <c r="BM22" s="510">
        <f t="shared" si="18"/>
        <v>0</v>
      </c>
      <c r="BN22" s="510">
        <f t="shared" si="18"/>
        <v>0</v>
      </c>
      <c r="BO22" s="510">
        <f t="shared" si="19"/>
        <v>0</v>
      </c>
      <c r="BP22" s="510">
        <f t="shared" si="19"/>
        <v>0</v>
      </c>
      <c r="BQ22" s="510">
        <f t="shared" si="19"/>
        <v>0</v>
      </c>
      <c r="BR22" s="510">
        <f t="shared" si="19"/>
        <v>0</v>
      </c>
      <c r="BS22" s="510">
        <f t="shared" si="19"/>
        <v>0</v>
      </c>
      <c r="BT22" s="510">
        <f t="shared" si="19"/>
        <v>0</v>
      </c>
      <c r="BU22" s="510">
        <f t="shared" si="19"/>
        <v>0</v>
      </c>
      <c r="BV22" s="510">
        <f t="shared" si="19"/>
        <v>0</v>
      </c>
      <c r="BW22" s="510">
        <f t="shared" si="19"/>
        <v>0</v>
      </c>
      <c r="BX22" s="510">
        <f t="shared" si="19"/>
        <v>0</v>
      </c>
      <c r="BY22" s="510">
        <f t="shared" si="20"/>
        <v>0</v>
      </c>
      <c r="BZ22" s="510">
        <f t="shared" si="20"/>
        <v>0</v>
      </c>
      <c r="CA22" s="510">
        <f t="shared" si="20"/>
        <v>0</v>
      </c>
      <c r="CB22" s="510">
        <f t="shared" si="20"/>
        <v>0</v>
      </c>
      <c r="CC22" s="510">
        <f t="shared" si="20"/>
        <v>0</v>
      </c>
      <c r="CD22" s="510">
        <f t="shared" si="20"/>
        <v>0</v>
      </c>
      <c r="CE22" s="510">
        <f t="shared" si="20"/>
        <v>0</v>
      </c>
      <c r="CF22" s="510">
        <f t="shared" si="20"/>
        <v>0</v>
      </c>
      <c r="CG22" s="510">
        <f t="shared" si="20"/>
        <v>0</v>
      </c>
      <c r="CH22" s="510">
        <f t="shared" si="20"/>
        <v>0</v>
      </c>
      <c r="CI22" s="510">
        <f t="shared" si="21"/>
        <v>0</v>
      </c>
      <c r="CJ22" s="510">
        <f t="shared" si="21"/>
        <v>0</v>
      </c>
      <c r="CK22" s="510">
        <f t="shared" si="21"/>
        <v>0</v>
      </c>
      <c r="CL22" s="510">
        <f t="shared" si="21"/>
        <v>0</v>
      </c>
      <c r="CM22" s="510">
        <f t="shared" si="21"/>
        <v>0</v>
      </c>
      <c r="CN22" s="510">
        <f t="shared" si="21"/>
        <v>0</v>
      </c>
      <c r="CO22" s="510">
        <f t="shared" si="21"/>
        <v>0</v>
      </c>
      <c r="CP22" s="510">
        <f t="shared" si="21"/>
        <v>0</v>
      </c>
      <c r="CQ22" s="510">
        <f t="shared" si="21"/>
        <v>0</v>
      </c>
      <c r="CR22" s="510">
        <f t="shared" si="21"/>
        <v>0</v>
      </c>
      <c r="CS22" s="510">
        <f t="shared" si="22"/>
        <v>0</v>
      </c>
      <c r="CT22" s="510">
        <f t="shared" si="22"/>
        <v>0</v>
      </c>
      <c r="CU22" s="510">
        <f t="shared" si="22"/>
        <v>0</v>
      </c>
      <c r="CV22" s="510">
        <f t="shared" si="22"/>
        <v>0</v>
      </c>
      <c r="CW22" s="510">
        <f t="shared" si="22"/>
        <v>0</v>
      </c>
      <c r="CX22" s="510">
        <f t="shared" si="22"/>
        <v>0</v>
      </c>
      <c r="CY22" s="510">
        <f t="shared" si="22"/>
        <v>0</v>
      </c>
      <c r="CZ22" s="510">
        <f t="shared" si="22"/>
        <v>0</v>
      </c>
      <c r="DA22" s="510">
        <f t="shared" si="22"/>
        <v>0</v>
      </c>
      <c r="DB22" s="510">
        <f t="shared" si="22"/>
        <v>0</v>
      </c>
      <c r="DC22" s="510">
        <f t="shared" si="23"/>
        <v>0</v>
      </c>
      <c r="DD22" s="510">
        <f t="shared" si="23"/>
        <v>0</v>
      </c>
      <c r="DE22" s="510">
        <f t="shared" si="23"/>
        <v>0</v>
      </c>
      <c r="DF22" s="510">
        <f t="shared" si="23"/>
        <v>0</v>
      </c>
      <c r="DG22" s="510">
        <f t="shared" si="23"/>
        <v>0</v>
      </c>
      <c r="DH22" s="510">
        <f t="shared" si="23"/>
        <v>0</v>
      </c>
      <c r="DI22" s="510">
        <f t="shared" si="23"/>
        <v>0</v>
      </c>
      <c r="DJ22" s="510">
        <f t="shared" si="23"/>
        <v>0</v>
      </c>
      <c r="DK22" s="510">
        <f t="shared" si="23"/>
        <v>0</v>
      </c>
      <c r="DL22" s="510">
        <f t="shared" si="23"/>
        <v>0</v>
      </c>
      <c r="DM22" s="510">
        <f t="shared" si="24"/>
        <v>0</v>
      </c>
      <c r="DN22" s="510">
        <f t="shared" si="24"/>
        <v>0</v>
      </c>
      <c r="DO22" s="510">
        <f t="shared" si="24"/>
        <v>0</v>
      </c>
      <c r="DP22" s="510">
        <f t="shared" si="24"/>
        <v>0</v>
      </c>
      <c r="DQ22" s="510">
        <f t="shared" si="24"/>
        <v>0</v>
      </c>
      <c r="DR22" s="510">
        <f t="shared" si="24"/>
        <v>0</v>
      </c>
      <c r="DS22" s="510">
        <f t="shared" si="24"/>
        <v>0</v>
      </c>
      <c r="DT22" s="510">
        <f t="shared" si="24"/>
        <v>0</v>
      </c>
      <c r="DU22" s="510">
        <f t="shared" si="24"/>
        <v>0</v>
      </c>
      <c r="DV22" s="510">
        <f t="shared" si="24"/>
        <v>0</v>
      </c>
      <c r="DW22" s="510">
        <f t="shared" si="24"/>
        <v>0</v>
      </c>
    </row>
    <row r="23" spans="1:127">
      <c r="A23" s="605" t="str">
        <f>Inputs!A391</f>
        <v>IDCs</v>
      </c>
      <c r="B23" s="989">
        <f>Inputs!$D391</f>
        <v>12</v>
      </c>
      <c r="C23" s="976">
        <f>Inputs!$G391</f>
        <v>1086.031998482634</v>
      </c>
      <c r="D23" s="510">
        <f t="shared" si="12"/>
        <v>1086.031998482634</v>
      </c>
      <c r="E23" s="513"/>
      <c r="F23" s="481"/>
      <c r="G23" s="510">
        <f t="shared" si="13"/>
        <v>0</v>
      </c>
      <c r="H23" s="510">
        <f t="shared" si="13"/>
        <v>45.623262036713392</v>
      </c>
      <c r="I23" s="510">
        <f t="shared" si="13"/>
        <v>44.879404503506109</v>
      </c>
      <c r="J23" s="510">
        <f t="shared" si="13"/>
        <v>45.498608315301603</v>
      </c>
      <c r="K23" s="510">
        <f t="shared" si="13"/>
        <v>45.004058224917891</v>
      </c>
      <c r="L23" s="510">
        <f t="shared" si="13"/>
        <v>45.623262036713392</v>
      </c>
      <c r="M23" s="510">
        <f t="shared" si="13"/>
        <v>44.879404503506109</v>
      </c>
      <c r="N23" s="510">
        <f t="shared" si="13"/>
        <v>45.623262036713392</v>
      </c>
      <c r="O23" s="510">
        <f t="shared" si="13"/>
        <v>44.879404503506109</v>
      </c>
      <c r="P23" s="510">
        <f t="shared" si="13"/>
        <v>45.623262036713392</v>
      </c>
      <c r="Q23" s="510">
        <f t="shared" si="14"/>
        <v>44.879404503506109</v>
      </c>
      <c r="R23" s="510">
        <f t="shared" si="14"/>
        <v>45.498608315301603</v>
      </c>
      <c r="S23" s="510">
        <f t="shared" si="14"/>
        <v>45.004058224917891</v>
      </c>
      <c r="T23" s="510">
        <f t="shared" si="14"/>
        <v>45.623262036713392</v>
      </c>
      <c r="U23" s="510">
        <f t="shared" si="14"/>
        <v>44.879404503506109</v>
      </c>
      <c r="V23" s="510">
        <f t="shared" si="14"/>
        <v>45.623262036713392</v>
      </c>
      <c r="W23" s="510">
        <f t="shared" si="14"/>
        <v>44.879404503506109</v>
      </c>
      <c r="X23" s="510">
        <f t="shared" si="14"/>
        <v>45.623262036713392</v>
      </c>
      <c r="Y23" s="510">
        <f t="shared" si="14"/>
        <v>44.879404503506109</v>
      </c>
      <c r="Z23" s="510">
        <f t="shared" si="14"/>
        <v>45.498608315301603</v>
      </c>
      <c r="AA23" s="510">
        <f t="shared" si="15"/>
        <v>45.004058224917891</v>
      </c>
      <c r="AB23" s="510">
        <f t="shared" si="15"/>
        <v>45.623262036713392</v>
      </c>
      <c r="AC23" s="510">
        <f t="shared" si="15"/>
        <v>44.879404503506109</v>
      </c>
      <c r="AD23" s="510">
        <f t="shared" si="15"/>
        <v>45.623262036713392</v>
      </c>
      <c r="AE23" s="510">
        <f t="shared" si="15"/>
        <v>44.879404503506109</v>
      </c>
      <c r="AF23" s="510">
        <f t="shared" si="15"/>
        <v>0</v>
      </c>
      <c r="AG23" s="510">
        <f t="shared" si="15"/>
        <v>0</v>
      </c>
      <c r="AH23" s="510">
        <f t="shared" si="15"/>
        <v>0</v>
      </c>
      <c r="AI23" s="510">
        <f t="shared" si="15"/>
        <v>0</v>
      </c>
      <c r="AJ23" s="510">
        <f t="shared" si="15"/>
        <v>0</v>
      </c>
      <c r="AK23" s="510">
        <f t="shared" si="16"/>
        <v>0</v>
      </c>
      <c r="AL23" s="510">
        <f t="shared" si="16"/>
        <v>0</v>
      </c>
      <c r="AM23" s="510">
        <f t="shared" si="16"/>
        <v>0</v>
      </c>
      <c r="AN23" s="510">
        <f t="shared" si="16"/>
        <v>0</v>
      </c>
      <c r="AO23" s="510">
        <f t="shared" si="16"/>
        <v>0</v>
      </c>
      <c r="AP23" s="510">
        <f t="shared" si="16"/>
        <v>0</v>
      </c>
      <c r="AQ23" s="510">
        <f t="shared" si="16"/>
        <v>0</v>
      </c>
      <c r="AR23" s="510">
        <f t="shared" si="16"/>
        <v>0</v>
      </c>
      <c r="AS23" s="510">
        <f t="shared" si="16"/>
        <v>0</v>
      </c>
      <c r="AT23" s="510">
        <f t="shared" si="16"/>
        <v>0</v>
      </c>
      <c r="AU23" s="510">
        <f t="shared" si="17"/>
        <v>0</v>
      </c>
      <c r="AV23" s="510">
        <f t="shared" si="17"/>
        <v>0</v>
      </c>
      <c r="AW23" s="510">
        <f t="shared" si="17"/>
        <v>0</v>
      </c>
      <c r="AX23" s="510">
        <f t="shared" si="17"/>
        <v>0</v>
      </c>
      <c r="AY23" s="510">
        <f t="shared" si="17"/>
        <v>0</v>
      </c>
      <c r="AZ23" s="510">
        <f t="shared" si="17"/>
        <v>0</v>
      </c>
      <c r="BA23" s="510">
        <f t="shared" si="17"/>
        <v>0</v>
      </c>
      <c r="BB23" s="510">
        <f t="shared" si="17"/>
        <v>0</v>
      </c>
      <c r="BC23" s="510">
        <f t="shared" si="17"/>
        <v>0</v>
      </c>
      <c r="BD23" s="510">
        <f t="shared" si="17"/>
        <v>0</v>
      </c>
      <c r="BE23" s="510">
        <f t="shared" si="18"/>
        <v>0</v>
      </c>
      <c r="BF23" s="510">
        <f t="shared" si="18"/>
        <v>0</v>
      </c>
      <c r="BG23" s="510">
        <f t="shared" si="18"/>
        <v>0</v>
      </c>
      <c r="BH23" s="510">
        <f t="shared" si="18"/>
        <v>0</v>
      </c>
      <c r="BI23" s="510">
        <f t="shared" si="18"/>
        <v>0</v>
      </c>
      <c r="BJ23" s="510">
        <f t="shared" si="18"/>
        <v>0</v>
      </c>
      <c r="BK23" s="510">
        <f t="shared" si="18"/>
        <v>0</v>
      </c>
      <c r="BL23" s="510">
        <f t="shared" si="18"/>
        <v>0</v>
      </c>
      <c r="BM23" s="510">
        <f t="shared" si="18"/>
        <v>0</v>
      </c>
      <c r="BN23" s="510">
        <f t="shared" si="18"/>
        <v>0</v>
      </c>
      <c r="BO23" s="510">
        <f t="shared" si="19"/>
        <v>0</v>
      </c>
      <c r="BP23" s="510">
        <f t="shared" si="19"/>
        <v>0</v>
      </c>
      <c r="BQ23" s="510">
        <f t="shared" si="19"/>
        <v>0</v>
      </c>
      <c r="BR23" s="510">
        <f t="shared" si="19"/>
        <v>0</v>
      </c>
      <c r="BS23" s="510">
        <f t="shared" si="19"/>
        <v>0</v>
      </c>
      <c r="BT23" s="510">
        <f t="shared" si="19"/>
        <v>0</v>
      </c>
      <c r="BU23" s="510">
        <f t="shared" si="19"/>
        <v>0</v>
      </c>
      <c r="BV23" s="510">
        <f t="shared" si="19"/>
        <v>0</v>
      </c>
      <c r="BW23" s="510">
        <f t="shared" si="19"/>
        <v>0</v>
      </c>
      <c r="BX23" s="510">
        <f t="shared" si="19"/>
        <v>0</v>
      </c>
      <c r="BY23" s="510">
        <f t="shared" si="20"/>
        <v>0</v>
      </c>
      <c r="BZ23" s="510">
        <f t="shared" si="20"/>
        <v>0</v>
      </c>
      <c r="CA23" s="510">
        <f t="shared" si="20"/>
        <v>0</v>
      </c>
      <c r="CB23" s="510">
        <f t="shared" si="20"/>
        <v>0</v>
      </c>
      <c r="CC23" s="510">
        <f t="shared" si="20"/>
        <v>0</v>
      </c>
      <c r="CD23" s="510">
        <f t="shared" si="20"/>
        <v>0</v>
      </c>
      <c r="CE23" s="510">
        <f t="shared" si="20"/>
        <v>0</v>
      </c>
      <c r="CF23" s="510">
        <f t="shared" si="20"/>
        <v>0</v>
      </c>
      <c r="CG23" s="510">
        <f t="shared" si="20"/>
        <v>0</v>
      </c>
      <c r="CH23" s="510">
        <f t="shared" si="20"/>
        <v>0</v>
      </c>
      <c r="CI23" s="510">
        <f t="shared" si="21"/>
        <v>0</v>
      </c>
      <c r="CJ23" s="510">
        <f t="shared" si="21"/>
        <v>0</v>
      </c>
      <c r="CK23" s="510">
        <f t="shared" si="21"/>
        <v>0</v>
      </c>
      <c r="CL23" s="510">
        <f t="shared" si="21"/>
        <v>0</v>
      </c>
      <c r="CM23" s="510">
        <f t="shared" si="21"/>
        <v>0</v>
      </c>
      <c r="CN23" s="510">
        <f t="shared" si="21"/>
        <v>0</v>
      </c>
      <c r="CO23" s="510">
        <f t="shared" si="21"/>
        <v>0</v>
      </c>
      <c r="CP23" s="510">
        <f t="shared" si="21"/>
        <v>0</v>
      </c>
      <c r="CQ23" s="510">
        <f t="shared" si="21"/>
        <v>0</v>
      </c>
      <c r="CR23" s="510">
        <f t="shared" si="21"/>
        <v>0</v>
      </c>
      <c r="CS23" s="510">
        <f t="shared" si="22"/>
        <v>0</v>
      </c>
      <c r="CT23" s="510">
        <f t="shared" si="22"/>
        <v>0</v>
      </c>
      <c r="CU23" s="510">
        <f t="shared" si="22"/>
        <v>0</v>
      </c>
      <c r="CV23" s="510">
        <f t="shared" si="22"/>
        <v>0</v>
      </c>
      <c r="CW23" s="510">
        <f t="shared" si="22"/>
        <v>0</v>
      </c>
      <c r="CX23" s="510">
        <f t="shared" si="22"/>
        <v>0</v>
      </c>
      <c r="CY23" s="510">
        <f t="shared" si="22"/>
        <v>0</v>
      </c>
      <c r="CZ23" s="510">
        <f t="shared" si="22"/>
        <v>0</v>
      </c>
      <c r="DA23" s="510">
        <f t="shared" si="22"/>
        <v>0</v>
      </c>
      <c r="DB23" s="510">
        <f t="shared" si="22"/>
        <v>0</v>
      </c>
      <c r="DC23" s="510">
        <f t="shared" si="23"/>
        <v>0</v>
      </c>
      <c r="DD23" s="510">
        <f t="shared" si="23"/>
        <v>0</v>
      </c>
      <c r="DE23" s="510">
        <f t="shared" si="23"/>
        <v>0</v>
      </c>
      <c r="DF23" s="510">
        <f t="shared" si="23"/>
        <v>0</v>
      </c>
      <c r="DG23" s="510">
        <f t="shared" si="23"/>
        <v>0</v>
      </c>
      <c r="DH23" s="510">
        <f t="shared" si="23"/>
        <v>0</v>
      </c>
      <c r="DI23" s="510">
        <f t="shared" si="23"/>
        <v>0</v>
      </c>
      <c r="DJ23" s="510">
        <f t="shared" si="23"/>
        <v>0</v>
      </c>
      <c r="DK23" s="510">
        <f t="shared" si="23"/>
        <v>0</v>
      </c>
      <c r="DL23" s="510">
        <f t="shared" si="23"/>
        <v>0</v>
      </c>
      <c r="DM23" s="510">
        <f t="shared" si="24"/>
        <v>0</v>
      </c>
      <c r="DN23" s="510">
        <f t="shared" si="24"/>
        <v>0</v>
      </c>
      <c r="DO23" s="510">
        <f t="shared" si="24"/>
        <v>0</v>
      </c>
      <c r="DP23" s="510">
        <f t="shared" si="24"/>
        <v>0</v>
      </c>
      <c r="DQ23" s="510">
        <f t="shared" si="24"/>
        <v>0</v>
      </c>
      <c r="DR23" s="510">
        <f t="shared" si="24"/>
        <v>0</v>
      </c>
      <c r="DS23" s="510">
        <f t="shared" si="24"/>
        <v>0</v>
      </c>
      <c r="DT23" s="510">
        <f t="shared" si="24"/>
        <v>0</v>
      </c>
      <c r="DU23" s="510">
        <f t="shared" si="24"/>
        <v>0</v>
      </c>
      <c r="DV23" s="510">
        <f t="shared" si="24"/>
        <v>0</v>
      </c>
      <c r="DW23" s="510">
        <f t="shared" si="24"/>
        <v>0</v>
      </c>
    </row>
    <row r="24" spans="1:127">
      <c r="A24" s="605" t="str">
        <f>Inputs!A392</f>
        <v>Commitment Fees</v>
      </c>
      <c r="B24" s="989">
        <f>Inputs!$D392</f>
        <v>12</v>
      </c>
      <c r="C24" s="976">
        <f>Inputs!$G392</f>
        <v>188.56290055498553</v>
      </c>
      <c r="D24" s="510">
        <f t="shared" si="12"/>
        <v>188.5629005549855</v>
      </c>
      <c r="E24" s="513"/>
      <c r="F24" s="481"/>
      <c r="G24" s="510">
        <f t="shared" si="13"/>
        <v>0</v>
      </c>
      <c r="H24" s="510">
        <f t="shared" si="13"/>
        <v>7.9213638589308992</v>
      </c>
      <c r="I24" s="510">
        <f t="shared" si="13"/>
        <v>7.7922111873178954</v>
      </c>
      <c r="J24" s="510">
        <f t="shared" si="13"/>
        <v>7.8997207882780822</v>
      </c>
      <c r="K24" s="510">
        <f t="shared" si="13"/>
        <v>7.8138542579707115</v>
      </c>
      <c r="L24" s="510">
        <f t="shared" si="13"/>
        <v>7.9213638589308992</v>
      </c>
      <c r="M24" s="510">
        <f t="shared" si="13"/>
        <v>7.7922111873178954</v>
      </c>
      <c r="N24" s="510">
        <f t="shared" si="13"/>
        <v>7.9213638589308992</v>
      </c>
      <c r="O24" s="510">
        <f t="shared" si="13"/>
        <v>7.7922111873178954</v>
      </c>
      <c r="P24" s="510">
        <f t="shared" si="13"/>
        <v>7.9213638589308992</v>
      </c>
      <c r="Q24" s="510">
        <f t="shared" si="14"/>
        <v>7.7922111873178954</v>
      </c>
      <c r="R24" s="510">
        <f t="shared" si="14"/>
        <v>7.8997207882780822</v>
      </c>
      <c r="S24" s="510">
        <f t="shared" si="14"/>
        <v>7.8138542579707115</v>
      </c>
      <c r="T24" s="510">
        <f t="shared" si="14"/>
        <v>7.9213638589308992</v>
      </c>
      <c r="U24" s="510">
        <f t="shared" si="14"/>
        <v>7.7922111873178954</v>
      </c>
      <c r="V24" s="510">
        <f t="shared" si="14"/>
        <v>7.9213638589308992</v>
      </c>
      <c r="W24" s="510">
        <f t="shared" si="14"/>
        <v>7.7922111873178954</v>
      </c>
      <c r="X24" s="510">
        <f t="shared" si="14"/>
        <v>7.9213638589308992</v>
      </c>
      <c r="Y24" s="510">
        <f t="shared" si="14"/>
        <v>7.7922111873178954</v>
      </c>
      <c r="Z24" s="510">
        <f t="shared" si="14"/>
        <v>7.8997207882780822</v>
      </c>
      <c r="AA24" s="510">
        <f t="shared" si="15"/>
        <v>7.8138542579707115</v>
      </c>
      <c r="AB24" s="510">
        <f t="shared" si="15"/>
        <v>7.9213638589308992</v>
      </c>
      <c r="AC24" s="510">
        <f t="shared" si="15"/>
        <v>7.7922111873178954</v>
      </c>
      <c r="AD24" s="510">
        <f t="shared" si="15"/>
        <v>7.9213638589308992</v>
      </c>
      <c r="AE24" s="510">
        <f t="shared" si="15"/>
        <v>7.7922111873178954</v>
      </c>
      <c r="AF24" s="510">
        <f t="shared" si="15"/>
        <v>0</v>
      </c>
      <c r="AG24" s="510">
        <f t="shared" si="15"/>
        <v>0</v>
      </c>
      <c r="AH24" s="510">
        <f t="shared" si="15"/>
        <v>0</v>
      </c>
      <c r="AI24" s="510">
        <f t="shared" si="15"/>
        <v>0</v>
      </c>
      <c r="AJ24" s="510">
        <f t="shared" si="15"/>
        <v>0</v>
      </c>
      <c r="AK24" s="510">
        <f t="shared" si="16"/>
        <v>0</v>
      </c>
      <c r="AL24" s="510">
        <f t="shared" si="16"/>
        <v>0</v>
      </c>
      <c r="AM24" s="510">
        <f t="shared" si="16"/>
        <v>0</v>
      </c>
      <c r="AN24" s="510">
        <f t="shared" si="16"/>
        <v>0</v>
      </c>
      <c r="AO24" s="510">
        <f t="shared" si="16"/>
        <v>0</v>
      </c>
      <c r="AP24" s="510">
        <f t="shared" si="16"/>
        <v>0</v>
      </c>
      <c r="AQ24" s="510">
        <f t="shared" si="16"/>
        <v>0</v>
      </c>
      <c r="AR24" s="510">
        <f t="shared" si="16"/>
        <v>0</v>
      </c>
      <c r="AS24" s="510">
        <f t="shared" si="16"/>
        <v>0</v>
      </c>
      <c r="AT24" s="510">
        <f t="shared" si="16"/>
        <v>0</v>
      </c>
      <c r="AU24" s="510">
        <f t="shared" si="17"/>
        <v>0</v>
      </c>
      <c r="AV24" s="510">
        <f t="shared" si="17"/>
        <v>0</v>
      </c>
      <c r="AW24" s="510">
        <f t="shared" si="17"/>
        <v>0</v>
      </c>
      <c r="AX24" s="510">
        <f t="shared" si="17"/>
        <v>0</v>
      </c>
      <c r="AY24" s="510">
        <f t="shared" si="17"/>
        <v>0</v>
      </c>
      <c r="AZ24" s="510">
        <f t="shared" si="17"/>
        <v>0</v>
      </c>
      <c r="BA24" s="510">
        <f t="shared" si="17"/>
        <v>0</v>
      </c>
      <c r="BB24" s="510">
        <f t="shared" si="17"/>
        <v>0</v>
      </c>
      <c r="BC24" s="510">
        <f t="shared" si="17"/>
        <v>0</v>
      </c>
      <c r="BD24" s="510">
        <f t="shared" si="17"/>
        <v>0</v>
      </c>
      <c r="BE24" s="510">
        <f t="shared" si="18"/>
        <v>0</v>
      </c>
      <c r="BF24" s="510">
        <f t="shared" si="18"/>
        <v>0</v>
      </c>
      <c r="BG24" s="510">
        <f t="shared" si="18"/>
        <v>0</v>
      </c>
      <c r="BH24" s="510">
        <f t="shared" si="18"/>
        <v>0</v>
      </c>
      <c r="BI24" s="510">
        <f t="shared" si="18"/>
        <v>0</v>
      </c>
      <c r="BJ24" s="510">
        <f t="shared" si="18"/>
        <v>0</v>
      </c>
      <c r="BK24" s="510">
        <f t="shared" si="18"/>
        <v>0</v>
      </c>
      <c r="BL24" s="510">
        <f t="shared" si="18"/>
        <v>0</v>
      </c>
      <c r="BM24" s="510">
        <f t="shared" si="18"/>
        <v>0</v>
      </c>
      <c r="BN24" s="510">
        <f t="shared" si="18"/>
        <v>0</v>
      </c>
      <c r="BO24" s="510">
        <f t="shared" si="19"/>
        <v>0</v>
      </c>
      <c r="BP24" s="510">
        <f t="shared" si="19"/>
        <v>0</v>
      </c>
      <c r="BQ24" s="510">
        <f t="shared" si="19"/>
        <v>0</v>
      </c>
      <c r="BR24" s="510">
        <f t="shared" si="19"/>
        <v>0</v>
      </c>
      <c r="BS24" s="510">
        <f t="shared" si="19"/>
        <v>0</v>
      </c>
      <c r="BT24" s="510">
        <f t="shared" si="19"/>
        <v>0</v>
      </c>
      <c r="BU24" s="510">
        <f t="shared" si="19"/>
        <v>0</v>
      </c>
      <c r="BV24" s="510">
        <f t="shared" si="19"/>
        <v>0</v>
      </c>
      <c r="BW24" s="510">
        <f t="shared" si="19"/>
        <v>0</v>
      </c>
      <c r="BX24" s="510">
        <f t="shared" si="19"/>
        <v>0</v>
      </c>
      <c r="BY24" s="510">
        <f t="shared" si="20"/>
        <v>0</v>
      </c>
      <c r="BZ24" s="510">
        <f t="shared" si="20"/>
        <v>0</v>
      </c>
      <c r="CA24" s="510">
        <f t="shared" si="20"/>
        <v>0</v>
      </c>
      <c r="CB24" s="510">
        <f t="shared" si="20"/>
        <v>0</v>
      </c>
      <c r="CC24" s="510">
        <f t="shared" si="20"/>
        <v>0</v>
      </c>
      <c r="CD24" s="510">
        <f t="shared" si="20"/>
        <v>0</v>
      </c>
      <c r="CE24" s="510">
        <f t="shared" si="20"/>
        <v>0</v>
      </c>
      <c r="CF24" s="510">
        <f t="shared" si="20"/>
        <v>0</v>
      </c>
      <c r="CG24" s="510">
        <f t="shared" si="20"/>
        <v>0</v>
      </c>
      <c r="CH24" s="510">
        <f t="shared" si="20"/>
        <v>0</v>
      </c>
      <c r="CI24" s="510">
        <f t="shared" si="21"/>
        <v>0</v>
      </c>
      <c r="CJ24" s="510">
        <f t="shared" si="21"/>
        <v>0</v>
      </c>
      <c r="CK24" s="510">
        <f t="shared" si="21"/>
        <v>0</v>
      </c>
      <c r="CL24" s="510">
        <f t="shared" si="21"/>
        <v>0</v>
      </c>
      <c r="CM24" s="510">
        <f t="shared" si="21"/>
        <v>0</v>
      </c>
      <c r="CN24" s="510">
        <f t="shared" si="21"/>
        <v>0</v>
      </c>
      <c r="CO24" s="510">
        <f t="shared" si="21"/>
        <v>0</v>
      </c>
      <c r="CP24" s="510">
        <f t="shared" si="21"/>
        <v>0</v>
      </c>
      <c r="CQ24" s="510">
        <f t="shared" si="21"/>
        <v>0</v>
      </c>
      <c r="CR24" s="510">
        <f t="shared" si="21"/>
        <v>0</v>
      </c>
      <c r="CS24" s="510">
        <f t="shared" si="22"/>
        <v>0</v>
      </c>
      <c r="CT24" s="510">
        <f t="shared" si="22"/>
        <v>0</v>
      </c>
      <c r="CU24" s="510">
        <f t="shared" si="22"/>
        <v>0</v>
      </c>
      <c r="CV24" s="510">
        <f t="shared" si="22"/>
        <v>0</v>
      </c>
      <c r="CW24" s="510">
        <f t="shared" si="22"/>
        <v>0</v>
      </c>
      <c r="CX24" s="510">
        <f t="shared" si="22"/>
        <v>0</v>
      </c>
      <c r="CY24" s="510">
        <f t="shared" si="22"/>
        <v>0</v>
      </c>
      <c r="CZ24" s="510">
        <f t="shared" si="22"/>
        <v>0</v>
      </c>
      <c r="DA24" s="510">
        <f t="shared" si="22"/>
        <v>0</v>
      </c>
      <c r="DB24" s="510">
        <f t="shared" si="22"/>
        <v>0</v>
      </c>
      <c r="DC24" s="510">
        <f t="shared" si="23"/>
        <v>0</v>
      </c>
      <c r="DD24" s="510">
        <f t="shared" si="23"/>
        <v>0</v>
      </c>
      <c r="DE24" s="510">
        <f t="shared" si="23"/>
        <v>0</v>
      </c>
      <c r="DF24" s="510">
        <f t="shared" si="23"/>
        <v>0</v>
      </c>
      <c r="DG24" s="510">
        <f t="shared" si="23"/>
        <v>0</v>
      </c>
      <c r="DH24" s="510">
        <f t="shared" si="23"/>
        <v>0</v>
      </c>
      <c r="DI24" s="510">
        <f t="shared" si="23"/>
        <v>0</v>
      </c>
      <c r="DJ24" s="510">
        <f t="shared" si="23"/>
        <v>0</v>
      </c>
      <c r="DK24" s="510">
        <f t="shared" si="23"/>
        <v>0</v>
      </c>
      <c r="DL24" s="510">
        <f t="shared" si="23"/>
        <v>0</v>
      </c>
      <c r="DM24" s="510">
        <f t="shared" si="24"/>
        <v>0</v>
      </c>
      <c r="DN24" s="510">
        <f t="shared" si="24"/>
        <v>0</v>
      </c>
      <c r="DO24" s="510">
        <f t="shared" si="24"/>
        <v>0</v>
      </c>
      <c r="DP24" s="510">
        <f t="shared" si="24"/>
        <v>0</v>
      </c>
      <c r="DQ24" s="510">
        <f t="shared" si="24"/>
        <v>0</v>
      </c>
      <c r="DR24" s="510">
        <f t="shared" si="24"/>
        <v>0</v>
      </c>
      <c r="DS24" s="510">
        <f t="shared" si="24"/>
        <v>0</v>
      </c>
      <c r="DT24" s="510">
        <f t="shared" si="24"/>
        <v>0</v>
      </c>
      <c r="DU24" s="510">
        <f t="shared" si="24"/>
        <v>0</v>
      </c>
      <c r="DV24" s="510">
        <f t="shared" si="24"/>
        <v>0</v>
      </c>
      <c r="DW24" s="510">
        <f t="shared" si="24"/>
        <v>0</v>
      </c>
    </row>
    <row r="25" spans="1:127">
      <c r="A25" s="605" t="str">
        <f>Inputs!A393</f>
        <v>Bank Fees</v>
      </c>
      <c r="B25" s="989">
        <f>Inputs!$D393</f>
        <v>12</v>
      </c>
      <c r="C25" s="976">
        <f>Inputs!$G393</f>
        <v>477.30268707562993</v>
      </c>
      <c r="D25" s="510">
        <f t="shared" si="12"/>
        <v>477.30268707563005</v>
      </c>
      <c r="E25" s="513"/>
      <c r="F25" s="481"/>
      <c r="G25" s="510">
        <f t="shared" si="13"/>
        <v>0</v>
      </c>
      <c r="H25" s="510">
        <f t="shared" si="13"/>
        <v>20.051071785825552</v>
      </c>
      <c r="I25" s="510">
        <f t="shared" si="13"/>
        <v>19.724152137143612</v>
      </c>
      <c r="J25" s="510">
        <f t="shared" si="13"/>
        <v>19.99628743668395</v>
      </c>
      <c r="K25" s="510">
        <f t="shared" si="13"/>
        <v>19.778936486285211</v>
      </c>
      <c r="L25" s="510">
        <f t="shared" si="13"/>
        <v>20.051071785825552</v>
      </c>
      <c r="M25" s="510">
        <f t="shared" si="13"/>
        <v>19.724152137143612</v>
      </c>
      <c r="N25" s="510">
        <f t="shared" si="13"/>
        <v>20.051071785825552</v>
      </c>
      <c r="O25" s="510">
        <f t="shared" si="13"/>
        <v>19.724152137143612</v>
      </c>
      <c r="P25" s="510">
        <f t="shared" si="13"/>
        <v>20.051071785825552</v>
      </c>
      <c r="Q25" s="510">
        <f t="shared" si="14"/>
        <v>19.724152137143612</v>
      </c>
      <c r="R25" s="510">
        <f t="shared" si="14"/>
        <v>19.99628743668395</v>
      </c>
      <c r="S25" s="510">
        <f t="shared" si="14"/>
        <v>19.778936486285211</v>
      </c>
      <c r="T25" s="510">
        <f t="shared" si="14"/>
        <v>20.051071785825552</v>
      </c>
      <c r="U25" s="510">
        <f t="shared" si="14"/>
        <v>19.724152137143612</v>
      </c>
      <c r="V25" s="510">
        <f t="shared" si="14"/>
        <v>20.051071785825552</v>
      </c>
      <c r="W25" s="510">
        <f t="shared" si="14"/>
        <v>19.724152137143612</v>
      </c>
      <c r="X25" s="510">
        <f t="shared" si="14"/>
        <v>20.051071785825552</v>
      </c>
      <c r="Y25" s="510">
        <f t="shared" si="14"/>
        <v>19.724152137143612</v>
      </c>
      <c r="Z25" s="510">
        <f t="shared" si="14"/>
        <v>19.99628743668395</v>
      </c>
      <c r="AA25" s="510">
        <f t="shared" si="15"/>
        <v>19.778936486285211</v>
      </c>
      <c r="AB25" s="510">
        <f t="shared" si="15"/>
        <v>20.051071785825552</v>
      </c>
      <c r="AC25" s="510">
        <f t="shared" si="15"/>
        <v>19.724152137143612</v>
      </c>
      <c r="AD25" s="510">
        <f t="shared" si="15"/>
        <v>20.051071785825552</v>
      </c>
      <c r="AE25" s="510">
        <f t="shared" si="15"/>
        <v>19.724152137143612</v>
      </c>
      <c r="AF25" s="510">
        <f t="shared" si="15"/>
        <v>0</v>
      </c>
      <c r="AG25" s="510">
        <f t="shared" si="15"/>
        <v>0</v>
      </c>
      <c r="AH25" s="510">
        <f t="shared" si="15"/>
        <v>0</v>
      </c>
      <c r="AI25" s="510">
        <f t="shared" si="15"/>
        <v>0</v>
      </c>
      <c r="AJ25" s="510">
        <f t="shared" si="15"/>
        <v>0</v>
      </c>
      <c r="AK25" s="510">
        <f t="shared" si="16"/>
        <v>0</v>
      </c>
      <c r="AL25" s="510">
        <f t="shared" si="16"/>
        <v>0</v>
      </c>
      <c r="AM25" s="510">
        <f t="shared" si="16"/>
        <v>0</v>
      </c>
      <c r="AN25" s="510">
        <f t="shared" si="16"/>
        <v>0</v>
      </c>
      <c r="AO25" s="510">
        <f t="shared" si="16"/>
        <v>0</v>
      </c>
      <c r="AP25" s="510">
        <f t="shared" si="16"/>
        <v>0</v>
      </c>
      <c r="AQ25" s="510">
        <f t="shared" si="16"/>
        <v>0</v>
      </c>
      <c r="AR25" s="510">
        <f t="shared" si="16"/>
        <v>0</v>
      </c>
      <c r="AS25" s="510">
        <f t="shared" si="16"/>
        <v>0</v>
      </c>
      <c r="AT25" s="510">
        <f t="shared" si="16"/>
        <v>0</v>
      </c>
      <c r="AU25" s="510">
        <f t="shared" si="17"/>
        <v>0</v>
      </c>
      <c r="AV25" s="510">
        <f t="shared" si="17"/>
        <v>0</v>
      </c>
      <c r="AW25" s="510">
        <f t="shared" si="17"/>
        <v>0</v>
      </c>
      <c r="AX25" s="510">
        <f t="shared" si="17"/>
        <v>0</v>
      </c>
      <c r="AY25" s="510">
        <f t="shared" si="17"/>
        <v>0</v>
      </c>
      <c r="AZ25" s="510">
        <f t="shared" si="17"/>
        <v>0</v>
      </c>
      <c r="BA25" s="510">
        <f t="shared" si="17"/>
        <v>0</v>
      </c>
      <c r="BB25" s="510">
        <f t="shared" si="17"/>
        <v>0</v>
      </c>
      <c r="BC25" s="510">
        <f t="shared" si="17"/>
        <v>0</v>
      </c>
      <c r="BD25" s="510">
        <f t="shared" si="17"/>
        <v>0</v>
      </c>
      <c r="BE25" s="510">
        <f t="shared" si="18"/>
        <v>0</v>
      </c>
      <c r="BF25" s="510">
        <f t="shared" si="18"/>
        <v>0</v>
      </c>
      <c r="BG25" s="510">
        <f t="shared" si="18"/>
        <v>0</v>
      </c>
      <c r="BH25" s="510">
        <f t="shared" si="18"/>
        <v>0</v>
      </c>
      <c r="BI25" s="510">
        <f t="shared" si="18"/>
        <v>0</v>
      </c>
      <c r="BJ25" s="510">
        <f t="shared" si="18"/>
        <v>0</v>
      </c>
      <c r="BK25" s="510">
        <f t="shared" si="18"/>
        <v>0</v>
      </c>
      <c r="BL25" s="510">
        <f t="shared" si="18"/>
        <v>0</v>
      </c>
      <c r="BM25" s="510">
        <f t="shared" si="18"/>
        <v>0</v>
      </c>
      <c r="BN25" s="510">
        <f t="shared" si="18"/>
        <v>0</v>
      </c>
      <c r="BO25" s="510">
        <f t="shared" si="19"/>
        <v>0</v>
      </c>
      <c r="BP25" s="510">
        <f t="shared" si="19"/>
        <v>0</v>
      </c>
      <c r="BQ25" s="510">
        <f t="shared" si="19"/>
        <v>0</v>
      </c>
      <c r="BR25" s="510">
        <f t="shared" si="19"/>
        <v>0</v>
      </c>
      <c r="BS25" s="510">
        <f t="shared" si="19"/>
        <v>0</v>
      </c>
      <c r="BT25" s="510">
        <f t="shared" si="19"/>
        <v>0</v>
      </c>
      <c r="BU25" s="510">
        <f t="shared" si="19"/>
        <v>0</v>
      </c>
      <c r="BV25" s="510">
        <f t="shared" si="19"/>
        <v>0</v>
      </c>
      <c r="BW25" s="510">
        <f t="shared" si="19"/>
        <v>0</v>
      </c>
      <c r="BX25" s="510">
        <f t="shared" si="19"/>
        <v>0</v>
      </c>
      <c r="BY25" s="510">
        <f t="shared" si="20"/>
        <v>0</v>
      </c>
      <c r="BZ25" s="510">
        <f t="shared" si="20"/>
        <v>0</v>
      </c>
      <c r="CA25" s="510">
        <f t="shared" si="20"/>
        <v>0</v>
      </c>
      <c r="CB25" s="510">
        <f t="shared" si="20"/>
        <v>0</v>
      </c>
      <c r="CC25" s="510">
        <f t="shared" si="20"/>
        <v>0</v>
      </c>
      <c r="CD25" s="510">
        <f t="shared" si="20"/>
        <v>0</v>
      </c>
      <c r="CE25" s="510">
        <f t="shared" si="20"/>
        <v>0</v>
      </c>
      <c r="CF25" s="510">
        <f t="shared" si="20"/>
        <v>0</v>
      </c>
      <c r="CG25" s="510">
        <f t="shared" si="20"/>
        <v>0</v>
      </c>
      <c r="CH25" s="510">
        <f t="shared" si="20"/>
        <v>0</v>
      </c>
      <c r="CI25" s="510">
        <f t="shared" si="21"/>
        <v>0</v>
      </c>
      <c r="CJ25" s="510">
        <f t="shared" si="21"/>
        <v>0</v>
      </c>
      <c r="CK25" s="510">
        <f t="shared" si="21"/>
        <v>0</v>
      </c>
      <c r="CL25" s="510">
        <f t="shared" si="21"/>
        <v>0</v>
      </c>
      <c r="CM25" s="510">
        <f t="shared" si="21"/>
        <v>0</v>
      </c>
      <c r="CN25" s="510">
        <f t="shared" si="21"/>
        <v>0</v>
      </c>
      <c r="CO25" s="510">
        <f t="shared" si="21"/>
        <v>0</v>
      </c>
      <c r="CP25" s="510">
        <f t="shared" si="21"/>
        <v>0</v>
      </c>
      <c r="CQ25" s="510">
        <f t="shared" si="21"/>
        <v>0</v>
      </c>
      <c r="CR25" s="510">
        <f t="shared" si="21"/>
        <v>0</v>
      </c>
      <c r="CS25" s="510">
        <f t="shared" si="22"/>
        <v>0</v>
      </c>
      <c r="CT25" s="510">
        <f t="shared" si="22"/>
        <v>0</v>
      </c>
      <c r="CU25" s="510">
        <f t="shared" si="22"/>
        <v>0</v>
      </c>
      <c r="CV25" s="510">
        <f t="shared" si="22"/>
        <v>0</v>
      </c>
      <c r="CW25" s="510">
        <f t="shared" si="22"/>
        <v>0</v>
      </c>
      <c r="CX25" s="510">
        <f t="shared" si="22"/>
        <v>0</v>
      </c>
      <c r="CY25" s="510">
        <f t="shared" si="22"/>
        <v>0</v>
      </c>
      <c r="CZ25" s="510">
        <f t="shared" si="22"/>
        <v>0</v>
      </c>
      <c r="DA25" s="510">
        <f t="shared" si="22"/>
        <v>0</v>
      </c>
      <c r="DB25" s="510">
        <f t="shared" si="22"/>
        <v>0</v>
      </c>
      <c r="DC25" s="510">
        <f t="shared" si="23"/>
        <v>0</v>
      </c>
      <c r="DD25" s="510">
        <f t="shared" si="23"/>
        <v>0</v>
      </c>
      <c r="DE25" s="510">
        <f t="shared" si="23"/>
        <v>0</v>
      </c>
      <c r="DF25" s="510">
        <f t="shared" si="23"/>
        <v>0</v>
      </c>
      <c r="DG25" s="510">
        <f t="shared" si="23"/>
        <v>0</v>
      </c>
      <c r="DH25" s="510">
        <f t="shared" si="23"/>
        <v>0</v>
      </c>
      <c r="DI25" s="510">
        <f t="shared" si="23"/>
        <v>0</v>
      </c>
      <c r="DJ25" s="510">
        <f t="shared" si="23"/>
        <v>0</v>
      </c>
      <c r="DK25" s="510">
        <f t="shared" si="23"/>
        <v>0</v>
      </c>
      <c r="DL25" s="510">
        <f t="shared" si="23"/>
        <v>0</v>
      </c>
      <c r="DM25" s="510">
        <f t="shared" si="24"/>
        <v>0</v>
      </c>
      <c r="DN25" s="510">
        <f t="shared" si="24"/>
        <v>0</v>
      </c>
      <c r="DO25" s="510">
        <f t="shared" si="24"/>
        <v>0</v>
      </c>
      <c r="DP25" s="510">
        <f t="shared" si="24"/>
        <v>0</v>
      </c>
      <c r="DQ25" s="510">
        <f t="shared" si="24"/>
        <v>0</v>
      </c>
      <c r="DR25" s="510">
        <f t="shared" si="24"/>
        <v>0</v>
      </c>
      <c r="DS25" s="510">
        <f t="shared" si="24"/>
        <v>0</v>
      </c>
      <c r="DT25" s="510">
        <f t="shared" si="24"/>
        <v>0</v>
      </c>
      <c r="DU25" s="510">
        <f t="shared" si="24"/>
        <v>0</v>
      </c>
      <c r="DV25" s="510">
        <f t="shared" si="24"/>
        <v>0</v>
      </c>
      <c r="DW25" s="510">
        <f t="shared" si="24"/>
        <v>0</v>
      </c>
    </row>
    <row r="26" spans="1:127">
      <c r="A26" s="605" t="str">
        <f>Inputs!A394</f>
        <v>Other Financial Costs</v>
      </c>
      <c r="B26" s="989">
        <f>Inputs!$D394</f>
        <v>12</v>
      </c>
      <c r="C26" s="976">
        <f>Inputs!$G394</f>
        <v>0</v>
      </c>
      <c r="D26" s="510">
        <f t="shared" ref="D26:D27" si="25">SUM(G26:DW26)</f>
        <v>0</v>
      </c>
      <c r="E26" s="513"/>
      <c r="F26" s="481"/>
      <c r="G26" s="510">
        <f t="shared" si="13"/>
        <v>0</v>
      </c>
      <c r="H26" s="510">
        <f t="shared" si="13"/>
        <v>0</v>
      </c>
      <c r="I26" s="510">
        <f t="shared" si="13"/>
        <v>0</v>
      </c>
      <c r="J26" s="510">
        <f t="shared" si="13"/>
        <v>0</v>
      </c>
      <c r="K26" s="510">
        <f t="shared" si="13"/>
        <v>0</v>
      </c>
      <c r="L26" s="510">
        <f t="shared" si="13"/>
        <v>0</v>
      </c>
      <c r="M26" s="510">
        <f t="shared" si="13"/>
        <v>0</v>
      </c>
      <c r="N26" s="510">
        <f t="shared" si="13"/>
        <v>0</v>
      </c>
      <c r="O26" s="510">
        <f t="shared" si="13"/>
        <v>0</v>
      </c>
      <c r="P26" s="510">
        <f t="shared" si="13"/>
        <v>0</v>
      </c>
      <c r="Q26" s="510">
        <f t="shared" si="14"/>
        <v>0</v>
      </c>
      <c r="R26" s="510">
        <f t="shared" si="14"/>
        <v>0</v>
      </c>
      <c r="S26" s="510">
        <f t="shared" si="14"/>
        <v>0</v>
      </c>
      <c r="T26" s="510">
        <f t="shared" si="14"/>
        <v>0</v>
      </c>
      <c r="U26" s="510">
        <f t="shared" si="14"/>
        <v>0</v>
      </c>
      <c r="V26" s="510">
        <f t="shared" si="14"/>
        <v>0</v>
      </c>
      <c r="W26" s="510">
        <f t="shared" si="14"/>
        <v>0</v>
      </c>
      <c r="X26" s="510">
        <f t="shared" si="14"/>
        <v>0</v>
      </c>
      <c r="Y26" s="510">
        <f t="shared" si="14"/>
        <v>0</v>
      </c>
      <c r="Z26" s="510">
        <f t="shared" si="14"/>
        <v>0</v>
      </c>
      <c r="AA26" s="510">
        <f t="shared" si="15"/>
        <v>0</v>
      </c>
      <c r="AB26" s="510">
        <f t="shared" si="15"/>
        <v>0</v>
      </c>
      <c r="AC26" s="510">
        <f t="shared" si="15"/>
        <v>0</v>
      </c>
      <c r="AD26" s="510">
        <f t="shared" si="15"/>
        <v>0</v>
      </c>
      <c r="AE26" s="510">
        <f t="shared" si="15"/>
        <v>0</v>
      </c>
      <c r="AF26" s="510">
        <f t="shared" si="15"/>
        <v>0</v>
      </c>
      <c r="AG26" s="510">
        <f t="shared" si="15"/>
        <v>0</v>
      </c>
      <c r="AH26" s="510">
        <f t="shared" si="15"/>
        <v>0</v>
      </c>
      <c r="AI26" s="510">
        <f t="shared" si="15"/>
        <v>0</v>
      </c>
      <c r="AJ26" s="510">
        <f t="shared" si="15"/>
        <v>0</v>
      </c>
      <c r="AK26" s="510">
        <f t="shared" si="16"/>
        <v>0</v>
      </c>
      <c r="AL26" s="510">
        <f t="shared" si="16"/>
        <v>0</v>
      </c>
      <c r="AM26" s="510">
        <f t="shared" si="16"/>
        <v>0</v>
      </c>
      <c r="AN26" s="510">
        <f t="shared" si="16"/>
        <v>0</v>
      </c>
      <c r="AO26" s="510">
        <f t="shared" si="16"/>
        <v>0</v>
      </c>
      <c r="AP26" s="510">
        <f t="shared" si="16"/>
        <v>0</v>
      </c>
      <c r="AQ26" s="510">
        <f t="shared" si="16"/>
        <v>0</v>
      </c>
      <c r="AR26" s="510">
        <f t="shared" si="16"/>
        <v>0</v>
      </c>
      <c r="AS26" s="510">
        <f t="shared" si="16"/>
        <v>0</v>
      </c>
      <c r="AT26" s="510">
        <f t="shared" si="16"/>
        <v>0</v>
      </c>
      <c r="AU26" s="510">
        <f t="shared" si="17"/>
        <v>0</v>
      </c>
      <c r="AV26" s="510">
        <f t="shared" si="17"/>
        <v>0</v>
      </c>
      <c r="AW26" s="510">
        <f t="shared" si="17"/>
        <v>0</v>
      </c>
      <c r="AX26" s="510">
        <f t="shared" si="17"/>
        <v>0</v>
      </c>
      <c r="AY26" s="510">
        <f t="shared" si="17"/>
        <v>0</v>
      </c>
      <c r="AZ26" s="510">
        <f t="shared" si="17"/>
        <v>0</v>
      </c>
      <c r="BA26" s="510">
        <f t="shared" si="17"/>
        <v>0</v>
      </c>
      <c r="BB26" s="510">
        <f t="shared" si="17"/>
        <v>0</v>
      </c>
      <c r="BC26" s="510">
        <f t="shared" si="17"/>
        <v>0</v>
      </c>
      <c r="BD26" s="510">
        <f t="shared" si="17"/>
        <v>0</v>
      </c>
      <c r="BE26" s="510">
        <f t="shared" si="18"/>
        <v>0</v>
      </c>
      <c r="BF26" s="510">
        <f t="shared" si="18"/>
        <v>0</v>
      </c>
      <c r="BG26" s="510">
        <f t="shared" si="18"/>
        <v>0</v>
      </c>
      <c r="BH26" s="510">
        <f t="shared" si="18"/>
        <v>0</v>
      </c>
      <c r="BI26" s="510">
        <f t="shared" si="18"/>
        <v>0</v>
      </c>
      <c r="BJ26" s="510">
        <f t="shared" si="18"/>
        <v>0</v>
      </c>
      <c r="BK26" s="510">
        <f t="shared" si="18"/>
        <v>0</v>
      </c>
      <c r="BL26" s="510">
        <f t="shared" si="18"/>
        <v>0</v>
      </c>
      <c r="BM26" s="510">
        <f t="shared" si="18"/>
        <v>0</v>
      </c>
      <c r="BN26" s="510">
        <f t="shared" si="18"/>
        <v>0</v>
      </c>
      <c r="BO26" s="510">
        <f t="shared" si="19"/>
        <v>0</v>
      </c>
      <c r="BP26" s="510">
        <f t="shared" si="19"/>
        <v>0</v>
      </c>
      <c r="BQ26" s="510">
        <f t="shared" si="19"/>
        <v>0</v>
      </c>
      <c r="BR26" s="510">
        <f t="shared" si="19"/>
        <v>0</v>
      </c>
      <c r="BS26" s="510">
        <f t="shared" si="19"/>
        <v>0</v>
      </c>
      <c r="BT26" s="510">
        <f t="shared" si="19"/>
        <v>0</v>
      </c>
      <c r="BU26" s="510">
        <f t="shared" si="19"/>
        <v>0</v>
      </c>
      <c r="BV26" s="510">
        <f t="shared" si="19"/>
        <v>0</v>
      </c>
      <c r="BW26" s="510">
        <f t="shared" si="19"/>
        <v>0</v>
      </c>
      <c r="BX26" s="510">
        <f t="shared" si="19"/>
        <v>0</v>
      </c>
      <c r="BY26" s="510">
        <f t="shared" si="20"/>
        <v>0</v>
      </c>
      <c r="BZ26" s="510">
        <f t="shared" si="20"/>
        <v>0</v>
      </c>
      <c r="CA26" s="510">
        <f t="shared" si="20"/>
        <v>0</v>
      </c>
      <c r="CB26" s="510">
        <f t="shared" si="20"/>
        <v>0</v>
      </c>
      <c r="CC26" s="510">
        <f t="shared" si="20"/>
        <v>0</v>
      </c>
      <c r="CD26" s="510">
        <f t="shared" si="20"/>
        <v>0</v>
      </c>
      <c r="CE26" s="510">
        <f t="shared" si="20"/>
        <v>0</v>
      </c>
      <c r="CF26" s="510">
        <f t="shared" si="20"/>
        <v>0</v>
      </c>
      <c r="CG26" s="510">
        <f t="shared" si="20"/>
        <v>0</v>
      </c>
      <c r="CH26" s="510">
        <f t="shared" si="20"/>
        <v>0</v>
      </c>
      <c r="CI26" s="510">
        <f t="shared" si="21"/>
        <v>0</v>
      </c>
      <c r="CJ26" s="510">
        <f t="shared" si="21"/>
        <v>0</v>
      </c>
      <c r="CK26" s="510">
        <f t="shared" si="21"/>
        <v>0</v>
      </c>
      <c r="CL26" s="510">
        <f t="shared" si="21"/>
        <v>0</v>
      </c>
      <c r="CM26" s="510">
        <f t="shared" si="21"/>
        <v>0</v>
      </c>
      <c r="CN26" s="510">
        <f t="shared" si="21"/>
        <v>0</v>
      </c>
      <c r="CO26" s="510">
        <f t="shared" si="21"/>
        <v>0</v>
      </c>
      <c r="CP26" s="510">
        <f t="shared" si="21"/>
        <v>0</v>
      </c>
      <c r="CQ26" s="510">
        <f t="shared" si="21"/>
        <v>0</v>
      </c>
      <c r="CR26" s="510">
        <f t="shared" si="21"/>
        <v>0</v>
      </c>
      <c r="CS26" s="510">
        <f t="shared" si="22"/>
        <v>0</v>
      </c>
      <c r="CT26" s="510">
        <f t="shared" si="22"/>
        <v>0</v>
      </c>
      <c r="CU26" s="510">
        <f t="shared" si="22"/>
        <v>0</v>
      </c>
      <c r="CV26" s="510">
        <f t="shared" si="22"/>
        <v>0</v>
      </c>
      <c r="CW26" s="510">
        <f t="shared" si="22"/>
        <v>0</v>
      </c>
      <c r="CX26" s="510">
        <f t="shared" si="22"/>
        <v>0</v>
      </c>
      <c r="CY26" s="510">
        <f t="shared" si="22"/>
        <v>0</v>
      </c>
      <c r="CZ26" s="510">
        <f t="shared" si="22"/>
        <v>0</v>
      </c>
      <c r="DA26" s="510">
        <f t="shared" si="22"/>
        <v>0</v>
      </c>
      <c r="DB26" s="510">
        <f t="shared" si="22"/>
        <v>0</v>
      </c>
      <c r="DC26" s="510">
        <f t="shared" si="23"/>
        <v>0</v>
      </c>
      <c r="DD26" s="510">
        <f t="shared" si="23"/>
        <v>0</v>
      </c>
      <c r="DE26" s="510">
        <f t="shared" si="23"/>
        <v>0</v>
      </c>
      <c r="DF26" s="510">
        <f t="shared" si="23"/>
        <v>0</v>
      </c>
      <c r="DG26" s="510">
        <f t="shared" si="23"/>
        <v>0</v>
      </c>
      <c r="DH26" s="510">
        <f t="shared" si="23"/>
        <v>0</v>
      </c>
      <c r="DI26" s="510">
        <f t="shared" si="23"/>
        <v>0</v>
      </c>
      <c r="DJ26" s="510">
        <f t="shared" si="23"/>
        <v>0</v>
      </c>
      <c r="DK26" s="510">
        <f t="shared" si="23"/>
        <v>0</v>
      </c>
      <c r="DL26" s="510">
        <f t="shared" si="23"/>
        <v>0</v>
      </c>
      <c r="DM26" s="510">
        <f t="shared" si="24"/>
        <v>0</v>
      </c>
      <c r="DN26" s="510">
        <f t="shared" si="24"/>
        <v>0</v>
      </c>
      <c r="DO26" s="510">
        <f t="shared" si="24"/>
        <v>0</v>
      </c>
      <c r="DP26" s="510">
        <f t="shared" si="24"/>
        <v>0</v>
      </c>
      <c r="DQ26" s="510">
        <f t="shared" si="24"/>
        <v>0</v>
      </c>
      <c r="DR26" s="510">
        <f t="shared" si="24"/>
        <v>0</v>
      </c>
      <c r="DS26" s="510">
        <f t="shared" si="24"/>
        <v>0</v>
      </c>
      <c r="DT26" s="510">
        <f t="shared" si="24"/>
        <v>0</v>
      </c>
      <c r="DU26" s="510">
        <f t="shared" si="24"/>
        <v>0</v>
      </c>
      <c r="DV26" s="510">
        <f t="shared" si="24"/>
        <v>0</v>
      </c>
      <c r="DW26" s="510">
        <f t="shared" si="24"/>
        <v>0</v>
      </c>
    </row>
    <row r="27" spans="1:127">
      <c r="A27" s="605" t="str">
        <f>Inputs!A395</f>
        <v xml:space="preserve">Reserve Accounts </v>
      </c>
      <c r="B27" s="989">
        <f>Inputs!$D395</f>
        <v>12</v>
      </c>
      <c r="C27" s="976">
        <f>Inputs!$G395</f>
        <v>0</v>
      </c>
      <c r="D27" s="510">
        <f t="shared" si="25"/>
        <v>0</v>
      </c>
      <c r="E27" s="513"/>
      <c r="F27" s="481"/>
      <c r="G27" s="510">
        <f t="shared" si="13"/>
        <v>0</v>
      </c>
      <c r="H27" s="510">
        <f t="shared" si="13"/>
        <v>0</v>
      </c>
      <c r="I27" s="510">
        <f t="shared" si="13"/>
        <v>0</v>
      </c>
      <c r="J27" s="510">
        <f t="shared" si="13"/>
        <v>0</v>
      </c>
      <c r="K27" s="510">
        <f t="shared" si="13"/>
        <v>0</v>
      </c>
      <c r="L27" s="510">
        <f t="shared" si="13"/>
        <v>0</v>
      </c>
      <c r="M27" s="510">
        <f t="shared" si="13"/>
        <v>0</v>
      </c>
      <c r="N27" s="510">
        <f t="shared" si="13"/>
        <v>0</v>
      </c>
      <c r="O27" s="510">
        <f t="shared" si="13"/>
        <v>0</v>
      </c>
      <c r="P27" s="510">
        <f t="shared" si="13"/>
        <v>0</v>
      </c>
      <c r="Q27" s="510">
        <f t="shared" si="14"/>
        <v>0</v>
      </c>
      <c r="R27" s="510">
        <f t="shared" si="14"/>
        <v>0</v>
      </c>
      <c r="S27" s="510">
        <f t="shared" si="14"/>
        <v>0</v>
      </c>
      <c r="T27" s="510">
        <f t="shared" si="14"/>
        <v>0</v>
      </c>
      <c r="U27" s="510">
        <f t="shared" si="14"/>
        <v>0</v>
      </c>
      <c r="V27" s="510">
        <f t="shared" si="14"/>
        <v>0</v>
      </c>
      <c r="W27" s="510">
        <f t="shared" si="14"/>
        <v>0</v>
      </c>
      <c r="X27" s="510">
        <f t="shared" si="14"/>
        <v>0</v>
      </c>
      <c r="Y27" s="510">
        <f t="shared" si="14"/>
        <v>0</v>
      </c>
      <c r="Z27" s="510">
        <f t="shared" si="14"/>
        <v>0</v>
      </c>
      <c r="AA27" s="510">
        <f t="shared" si="15"/>
        <v>0</v>
      </c>
      <c r="AB27" s="510">
        <f t="shared" si="15"/>
        <v>0</v>
      </c>
      <c r="AC27" s="510">
        <f t="shared" si="15"/>
        <v>0</v>
      </c>
      <c r="AD27" s="510">
        <f t="shared" si="15"/>
        <v>0</v>
      </c>
      <c r="AE27" s="510">
        <f t="shared" si="15"/>
        <v>0</v>
      </c>
      <c r="AF27" s="510">
        <f t="shared" si="15"/>
        <v>0</v>
      </c>
      <c r="AG27" s="510">
        <f t="shared" si="15"/>
        <v>0</v>
      </c>
      <c r="AH27" s="510">
        <f t="shared" si="15"/>
        <v>0</v>
      </c>
      <c r="AI27" s="510">
        <f t="shared" si="15"/>
        <v>0</v>
      </c>
      <c r="AJ27" s="510">
        <f t="shared" si="15"/>
        <v>0</v>
      </c>
      <c r="AK27" s="510">
        <f t="shared" si="16"/>
        <v>0</v>
      </c>
      <c r="AL27" s="510">
        <f t="shared" si="16"/>
        <v>0</v>
      </c>
      <c r="AM27" s="510">
        <f t="shared" si="16"/>
        <v>0</v>
      </c>
      <c r="AN27" s="510">
        <f t="shared" si="16"/>
        <v>0</v>
      </c>
      <c r="AO27" s="510">
        <f t="shared" si="16"/>
        <v>0</v>
      </c>
      <c r="AP27" s="510">
        <f t="shared" si="16"/>
        <v>0</v>
      </c>
      <c r="AQ27" s="510">
        <f t="shared" si="16"/>
        <v>0</v>
      </c>
      <c r="AR27" s="510">
        <f t="shared" si="16"/>
        <v>0</v>
      </c>
      <c r="AS27" s="510">
        <f t="shared" si="16"/>
        <v>0</v>
      </c>
      <c r="AT27" s="510">
        <f t="shared" si="16"/>
        <v>0</v>
      </c>
      <c r="AU27" s="510">
        <f t="shared" si="17"/>
        <v>0</v>
      </c>
      <c r="AV27" s="510">
        <f t="shared" si="17"/>
        <v>0</v>
      </c>
      <c r="AW27" s="510">
        <f t="shared" si="17"/>
        <v>0</v>
      </c>
      <c r="AX27" s="510">
        <f t="shared" si="17"/>
        <v>0</v>
      </c>
      <c r="AY27" s="510">
        <f t="shared" si="17"/>
        <v>0</v>
      </c>
      <c r="AZ27" s="510">
        <f t="shared" si="17"/>
        <v>0</v>
      </c>
      <c r="BA27" s="510">
        <f t="shared" si="17"/>
        <v>0</v>
      </c>
      <c r="BB27" s="510">
        <f t="shared" si="17"/>
        <v>0</v>
      </c>
      <c r="BC27" s="510">
        <f t="shared" si="17"/>
        <v>0</v>
      </c>
      <c r="BD27" s="510">
        <f t="shared" si="17"/>
        <v>0</v>
      </c>
      <c r="BE27" s="510">
        <f t="shared" si="18"/>
        <v>0</v>
      </c>
      <c r="BF27" s="510">
        <f t="shared" si="18"/>
        <v>0</v>
      </c>
      <c r="BG27" s="510">
        <f t="shared" si="18"/>
        <v>0</v>
      </c>
      <c r="BH27" s="510">
        <f t="shared" si="18"/>
        <v>0</v>
      </c>
      <c r="BI27" s="510">
        <f t="shared" si="18"/>
        <v>0</v>
      </c>
      <c r="BJ27" s="510">
        <f t="shared" si="18"/>
        <v>0</v>
      </c>
      <c r="BK27" s="510">
        <f t="shared" si="18"/>
        <v>0</v>
      </c>
      <c r="BL27" s="510">
        <f t="shared" si="18"/>
        <v>0</v>
      </c>
      <c r="BM27" s="510">
        <f t="shared" si="18"/>
        <v>0</v>
      </c>
      <c r="BN27" s="510">
        <f t="shared" si="18"/>
        <v>0</v>
      </c>
      <c r="BO27" s="510">
        <f t="shared" si="19"/>
        <v>0</v>
      </c>
      <c r="BP27" s="510">
        <f t="shared" si="19"/>
        <v>0</v>
      </c>
      <c r="BQ27" s="510">
        <f t="shared" si="19"/>
        <v>0</v>
      </c>
      <c r="BR27" s="510">
        <f t="shared" si="19"/>
        <v>0</v>
      </c>
      <c r="BS27" s="510">
        <f t="shared" si="19"/>
        <v>0</v>
      </c>
      <c r="BT27" s="510">
        <f t="shared" si="19"/>
        <v>0</v>
      </c>
      <c r="BU27" s="510">
        <f t="shared" si="19"/>
        <v>0</v>
      </c>
      <c r="BV27" s="510">
        <f t="shared" si="19"/>
        <v>0</v>
      </c>
      <c r="BW27" s="510">
        <f t="shared" si="19"/>
        <v>0</v>
      </c>
      <c r="BX27" s="510">
        <f t="shared" si="19"/>
        <v>0</v>
      </c>
      <c r="BY27" s="510">
        <f t="shared" si="20"/>
        <v>0</v>
      </c>
      <c r="BZ27" s="510">
        <f t="shared" si="20"/>
        <v>0</v>
      </c>
      <c r="CA27" s="510">
        <f t="shared" si="20"/>
        <v>0</v>
      </c>
      <c r="CB27" s="510">
        <f t="shared" si="20"/>
        <v>0</v>
      </c>
      <c r="CC27" s="510">
        <f t="shared" si="20"/>
        <v>0</v>
      </c>
      <c r="CD27" s="510">
        <f t="shared" si="20"/>
        <v>0</v>
      </c>
      <c r="CE27" s="510">
        <f t="shared" si="20"/>
        <v>0</v>
      </c>
      <c r="CF27" s="510">
        <f t="shared" si="20"/>
        <v>0</v>
      </c>
      <c r="CG27" s="510">
        <f t="shared" si="20"/>
        <v>0</v>
      </c>
      <c r="CH27" s="510">
        <f t="shared" si="20"/>
        <v>0</v>
      </c>
      <c r="CI27" s="510">
        <f t="shared" si="21"/>
        <v>0</v>
      </c>
      <c r="CJ27" s="510">
        <f t="shared" si="21"/>
        <v>0</v>
      </c>
      <c r="CK27" s="510">
        <f t="shared" si="21"/>
        <v>0</v>
      </c>
      <c r="CL27" s="510">
        <f t="shared" si="21"/>
        <v>0</v>
      </c>
      <c r="CM27" s="510">
        <f t="shared" si="21"/>
        <v>0</v>
      </c>
      <c r="CN27" s="510">
        <f t="shared" si="21"/>
        <v>0</v>
      </c>
      <c r="CO27" s="510">
        <f t="shared" si="21"/>
        <v>0</v>
      </c>
      <c r="CP27" s="510">
        <f t="shared" si="21"/>
        <v>0</v>
      </c>
      <c r="CQ27" s="510">
        <f t="shared" si="21"/>
        <v>0</v>
      </c>
      <c r="CR27" s="510">
        <f t="shared" si="21"/>
        <v>0</v>
      </c>
      <c r="CS27" s="510">
        <f t="shared" si="22"/>
        <v>0</v>
      </c>
      <c r="CT27" s="510">
        <f t="shared" si="22"/>
        <v>0</v>
      </c>
      <c r="CU27" s="510">
        <f t="shared" si="22"/>
        <v>0</v>
      </c>
      <c r="CV27" s="510">
        <f t="shared" si="22"/>
        <v>0</v>
      </c>
      <c r="CW27" s="510">
        <f t="shared" si="22"/>
        <v>0</v>
      </c>
      <c r="CX27" s="510">
        <f t="shared" si="22"/>
        <v>0</v>
      </c>
      <c r="CY27" s="510">
        <f t="shared" si="22"/>
        <v>0</v>
      </c>
      <c r="CZ27" s="510">
        <f t="shared" si="22"/>
        <v>0</v>
      </c>
      <c r="DA27" s="510">
        <f t="shared" si="22"/>
        <v>0</v>
      </c>
      <c r="DB27" s="510">
        <f t="shared" si="22"/>
        <v>0</v>
      </c>
      <c r="DC27" s="510">
        <f t="shared" si="23"/>
        <v>0</v>
      </c>
      <c r="DD27" s="510">
        <f t="shared" si="23"/>
        <v>0</v>
      </c>
      <c r="DE27" s="510">
        <f t="shared" si="23"/>
        <v>0</v>
      </c>
      <c r="DF27" s="510">
        <f t="shared" si="23"/>
        <v>0</v>
      </c>
      <c r="DG27" s="510">
        <f t="shared" si="23"/>
        <v>0</v>
      </c>
      <c r="DH27" s="510">
        <f t="shared" si="23"/>
        <v>0</v>
      </c>
      <c r="DI27" s="510">
        <f t="shared" si="23"/>
        <v>0</v>
      </c>
      <c r="DJ27" s="510">
        <f t="shared" si="23"/>
        <v>0</v>
      </c>
      <c r="DK27" s="510">
        <f t="shared" si="23"/>
        <v>0</v>
      </c>
      <c r="DL27" s="510">
        <f t="shared" si="23"/>
        <v>0</v>
      </c>
      <c r="DM27" s="510">
        <f t="shared" si="24"/>
        <v>0</v>
      </c>
      <c r="DN27" s="510">
        <f t="shared" si="24"/>
        <v>0</v>
      </c>
      <c r="DO27" s="510">
        <f t="shared" si="24"/>
        <v>0</v>
      </c>
      <c r="DP27" s="510">
        <f t="shared" si="24"/>
        <v>0</v>
      </c>
      <c r="DQ27" s="510">
        <f t="shared" si="24"/>
        <v>0</v>
      </c>
      <c r="DR27" s="510">
        <f t="shared" si="24"/>
        <v>0</v>
      </c>
      <c r="DS27" s="510">
        <f t="shared" si="24"/>
        <v>0</v>
      </c>
      <c r="DT27" s="510">
        <f t="shared" si="24"/>
        <v>0</v>
      </c>
      <c r="DU27" s="510">
        <f t="shared" si="24"/>
        <v>0</v>
      </c>
      <c r="DV27" s="510">
        <f t="shared" si="24"/>
        <v>0</v>
      </c>
      <c r="DW27" s="510">
        <f t="shared" si="24"/>
        <v>0</v>
      </c>
    </row>
    <row r="28" spans="1:127">
      <c r="A28" s="605" t="str">
        <f>Inputs!A396</f>
        <v>VAT Costs</v>
      </c>
      <c r="B28" s="989">
        <f>Inputs!$D396</f>
        <v>20</v>
      </c>
      <c r="C28" s="976">
        <f ca="1">Inputs!$G396</f>
        <v>222.06957126537966</v>
      </c>
      <c r="D28" s="510">
        <f t="shared" ref="D28" ca="1" si="26">SUM(G28:DW28)</f>
        <v>222.06957126537955</v>
      </c>
      <c r="E28" s="513"/>
      <c r="F28" s="481"/>
      <c r="G28" s="510">
        <f t="shared" ca="1" si="13"/>
        <v>0</v>
      </c>
      <c r="H28" s="510">
        <f ca="1">AND(H$3&gt;0,H$3&lt;=$B28)*($C28/$B28)*H$5</f>
        <v>5.5973700154561454</v>
      </c>
      <c r="I28" s="510">
        <f t="shared" ca="1" si="13"/>
        <v>5.506108547812838</v>
      </c>
      <c r="J28" s="510">
        <f t="shared" ca="1" si="13"/>
        <v>5.5820766547581773</v>
      </c>
      <c r="K28" s="510">
        <f t="shared" ca="1" si="13"/>
        <v>5.5214019085108053</v>
      </c>
      <c r="L28" s="510">
        <f t="shared" ca="1" si="13"/>
        <v>5.5973700154561454</v>
      </c>
      <c r="M28" s="510">
        <f t="shared" ca="1" si="13"/>
        <v>5.506108547812838</v>
      </c>
      <c r="N28" s="510">
        <f t="shared" ca="1" si="13"/>
        <v>5.5973700154561454</v>
      </c>
      <c r="O28" s="510">
        <f t="shared" ca="1" si="13"/>
        <v>5.506108547812838</v>
      </c>
      <c r="P28" s="510">
        <f t="shared" ca="1" si="13"/>
        <v>5.5973700154561454</v>
      </c>
      <c r="Q28" s="510">
        <f t="shared" ca="1" si="14"/>
        <v>5.506108547812838</v>
      </c>
      <c r="R28" s="510">
        <f t="shared" ca="1" si="14"/>
        <v>5.5820766547581773</v>
      </c>
      <c r="S28" s="510">
        <f t="shared" ca="1" si="14"/>
        <v>5.5214019085108053</v>
      </c>
      <c r="T28" s="510">
        <f t="shared" ca="1" si="14"/>
        <v>5.5973700154561454</v>
      </c>
      <c r="U28" s="510">
        <f t="shared" ca="1" si="14"/>
        <v>5.506108547812838</v>
      </c>
      <c r="V28" s="510">
        <f t="shared" ca="1" si="14"/>
        <v>5.5973700154561454</v>
      </c>
      <c r="W28" s="510">
        <f t="shared" ca="1" si="14"/>
        <v>5.506108547812838</v>
      </c>
      <c r="X28" s="510">
        <f t="shared" ca="1" si="14"/>
        <v>5.5973700154561454</v>
      </c>
      <c r="Y28" s="510">
        <f t="shared" ca="1" si="14"/>
        <v>5.506108547812838</v>
      </c>
      <c r="Z28" s="510">
        <f t="shared" ca="1" si="14"/>
        <v>5.5820766547581773</v>
      </c>
      <c r="AA28" s="510">
        <f t="shared" ca="1" si="15"/>
        <v>5.5214019085108053</v>
      </c>
      <c r="AB28" s="510">
        <f t="shared" ca="1" si="15"/>
        <v>5.5973700154561454</v>
      </c>
      <c r="AC28" s="510">
        <f t="shared" ca="1" si="15"/>
        <v>5.506108547812838</v>
      </c>
      <c r="AD28" s="510">
        <f t="shared" ca="1" si="15"/>
        <v>5.5973700154561454</v>
      </c>
      <c r="AE28" s="510">
        <f t="shared" ca="1" si="15"/>
        <v>5.506108547812838</v>
      </c>
      <c r="AF28" s="510">
        <f t="shared" ca="1" si="15"/>
        <v>5.5973700154561454</v>
      </c>
      <c r="AG28" s="510">
        <f t="shared" ca="1" si="15"/>
        <v>5.506108547812838</v>
      </c>
      <c r="AH28" s="510">
        <f t="shared" ca="1" si="15"/>
        <v>5.5820766547581773</v>
      </c>
      <c r="AI28" s="510">
        <f t="shared" ca="1" si="15"/>
        <v>5.5214019085108053</v>
      </c>
      <c r="AJ28" s="510">
        <f t="shared" ca="1" si="15"/>
        <v>5.5973700154561454</v>
      </c>
      <c r="AK28" s="510">
        <f t="shared" ca="1" si="16"/>
        <v>5.506108547812838</v>
      </c>
      <c r="AL28" s="510">
        <f t="shared" ca="1" si="16"/>
        <v>5.5973700154561454</v>
      </c>
      <c r="AM28" s="510">
        <f t="shared" ca="1" si="16"/>
        <v>5.506108547812838</v>
      </c>
      <c r="AN28" s="510">
        <f t="shared" ca="1" si="16"/>
        <v>5.5973700154561454</v>
      </c>
      <c r="AO28" s="510">
        <f t="shared" ca="1" si="16"/>
        <v>5.506108547812838</v>
      </c>
      <c r="AP28" s="510">
        <f t="shared" ca="1" si="16"/>
        <v>5.5820766547581773</v>
      </c>
      <c r="AQ28" s="510">
        <f t="shared" ca="1" si="16"/>
        <v>5.5214019085108053</v>
      </c>
      <c r="AR28" s="510">
        <f t="shared" ca="1" si="16"/>
        <v>5.5973700154561454</v>
      </c>
      <c r="AS28" s="510">
        <f t="shared" ca="1" si="16"/>
        <v>5.506108547812838</v>
      </c>
      <c r="AT28" s="510">
        <f t="shared" ca="1" si="16"/>
        <v>5.5973700154561454</v>
      </c>
      <c r="AU28" s="510">
        <f t="shared" ca="1" si="17"/>
        <v>5.506108547812838</v>
      </c>
      <c r="AV28" s="510">
        <f t="shared" ca="1" si="17"/>
        <v>0</v>
      </c>
      <c r="AW28" s="510">
        <f t="shared" ca="1" si="17"/>
        <v>0</v>
      </c>
      <c r="AX28" s="510">
        <f t="shared" ca="1" si="17"/>
        <v>0</v>
      </c>
      <c r="AY28" s="510">
        <f t="shared" ca="1" si="17"/>
        <v>0</v>
      </c>
      <c r="AZ28" s="510">
        <f t="shared" ca="1" si="17"/>
        <v>0</v>
      </c>
      <c r="BA28" s="510">
        <f t="shared" ca="1" si="17"/>
        <v>0</v>
      </c>
      <c r="BB28" s="510">
        <f t="shared" ca="1" si="17"/>
        <v>0</v>
      </c>
      <c r="BC28" s="510">
        <f t="shared" ca="1" si="17"/>
        <v>0</v>
      </c>
      <c r="BD28" s="510">
        <f t="shared" ca="1" si="17"/>
        <v>0</v>
      </c>
      <c r="BE28" s="510">
        <f t="shared" ca="1" si="18"/>
        <v>0</v>
      </c>
      <c r="BF28" s="510">
        <f t="shared" ca="1" si="18"/>
        <v>0</v>
      </c>
      <c r="BG28" s="510">
        <f t="shared" ca="1" si="18"/>
        <v>0</v>
      </c>
      <c r="BH28" s="510">
        <f t="shared" ca="1" si="18"/>
        <v>0</v>
      </c>
      <c r="BI28" s="510">
        <f t="shared" ca="1" si="18"/>
        <v>0</v>
      </c>
      <c r="BJ28" s="510">
        <f t="shared" ca="1" si="18"/>
        <v>0</v>
      </c>
      <c r="BK28" s="510">
        <f t="shared" ca="1" si="18"/>
        <v>0</v>
      </c>
      <c r="BL28" s="510">
        <f t="shared" ca="1" si="18"/>
        <v>0</v>
      </c>
      <c r="BM28" s="510">
        <f t="shared" ca="1" si="18"/>
        <v>0</v>
      </c>
      <c r="BN28" s="510">
        <f t="shared" ca="1" si="18"/>
        <v>0</v>
      </c>
      <c r="BO28" s="510">
        <f t="shared" ca="1" si="19"/>
        <v>0</v>
      </c>
      <c r="BP28" s="510">
        <f t="shared" ca="1" si="19"/>
        <v>0</v>
      </c>
      <c r="BQ28" s="510">
        <f t="shared" ca="1" si="19"/>
        <v>0</v>
      </c>
      <c r="BR28" s="510">
        <f t="shared" ca="1" si="19"/>
        <v>0</v>
      </c>
      <c r="BS28" s="510">
        <f t="shared" ca="1" si="19"/>
        <v>0</v>
      </c>
      <c r="BT28" s="510">
        <f t="shared" ca="1" si="19"/>
        <v>0</v>
      </c>
      <c r="BU28" s="510">
        <f t="shared" ca="1" si="19"/>
        <v>0</v>
      </c>
      <c r="BV28" s="510">
        <f t="shared" ca="1" si="19"/>
        <v>0</v>
      </c>
      <c r="BW28" s="510">
        <f t="shared" ca="1" si="19"/>
        <v>0</v>
      </c>
      <c r="BX28" s="510">
        <f t="shared" ca="1" si="19"/>
        <v>0</v>
      </c>
      <c r="BY28" s="510">
        <f t="shared" ca="1" si="20"/>
        <v>0</v>
      </c>
      <c r="BZ28" s="510">
        <f t="shared" ca="1" si="20"/>
        <v>0</v>
      </c>
      <c r="CA28" s="510">
        <f t="shared" ca="1" si="20"/>
        <v>0</v>
      </c>
      <c r="CB28" s="510">
        <f t="shared" ca="1" si="20"/>
        <v>0</v>
      </c>
      <c r="CC28" s="510">
        <f t="shared" ca="1" si="20"/>
        <v>0</v>
      </c>
      <c r="CD28" s="510">
        <f t="shared" ca="1" si="20"/>
        <v>0</v>
      </c>
      <c r="CE28" s="510">
        <f t="shared" ca="1" si="20"/>
        <v>0</v>
      </c>
      <c r="CF28" s="510">
        <f t="shared" ca="1" si="20"/>
        <v>0</v>
      </c>
      <c r="CG28" s="510">
        <f t="shared" ca="1" si="20"/>
        <v>0</v>
      </c>
      <c r="CH28" s="510">
        <f t="shared" ca="1" si="20"/>
        <v>0</v>
      </c>
      <c r="CI28" s="510">
        <f t="shared" ca="1" si="21"/>
        <v>0</v>
      </c>
      <c r="CJ28" s="510">
        <f t="shared" ca="1" si="21"/>
        <v>0</v>
      </c>
      <c r="CK28" s="510">
        <f t="shared" ca="1" si="21"/>
        <v>0</v>
      </c>
      <c r="CL28" s="510">
        <f t="shared" ca="1" si="21"/>
        <v>0</v>
      </c>
      <c r="CM28" s="510">
        <f t="shared" ca="1" si="21"/>
        <v>0</v>
      </c>
      <c r="CN28" s="510">
        <f t="shared" ca="1" si="21"/>
        <v>0</v>
      </c>
      <c r="CO28" s="510">
        <f t="shared" ca="1" si="21"/>
        <v>0</v>
      </c>
      <c r="CP28" s="510">
        <f t="shared" ca="1" si="21"/>
        <v>0</v>
      </c>
      <c r="CQ28" s="510">
        <f t="shared" ca="1" si="21"/>
        <v>0</v>
      </c>
      <c r="CR28" s="510">
        <f t="shared" ca="1" si="21"/>
        <v>0</v>
      </c>
      <c r="CS28" s="510">
        <f t="shared" ca="1" si="22"/>
        <v>0</v>
      </c>
      <c r="CT28" s="510">
        <f t="shared" ca="1" si="22"/>
        <v>0</v>
      </c>
      <c r="CU28" s="510">
        <f t="shared" ca="1" si="22"/>
        <v>0</v>
      </c>
      <c r="CV28" s="510">
        <f t="shared" ca="1" si="22"/>
        <v>0</v>
      </c>
      <c r="CW28" s="510">
        <f t="shared" ca="1" si="22"/>
        <v>0</v>
      </c>
      <c r="CX28" s="510">
        <f t="shared" ca="1" si="22"/>
        <v>0</v>
      </c>
      <c r="CY28" s="510">
        <f t="shared" ca="1" si="22"/>
        <v>0</v>
      </c>
      <c r="CZ28" s="510">
        <f t="shared" ca="1" si="22"/>
        <v>0</v>
      </c>
      <c r="DA28" s="510">
        <f t="shared" ca="1" si="22"/>
        <v>0</v>
      </c>
      <c r="DB28" s="510">
        <f t="shared" ca="1" si="22"/>
        <v>0</v>
      </c>
      <c r="DC28" s="510">
        <f t="shared" ca="1" si="23"/>
        <v>0</v>
      </c>
      <c r="DD28" s="510">
        <f t="shared" ca="1" si="23"/>
        <v>0</v>
      </c>
      <c r="DE28" s="510">
        <f t="shared" ca="1" si="23"/>
        <v>0</v>
      </c>
      <c r="DF28" s="510">
        <f t="shared" ca="1" si="23"/>
        <v>0</v>
      </c>
      <c r="DG28" s="510">
        <f t="shared" ca="1" si="23"/>
        <v>0</v>
      </c>
      <c r="DH28" s="510">
        <f t="shared" ca="1" si="23"/>
        <v>0</v>
      </c>
      <c r="DI28" s="510">
        <f t="shared" ca="1" si="23"/>
        <v>0</v>
      </c>
      <c r="DJ28" s="510">
        <f t="shared" ca="1" si="23"/>
        <v>0</v>
      </c>
      <c r="DK28" s="510">
        <f t="shared" ca="1" si="23"/>
        <v>0</v>
      </c>
      <c r="DL28" s="510">
        <f t="shared" ca="1" si="23"/>
        <v>0</v>
      </c>
      <c r="DM28" s="510">
        <f t="shared" ca="1" si="24"/>
        <v>0</v>
      </c>
      <c r="DN28" s="510">
        <f t="shared" ca="1" si="24"/>
        <v>0</v>
      </c>
      <c r="DO28" s="510">
        <f t="shared" ca="1" si="24"/>
        <v>0</v>
      </c>
      <c r="DP28" s="510">
        <f t="shared" ca="1" si="24"/>
        <v>0</v>
      </c>
      <c r="DQ28" s="510">
        <f t="shared" ca="1" si="24"/>
        <v>0</v>
      </c>
      <c r="DR28" s="510">
        <f t="shared" ca="1" si="24"/>
        <v>0</v>
      </c>
      <c r="DS28" s="510">
        <f t="shared" ca="1" si="24"/>
        <v>0</v>
      </c>
      <c r="DT28" s="510">
        <f t="shared" ca="1" si="24"/>
        <v>0</v>
      </c>
      <c r="DU28" s="510">
        <f t="shared" ca="1" si="24"/>
        <v>0</v>
      </c>
      <c r="DV28" s="510">
        <f t="shared" ca="1" si="24"/>
        <v>0</v>
      </c>
      <c r="DW28" s="510">
        <f t="shared" ca="1" si="24"/>
        <v>0</v>
      </c>
    </row>
    <row r="29" spans="1:127">
      <c r="A29" s="305"/>
      <c r="B29" s="700"/>
      <c r="C29" s="700"/>
      <c r="D29" s="305"/>
      <c r="E29" s="305"/>
      <c r="F29" s="497"/>
      <c r="G29" s="505"/>
      <c r="H29" s="505"/>
      <c r="I29" s="505"/>
      <c r="J29" s="505"/>
      <c r="K29" s="505"/>
      <c r="L29" s="505"/>
      <c r="M29" s="505"/>
      <c r="N29" s="505"/>
      <c r="O29" s="505"/>
      <c r="P29" s="505"/>
      <c r="Q29" s="505"/>
      <c r="R29" s="505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5"/>
      <c r="AD29" s="505"/>
      <c r="AE29" s="505"/>
      <c r="AF29" s="505"/>
      <c r="AG29" s="505"/>
      <c r="AH29" s="505"/>
      <c r="AI29" s="505"/>
      <c r="AJ29" s="505"/>
      <c r="AK29" s="505"/>
      <c r="AL29" s="505"/>
      <c r="AM29" s="505"/>
      <c r="AN29" s="505"/>
      <c r="AO29" s="505"/>
      <c r="AP29" s="505"/>
      <c r="AQ29" s="505"/>
      <c r="AR29" s="505"/>
      <c r="AS29" s="505"/>
      <c r="AT29" s="505"/>
      <c r="AU29" s="505"/>
      <c r="AV29" s="505"/>
      <c r="AW29" s="505"/>
      <c r="AX29" s="505"/>
      <c r="AY29" s="505"/>
      <c r="AZ29" s="505"/>
      <c r="BA29" s="505"/>
      <c r="BB29" s="505"/>
      <c r="BC29" s="505"/>
      <c r="BD29" s="505"/>
      <c r="BE29" s="505"/>
      <c r="BF29" s="505"/>
      <c r="BG29" s="505"/>
      <c r="BH29" s="505"/>
      <c r="BI29" s="505"/>
      <c r="BJ29" s="505"/>
      <c r="BK29" s="505"/>
      <c r="BL29" s="505"/>
      <c r="BM29" s="505"/>
      <c r="BN29" s="505"/>
      <c r="BO29" s="505"/>
      <c r="BP29" s="505"/>
      <c r="BQ29" s="505"/>
      <c r="BR29" s="505"/>
      <c r="BS29" s="505"/>
      <c r="BT29" s="505"/>
      <c r="BU29" s="505"/>
      <c r="BV29" s="505"/>
      <c r="BW29" s="505"/>
      <c r="BX29" s="505"/>
      <c r="BY29" s="505"/>
      <c r="BZ29" s="505"/>
      <c r="CA29" s="505"/>
      <c r="CB29" s="505"/>
      <c r="CC29" s="505"/>
      <c r="CD29" s="505"/>
      <c r="CE29" s="505"/>
      <c r="CF29" s="505"/>
      <c r="CG29" s="505"/>
      <c r="CH29" s="505"/>
      <c r="CI29" s="505"/>
      <c r="CJ29" s="505"/>
      <c r="CK29" s="505"/>
      <c r="CL29" s="505"/>
      <c r="CM29" s="505"/>
      <c r="CN29" s="505"/>
      <c r="CO29" s="505"/>
      <c r="CP29" s="505"/>
      <c r="CQ29" s="505"/>
      <c r="CR29" s="505"/>
      <c r="CS29" s="505"/>
      <c r="CT29" s="505"/>
      <c r="CU29" s="505"/>
      <c r="CV29" s="505"/>
      <c r="CW29" s="505"/>
      <c r="CX29" s="505"/>
      <c r="CY29" s="505"/>
      <c r="CZ29" s="505"/>
      <c r="DA29" s="505"/>
      <c r="DB29" s="505"/>
      <c r="DC29" s="505"/>
      <c r="DD29" s="505"/>
      <c r="DE29" s="505"/>
      <c r="DF29" s="505"/>
      <c r="DG29" s="505"/>
      <c r="DH29" s="505"/>
      <c r="DI29" s="505"/>
      <c r="DJ29" s="505"/>
      <c r="DK29" s="505"/>
      <c r="DL29" s="505"/>
      <c r="DM29" s="505"/>
      <c r="DN29" s="505"/>
      <c r="DO29" s="505"/>
      <c r="DP29" s="505"/>
      <c r="DQ29" s="505"/>
      <c r="DR29" s="505"/>
      <c r="DS29" s="505"/>
      <c r="DT29" s="505"/>
      <c r="DU29" s="505"/>
      <c r="DV29" s="505"/>
      <c r="DW29" s="505"/>
    </row>
    <row r="30" spans="1:127">
      <c r="A30" s="343" t="s">
        <v>6</v>
      </c>
      <c r="B30" s="701"/>
      <c r="C30" s="701"/>
      <c r="D30" s="513">
        <f ca="1">SUM(D7:D28)</f>
        <v>57973.052657378619</v>
      </c>
      <c r="E30" s="513"/>
      <c r="F30" s="481"/>
      <c r="G30" s="513">
        <f t="shared" ref="G30:AL30" ca="1" si="27">SUM(G7:G28)</f>
        <v>0</v>
      </c>
      <c r="H30" s="513">
        <f t="shared" ca="1" si="27"/>
        <v>1490.6768666010357</v>
      </c>
      <c r="I30" s="513">
        <f t="shared" ca="1" si="27"/>
        <v>1466.3723524716709</v>
      </c>
      <c r="J30" s="513">
        <f t="shared" ca="1" si="27"/>
        <v>1486.6039789873716</v>
      </c>
      <c r="K30" s="513">
        <f t="shared" ca="1" si="27"/>
        <v>1470.4452400853349</v>
      </c>
      <c r="L30" s="513">
        <f t="shared" ca="1" si="27"/>
        <v>1490.6768666010357</v>
      </c>
      <c r="M30" s="513">
        <f t="shared" ca="1" si="27"/>
        <v>1466.3723524716709</v>
      </c>
      <c r="N30" s="513">
        <f t="shared" ca="1" si="27"/>
        <v>1490.6768666010357</v>
      </c>
      <c r="O30" s="513">
        <f t="shared" ca="1" si="27"/>
        <v>1466.3723524716709</v>
      </c>
      <c r="P30" s="513">
        <f t="shared" ca="1" si="27"/>
        <v>1490.6768666010357</v>
      </c>
      <c r="Q30" s="513">
        <f t="shared" ca="1" si="27"/>
        <v>1466.3723524716709</v>
      </c>
      <c r="R30" s="513">
        <f t="shared" ca="1" si="27"/>
        <v>1486.6039789873716</v>
      </c>
      <c r="S30" s="513">
        <f t="shared" ca="1" si="27"/>
        <v>1470.4452400853349</v>
      </c>
      <c r="T30" s="513">
        <f t="shared" ca="1" si="27"/>
        <v>1490.6768666010357</v>
      </c>
      <c r="U30" s="513">
        <f t="shared" ca="1" si="27"/>
        <v>1466.3723524716709</v>
      </c>
      <c r="V30" s="513">
        <f t="shared" ca="1" si="27"/>
        <v>1490.6768666010357</v>
      </c>
      <c r="W30" s="513">
        <f t="shared" ca="1" si="27"/>
        <v>1466.3723524716709</v>
      </c>
      <c r="X30" s="513">
        <f t="shared" ca="1" si="27"/>
        <v>1490.6768666010357</v>
      </c>
      <c r="Y30" s="513">
        <f t="shared" ca="1" si="27"/>
        <v>1466.3723524716709</v>
      </c>
      <c r="Z30" s="513">
        <f t="shared" ca="1" si="27"/>
        <v>1486.6039789873716</v>
      </c>
      <c r="AA30" s="513">
        <f t="shared" ca="1" si="27"/>
        <v>1470.4452400853349</v>
      </c>
      <c r="AB30" s="513">
        <f t="shared" ca="1" si="27"/>
        <v>1490.6768666010357</v>
      </c>
      <c r="AC30" s="513">
        <f t="shared" ca="1" si="27"/>
        <v>1466.3723524716709</v>
      </c>
      <c r="AD30" s="513">
        <f t="shared" ca="1" si="27"/>
        <v>1490.6768666010357</v>
      </c>
      <c r="AE30" s="513">
        <f t="shared" ca="1" si="27"/>
        <v>1466.3723524716709</v>
      </c>
      <c r="AF30" s="513">
        <f t="shared" ca="1" si="27"/>
        <v>1417.0811689195659</v>
      </c>
      <c r="AG30" s="513">
        <f t="shared" ca="1" si="27"/>
        <v>1393.9765846437033</v>
      </c>
      <c r="AH30" s="513">
        <f t="shared" ca="1" si="27"/>
        <v>1413.2093624471079</v>
      </c>
      <c r="AI30" s="513">
        <f t="shared" ca="1" si="27"/>
        <v>1397.8483911161613</v>
      </c>
      <c r="AJ30" s="513">
        <f t="shared" ca="1" si="27"/>
        <v>1417.0811689195659</v>
      </c>
      <c r="AK30" s="513">
        <f t="shared" ca="1" si="27"/>
        <v>1393.9765846437033</v>
      </c>
      <c r="AL30" s="513">
        <f t="shared" ca="1" si="27"/>
        <v>1417.0811689195659</v>
      </c>
      <c r="AM30" s="513">
        <f t="shared" ref="AM30:BR30" ca="1" si="28">SUM(AM7:AM28)</f>
        <v>1393.9765846437033</v>
      </c>
      <c r="AN30" s="513">
        <f t="shared" ca="1" si="28"/>
        <v>1417.0811689195659</v>
      </c>
      <c r="AO30" s="513">
        <f t="shared" ca="1" si="28"/>
        <v>1393.9765846437033</v>
      </c>
      <c r="AP30" s="513">
        <f t="shared" ca="1" si="28"/>
        <v>1413.2093624471079</v>
      </c>
      <c r="AQ30" s="513">
        <f t="shared" ca="1" si="28"/>
        <v>1397.8483911161613</v>
      </c>
      <c r="AR30" s="513">
        <f t="shared" ca="1" si="28"/>
        <v>1417.0811689195659</v>
      </c>
      <c r="AS30" s="513">
        <f t="shared" ca="1" si="28"/>
        <v>1393.9765846437033</v>
      </c>
      <c r="AT30" s="513">
        <f t="shared" ca="1" si="28"/>
        <v>1417.0811689195659</v>
      </c>
      <c r="AU30" s="513">
        <f t="shared" ca="1" si="28"/>
        <v>1393.9765846437033</v>
      </c>
      <c r="AV30" s="513">
        <f t="shared" ca="1" si="28"/>
        <v>0</v>
      </c>
      <c r="AW30" s="513">
        <f t="shared" ca="1" si="28"/>
        <v>0</v>
      </c>
      <c r="AX30" s="513">
        <f t="shared" ca="1" si="28"/>
        <v>0</v>
      </c>
      <c r="AY30" s="513">
        <f t="shared" ca="1" si="28"/>
        <v>0</v>
      </c>
      <c r="AZ30" s="513">
        <f t="shared" ca="1" si="28"/>
        <v>0</v>
      </c>
      <c r="BA30" s="513">
        <f t="shared" ca="1" si="28"/>
        <v>0</v>
      </c>
      <c r="BB30" s="513">
        <f t="shared" ca="1" si="28"/>
        <v>0</v>
      </c>
      <c r="BC30" s="513">
        <f t="shared" ca="1" si="28"/>
        <v>0</v>
      </c>
      <c r="BD30" s="513">
        <f t="shared" ca="1" si="28"/>
        <v>0</v>
      </c>
      <c r="BE30" s="513">
        <f t="shared" ca="1" si="28"/>
        <v>0</v>
      </c>
      <c r="BF30" s="513">
        <f t="shared" ca="1" si="28"/>
        <v>0</v>
      </c>
      <c r="BG30" s="513">
        <f t="shared" ca="1" si="28"/>
        <v>0</v>
      </c>
      <c r="BH30" s="513">
        <f t="shared" ca="1" si="28"/>
        <v>0</v>
      </c>
      <c r="BI30" s="513">
        <f t="shared" ca="1" si="28"/>
        <v>0</v>
      </c>
      <c r="BJ30" s="513">
        <f t="shared" ca="1" si="28"/>
        <v>0</v>
      </c>
      <c r="BK30" s="513">
        <f t="shared" ca="1" si="28"/>
        <v>0</v>
      </c>
      <c r="BL30" s="513">
        <f t="shared" ca="1" si="28"/>
        <v>0</v>
      </c>
      <c r="BM30" s="513">
        <f t="shared" ca="1" si="28"/>
        <v>0</v>
      </c>
      <c r="BN30" s="513">
        <f t="shared" ca="1" si="28"/>
        <v>0</v>
      </c>
      <c r="BO30" s="513">
        <f t="shared" ca="1" si="28"/>
        <v>0</v>
      </c>
      <c r="BP30" s="513">
        <f t="shared" ca="1" si="28"/>
        <v>0</v>
      </c>
      <c r="BQ30" s="513">
        <f t="shared" ca="1" si="28"/>
        <v>0</v>
      </c>
      <c r="BR30" s="513">
        <f t="shared" ca="1" si="28"/>
        <v>0</v>
      </c>
      <c r="BS30" s="513">
        <f t="shared" ref="BS30:CX30" ca="1" si="29">SUM(BS7:BS28)</f>
        <v>0</v>
      </c>
      <c r="BT30" s="513">
        <f t="shared" ca="1" si="29"/>
        <v>0</v>
      </c>
      <c r="BU30" s="513">
        <f t="shared" ca="1" si="29"/>
        <v>0</v>
      </c>
      <c r="BV30" s="513">
        <f t="shared" ca="1" si="29"/>
        <v>0</v>
      </c>
      <c r="BW30" s="513">
        <f t="shared" ca="1" si="29"/>
        <v>0</v>
      </c>
      <c r="BX30" s="513">
        <f t="shared" ca="1" si="29"/>
        <v>0</v>
      </c>
      <c r="BY30" s="513">
        <f t="shared" ca="1" si="29"/>
        <v>0</v>
      </c>
      <c r="BZ30" s="513">
        <f t="shared" ca="1" si="29"/>
        <v>0</v>
      </c>
      <c r="CA30" s="513">
        <f t="shared" ca="1" si="29"/>
        <v>0</v>
      </c>
      <c r="CB30" s="513">
        <f t="shared" ca="1" si="29"/>
        <v>0</v>
      </c>
      <c r="CC30" s="513">
        <f t="shared" ca="1" si="29"/>
        <v>0</v>
      </c>
      <c r="CD30" s="513">
        <f t="shared" ca="1" si="29"/>
        <v>0</v>
      </c>
      <c r="CE30" s="513">
        <f t="shared" ca="1" si="29"/>
        <v>0</v>
      </c>
      <c r="CF30" s="513">
        <f t="shared" ca="1" si="29"/>
        <v>0</v>
      </c>
      <c r="CG30" s="513">
        <f t="shared" ca="1" si="29"/>
        <v>0</v>
      </c>
      <c r="CH30" s="513">
        <f t="shared" ca="1" si="29"/>
        <v>0</v>
      </c>
      <c r="CI30" s="513">
        <f t="shared" ca="1" si="29"/>
        <v>0</v>
      </c>
      <c r="CJ30" s="513">
        <f t="shared" ca="1" si="29"/>
        <v>0</v>
      </c>
      <c r="CK30" s="513">
        <f t="shared" ca="1" si="29"/>
        <v>0</v>
      </c>
      <c r="CL30" s="513">
        <f t="shared" ca="1" si="29"/>
        <v>0</v>
      </c>
      <c r="CM30" s="513">
        <f t="shared" ca="1" si="29"/>
        <v>0</v>
      </c>
      <c r="CN30" s="513">
        <f t="shared" ca="1" si="29"/>
        <v>0</v>
      </c>
      <c r="CO30" s="513">
        <f t="shared" ca="1" si="29"/>
        <v>0</v>
      </c>
      <c r="CP30" s="513">
        <f t="shared" ca="1" si="29"/>
        <v>0</v>
      </c>
      <c r="CQ30" s="513">
        <f t="shared" ca="1" si="29"/>
        <v>0</v>
      </c>
      <c r="CR30" s="513">
        <f t="shared" ca="1" si="29"/>
        <v>0</v>
      </c>
      <c r="CS30" s="513">
        <f t="shared" ca="1" si="29"/>
        <v>0</v>
      </c>
      <c r="CT30" s="513">
        <f t="shared" ca="1" si="29"/>
        <v>0</v>
      </c>
      <c r="CU30" s="513">
        <f t="shared" ca="1" si="29"/>
        <v>0</v>
      </c>
      <c r="CV30" s="513">
        <f t="shared" ca="1" si="29"/>
        <v>0</v>
      </c>
      <c r="CW30" s="513">
        <f t="shared" ca="1" si="29"/>
        <v>0</v>
      </c>
      <c r="CX30" s="513">
        <f t="shared" ca="1" si="29"/>
        <v>0</v>
      </c>
      <c r="CY30" s="513">
        <f t="shared" ref="CY30:DW30" ca="1" si="30">SUM(CY7:CY28)</f>
        <v>0</v>
      </c>
      <c r="CZ30" s="513">
        <f t="shared" ca="1" si="30"/>
        <v>0</v>
      </c>
      <c r="DA30" s="513">
        <f t="shared" ca="1" si="30"/>
        <v>0</v>
      </c>
      <c r="DB30" s="513">
        <f t="shared" ca="1" si="30"/>
        <v>0</v>
      </c>
      <c r="DC30" s="513">
        <f t="shared" ca="1" si="30"/>
        <v>0</v>
      </c>
      <c r="DD30" s="513">
        <f t="shared" ca="1" si="30"/>
        <v>0</v>
      </c>
      <c r="DE30" s="513">
        <f t="shared" ca="1" si="30"/>
        <v>0</v>
      </c>
      <c r="DF30" s="513">
        <f t="shared" ca="1" si="30"/>
        <v>0</v>
      </c>
      <c r="DG30" s="513">
        <f t="shared" ca="1" si="30"/>
        <v>0</v>
      </c>
      <c r="DH30" s="513">
        <f t="shared" ca="1" si="30"/>
        <v>0</v>
      </c>
      <c r="DI30" s="513">
        <f t="shared" ca="1" si="30"/>
        <v>0</v>
      </c>
      <c r="DJ30" s="513">
        <f t="shared" ca="1" si="30"/>
        <v>0</v>
      </c>
      <c r="DK30" s="513">
        <f t="shared" ca="1" si="30"/>
        <v>0</v>
      </c>
      <c r="DL30" s="513">
        <f t="shared" ca="1" si="30"/>
        <v>0</v>
      </c>
      <c r="DM30" s="513">
        <f t="shared" ca="1" si="30"/>
        <v>0</v>
      </c>
      <c r="DN30" s="513">
        <f t="shared" ca="1" si="30"/>
        <v>0</v>
      </c>
      <c r="DO30" s="513">
        <f t="shared" ca="1" si="30"/>
        <v>0</v>
      </c>
      <c r="DP30" s="513">
        <f t="shared" ca="1" si="30"/>
        <v>0</v>
      </c>
      <c r="DQ30" s="513">
        <f t="shared" ca="1" si="30"/>
        <v>0</v>
      </c>
      <c r="DR30" s="513">
        <f t="shared" ca="1" si="30"/>
        <v>0</v>
      </c>
      <c r="DS30" s="513">
        <f t="shared" ca="1" si="30"/>
        <v>0</v>
      </c>
      <c r="DT30" s="513">
        <f t="shared" ca="1" si="30"/>
        <v>0</v>
      </c>
      <c r="DU30" s="513">
        <f t="shared" ca="1" si="30"/>
        <v>0</v>
      </c>
      <c r="DV30" s="513">
        <f t="shared" ca="1" si="30"/>
        <v>0</v>
      </c>
      <c r="DW30" s="513">
        <f t="shared" ca="1" si="30"/>
        <v>0</v>
      </c>
    </row>
    <row r="31" spans="1:127">
      <c r="A31" s="343" t="s">
        <v>1222</v>
      </c>
      <c r="B31" s="701"/>
      <c r="C31" s="701"/>
      <c r="D31" s="513"/>
      <c r="E31" s="513"/>
      <c r="F31" s="481"/>
      <c r="G31" s="513">
        <f>SUM(G7:G22)</f>
        <v>0</v>
      </c>
      <c r="H31" s="513">
        <f t="shared" ref="H31:BO31" si="31">SUM(H7:H22)</f>
        <v>1411.4837989041098</v>
      </c>
      <c r="I31" s="513">
        <f t="shared" si="31"/>
        <v>1388.4704760958905</v>
      </c>
      <c r="J31" s="513">
        <f t="shared" si="31"/>
        <v>1407.6272857923498</v>
      </c>
      <c r="K31" s="513">
        <f t="shared" si="31"/>
        <v>1392.3269892076505</v>
      </c>
      <c r="L31" s="513">
        <f t="shared" si="31"/>
        <v>1411.4837989041098</v>
      </c>
      <c r="M31" s="513">
        <f t="shared" si="31"/>
        <v>1388.4704760958905</v>
      </c>
      <c r="N31" s="513">
        <f t="shared" si="31"/>
        <v>1411.4837989041098</v>
      </c>
      <c r="O31" s="513">
        <f t="shared" si="31"/>
        <v>1388.4704760958905</v>
      </c>
      <c r="P31" s="513">
        <f t="shared" si="31"/>
        <v>1411.4837989041098</v>
      </c>
      <c r="Q31" s="513">
        <f t="shared" si="31"/>
        <v>1388.4704760958905</v>
      </c>
      <c r="R31" s="513">
        <f t="shared" si="31"/>
        <v>1407.6272857923498</v>
      </c>
      <c r="S31" s="513">
        <f t="shared" si="31"/>
        <v>1392.3269892076505</v>
      </c>
      <c r="T31" s="513">
        <f t="shared" si="31"/>
        <v>1411.4837989041098</v>
      </c>
      <c r="U31" s="513">
        <f t="shared" si="31"/>
        <v>1388.4704760958905</v>
      </c>
      <c r="V31" s="513">
        <f t="shared" si="31"/>
        <v>1411.4837989041098</v>
      </c>
      <c r="W31" s="513">
        <f t="shared" si="31"/>
        <v>1388.4704760958905</v>
      </c>
      <c r="X31" s="513">
        <f t="shared" si="31"/>
        <v>1411.4837989041098</v>
      </c>
      <c r="Y31" s="513">
        <f t="shared" si="31"/>
        <v>1388.4704760958905</v>
      </c>
      <c r="Z31" s="513">
        <f t="shared" si="31"/>
        <v>1407.6272857923498</v>
      </c>
      <c r="AA31" s="513">
        <f t="shared" si="31"/>
        <v>1392.3269892076505</v>
      </c>
      <c r="AB31" s="513">
        <f t="shared" si="31"/>
        <v>1411.4837989041098</v>
      </c>
      <c r="AC31" s="513">
        <f t="shared" si="31"/>
        <v>1388.4704760958905</v>
      </c>
      <c r="AD31" s="513">
        <f t="shared" si="31"/>
        <v>1411.4837989041098</v>
      </c>
      <c r="AE31" s="513">
        <f t="shared" si="31"/>
        <v>1388.4704760958905</v>
      </c>
      <c r="AF31" s="513">
        <f t="shared" si="31"/>
        <v>1411.4837989041098</v>
      </c>
      <c r="AG31" s="513">
        <f t="shared" si="31"/>
        <v>1388.4704760958905</v>
      </c>
      <c r="AH31" s="513">
        <f t="shared" si="31"/>
        <v>1407.6272857923498</v>
      </c>
      <c r="AI31" s="513">
        <f t="shared" si="31"/>
        <v>1392.3269892076505</v>
      </c>
      <c r="AJ31" s="513">
        <f t="shared" si="31"/>
        <v>1411.4837989041098</v>
      </c>
      <c r="AK31" s="513">
        <f t="shared" si="31"/>
        <v>1388.4704760958905</v>
      </c>
      <c r="AL31" s="513">
        <f t="shared" si="31"/>
        <v>1411.4837989041098</v>
      </c>
      <c r="AM31" s="513">
        <f t="shared" si="31"/>
        <v>1388.4704760958905</v>
      </c>
      <c r="AN31" s="513">
        <f t="shared" si="31"/>
        <v>1411.4837989041098</v>
      </c>
      <c r="AO31" s="513">
        <f t="shared" si="31"/>
        <v>1388.4704760958905</v>
      </c>
      <c r="AP31" s="513">
        <f t="shared" si="31"/>
        <v>1407.6272857923498</v>
      </c>
      <c r="AQ31" s="513">
        <f t="shared" si="31"/>
        <v>1392.3269892076505</v>
      </c>
      <c r="AR31" s="513">
        <f t="shared" si="31"/>
        <v>1411.4837989041098</v>
      </c>
      <c r="AS31" s="513">
        <f t="shared" si="31"/>
        <v>1388.4704760958905</v>
      </c>
      <c r="AT31" s="513">
        <f t="shared" si="31"/>
        <v>1411.4837989041098</v>
      </c>
      <c r="AU31" s="513">
        <f t="shared" si="31"/>
        <v>1388.4704760958905</v>
      </c>
      <c r="AV31" s="513">
        <f t="shared" si="31"/>
        <v>0</v>
      </c>
      <c r="AW31" s="513">
        <f t="shared" si="31"/>
        <v>0</v>
      </c>
      <c r="AX31" s="513">
        <f t="shared" si="31"/>
        <v>0</v>
      </c>
      <c r="AY31" s="513">
        <f t="shared" si="31"/>
        <v>0</v>
      </c>
      <c r="AZ31" s="513">
        <f t="shared" si="31"/>
        <v>0</v>
      </c>
      <c r="BA31" s="513">
        <f t="shared" si="31"/>
        <v>0</v>
      </c>
      <c r="BB31" s="513">
        <f t="shared" si="31"/>
        <v>0</v>
      </c>
      <c r="BC31" s="513">
        <f t="shared" si="31"/>
        <v>0</v>
      </c>
      <c r="BD31" s="513">
        <f t="shared" si="31"/>
        <v>0</v>
      </c>
      <c r="BE31" s="513">
        <f t="shared" si="31"/>
        <v>0</v>
      </c>
      <c r="BF31" s="513">
        <f t="shared" si="31"/>
        <v>0</v>
      </c>
      <c r="BG31" s="513">
        <f t="shared" si="31"/>
        <v>0</v>
      </c>
      <c r="BH31" s="513">
        <f t="shared" si="31"/>
        <v>0</v>
      </c>
      <c r="BI31" s="513">
        <f t="shared" si="31"/>
        <v>0</v>
      </c>
      <c r="BJ31" s="513">
        <f t="shared" si="31"/>
        <v>0</v>
      </c>
      <c r="BK31" s="513">
        <f t="shared" si="31"/>
        <v>0</v>
      </c>
      <c r="BL31" s="513">
        <f t="shared" si="31"/>
        <v>0</v>
      </c>
      <c r="BM31" s="513">
        <f t="shared" si="31"/>
        <v>0</v>
      </c>
      <c r="BN31" s="513">
        <f t="shared" si="31"/>
        <v>0</v>
      </c>
      <c r="BO31" s="513">
        <f t="shared" si="31"/>
        <v>0</v>
      </c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</row>
    <row r="32" spans="1:127">
      <c r="A32" s="305" t="s">
        <v>1223</v>
      </c>
      <c r="B32" s="701"/>
      <c r="C32" s="701"/>
      <c r="D32" s="513"/>
      <c r="E32" s="513"/>
      <c r="F32" s="481"/>
      <c r="G32" s="510">
        <f ca="1">SUM($G30:G30)</f>
        <v>0</v>
      </c>
      <c r="H32" s="510">
        <f ca="1">SUM($G30:H30)</f>
        <v>1490.6768666010357</v>
      </c>
      <c r="I32" s="510">
        <f ca="1">SUM($G30:I30)</f>
        <v>2957.0492190727064</v>
      </c>
      <c r="J32" s="510">
        <f ca="1">SUM($G30:J30)</f>
        <v>4443.6531980600776</v>
      </c>
      <c r="K32" s="510">
        <f ca="1">SUM($G30:K30)</f>
        <v>5914.0984381454127</v>
      </c>
      <c r="L32" s="510">
        <f ca="1">SUM($G30:L30)</f>
        <v>7404.7753047464485</v>
      </c>
      <c r="M32" s="510">
        <f ca="1">SUM($G30:M30)</f>
        <v>8871.14765721812</v>
      </c>
      <c r="N32" s="510">
        <f ca="1">SUM($G30:N30)</f>
        <v>10361.824523819156</v>
      </c>
      <c r="O32" s="510">
        <f ca="1">SUM($G30:O30)</f>
        <v>11828.196876290827</v>
      </c>
      <c r="P32" s="510">
        <f ca="1">SUM($G30:P30)</f>
        <v>13318.873742891863</v>
      </c>
      <c r="Q32" s="510">
        <f ca="1">SUM($G30:Q30)</f>
        <v>14785.246095363535</v>
      </c>
      <c r="R32" s="510">
        <f ca="1">SUM($G30:R30)</f>
        <v>16271.850074350907</v>
      </c>
      <c r="S32" s="510">
        <f ca="1">SUM($G30:S30)</f>
        <v>17742.29531443624</v>
      </c>
      <c r="T32" s="510">
        <f ca="1">SUM($G30:T30)</f>
        <v>19232.972181037276</v>
      </c>
      <c r="U32" s="510">
        <f ca="1">SUM($G30:U30)</f>
        <v>20699.344533508945</v>
      </c>
      <c r="V32" s="510">
        <f ca="1">SUM($G30:V30)</f>
        <v>22190.021400109981</v>
      </c>
      <c r="W32" s="510">
        <f ca="1">SUM($G30:W30)</f>
        <v>23656.393752581651</v>
      </c>
      <c r="X32" s="510">
        <f ca="1">SUM($G30:X30)</f>
        <v>25147.070619182687</v>
      </c>
      <c r="Y32" s="510">
        <f ca="1">SUM($G30:Y30)</f>
        <v>26613.442971654356</v>
      </c>
      <c r="Z32" s="510">
        <f ca="1">SUM($G30:Z30)</f>
        <v>28100.046950641728</v>
      </c>
      <c r="AA32" s="510">
        <f ca="1">SUM($G30:AA30)</f>
        <v>29570.492190727062</v>
      </c>
      <c r="AB32" s="510">
        <f ca="1">SUM($G30:AB30)</f>
        <v>31061.169057328098</v>
      </c>
      <c r="AC32" s="510">
        <f ca="1">SUM($G30:AC30)</f>
        <v>32527.541409799767</v>
      </c>
      <c r="AD32" s="510">
        <f ca="1">SUM($G30:AD30)</f>
        <v>34018.218276400803</v>
      </c>
      <c r="AE32" s="510">
        <f ca="1">SUM($G30:AE30)</f>
        <v>35484.590628872473</v>
      </c>
      <c r="AF32" s="510">
        <f ca="1">SUM($G30:AF30)</f>
        <v>36901.671797792042</v>
      </c>
      <c r="AG32" s="510">
        <f ca="1">SUM($G30:AG30)</f>
        <v>38295.648382435742</v>
      </c>
      <c r="AH32" s="510">
        <f ca="1">SUM($G30:AH30)</f>
        <v>39708.857744882851</v>
      </c>
      <c r="AI32" s="510">
        <f ca="1">SUM($G30:AI30)</f>
        <v>41106.706135999011</v>
      </c>
      <c r="AJ32" s="510">
        <f ca="1">SUM($G30:AJ30)</f>
        <v>42523.78730491858</v>
      </c>
      <c r="AK32" s="510">
        <f ca="1">SUM($G30:AK30)</f>
        <v>43917.76388956228</v>
      </c>
      <c r="AL32" s="510">
        <f ca="1">SUM($G30:AL30)</f>
        <v>45334.845058481849</v>
      </c>
      <c r="AM32" s="510">
        <f ca="1">SUM($G30:AM30)</f>
        <v>46728.82164312555</v>
      </c>
      <c r="AN32" s="510">
        <f ca="1">SUM($G30:AN30)</f>
        <v>48145.902812045118</v>
      </c>
      <c r="AO32" s="510">
        <f ca="1">SUM($G30:AO30)</f>
        <v>49539.879396688819</v>
      </c>
      <c r="AP32" s="510">
        <f ca="1">SUM($G30:AP30)</f>
        <v>50953.088759135928</v>
      </c>
      <c r="AQ32" s="510">
        <f ca="1">SUM($G30:AQ30)</f>
        <v>52350.937150252088</v>
      </c>
      <c r="AR32" s="510">
        <f ca="1">SUM($G30:AR30)</f>
        <v>53768.018319171657</v>
      </c>
      <c r="AS32" s="510">
        <f ca="1">SUM($G30:AS30)</f>
        <v>55161.994903815357</v>
      </c>
      <c r="AT32" s="510">
        <f ca="1">SUM($G30:AT30)</f>
        <v>56579.076072734926</v>
      </c>
      <c r="AU32" s="510">
        <f ca="1">SUM($G30:AU30)</f>
        <v>57973.052657378626</v>
      </c>
      <c r="AV32" s="510">
        <f ca="1">SUM($G30:AV30)</f>
        <v>57973.052657378626</v>
      </c>
      <c r="AW32" s="510">
        <f ca="1">SUM($G30:AW30)</f>
        <v>57973.052657378626</v>
      </c>
      <c r="AX32" s="510">
        <f ca="1">SUM($G30:AX30)</f>
        <v>57973.052657378626</v>
      </c>
      <c r="AY32" s="510">
        <f ca="1">SUM($G30:AY30)</f>
        <v>57973.052657378626</v>
      </c>
      <c r="AZ32" s="510">
        <f ca="1">SUM($G30:AZ30)</f>
        <v>57973.052657378626</v>
      </c>
      <c r="BA32" s="510">
        <f ca="1">SUM($G30:BA30)</f>
        <v>57973.052657378626</v>
      </c>
      <c r="BB32" s="510">
        <f ca="1">SUM($G30:BB30)</f>
        <v>57973.052657378626</v>
      </c>
      <c r="BC32" s="510">
        <f ca="1">SUM($G30:BC30)</f>
        <v>57973.052657378626</v>
      </c>
      <c r="BD32" s="510">
        <f ca="1">SUM($G30:BD30)</f>
        <v>57973.052657378626</v>
      </c>
      <c r="BE32" s="510">
        <f ca="1">SUM($G30:BE30)</f>
        <v>57973.052657378626</v>
      </c>
      <c r="BF32" s="510">
        <f ca="1">SUM($G30:BF30)</f>
        <v>57973.052657378626</v>
      </c>
      <c r="BG32" s="510">
        <f ca="1">SUM($G30:BG30)</f>
        <v>57973.052657378626</v>
      </c>
      <c r="BH32" s="510">
        <f ca="1">SUM($G30:BH30)</f>
        <v>57973.052657378626</v>
      </c>
      <c r="BI32" s="510">
        <f ca="1">SUM($G30:BI30)</f>
        <v>57973.052657378626</v>
      </c>
      <c r="BJ32" s="510">
        <f ca="1">SUM($G30:BJ30)</f>
        <v>57973.052657378626</v>
      </c>
      <c r="BK32" s="510">
        <f ca="1">SUM($G30:BK30)</f>
        <v>57973.052657378626</v>
      </c>
      <c r="BL32" s="510">
        <f ca="1">SUM($G30:BL30)</f>
        <v>57973.052657378626</v>
      </c>
      <c r="BM32" s="510">
        <f ca="1">SUM($G30:BM30)</f>
        <v>57973.052657378626</v>
      </c>
      <c r="BN32" s="510">
        <f ca="1">SUM($G30:BN30)</f>
        <v>57973.052657378626</v>
      </c>
      <c r="BO32" s="510">
        <f ca="1">SUM($G30:BO30)</f>
        <v>57973.052657378626</v>
      </c>
      <c r="BP32" s="510">
        <f ca="1">SUM($G30:BP30)</f>
        <v>57973.052657378626</v>
      </c>
      <c r="BQ32" s="510">
        <f ca="1">SUM($G30:BQ30)</f>
        <v>57973.052657378626</v>
      </c>
      <c r="BR32" s="510">
        <f ca="1">SUM($G30:BR30)</f>
        <v>57973.052657378626</v>
      </c>
      <c r="BS32" s="510">
        <f ca="1">SUM($G30:BS30)</f>
        <v>57973.052657378626</v>
      </c>
      <c r="BT32" s="510">
        <f ca="1">SUM($G30:BT30)</f>
        <v>57973.052657378626</v>
      </c>
      <c r="BU32" s="510">
        <f ca="1">SUM($G30:BU30)</f>
        <v>57973.052657378626</v>
      </c>
      <c r="BV32" s="510">
        <f ca="1">SUM($G30:BV30)</f>
        <v>57973.052657378626</v>
      </c>
      <c r="BW32" s="510">
        <f ca="1">SUM($G30:BW30)</f>
        <v>57973.052657378626</v>
      </c>
      <c r="BX32" s="510">
        <f ca="1">SUM($G30:BX30)</f>
        <v>57973.052657378626</v>
      </c>
      <c r="BY32" s="510">
        <f ca="1">SUM($G30:BY30)</f>
        <v>57973.052657378626</v>
      </c>
      <c r="BZ32" s="510">
        <f ca="1">SUM($G30:BZ30)</f>
        <v>57973.052657378626</v>
      </c>
      <c r="CA32" s="510">
        <f ca="1">SUM($G30:CA30)</f>
        <v>57973.052657378626</v>
      </c>
      <c r="CB32" s="510">
        <f ca="1">SUM($G30:CB30)</f>
        <v>57973.052657378626</v>
      </c>
      <c r="CC32" s="510">
        <f ca="1">SUM($G30:CC30)</f>
        <v>57973.052657378626</v>
      </c>
      <c r="CD32" s="510">
        <f ca="1">SUM($G30:CD30)</f>
        <v>57973.052657378626</v>
      </c>
      <c r="CE32" s="510">
        <f ca="1">SUM($G30:CE30)</f>
        <v>57973.052657378626</v>
      </c>
      <c r="CF32" s="510">
        <f ca="1">SUM($G30:CF30)</f>
        <v>57973.052657378626</v>
      </c>
      <c r="CG32" s="510">
        <f ca="1">SUM($G30:CG30)</f>
        <v>57973.052657378626</v>
      </c>
      <c r="CH32" s="510">
        <f ca="1">SUM($G30:CH30)</f>
        <v>57973.052657378626</v>
      </c>
      <c r="CI32" s="510">
        <f ca="1">SUM($G30:CI30)</f>
        <v>57973.052657378626</v>
      </c>
      <c r="CJ32" s="510">
        <f ca="1">SUM($G30:CJ30)</f>
        <v>57973.052657378626</v>
      </c>
      <c r="CK32" s="510">
        <f ca="1">SUM($G30:CK30)</f>
        <v>57973.052657378626</v>
      </c>
      <c r="CL32" s="510">
        <f ca="1">SUM($G30:CL30)</f>
        <v>57973.052657378626</v>
      </c>
      <c r="CM32" s="510">
        <f ca="1">SUM($G30:CM30)</f>
        <v>57973.052657378626</v>
      </c>
      <c r="CN32" s="510">
        <f ca="1">SUM($G30:CN30)</f>
        <v>57973.052657378626</v>
      </c>
      <c r="CO32" s="510">
        <f ca="1">SUM($G30:CO30)</f>
        <v>57973.052657378626</v>
      </c>
      <c r="CP32" s="510">
        <f ca="1">SUM($G30:CP30)</f>
        <v>57973.052657378626</v>
      </c>
      <c r="CQ32" s="510">
        <f ca="1">SUM($G30:CQ30)</f>
        <v>57973.052657378626</v>
      </c>
      <c r="CR32" s="510">
        <f ca="1">SUM($G30:CR30)</f>
        <v>57973.052657378626</v>
      </c>
      <c r="CS32" s="510">
        <f ca="1">SUM($G30:CS30)</f>
        <v>57973.052657378626</v>
      </c>
      <c r="CT32" s="510">
        <f ca="1">SUM($G30:CT30)</f>
        <v>57973.052657378626</v>
      </c>
      <c r="CU32" s="510">
        <f ca="1">SUM($G30:CU30)</f>
        <v>57973.052657378626</v>
      </c>
      <c r="CV32" s="510">
        <f ca="1">SUM($G30:CV30)</f>
        <v>57973.052657378626</v>
      </c>
      <c r="CW32" s="510">
        <f ca="1">SUM($G30:CW30)</f>
        <v>57973.052657378626</v>
      </c>
      <c r="CX32" s="510">
        <f ca="1">SUM($G30:CX30)</f>
        <v>57973.052657378626</v>
      </c>
      <c r="CY32" s="510">
        <f ca="1">SUM($G30:CY30)</f>
        <v>57973.052657378626</v>
      </c>
      <c r="CZ32" s="510">
        <f ca="1">SUM($G30:CZ30)</f>
        <v>57973.052657378626</v>
      </c>
      <c r="DA32" s="510">
        <f ca="1">SUM($G30:DA30)</f>
        <v>57973.052657378626</v>
      </c>
      <c r="DB32" s="510">
        <f ca="1">SUM($G30:DB30)</f>
        <v>57973.052657378626</v>
      </c>
      <c r="DC32" s="510">
        <f ca="1">SUM($G30:DC30)</f>
        <v>57973.052657378626</v>
      </c>
      <c r="DD32" s="510">
        <f ca="1">SUM($G30:DD30)</f>
        <v>57973.052657378626</v>
      </c>
      <c r="DE32" s="510">
        <f ca="1">SUM($G30:DE30)</f>
        <v>57973.052657378626</v>
      </c>
      <c r="DF32" s="510">
        <f ca="1">SUM($G30:DF30)</f>
        <v>57973.052657378626</v>
      </c>
      <c r="DG32" s="510">
        <f ca="1">SUM($G30:DG30)</f>
        <v>57973.052657378626</v>
      </c>
      <c r="DH32" s="510">
        <f ca="1">SUM($G30:DH30)</f>
        <v>57973.052657378626</v>
      </c>
      <c r="DI32" s="510">
        <f ca="1">SUM($G30:DI30)</f>
        <v>57973.052657378626</v>
      </c>
      <c r="DJ32" s="510">
        <f ca="1">SUM($G30:DJ30)</f>
        <v>57973.052657378626</v>
      </c>
      <c r="DK32" s="510">
        <f ca="1">SUM($G30:DK30)</f>
        <v>57973.052657378626</v>
      </c>
      <c r="DL32" s="510">
        <f ca="1">SUM($G30:DL30)</f>
        <v>57973.052657378626</v>
      </c>
      <c r="DM32" s="510">
        <f ca="1">SUM($G30:DM30)</f>
        <v>57973.052657378626</v>
      </c>
      <c r="DN32" s="510">
        <f ca="1">SUM($G30:DN30)</f>
        <v>57973.052657378626</v>
      </c>
      <c r="DO32" s="510">
        <f ca="1">SUM($G30:DO30)</f>
        <v>57973.052657378626</v>
      </c>
      <c r="DP32" s="510">
        <f ca="1">SUM($G30:DP30)</f>
        <v>57973.052657378626</v>
      </c>
      <c r="DQ32" s="510">
        <f ca="1">SUM($G30:DQ30)</f>
        <v>57973.052657378626</v>
      </c>
      <c r="DR32" s="510">
        <f ca="1">SUM($G30:DR30)</f>
        <v>57973.052657378626</v>
      </c>
      <c r="DS32" s="510">
        <f ca="1">SUM($G30:DS30)</f>
        <v>57973.052657378626</v>
      </c>
      <c r="DT32" s="510">
        <f ca="1">SUM($G30:DT30)</f>
        <v>57973.052657378626</v>
      </c>
      <c r="DU32" s="510">
        <f ca="1">SUM($G30:DU30)</f>
        <v>57973.052657378626</v>
      </c>
      <c r="DV32" s="510">
        <f ca="1">SUM($G30:DV30)</f>
        <v>57973.052657378626</v>
      </c>
      <c r="DW32" s="510">
        <f ca="1">SUM($G30:DW30)</f>
        <v>57973.052657378626</v>
      </c>
    </row>
    <row r="33" spans="1:127">
      <c r="A33" s="305"/>
      <c r="B33" s="700"/>
      <c r="C33" s="700"/>
      <c r="D33" s="305"/>
      <c r="E33" s="305"/>
      <c r="F33" s="933"/>
      <c r="G33" s="505"/>
      <c r="H33" s="505"/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  <c r="AL33" s="505"/>
      <c r="AM33" s="505"/>
      <c r="AN33" s="505"/>
      <c r="AO33" s="505"/>
      <c r="AP33" s="505"/>
      <c r="AQ33" s="505"/>
      <c r="AR33" s="505"/>
      <c r="AS33" s="505"/>
      <c r="AT33" s="505"/>
      <c r="AU33" s="505"/>
      <c r="AV33" s="505"/>
      <c r="AW33" s="505"/>
      <c r="AX33" s="505"/>
      <c r="AY33" s="505"/>
      <c r="AZ33" s="505"/>
      <c r="BA33" s="505"/>
      <c r="BB33" s="505"/>
      <c r="BC33" s="505"/>
      <c r="BD33" s="505"/>
      <c r="BE33" s="505"/>
      <c r="BF33" s="505"/>
      <c r="BG33" s="505"/>
      <c r="BH33" s="505"/>
      <c r="BI33" s="505"/>
      <c r="BJ33" s="505"/>
      <c r="BK33" s="505"/>
      <c r="BL33" s="505"/>
      <c r="BM33" s="505"/>
      <c r="BN33" s="505"/>
      <c r="BO33" s="505"/>
      <c r="BP33" s="505"/>
      <c r="BQ33" s="505"/>
      <c r="BR33" s="505"/>
      <c r="BS33" s="505"/>
      <c r="BT33" s="505"/>
      <c r="BU33" s="505"/>
      <c r="BV33" s="505"/>
      <c r="BW33" s="505"/>
      <c r="BX33" s="505"/>
      <c r="BY33" s="505"/>
      <c r="BZ33" s="505"/>
      <c r="CA33" s="505"/>
      <c r="CB33" s="505"/>
      <c r="CC33" s="505"/>
      <c r="CD33" s="505"/>
      <c r="CE33" s="505"/>
      <c r="CF33" s="505"/>
      <c r="CG33" s="505"/>
      <c r="CH33" s="505"/>
      <c r="CI33" s="505"/>
      <c r="CJ33" s="505"/>
      <c r="CK33" s="505"/>
      <c r="CL33" s="505"/>
      <c r="CM33" s="505"/>
      <c r="CN33" s="505"/>
      <c r="CO33" s="505"/>
      <c r="CP33" s="505"/>
      <c r="CQ33" s="505"/>
      <c r="CR33" s="505"/>
      <c r="CS33" s="505"/>
      <c r="CT33" s="505"/>
      <c r="CU33" s="505"/>
      <c r="CV33" s="505"/>
      <c r="CW33" s="505"/>
      <c r="CX33" s="505"/>
      <c r="CY33" s="505"/>
      <c r="CZ33" s="505"/>
      <c r="DA33" s="505"/>
      <c r="DB33" s="505"/>
      <c r="DC33" s="505"/>
      <c r="DD33" s="505"/>
      <c r="DE33" s="505"/>
      <c r="DF33" s="505"/>
      <c r="DG33" s="505"/>
      <c r="DH33" s="505"/>
      <c r="DI33" s="505"/>
      <c r="DJ33" s="505"/>
      <c r="DK33" s="505"/>
      <c r="DL33" s="505"/>
      <c r="DM33" s="505"/>
      <c r="DN33" s="505"/>
      <c r="DO33" s="505"/>
      <c r="DP33" s="505"/>
      <c r="DQ33" s="505"/>
      <c r="DR33" s="505"/>
      <c r="DS33" s="505"/>
      <c r="DT33" s="505"/>
      <c r="DU33" s="505"/>
      <c r="DV33" s="505"/>
      <c r="DW33" s="505"/>
    </row>
    <row r="34" spans="1:127">
      <c r="A34" s="606" t="s">
        <v>1116</v>
      </c>
      <c r="B34" s="702"/>
      <c r="C34" s="702"/>
      <c r="E34" s="405">
        <f ca="1">ABS(D30-SUM(Inputs!G375:G396))</f>
        <v>7.2759576141834259E-12</v>
      </c>
      <c r="F34" s="481"/>
      <c r="G34" s="505"/>
      <c r="H34" s="505"/>
      <c r="I34" s="505"/>
      <c r="J34" s="505"/>
      <c r="K34" s="505"/>
      <c r="L34" s="505"/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  <c r="AL34" s="505"/>
      <c r="AM34" s="505"/>
      <c r="AN34" s="505"/>
      <c r="AO34" s="505"/>
      <c r="AP34" s="505"/>
      <c r="AQ34" s="505"/>
      <c r="AR34" s="505"/>
      <c r="AS34" s="505"/>
      <c r="AT34" s="505"/>
      <c r="AU34" s="505"/>
      <c r="AV34" s="505"/>
      <c r="AW34" s="505"/>
      <c r="AX34" s="505"/>
      <c r="AY34" s="505"/>
      <c r="AZ34" s="505"/>
      <c r="BA34" s="505"/>
      <c r="BB34" s="505"/>
      <c r="BC34" s="505"/>
      <c r="BD34" s="505"/>
      <c r="BE34" s="505"/>
      <c r="BF34" s="505"/>
      <c r="BG34" s="505"/>
      <c r="BH34" s="505"/>
      <c r="BI34" s="505"/>
      <c r="BJ34" s="505"/>
      <c r="BK34" s="505"/>
      <c r="BL34" s="505"/>
      <c r="BM34" s="505"/>
      <c r="BN34" s="505"/>
      <c r="BO34" s="505"/>
      <c r="BP34" s="505"/>
      <c r="BQ34" s="505"/>
      <c r="BR34" s="505"/>
      <c r="BS34" s="505"/>
      <c r="BT34" s="505"/>
      <c r="BU34" s="505"/>
      <c r="BV34" s="505"/>
      <c r="BW34" s="505"/>
      <c r="BX34" s="505"/>
      <c r="BY34" s="505"/>
      <c r="BZ34" s="505"/>
      <c r="CA34" s="505"/>
      <c r="CB34" s="505"/>
      <c r="CC34" s="505"/>
      <c r="CD34" s="505"/>
      <c r="CE34" s="505"/>
      <c r="CF34" s="505"/>
      <c r="CG34" s="505"/>
      <c r="CH34" s="505"/>
      <c r="CI34" s="505"/>
      <c r="CJ34" s="505"/>
      <c r="CK34" s="505"/>
      <c r="CL34" s="505"/>
      <c r="CM34" s="505"/>
      <c r="CN34" s="505"/>
      <c r="CO34" s="505"/>
      <c r="CP34" s="505"/>
      <c r="CQ34" s="505"/>
      <c r="CR34" s="505"/>
      <c r="CS34" s="505"/>
      <c r="CT34" s="505"/>
      <c r="CU34" s="505"/>
      <c r="CV34" s="505"/>
      <c r="CW34" s="505"/>
      <c r="CX34" s="505"/>
      <c r="CY34" s="505"/>
      <c r="CZ34" s="505"/>
      <c r="DA34" s="505"/>
      <c r="DB34" s="505"/>
      <c r="DC34" s="505"/>
      <c r="DD34" s="505"/>
      <c r="DE34" s="505"/>
      <c r="DF34" s="505"/>
      <c r="DG34" s="505"/>
      <c r="DH34" s="505"/>
      <c r="DI34" s="505"/>
      <c r="DJ34" s="505"/>
      <c r="DK34" s="505"/>
      <c r="DL34" s="505"/>
      <c r="DM34" s="505"/>
      <c r="DN34" s="505"/>
      <c r="DO34" s="505"/>
      <c r="DP34" s="505"/>
      <c r="DQ34" s="505"/>
      <c r="DR34" s="505"/>
      <c r="DS34" s="505"/>
      <c r="DT34" s="505"/>
      <c r="DU34" s="505"/>
      <c r="DV34" s="505"/>
      <c r="DW34" s="505"/>
    </row>
    <row r="35" spans="1:127">
      <c r="A35" s="305"/>
      <c r="B35" s="700"/>
      <c r="C35" s="700"/>
      <c r="D35" s="305"/>
      <c r="E35" s="305"/>
      <c r="F35" s="493"/>
      <c r="G35" s="505"/>
      <c r="H35" s="5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  <c r="AG35" s="505"/>
      <c r="AH35" s="505"/>
      <c r="AI35" s="505"/>
      <c r="AJ35" s="505"/>
      <c r="AK35" s="505"/>
      <c r="AL35" s="505"/>
      <c r="AM35" s="505"/>
      <c r="AN35" s="505"/>
      <c r="AO35" s="505"/>
      <c r="AP35" s="505"/>
      <c r="AQ35" s="505"/>
      <c r="AR35" s="505"/>
      <c r="AS35" s="505"/>
      <c r="AT35" s="505"/>
      <c r="AU35" s="505"/>
      <c r="AV35" s="505"/>
      <c r="AW35" s="505"/>
      <c r="AX35" s="505"/>
      <c r="AY35" s="505"/>
      <c r="AZ35" s="505"/>
      <c r="BA35" s="505"/>
      <c r="BB35" s="505"/>
      <c r="BC35" s="505"/>
      <c r="BD35" s="505"/>
      <c r="BE35" s="505"/>
      <c r="BF35" s="505"/>
      <c r="BG35" s="505"/>
      <c r="BH35" s="505"/>
      <c r="BI35" s="505"/>
      <c r="BJ35" s="505"/>
      <c r="BK35" s="505"/>
      <c r="BL35" s="505"/>
      <c r="BM35" s="505"/>
      <c r="BN35" s="505"/>
      <c r="BO35" s="505"/>
      <c r="BP35" s="505"/>
      <c r="BQ35" s="505"/>
      <c r="BR35" s="505"/>
      <c r="BS35" s="505"/>
      <c r="BT35" s="505"/>
      <c r="BU35" s="505"/>
      <c r="BV35" s="505"/>
      <c r="BW35" s="505"/>
      <c r="BX35" s="505"/>
      <c r="BY35" s="505"/>
      <c r="BZ35" s="505"/>
      <c r="CA35" s="505"/>
      <c r="CB35" s="505"/>
      <c r="CC35" s="505"/>
      <c r="CD35" s="505"/>
      <c r="CE35" s="505"/>
      <c r="CF35" s="505"/>
      <c r="CG35" s="505"/>
      <c r="CH35" s="505"/>
      <c r="CI35" s="505"/>
      <c r="CJ35" s="505"/>
      <c r="CK35" s="505"/>
      <c r="CL35" s="505"/>
      <c r="CM35" s="505"/>
      <c r="CN35" s="505"/>
      <c r="CO35" s="505"/>
      <c r="CP35" s="505"/>
      <c r="CQ35" s="505"/>
      <c r="CR35" s="505"/>
      <c r="CS35" s="505"/>
      <c r="CT35" s="505"/>
      <c r="CU35" s="505"/>
      <c r="CV35" s="505"/>
      <c r="CW35" s="505"/>
      <c r="CX35" s="505"/>
      <c r="CY35" s="505"/>
      <c r="CZ35" s="505"/>
      <c r="DA35" s="505"/>
      <c r="DB35" s="505"/>
      <c r="DC35" s="505"/>
      <c r="DD35" s="505"/>
      <c r="DE35" s="505"/>
      <c r="DF35" s="505"/>
      <c r="DG35" s="505"/>
      <c r="DH35" s="505"/>
      <c r="DI35" s="505"/>
      <c r="DJ35" s="505"/>
      <c r="DK35" s="505"/>
      <c r="DL35" s="505"/>
      <c r="DM35" s="505"/>
      <c r="DN35" s="505"/>
      <c r="DO35" s="505"/>
      <c r="DP35" s="505"/>
      <c r="DQ35" s="505"/>
      <c r="DR35" s="505"/>
      <c r="DS35" s="505"/>
      <c r="DT35" s="505"/>
      <c r="DU35" s="505"/>
      <c r="DV35" s="505"/>
      <c r="DW35" s="505"/>
    </row>
    <row r="36" spans="1:127">
      <c r="A36" s="604"/>
      <c r="B36" s="699"/>
      <c r="C36" s="699"/>
      <c r="D36" s="604"/>
      <c r="E36" s="604"/>
      <c r="F36" s="494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  <c r="AL36" s="505"/>
      <c r="AM36" s="505"/>
      <c r="AN36" s="505"/>
      <c r="AO36" s="505"/>
      <c r="AP36" s="505"/>
      <c r="AQ36" s="505"/>
      <c r="AR36" s="505"/>
      <c r="AS36" s="505"/>
      <c r="AT36" s="505"/>
      <c r="AU36" s="505"/>
      <c r="AV36" s="505"/>
      <c r="AW36" s="505"/>
      <c r="AX36" s="505"/>
      <c r="AY36" s="505"/>
      <c r="AZ36" s="505"/>
      <c r="BA36" s="505"/>
      <c r="BB36" s="505"/>
      <c r="BC36" s="505"/>
      <c r="BD36" s="505"/>
      <c r="BE36" s="505"/>
      <c r="BF36" s="505"/>
      <c r="BG36" s="505"/>
      <c r="BH36" s="505"/>
      <c r="BI36" s="505"/>
      <c r="BJ36" s="505"/>
      <c r="BK36" s="505"/>
      <c r="BL36" s="505"/>
      <c r="BM36" s="505"/>
      <c r="BN36" s="505"/>
      <c r="BO36" s="505"/>
      <c r="BP36" s="505"/>
      <c r="BQ36" s="505"/>
      <c r="BR36" s="505"/>
      <c r="BS36" s="505"/>
      <c r="BT36" s="505"/>
      <c r="BU36" s="505"/>
      <c r="BV36" s="505"/>
      <c r="BW36" s="505"/>
      <c r="BX36" s="505"/>
      <c r="BY36" s="505"/>
      <c r="BZ36" s="505"/>
      <c r="CA36" s="505"/>
      <c r="CB36" s="505"/>
      <c r="CC36" s="505"/>
      <c r="CD36" s="505"/>
      <c r="CE36" s="505"/>
      <c r="CF36" s="505"/>
      <c r="CG36" s="505"/>
      <c r="CH36" s="505"/>
      <c r="CI36" s="505"/>
      <c r="CJ36" s="505"/>
      <c r="CK36" s="505"/>
      <c r="CL36" s="505"/>
      <c r="CM36" s="505"/>
      <c r="CN36" s="505"/>
      <c r="CO36" s="505"/>
      <c r="CP36" s="505"/>
      <c r="CQ36" s="505"/>
      <c r="CR36" s="505"/>
      <c r="CS36" s="505"/>
      <c r="CT36" s="505"/>
      <c r="CU36" s="505"/>
      <c r="CV36" s="505"/>
      <c r="CW36" s="505"/>
      <c r="CX36" s="505"/>
      <c r="CY36" s="505"/>
      <c r="CZ36" s="505"/>
      <c r="DA36" s="505"/>
      <c r="DB36" s="505"/>
      <c r="DC36" s="505"/>
      <c r="DD36" s="505"/>
      <c r="DE36" s="505"/>
      <c r="DF36" s="505"/>
      <c r="DG36" s="505"/>
      <c r="DH36" s="505"/>
      <c r="DI36" s="505"/>
      <c r="DJ36" s="505"/>
      <c r="DK36" s="505"/>
      <c r="DL36" s="505"/>
      <c r="DM36" s="505"/>
      <c r="DN36" s="505"/>
      <c r="DO36" s="505"/>
      <c r="DP36" s="505"/>
      <c r="DQ36" s="505"/>
      <c r="DR36" s="505"/>
      <c r="DS36" s="505"/>
      <c r="DT36" s="505"/>
      <c r="DU36" s="505"/>
      <c r="DV36" s="505"/>
      <c r="DW36" s="505"/>
    </row>
    <row r="37" spans="1:127" s="494" customFormat="1">
      <c r="A37" s="604"/>
      <c r="B37" s="699"/>
      <c r="C37" s="699"/>
      <c r="D37" s="604"/>
      <c r="E37" s="604"/>
      <c r="G37" s="505"/>
      <c r="H37" s="5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  <c r="AL37" s="505"/>
      <c r="AM37" s="505"/>
      <c r="AN37" s="505"/>
      <c r="AO37" s="505"/>
      <c r="AP37" s="505"/>
      <c r="AQ37" s="505"/>
      <c r="AR37" s="505"/>
      <c r="AS37" s="505"/>
      <c r="AT37" s="505"/>
      <c r="AU37" s="505"/>
      <c r="AV37" s="505"/>
      <c r="AW37" s="505"/>
      <c r="AX37" s="505"/>
      <c r="AY37" s="505"/>
      <c r="AZ37" s="505"/>
      <c r="BA37" s="505"/>
      <c r="BB37" s="505"/>
      <c r="BC37" s="505"/>
      <c r="BD37" s="505"/>
      <c r="BE37" s="505"/>
      <c r="BF37" s="505"/>
      <c r="BG37" s="505"/>
      <c r="BH37" s="505"/>
      <c r="BI37" s="505"/>
      <c r="BJ37" s="505"/>
      <c r="BK37" s="505"/>
      <c r="BL37" s="505"/>
      <c r="BM37" s="505"/>
      <c r="BN37" s="505"/>
      <c r="BO37" s="505"/>
      <c r="BP37" s="505"/>
      <c r="BQ37" s="505"/>
      <c r="BR37" s="505"/>
      <c r="BS37" s="505"/>
      <c r="BT37" s="505"/>
      <c r="BU37" s="505"/>
      <c r="BV37" s="505"/>
      <c r="BW37" s="505"/>
      <c r="BX37" s="505"/>
      <c r="BY37" s="505"/>
      <c r="BZ37" s="505"/>
      <c r="CA37" s="505"/>
      <c r="CB37" s="505"/>
      <c r="CC37" s="505"/>
      <c r="CD37" s="505"/>
      <c r="CE37" s="505"/>
      <c r="CF37" s="505"/>
      <c r="CG37" s="505"/>
      <c r="CH37" s="505"/>
      <c r="CI37" s="505"/>
      <c r="CJ37" s="505"/>
      <c r="CK37" s="505"/>
      <c r="CL37" s="505"/>
      <c r="CM37" s="505"/>
      <c r="CN37" s="505"/>
      <c r="CO37" s="505"/>
      <c r="CP37" s="505"/>
      <c r="CQ37" s="505"/>
      <c r="CR37" s="505"/>
      <c r="CS37" s="505"/>
      <c r="CT37" s="505"/>
      <c r="CU37" s="505"/>
      <c r="CV37" s="505"/>
      <c r="CW37" s="505"/>
      <c r="CX37" s="505"/>
      <c r="CY37" s="505"/>
      <c r="CZ37" s="505"/>
      <c r="DA37" s="505"/>
      <c r="DB37" s="505"/>
      <c r="DC37" s="505"/>
      <c r="DD37" s="505"/>
      <c r="DE37" s="505"/>
      <c r="DF37" s="505"/>
      <c r="DG37" s="505"/>
      <c r="DH37" s="505"/>
      <c r="DI37" s="505"/>
      <c r="DJ37" s="505"/>
      <c r="DK37" s="505"/>
      <c r="DL37" s="505"/>
      <c r="DM37" s="505"/>
      <c r="DN37" s="505"/>
      <c r="DO37" s="505"/>
      <c r="DP37" s="505"/>
      <c r="DQ37" s="505"/>
      <c r="DR37" s="505"/>
      <c r="DS37" s="505"/>
      <c r="DT37" s="505"/>
      <c r="DU37" s="505"/>
      <c r="DV37" s="505"/>
      <c r="DW37" s="505"/>
    </row>
    <row r="38" spans="1:127" s="494" customFormat="1">
      <c r="B38" s="676"/>
      <c r="C38" s="676"/>
    </row>
    <row r="39" spans="1:127" s="494" customFormat="1">
      <c r="B39" s="676"/>
      <c r="C39" s="676"/>
    </row>
    <row r="40" spans="1:127" s="494" customFormat="1">
      <c r="B40" s="676"/>
      <c r="C40" s="676"/>
    </row>
    <row r="41" spans="1:127" s="494" customFormat="1">
      <c r="B41" s="676"/>
      <c r="C41" s="676"/>
    </row>
    <row r="42" spans="1:127" s="494" customFormat="1">
      <c r="B42" s="676"/>
      <c r="C42" s="676"/>
    </row>
    <row r="43" spans="1:127" s="494" customFormat="1">
      <c r="B43" s="676"/>
      <c r="C43" s="676"/>
    </row>
    <row r="44" spans="1:127" s="494" customFormat="1">
      <c r="B44" s="676"/>
      <c r="C44" s="676"/>
    </row>
    <row r="45" spans="1:127" s="494" customFormat="1">
      <c r="B45" s="676"/>
      <c r="C45" s="676"/>
    </row>
    <row r="46" spans="1:127" s="494" customFormat="1">
      <c r="B46" s="676"/>
      <c r="C46" s="676"/>
    </row>
    <row r="47" spans="1:127" s="494" customFormat="1">
      <c r="B47" s="676"/>
      <c r="C47" s="676"/>
    </row>
    <row r="48" spans="1:127" s="494" customFormat="1">
      <c r="B48" s="676"/>
      <c r="C48" s="676"/>
    </row>
    <row r="49" spans="2:3" s="494" customFormat="1">
      <c r="B49" s="676"/>
      <c r="C49" s="676"/>
    </row>
    <row r="50" spans="2:3" s="494" customFormat="1">
      <c r="B50" s="676"/>
      <c r="C50" s="676"/>
    </row>
    <row r="51" spans="2:3" s="494" customFormat="1">
      <c r="B51" s="676"/>
      <c r="C51" s="676"/>
    </row>
    <row r="52" spans="2:3" s="494" customFormat="1">
      <c r="B52" s="676"/>
      <c r="C52" s="676"/>
    </row>
    <row r="53" spans="2:3" s="494" customFormat="1">
      <c r="B53" s="676"/>
      <c r="C53" s="676"/>
    </row>
    <row r="54" spans="2:3" s="494" customFormat="1">
      <c r="B54" s="676"/>
      <c r="C54" s="676"/>
    </row>
    <row r="55" spans="2:3" s="494" customFormat="1">
      <c r="B55" s="676"/>
      <c r="C55" s="676"/>
    </row>
    <row r="56" spans="2:3" s="494" customFormat="1">
      <c r="B56" s="676"/>
      <c r="C56" s="676"/>
    </row>
    <row r="57" spans="2:3" s="494" customFormat="1">
      <c r="B57" s="676"/>
      <c r="C57" s="676"/>
    </row>
    <row r="58" spans="2:3" s="494" customFormat="1">
      <c r="B58" s="676"/>
      <c r="C58" s="676"/>
    </row>
    <row r="59" spans="2:3" s="494" customFormat="1">
      <c r="B59" s="676"/>
      <c r="C59" s="676"/>
    </row>
    <row r="60" spans="2:3" s="494" customFormat="1">
      <c r="B60" s="676"/>
      <c r="C60" s="676"/>
    </row>
    <row r="61" spans="2:3" s="494" customFormat="1">
      <c r="B61" s="676"/>
      <c r="C61" s="676"/>
    </row>
    <row r="62" spans="2:3" s="494" customFormat="1">
      <c r="B62" s="676"/>
      <c r="C62" s="676"/>
    </row>
    <row r="63" spans="2:3" s="494" customFormat="1">
      <c r="B63" s="676"/>
      <c r="C63" s="676"/>
    </row>
    <row r="64" spans="2:3" s="494" customFormat="1">
      <c r="B64" s="676"/>
      <c r="C64" s="676"/>
    </row>
    <row r="65" spans="2:3" s="494" customFormat="1">
      <c r="B65" s="676"/>
      <c r="C65" s="676"/>
    </row>
    <row r="66" spans="2:3" s="494" customFormat="1">
      <c r="B66" s="676"/>
      <c r="C66" s="676"/>
    </row>
    <row r="67" spans="2:3" s="494" customFormat="1">
      <c r="B67" s="676"/>
      <c r="C67" s="676"/>
    </row>
    <row r="68" spans="2:3" s="494" customFormat="1">
      <c r="B68" s="676"/>
      <c r="C68" s="676"/>
    </row>
    <row r="69" spans="2:3" s="494" customFormat="1">
      <c r="B69" s="676"/>
      <c r="C69" s="676"/>
    </row>
    <row r="70" spans="2:3" s="494" customFormat="1">
      <c r="B70" s="676"/>
      <c r="C70" s="676"/>
    </row>
    <row r="71" spans="2:3" s="494" customFormat="1">
      <c r="B71" s="676"/>
      <c r="C71" s="676"/>
    </row>
    <row r="72" spans="2:3" s="494" customFormat="1">
      <c r="B72" s="676"/>
      <c r="C72" s="676"/>
    </row>
    <row r="73" spans="2:3" s="494" customFormat="1">
      <c r="B73" s="676"/>
      <c r="C73" s="676"/>
    </row>
    <row r="74" spans="2:3" s="494" customFormat="1">
      <c r="B74" s="676"/>
      <c r="C74" s="676"/>
    </row>
    <row r="75" spans="2:3" s="494" customFormat="1">
      <c r="B75" s="676"/>
      <c r="C75" s="676"/>
    </row>
    <row r="76" spans="2:3" s="494" customFormat="1">
      <c r="B76" s="676"/>
      <c r="C76" s="676"/>
    </row>
    <row r="77" spans="2:3" s="494" customFormat="1">
      <c r="B77" s="676"/>
      <c r="C77" s="676"/>
    </row>
    <row r="78" spans="2:3" s="494" customFormat="1">
      <c r="B78" s="676"/>
      <c r="C78" s="676"/>
    </row>
    <row r="79" spans="2:3" s="494" customFormat="1">
      <c r="B79" s="676"/>
      <c r="C79" s="676"/>
    </row>
    <row r="80" spans="2:3" s="494" customFormat="1">
      <c r="B80" s="676"/>
      <c r="C80" s="676"/>
    </row>
    <row r="81" spans="2:3" s="494" customFormat="1">
      <c r="B81" s="676"/>
      <c r="C81" s="676"/>
    </row>
    <row r="82" spans="2:3" s="494" customFormat="1">
      <c r="B82" s="676"/>
      <c r="C82" s="676"/>
    </row>
    <row r="83" spans="2:3" s="494" customFormat="1">
      <c r="B83" s="676"/>
      <c r="C83" s="676"/>
    </row>
    <row r="84" spans="2:3" s="494" customFormat="1">
      <c r="B84" s="676"/>
      <c r="C84" s="676"/>
    </row>
    <row r="85" spans="2:3" s="494" customFormat="1">
      <c r="B85" s="676"/>
      <c r="C85" s="676"/>
    </row>
    <row r="86" spans="2:3" s="494" customFormat="1">
      <c r="B86" s="676"/>
      <c r="C86" s="676"/>
    </row>
    <row r="87" spans="2:3" s="494" customFormat="1">
      <c r="B87" s="676"/>
      <c r="C87" s="676"/>
    </row>
    <row r="88" spans="2:3" s="494" customFormat="1">
      <c r="B88" s="676"/>
      <c r="C88" s="676"/>
    </row>
    <row r="89" spans="2:3" s="494" customFormat="1">
      <c r="B89" s="676"/>
      <c r="C89" s="676"/>
    </row>
    <row r="90" spans="2:3" s="494" customFormat="1">
      <c r="B90" s="676"/>
      <c r="C90" s="676"/>
    </row>
    <row r="91" spans="2:3" s="494" customFormat="1">
      <c r="B91" s="676"/>
      <c r="C91" s="676"/>
    </row>
    <row r="92" spans="2:3" s="494" customFormat="1">
      <c r="B92" s="676"/>
      <c r="C92" s="676"/>
    </row>
    <row r="93" spans="2:3" s="494" customFormat="1">
      <c r="B93" s="676"/>
      <c r="C93" s="676"/>
    </row>
    <row r="94" spans="2:3" s="494" customFormat="1">
      <c r="B94" s="676"/>
      <c r="C94" s="676"/>
    </row>
    <row r="95" spans="2:3" s="494" customFormat="1">
      <c r="B95" s="676"/>
      <c r="C95" s="676"/>
    </row>
    <row r="96" spans="2:3" s="494" customFormat="1">
      <c r="B96" s="676"/>
      <c r="C96" s="676"/>
    </row>
    <row r="97" spans="2:3" s="494" customFormat="1">
      <c r="B97" s="676"/>
      <c r="C97" s="676"/>
    </row>
    <row r="98" spans="2:3" s="494" customFormat="1">
      <c r="B98" s="676"/>
      <c r="C98" s="676"/>
    </row>
    <row r="99" spans="2:3" s="494" customFormat="1">
      <c r="B99" s="676"/>
      <c r="C99" s="676"/>
    </row>
    <row r="100" spans="2:3" s="494" customFormat="1">
      <c r="B100" s="676"/>
      <c r="C100" s="676"/>
    </row>
    <row r="101" spans="2:3" s="494" customFormat="1">
      <c r="B101" s="676"/>
      <c r="C101" s="676"/>
    </row>
    <row r="102" spans="2:3" s="494" customFormat="1">
      <c r="B102" s="676"/>
      <c r="C102" s="676"/>
    </row>
    <row r="103" spans="2:3" s="494" customFormat="1">
      <c r="B103" s="676"/>
      <c r="C103" s="676"/>
    </row>
    <row r="104" spans="2:3" s="494" customFormat="1">
      <c r="B104" s="676"/>
      <c r="C104" s="676"/>
    </row>
    <row r="105" spans="2:3" s="494" customFormat="1">
      <c r="B105" s="676"/>
      <c r="C105" s="676"/>
    </row>
    <row r="106" spans="2:3" s="494" customFormat="1">
      <c r="B106" s="676"/>
      <c r="C106" s="676"/>
    </row>
    <row r="107" spans="2:3" s="494" customFormat="1">
      <c r="B107" s="676"/>
      <c r="C107" s="676"/>
    </row>
    <row r="108" spans="2:3" s="494" customFormat="1">
      <c r="B108" s="676"/>
      <c r="C108" s="676"/>
    </row>
    <row r="109" spans="2:3" s="494" customFormat="1">
      <c r="B109" s="676"/>
      <c r="C109" s="676"/>
    </row>
    <row r="110" spans="2:3" s="494" customFormat="1">
      <c r="B110" s="676"/>
      <c r="C110" s="676"/>
    </row>
    <row r="111" spans="2:3" s="494" customFormat="1">
      <c r="B111" s="676"/>
      <c r="C111" s="676"/>
    </row>
    <row r="112" spans="2:3" s="494" customFormat="1">
      <c r="B112" s="676"/>
      <c r="C112" s="676"/>
    </row>
    <row r="113" spans="2:3" s="494" customFormat="1">
      <c r="B113" s="676"/>
      <c r="C113" s="676"/>
    </row>
    <row r="114" spans="2:3" s="494" customFormat="1">
      <c r="B114" s="676"/>
      <c r="C114" s="676"/>
    </row>
    <row r="115" spans="2:3" s="494" customFormat="1">
      <c r="B115" s="676"/>
      <c r="C115" s="676"/>
    </row>
    <row r="116" spans="2:3" s="494" customFormat="1">
      <c r="B116" s="676"/>
      <c r="C116" s="676"/>
    </row>
    <row r="117" spans="2:3" s="494" customFormat="1">
      <c r="B117" s="676"/>
      <c r="C117" s="676"/>
    </row>
    <row r="118" spans="2:3" s="494" customFormat="1">
      <c r="B118" s="676"/>
      <c r="C118" s="676"/>
    </row>
    <row r="119" spans="2:3" s="494" customFormat="1">
      <c r="B119" s="676"/>
      <c r="C119" s="676"/>
    </row>
    <row r="120" spans="2:3" s="494" customFormat="1">
      <c r="B120" s="676"/>
      <c r="C120" s="676"/>
    </row>
    <row r="121" spans="2:3" s="494" customFormat="1">
      <c r="B121" s="676"/>
      <c r="C121" s="676"/>
    </row>
    <row r="122" spans="2:3" s="494" customFormat="1">
      <c r="B122" s="676"/>
      <c r="C122" s="676"/>
    </row>
    <row r="123" spans="2:3" s="494" customFormat="1">
      <c r="B123" s="676"/>
      <c r="C123" s="676"/>
    </row>
    <row r="124" spans="2:3" s="494" customFormat="1">
      <c r="B124" s="676"/>
      <c r="C124" s="676"/>
    </row>
    <row r="125" spans="2:3" s="494" customFormat="1">
      <c r="B125" s="676"/>
      <c r="C125" s="676"/>
    </row>
    <row r="126" spans="2:3" s="494" customFormat="1">
      <c r="B126" s="676"/>
      <c r="C126" s="676"/>
    </row>
    <row r="127" spans="2:3" s="494" customFormat="1">
      <c r="B127" s="676"/>
      <c r="C127" s="676"/>
    </row>
    <row r="128" spans="2:3" s="494" customFormat="1">
      <c r="B128" s="676"/>
      <c r="C128" s="676"/>
    </row>
    <row r="129" spans="2:3" s="494" customFormat="1">
      <c r="B129" s="676"/>
      <c r="C129" s="676"/>
    </row>
    <row r="130" spans="2:3" s="494" customFormat="1">
      <c r="B130" s="676"/>
      <c r="C130" s="676"/>
    </row>
    <row r="131" spans="2:3" s="494" customFormat="1">
      <c r="B131" s="676"/>
      <c r="C131" s="676"/>
    </row>
    <row r="132" spans="2:3" s="494" customFormat="1">
      <c r="B132" s="676"/>
      <c r="C132" s="676"/>
    </row>
    <row r="133" spans="2:3" s="494" customFormat="1">
      <c r="B133" s="676"/>
      <c r="C133" s="676"/>
    </row>
    <row r="134" spans="2:3" s="494" customFormat="1">
      <c r="B134" s="676"/>
      <c r="C134" s="676"/>
    </row>
    <row r="135" spans="2:3" s="494" customFormat="1">
      <c r="B135" s="676"/>
      <c r="C135" s="676"/>
    </row>
    <row r="136" spans="2:3" s="494" customFormat="1">
      <c r="B136" s="676"/>
      <c r="C136" s="676"/>
    </row>
    <row r="137" spans="2:3" s="494" customFormat="1">
      <c r="B137" s="676"/>
      <c r="C137" s="676"/>
    </row>
    <row r="138" spans="2:3" s="494" customFormat="1">
      <c r="B138" s="676"/>
      <c r="C138" s="676"/>
    </row>
    <row r="139" spans="2:3" s="494" customFormat="1">
      <c r="B139" s="676"/>
      <c r="C139" s="676"/>
    </row>
    <row r="140" spans="2:3" s="494" customFormat="1">
      <c r="B140" s="676"/>
      <c r="C140" s="676"/>
    </row>
    <row r="141" spans="2:3" s="494" customFormat="1">
      <c r="B141" s="676"/>
      <c r="C141" s="676"/>
    </row>
    <row r="142" spans="2:3" s="494" customFormat="1">
      <c r="B142" s="676"/>
      <c r="C142" s="676"/>
    </row>
    <row r="143" spans="2:3" s="494" customFormat="1">
      <c r="B143" s="676"/>
      <c r="C143" s="676"/>
    </row>
    <row r="144" spans="2:3" s="494" customFormat="1">
      <c r="B144" s="676"/>
      <c r="C144" s="676"/>
    </row>
    <row r="145" spans="2:3" s="494" customFormat="1">
      <c r="B145" s="676"/>
      <c r="C145" s="676"/>
    </row>
    <row r="146" spans="2:3" s="494" customFormat="1">
      <c r="B146" s="676"/>
      <c r="C146" s="676"/>
    </row>
    <row r="147" spans="2:3" s="494" customFormat="1">
      <c r="B147" s="676"/>
      <c r="C147" s="676"/>
    </row>
    <row r="148" spans="2:3" s="494" customFormat="1">
      <c r="B148" s="676"/>
      <c r="C148" s="676"/>
    </row>
    <row r="149" spans="2:3" s="494" customFormat="1">
      <c r="B149" s="676"/>
      <c r="C149" s="676"/>
    </row>
    <row r="150" spans="2:3" s="494" customFormat="1">
      <c r="B150" s="676"/>
      <c r="C150" s="676"/>
    </row>
    <row r="151" spans="2:3" s="494" customFormat="1">
      <c r="B151" s="676"/>
      <c r="C151" s="676"/>
    </row>
    <row r="152" spans="2:3" s="494" customFormat="1">
      <c r="B152" s="676"/>
      <c r="C152" s="676"/>
    </row>
    <row r="153" spans="2:3" s="494" customFormat="1">
      <c r="B153" s="676"/>
      <c r="C153" s="676"/>
    </row>
    <row r="154" spans="2:3" s="494" customFormat="1">
      <c r="B154" s="676"/>
      <c r="C154" s="676"/>
    </row>
    <row r="155" spans="2:3" s="494" customFormat="1">
      <c r="B155" s="676"/>
      <c r="C155" s="676"/>
    </row>
    <row r="156" spans="2:3" s="494" customFormat="1">
      <c r="B156" s="676"/>
      <c r="C156" s="676"/>
    </row>
    <row r="157" spans="2:3" s="494" customFormat="1">
      <c r="B157" s="676"/>
      <c r="C157" s="676"/>
    </row>
    <row r="158" spans="2:3" s="494" customFormat="1">
      <c r="B158" s="676"/>
      <c r="C158" s="676"/>
    </row>
    <row r="159" spans="2:3" s="494" customFormat="1">
      <c r="B159" s="676"/>
      <c r="C159" s="676"/>
    </row>
    <row r="160" spans="2:3" s="494" customFormat="1">
      <c r="B160" s="676"/>
      <c r="C160" s="676"/>
    </row>
    <row r="161" spans="2:3" s="494" customFormat="1">
      <c r="B161" s="676"/>
      <c r="C161" s="676"/>
    </row>
    <row r="162" spans="2:3" s="494" customFormat="1">
      <c r="B162" s="676"/>
      <c r="C162" s="676"/>
    </row>
    <row r="163" spans="2:3" s="494" customFormat="1">
      <c r="B163" s="676"/>
      <c r="C163" s="676"/>
    </row>
    <row r="164" spans="2:3" s="494" customFormat="1">
      <c r="B164" s="676"/>
      <c r="C164" s="676"/>
    </row>
    <row r="165" spans="2:3" s="494" customFormat="1">
      <c r="B165" s="676"/>
      <c r="C165" s="676"/>
    </row>
    <row r="166" spans="2:3" s="494" customFormat="1">
      <c r="B166" s="676"/>
      <c r="C166" s="676"/>
    </row>
    <row r="167" spans="2:3" s="494" customFormat="1">
      <c r="B167" s="676"/>
      <c r="C167" s="676"/>
    </row>
    <row r="168" spans="2:3" s="494" customFormat="1">
      <c r="B168" s="676"/>
      <c r="C168" s="676"/>
    </row>
    <row r="169" spans="2:3" s="494" customFormat="1">
      <c r="B169" s="676"/>
      <c r="C169" s="676"/>
    </row>
    <row r="170" spans="2:3" s="494" customFormat="1">
      <c r="B170" s="676"/>
      <c r="C170" s="676"/>
    </row>
    <row r="171" spans="2:3" s="494" customFormat="1">
      <c r="B171" s="676"/>
      <c r="C171" s="676"/>
    </row>
    <row r="172" spans="2:3" s="494" customFormat="1">
      <c r="B172" s="676"/>
      <c r="C172" s="676"/>
    </row>
    <row r="173" spans="2:3" s="494" customFormat="1">
      <c r="B173" s="676"/>
      <c r="C173" s="676"/>
    </row>
    <row r="174" spans="2:3" s="494" customFormat="1">
      <c r="B174" s="676"/>
      <c r="C174" s="676"/>
    </row>
    <row r="175" spans="2:3" s="494" customFormat="1">
      <c r="B175" s="676"/>
      <c r="C175" s="676"/>
    </row>
    <row r="176" spans="2:3" s="494" customFormat="1">
      <c r="B176" s="676"/>
      <c r="C176" s="676"/>
    </row>
  </sheetData>
  <phoneticPr fontId="0" type="noConversion"/>
  <conditionalFormatting sqref="D7:D28">
    <cfRule type="expression" dxfId="42" priority="1">
      <formula>D$3&gt;30</formula>
    </cfRule>
  </conditionalFormatting>
  <hyperlinks>
    <hyperlink ref="E1" location="Sensitivity!D43" display="Sensitivity!D43" xr:uid="{00000000-0004-0000-0900-000000000000}"/>
  </hyperlinks>
  <pageMargins left="0.41" right="0.23622047244094491" top="1.71" bottom="0.98425196850393704" header="0.51181102362204722" footer="0.51181102362204722"/>
  <pageSetup paperSize="9" scale="28" orientation="landscape" r:id="rId1"/>
  <headerFooter alignWithMargins="0">
    <oddFooter>&amp;L&amp;F
&amp;T 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800-000002000000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G1:DW32</xm:sqref>
        </x14:conditionalFormatting>
        <x14:conditionalFormatting xmlns:xm="http://schemas.microsoft.com/office/excel/2006/main">
          <x14:cfRule type="iconSet" priority="430" id="{610B555C-018B-42B1-AF82-DEB10E9C7DB5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B1:C1</xm:sqref>
        </x14:conditionalFormatting>
        <x14:conditionalFormatting xmlns:xm="http://schemas.microsoft.com/office/excel/2006/main">
          <x14:cfRule type="iconSet" priority="431" id="{7A46CDD3-3195-4250-9F03-AE1581C732D0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E34</xm:sqref>
        </x14:conditionalFormatting>
        <x14:conditionalFormatting xmlns:xm="http://schemas.microsoft.com/office/excel/2006/main">
          <x14:cfRule type="iconSet" priority="3" id="{7713B093-6EC9-4E48-A8DB-D186E5560116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_debtservice"/>
  <dimension ref="A1:ER168"/>
  <sheetViews>
    <sheetView showGridLines="0" zoomScale="105" workbookViewId="0">
      <pane xSplit="6" ySplit="4" topLeftCell="G5" activePane="bottomRight" state="frozen"/>
      <selection pane="bottomRight" activeCell="G17" sqref="G15:G17"/>
      <selection pane="bottomLeft" activeCell="A4" sqref="A4"/>
      <selection pane="topRight" activeCell="E1" sqref="E1"/>
    </sheetView>
  </sheetViews>
  <sheetFormatPr defaultColWidth="11.42578125" defaultRowHeight="11.25"/>
  <cols>
    <col min="1" max="1" width="38.5703125" style="304" customWidth="1"/>
    <col min="2" max="3" width="7.85546875" style="673" customWidth="1"/>
    <col min="4" max="4" width="7.85546875" style="304" customWidth="1"/>
    <col min="5" max="6" width="2.5703125" style="304" customWidth="1"/>
    <col min="7" max="127" width="9.5703125" style="304" customWidth="1"/>
    <col min="128" max="128" width="2.5703125" style="304" customWidth="1"/>
    <col min="129" max="16384" width="11.42578125" style="304"/>
  </cols>
  <sheetData>
    <row r="1" spans="1:127" ht="11.25" customHeight="1">
      <c r="A1" s="996" t="s">
        <v>1108</v>
      </c>
      <c r="B1" s="983"/>
      <c r="C1" s="983"/>
      <c r="E1" s="956">
        <f ca="1">Outputs!$D$46</f>
        <v>11182.479442004989</v>
      </c>
      <c r="F1" s="609"/>
      <c r="G1" s="972">
        <f>Flags!G5</f>
        <v>47298</v>
      </c>
      <c r="H1" s="972">
        <f>Flags!H5</f>
        <v>47665</v>
      </c>
      <c r="I1" s="972">
        <f>Flags!I5</f>
        <v>47849</v>
      </c>
      <c r="J1" s="972">
        <f>Flags!J5</f>
        <v>48030</v>
      </c>
      <c r="K1" s="972">
        <f>Flags!K5</f>
        <v>48214</v>
      </c>
      <c r="L1" s="972">
        <f>Flags!L5</f>
        <v>48396</v>
      </c>
      <c r="M1" s="972">
        <f>Flags!M5</f>
        <v>48580</v>
      </c>
      <c r="N1" s="972">
        <f>Flags!N5</f>
        <v>48761</v>
      </c>
      <c r="O1" s="972">
        <f>Flags!O5</f>
        <v>48945</v>
      </c>
      <c r="P1" s="972">
        <f>Flags!P5</f>
        <v>49126</v>
      </c>
      <c r="Q1" s="972">
        <f>Flags!Q5</f>
        <v>49310</v>
      </c>
      <c r="R1" s="972">
        <f>Flags!R5</f>
        <v>49491</v>
      </c>
      <c r="S1" s="972">
        <f>Flags!S5</f>
        <v>49675</v>
      </c>
      <c r="T1" s="972">
        <f>Flags!T5</f>
        <v>49857</v>
      </c>
      <c r="U1" s="972">
        <f>Flags!U5</f>
        <v>50041</v>
      </c>
      <c r="V1" s="972">
        <f>Flags!V5</f>
        <v>50222</v>
      </c>
      <c r="W1" s="972">
        <f>Flags!W5</f>
        <v>50406</v>
      </c>
      <c r="X1" s="972">
        <f>Flags!X5</f>
        <v>50587</v>
      </c>
      <c r="Y1" s="972">
        <f>Flags!Y5</f>
        <v>50771</v>
      </c>
      <c r="Z1" s="972">
        <f>Flags!Z5</f>
        <v>50952</v>
      </c>
      <c r="AA1" s="972">
        <f>Flags!AA5</f>
        <v>51136</v>
      </c>
      <c r="AB1" s="972">
        <f>Flags!AB5</f>
        <v>51318</v>
      </c>
      <c r="AC1" s="972">
        <f>Flags!AC5</f>
        <v>51502</v>
      </c>
      <c r="AD1" s="972">
        <f>Flags!AD5</f>
        <v>51683</v>
      </c>
      <c r="AE1" s="972">
        <f>Flags!AE5</f>
        <v>51867</v>
      </c>
      <c r="AF1" s="972">
        <f>Flags!AF5</f>
        <v>52048</v>
      </c>
      <c r="AG1" s="972">
        <f>Flags!AG5</f>
        <v>52232</v>
      </c>
      <c r="AH1" s="972">
        <f>Flags!AH5</f>
        <v>52413</v>
      </c>
      <c r="AI1" s="972">
        <f>Flags!AI5</f>
        <v>52597</v>
      </c>
      <c r="AJ1" s="972">
        <f>Flags!AJ5</f>
        <v>52779</v>
      </c>
      <c r="AK1" s="972">
        <f>Flags!AK5</f>
        <v>52963</v>
      </c>
      <c r="AL1" s="972">
        <f>Flags!AL5</f>
        <v>53144</v>
      </c>
      <c r="AM1" s="972">
        <f>Flags!AM5</f>
        <v>53328</v>
      </c>
      <c r="AN1" s="972">
        <f>Flags!AN5</f>
        <v>53509</v>
      </c>
      <c r="AO1" s="972">
        <f>Flags!AO5</f>
        <v>53693</v>
      </c>
      <c r="AP1" s="972">
        <f>Flags!AP5</f>
        <v>53874</v>
      </c>
      <c r="AQ1" s="972">
        <f>Flags!AQ5</f>
        <v>54058</v>
      </c>
      <c r="AR1" s="972">
        <f>Flags!AR5</f>
        <v>54240</v>
      </c>
      <c r="AS1" s="972">
        <f>Flags!AS5</f>
        <v>54424</v>
      </c>
      <c r="AT1" s="972">
        <f>Flags!AT5</f>
        <v>54605</v>
      </c>
      <c r="AU1" s="972">
        <f>Flags!AU5</f>
        <v>54789</v>
      </c>
      <c r="AV1" s="972">
        <f>Flags!AV5</f>
        <v>54970</v>
      </c>
      <c r="AW1" s="972">
        <f>Flags!AW5</f>
        <v>55154</v>
      </c>
      <c r="AX1" s="972">
        <f>Flags!AX5</f>
        <v>55335</v>
      </c>
      <c r="AY1" s="972">
        <f>Flags!AY5</f>
        <v>55519</v>
      </c>
      <c r="AZ1" s="972">
        <f>Flags!AZ5</f>
        <v>55701</v>
      </c>
      <c r="BA1" s="972">
        <f>Flags!BA5</f>
        <v>55885</v>
      </c>
      <c r="BB1" s="972">
        <f>Flags!BB5</f>
        <v>56066</v>
      </c>
      <c r="BC1" s="972">
        <f>Flags!BC5</f>
        <v>56250</v>
      </c>
      <c r="BD1" s="972">
        <f>Flags!BD5</f>
        <v>56431</v>
      </c>
      <c r="BE1" s="972">
        <f>Flags!BE5</f>
        <v>56615</v>
      </c>
      <c r="BF1" s="972">
        <f>Flags!BF5</f>
        <v>56796</v>
      </c>
      <c r="BG1" s="972">
        <f>Flags!BG5</f>
        <v>56980</v>
      </c>
      <c r="BH1" s="972">
        <f>Flags!BH5</f>
        <v>57162</v>
      </c>
      <c r="BI1" s="972">
        <f>Flags!BI5</f>
        <v>57346</v>
      </c>
      <c r="BJ1" s="972">
        <f>Flags!BJ5</f>
        <v>57527</v>
      </c>
      <c r="BK1" s="972">
        <f>Flags!BK5</f>
        <v>57711</v>
      </c>
      <c r="BL1" s="972">
        <f>Flags!BL5</f>
        <v>57892</v>
      </c>
      <c r="BM1" s="972">
        <f>Flags!BM5</f>
        <v>58076</v>
      </c>
      <c r="BN1" s="972">
        <f>Flags!BN5</f>
        <v>58257</v>
      </c>
      <c r="BO1" s="972">
        <f>Flags!BO5</f>
        <v>58441</v>
      </c>
      <c r="BP1" s="972"/>
      <c r="BQ1" s="972"/>
      <c r="BR1" s="972"/>
      <c r="BS1" s="972"/>
      <c r="BT1" s="972"/>
      <c r="BU1" s="972"/>
      <c r="BV1" s="972"/>
      <c r="BW1" s="972"/>
      <c r="BX1" s="972"/>
      <c r="BY1" s="972"/>
      <c r="BZ1" s="972"/>
      <c r="CA1" s="972"/>
      <c r="CB1" s="972"/>
      <c r="CC1" s="972"/>
      <c r="CD1" s="972"/>
      <c r="CE1" s="972"/>
      <c r="CF1" s="972"/>
      <c r="CG1" s="972"/>
      <c r="CH1" s="972"/>
      <c r="CI1" s="972"/>
      <c r="CJ1" s="972"/>
      <c r="CK1" s="972"/>
      <c r="CL1" s="972"/>
      <c r="CM1" s="972"/>
      <c r="CN1" s="972"/>
      <c r="CO1" s="972"/>
      <c r="CP1" s="972"/>
      <c r="CQ1" s="972"/>
      <c r="CR1" s="972"/>
      <c r="CS1" s="972"/>
      <c r="CT1" s="972"/>
      <c r="CU1" s="972"/>
      <c r="CV1" s="972"/>
      <c r="CW1" s="972"/>
      <c r="CX1" s="972"/>
      <c r="CY1" s="972"/>
      <c r="CZ1" s="972"/>
      <c r="DA1" s="972"/>
      <c r="DB1" s="972"/>
      <c r="DC1" s="972"/>
      <c r="DD1" s="972"/>
      <c r="DE1" s="972"/>
      <c r="DF1" s="972"/>
      <c r="DG1" s="972"/>
      <c r="DH1" s="972"/>
      <c r="DI1" s="972"/>
      <c r="DJ1" s="972"/>
      <c r="DK1" s="972"/>
      <c r="DL1" s="972"/>
      <c r="DM1" s="972"/>
      <c r="DN1" s="972"/>
      <c r="DO1" s="972"/>
      <c r="DP1" s="972"/>
      <c r="DQ1" s="972"/>
      <c r="DR1" s="972"/>
      <c r="DS1" s="972"/>
      <c r="DT1" s="972"/>
      <c r="DU1" s="972"/>
      <c r="DV1" s="972"/>
      <c r="DW1" s="972"/>
    </row>
    <row r="2" spans="1:127">
      <c r="A2" s="996" t="s">
        <v>1109</v>
      </c>
      <c r="B2" s="983"/>
      <c r="C2" s="983"/>
      <c r="E2" s="608"/>
      <c r="F2" s="609"/>
      <c r="G2" s="972">
        <f>Flags!G6</f>
        <v>47664</v>
      </c>
      <c r="H2" s="972">
        <f>Flags!H6</f>
        <v>47848</v>
      </c>
      <c r="I2" s="972">
        <f>Flags!I6</f>
        <v>48029</v>
      </c>
      <c r="J2" s="972">
        <f>Flags!J6</f>
        <v>48213</v>
      </c>
      <c r="K2" s="972">
        <f>Flags!K6</f>
        <v>48395</v>
      </c>
      <c r="L2" s="972">
        <f>Flags!L6</f>
        <v>48579</v>
      </c>
      <c r="M2" s="972">
        <f>Flags!M6</f>
        <v>48760</v>
      </c>
      <c r="N2" s="972">
        <f>Flags!N6</f>
        <v>48944</v>
      </c>
      <c r="O2" s="972">
        <f>Flags!O6</f>
        <v>49125</v>
      </c>
      <c r="P2" s="972">
        <f>Flags!P6</f>
        <v>49309</v>
      </c>
      <c r="Q2" s="972">
        <f>Flags!Q6</f>
        <v>49490</v>
      </c>
      <c r="R2" s="972">
        <f>Flags!R6</f>
        <v>49674</v>
      </c>
      <c r="S2" s="972">
        <f>Flags!S6</f>
        <v>49856</v>
      </c>
      <c r="T2" s="972">
        <f>Flags!T6</f>
        <v>50040</v>
      </c>
      <c r="U2" s="972">
        <f>Flags!U6</f>
        <v>50221</v>
      </c>
      <c r="V2" s="972">
        <f>Flags!V6</f>
        <v>50405</v>
      </c>
      <c r="W2" s="972">
        <f>Flags!W6</f>
        <v>50586</v>
      </c>
      <c r="X2" s="972">
        <f>Flags!X6</f>
        <v>50770</v>
      </c>
      <c r="Y2" s="972">
        <f>Flags!Y6</f>
        <v>50951</v>
      </c>
      <c r="Z2" s="972">
        <f>Flags!Z6</f>
        <v>51135</v>
      </c>
      <c r="AA2" s="972">
        <f>Flags!AA6</f>
        <v>51317</v>
      </c>
      <c r="AB2" s="972">
        <f>Flags!AB6</f>
        <v>51501</v>
      </c>
      <c r="AC2" s="972">
        <f>Flags!AC6</f>
        <v>51682</v>
      </c>
      <c r="AD2" s="972">
        <f>Flags!AD6</f>
        <v>51866</v>
      </c>
      <c r="AE2" s="972">
        <f>Flags!AE6</f>
        <v>52047</v>
      </c>
      <c r="AF2" s="972">
        <f>Flags!AF6</f>
        <v>52231</v>
      </c>
      <c r="AG2" s="972">
        <f>Flags!AG6</f>
        <v>52412</v>
      </c>
      <c r="AH2" s="972">
        <f>Flags!AH6</f>
        <v>52596</v>
      </c>
      <c r="AI2" s="972">
        <f>Flags!AI6</f>
        <v>52778</v>
      </c>
      <c r="AJ2" s="972">
        <f>Flags!AJ6</f>
        <v>52962</v>
      </c>
      <c r="AK2" s="972">
        <f>Flags!AK6</f>
        <v>53143</v>
      </c>
      <c r="AL2" s="972">
        <f>Flags!AL6</f>
        <v>53327</v>
      </c>
      <c r="AM2" s="972">
        <f>Flags!AM6</f>
        <v>53508</v>
      </c>
      <c r="AN2" s="972">
        <f>Flags!AN6</f>
        <v>53692</v>
      </c>
      <c r="AO2" s="972">
        <f>Flags!AO6</f>
        <v>53873</v>
      </c>
      <c r="AP2" s="972">
        <f>Flags!AP6</f>
        <v>54057</v>
      </c>
      <c r="AQ2" s="972">
        <f>Flags!AQ6</f>
        <v>54239</v>
      </c>
      <c r="AR2" s="972">
        <f>Flags!AR6</f>
        <v>54423</v>
      </c>
      <c r="AS2" s="972">
        <f>Flags!AS6</f>
        <v>54604</v>
      </c>
      <c r="AT2" s="972">
        <f>Flags!AT6</f>
        <v>54788</v>
      </c>
      <c r="AU2" s="972">
        <f>Flags!AU6</f>
        <v>54969</v>
      </c>
      <c r="AV2" s="972">
        <f>Flags!AV6</f>
        <v>55153</v>
      </c>
      <c r="AW2" s="972">
        <f>Flags!AW6</f>
        <v>55334</v>
      </c>
      <c r="AX2" s="972">
        <f>Flags!AX6</f>
        <v>55518</v>
      </c>
      <c r="AY2" s="972">
        <f>Flags!AY6</f>
        <v>55700</v>
      </c>
      <c r="AZ2" s="972">
        <f>Flags!AZ6</f>
        <v>55884</v>
      </c>
      <c r="BA2" s="972">
        <f>Flags!BA6</f>
        <v>56065</v>
      </c>
      <c r="BB2" s="972">
        <f>Flags!BB6</f>
        <v>56249</v>
      </c>
      <c r="BC2" s="972">
        <f>Flags!BC6</f>
        <v>56430</v>
      </c>
      <c r="BD2" s="972">
        <f>Flags!BD6</f>
        <v>56614</v>
      </c>
      <c r="BE2" s="972">
        <f>Flags!BE6</f>
        <v>56795</v>
      </c>
      <c r="BF2" s="972">
        <f>Flags!BF6</f>
        <v>56979</v>
      </c>
      <c r="BG2" s="972">
        <f>Flags!BG6</f>
        <v>57161</v>
      </c>
      <c r="BH2" s="972">
        <f>Flags!BH6</f>
        <v>57345</v>
      </c>
      <c r="BI2" s="972">
        <f>Flags!BI6</f>
        <v>57526</v>
      </c>
      <c r="BJ2" s="972">
        <f>Flags!BJ6</f>
        <v>57710</v>
      </c>
      <c r="BK2" s="972">
        <f>Flags!BK6</f>
        <v>57891</v>
      </c>
      <c r="BL2" s="972">
        <f>Flags!BL6</f>
        <v>58075</v>
      </c>
      <c r="BM2" s="972">
        <f>Flags!BM6</f>
        <v>58256</v>
      </c>
      <c r="BN2" s="972">
        <f>Flags!BN6</f>
        <v>58440</v>
      </c>
      <c r="BO2" s="972">
        <f>Flags!BO6</f>
        <v>58622</v>
      </c>
      <c r="BP2" s="972"/>
      <c r="BQ2" s="972"/>
      <c r="BR2" s="972"/>
      <c r="BS2" s="972"/>
      <c r="BT2" s="972"/>
      <c r="BU2" s="972"/>
      <c r="BV2" s="972"/>
      <c r="BW2" s="972"/>
      <c r="BX2" s="972"/>
      <c r="BY2" s="972"/>
      <c r="BZ2" s="972"/>
      <c r="CA2" s="972"/>
      <c r="CB2" s="972"/>
      <c r="CC2" s="972"/>
      <c r="CD2" s="972"/>
      <c r="CE2" s="972"/>
      <c r="CF2" s="972"/>
      <c r="CG2" s="972"/>
      <c r="CH2" s="972"/>
      <c r="CI2" s="972"/>
      <c r="CJ2" s="972"/>
      <c r="CK2" s="972"/>
      <c r="CL2" s="972"/>
      <c r="CM2" s="972"/>
      <c r="CN2" s="972"/>
      <c r="CO2" s="972"/>
      <c r="CP2" s="972"/>
      <c r="CQ2" s="972"/>
      <c r="CR2" s="972"/>
      <c r="CS2" s="972"/>
      <c r="CT2" s="972"/>
      <c r="CU2" s="972"/>
      <c r="CV2" s="972"/>
      <c r="CW2" s="972"/>
      <c r="CX2" s="972"/>
      <c r="CY2" s="972"/>
      <c r="CZ2" s="972"/>
      <c r="DA2" s="972"/>
      <c r="DB2" s="972"/>
      <c r="DC2" s="972"/>
      <c r="DD2" s="972"/>
      <c r="DE2" s="972"/>
      <c r="DF2" s="972"/>
      <c r="DG2" s="972"/>
      <c r="DH2" s="972"/>
      <c r="DI2" s="972"/>
      <c r="DJ2" s="972"/>
      <c r="DK2" s="972"/>
      <c r="DL2" s="972"/>
      <c r="DM2" s="972"/>
      <c r="DN2" s="972"/>
      <c r="DO2" s="972"/>
      <c r="DP2" s="972"/>
      <c r="DQ2" s="972"/>
      <c r="DR2" s="972"/>
      <c r="DS2" s="972"/>
      <c r="DT2" s="972"/>
      <c r="DU2" s="972"/>
      <c r="DV2" s="972"/>
      <c r="DW2" s="972"/>
    </row>
    <row r="3" spans="1:127">
      <c r="A3" s="997" t="str">
        <f>Flags!A7</f>
        <v>Year</v>
      </c>
      <c r="B3" s="810">
        <f>Flags!B7</f>
        <v>2</v>
      </c>
      <c r="C3" s="983"/>
      <c r="D3" s="608"/>
      <c r="E3" s="608"/>
      <c r="F3" s="609"/>
      <c r="G3" s="1001">
        <f>Flags!G7</f>
        <v>0</v>
      </c>
      <c r="H3" s="1001">
        <f>Flags!H7</f>
        <v>1</v>
      </c>
      <c r="I3" s="1001">
        <f>Flags!I7</f>
        <v>1</v>
      </c>
      <c r="J3" s="1001">
        <f>Flags!J7</f>
        <v>2</v>
      </c>
      <c r="K3" s="1001">
        <f>Flags!K7</f>
        <v>2</v>
      </c>
      <c r="L3" s="1001">
        <f>Flags!L7</f>
        <v>3</v>
      </c>
      <c r="M3" s="1001">
        <f>Flags!M7</f>
        <v>3</v>
      </c>
      <c r="N3" s="1001">
        <f>Flags!N7</f>
        <v>4</v>
      </c>
      <c r="O3" s="1001">
        <f>Flags!O7</f>
        <v>4</v>
      </c>
      <c r="P3" s="1001">
        <f>Flags!P7</f>
        <v>5</v>
      </c>
      <c r="Q3" s="1001">
        <f>Flags!Q7</f>
        <v>5</v>
      </c>
      <c r="R3" s="1001">
        <f>Flags!R7</f>
        <v>6</v>
      </c>
      <c r="S3" s="1001">
        <f>Flags!S7</f>
        <v>6</v>
      </c>
      <c r="T3" s="1001">
        <f>Flags!T7</f>
        <v>7</v>
      </c>
      <c r="U3" s="1001">
        <f>Flags!U7</f>
        <v>7</v>
      </c>
      <c r="V3" s="1001">
        <f>Flags!V7</f>
        <v>8</v>
      </c>
      <c r="W3" s="1001">
        <f>Flags!W7</f>
        <v>8</v>
      </c>
      <c r="X3" s="1001">
        <f>Flags!X7</f>
        <v>9</v>
      </c>
      <c r="Y3" s="1001">
        <f>Flags!Y7</f>
        <v>9</v>
      </c>
      <c r="Z3" s="1001">
        <f>Flags!Z7</f>
        <v>10</v>
      </c>
      <c r="AA3" s="1001">
        <f>Flags!AA7</f>
        <v>10</v>
      </c>
      <c r="AB3" s="1001">
        <f>Flags!AB7</f>
        <v>11</v>
      </c>
      <c r="AC3" s="1001">
        <f>Flags!AC7</f>
        <v>11</v>
      </c>
      <c r="AD3" s="1001">
        <f>Flags!AD7</f>
        <v>12</v>
      </c>
      <c r="AE3" s="1001">
        <f>Flags!AE7</f>
        <v>12</v>
      </c>
      <c r="AF3" s="1001">
        <f>Flags!AF7</f>
        <v>13</v>
      </c>
      <c r="AG3" s="1001">
        <f>Flags!AG7</f>
        <v>13</v>
      </c>
      <c r="AH3" s="1001">
        <f>Flags!AH7</f>
        <v>14</v>
      </c>
      <c r="AI3" s="1001">
        <f>Flags!AI7</f>
        <v>14</v>
      </c>
      <c r="AJ3" s="1001">
        <f>Flags!AJ7</f>
        <v>15</v>
      </c>
      <c r="AK3" s="1001">
        <f>Flags!AK7</f>
        <v>15</v>
      </c>
      <c r="AL3" s="1001">
        <f>Flags!AL7</f>
        <v>16</v>
      </c>
      <c r="AM3" s="1001">
        <f>Flags!AM7</f>
        <v>16</v>
      </c>
      <c r="AN3" s="1001">
        <f>Flags!AN7</f>
        <v>17</v>
      </c>
      <c r="AO3" s="1001">
        <f>Flags!AO7</f>
        <v>17</v>
      </c>
      <c r="AP3" s="1001">
        <f>Flags!AP7</f>
        <v>18</v>
      </c>
      <c r="AQ3" s="1001">
        <f>Flags!AQ7</f>
        <v>18</v>
      </c>
      <c r="AR3" s="1001">
        <f>Flags!AR7</f>
        <v>19</v>
      </c>
      <c r="AS3" s="1001">
        <f>Flags!AS7</f>
        <v>19</v>
      </c>
      <c r="AT3" s="1001">
        <f>Flags!AT7</f>
        <v>20</v>
      </c>
      <c r="AU3" s="1001">
        <f>Flags!AU7</f>
        <v>20</v>
      </c>
      <c r="AV3" s="1001">
        <f>Flags!AV7</f>
        <v>21</v>
      </c>
      <c r="AW3" s="1001">
        <f>Flags!AW7</f>
        <v>21</v>
      </c>
      <c r="AX3" s="1001">
        <f>Flags!AX7</f>
        <v>22</v>
      </c>
      <c r="AY3" s="1001">
        <f>Flags!AY7</f>
        <v>22</v>
      </c>
      <c r="AZ3" s="1001">
        <f>Flags!AZ7</f>
        <v>23</v>
      </c>
      <c r="BA3" s="1001">
        <f>Flags!BA7</f>
        <v>23</v>
      </c>
      <c r="BB3" s="1001">
        <f>Flags!BB7</f>
        <v>24</v>
      </c>
      <c r="BC3" s="1001">
        <f>Flags!BC7</f>
        <v>24</v>
      </c>
      <c r="BD3" s="1001">
        <f>Flags!BD7</f>
        <v>25</v>
      </c>
      <c r="BE3" s="1001">
        <f>Flags!BE7</f>
        <v>25</v>
      </c>
      <c r="BF3" s="1001">
        <f>Flags!BF7</f>
        <v>26</v>
      </c>
      <c r="BG3" s="1001">
        <f>Flags!BG7</f>
        <v>26</v>
      </c>
      <c r="BH3" s="1001">
        <f>Flags!BH7</f>
        <v>27</v>
      </c>
      <c r="BI3" s="1001">
        <f>Flags!BI7</f>
        <v>27</v>
      </c>
      <c r="BJ3" s="1001">
        <f>Flags!BJ7</f>
        <v>28</v>
      </c>
      <c r="BK3" s="1001">
        <f>Flags!BK7</f>
        <v>28</v>
      </c>
      <c r="BL3" s="1001">
        <f>Flags!BL7</f>
        <v>29</v>
      </c>
      <c r="BM3" s="1001">
        <f>Flags!BM7</f>
        <v>29</v>
      </c>
      <c r="BN3" s="1001">
        <f>Flags!BN7</f>
        <v>30</v>
      </c>
      <c r="BO3" s="1001">
        <f>Flags!BO7</f>
        <v>30</v>
      </c>
      <c r="BP3" s="1001"/>
      <c r="BQ3" s="1001"/>
      <c r="BR3" s="1001"/>
      <c r="BS3" s="1001"/>
      <c r="BT3" s="1001"/>
      <c r="BU3" s="1001"/>
      <c r="BV3" s="1001"/>
      <c r="BW3" s="1001"/>
      <c r="BX3" s="1001"/>
      <c r="BY3" s="1001"/>
      <c r="BZ3" s="1001"/>
      <c r="CA3" s="1001"/>
      <c r="CB3" s="1001"/>
      <c r="CC3" s="1001"/>
      <c r="CD3" s="1001"/>
      <c r="CE3" s="1001"/>
      <c r="CF3" s="1001"/>
      <c r="CG3" s="1001"/>
      <c r="CH3" s="1001"/>
      <c r="CI3" s="1001"/>
      <c r="CJ3" s="1001"/>
      <c r="CK3" s="1001"/>
      <c r="CL3" s="1001"/>
      <c r="CM3" s="1001"/>
      <c r="CN3" s="1001"/>
      <c r="CO3" s="1001"/>
      <c r="CP3" s="1001"/>
      <c r="CQ3" s="1001"/>
      <c r="CR3" s="1001"/>
      <c r="CS3" s="1001"/>
      <c r="CT3" s="1001"/>
      <c r="CU3" s="1001"/>
      <c r="CV3" s="1001"/>
      <c r="CW3" s="1001"/>
      <c r="CX3" s="1001"/>
      <c r="CY3" s="1001"/>
      <c r="CZ3" s="1001"/>
      <c r="DA3" s="1001"/>
      <c r="DB3" s="1001"/>
      <c r="DC3" s="1001"/>
      <c r="DD3" s="1001"/>
      <c r="DE3" s="1001"/>
      <c r="DF3" s="1001"/>
      <c r="DG3" s="1001"/>
      <c r="DH3" s="1001"/>
      <c r="DI3" s="1001"/>
      <c r="DJ3" s="1001"/>
      <c r="DK3" s="1001"/>
      <c r="DL3" s="1001"/>
      <c r="DM3" s="1001"/>
      <c r="DN3" s="1001"/>
      <c r="DO3" s="1001"/>
      <c r="DP3" s="1001"/>
      <c r="DQ3" s="1001"/>
      <c r="DR3" s="1001"/>
      <c r="DS3" s="1001"/>
      <c r="DT3" s="1001"/>
      <c r="DU3" s="1001"/>
      <c r="DV3" s="1001"/>
      <c r="DW3" s="1001"/>
    </row>
    <row r="4" spans="1:127">
      <c r="A4" s="861" t="s">
        <v>1224</v>
      </c>
      <c r="B4" s="862"/>
      <c r="C4" s="862"/>
      <c r="D4" s="864"/>
      <c r="E4" s="864"/>
      <c r="F4" s="863"/>
      <c r="G4" s="1076">
        <f>Flags!G8</f>
        <v>0</v>
      </c>
      <c r="H4" s="1076">
        <f>Flags!H8</f>
        <v>1</v>
      </c>
      <c r="I4" s="1076">
        <f>Flags!I8</f>
        <v>2</v>
      </c>
      <c r="J4" s="1076">
        <f>Flags!J8</f>
        <v>3</v>
      </c>
      <c r="K4" s="1076">
        <f>Flags!K8</f>
        <v>4</v>
      </c>
      <c r="L4" s="1076">
        <f>Flags!L8</f>
        <v>5</v>
      </c>
      <c r="M4" s="1076">
        <f>Flags!M8</f>
        <v>6</v>
      </c>
      <c r="N4" s="1076">
        <f>Flags!N8</f>
        <v>7</v>
      </c>
      <c r="O4" s="1076">
        <f>Flags!O8</f>
        <v>8</v>
      </c>
      <c r="P4" s="1076">
        <f>Flags!P8</f>
        <v>9</v>
      </c>
      <c r="Q4" s="1076">
        <f>Flags!Q8</f>
        <v>10</v>
      </c>
      <c r="R4" s="1076">
        <f>Flags!R8</f>
        <v>11</v>
      </c>
      <c r="S4" s="1076">
        <f>Flags!S8</f>
        <v>12</v>
      </c>
      <c r="T4" s="1076">
        <f>Flags!T8</f>
        <v>13</v>
      </c>
      <c r="U4" s="1076">
        <f>Flags!U8</f>
        <v>14</v>
      </c>
      <c r="V4" s="1076">
        <f>Flags!V8</f>
        <v>15</v>
      </c>
      <c r="W4" s="1076">
        <f>Flags!W8</f>
        <v>16</v>
      </c>
      <c r="X4" s="1076">
        <f>Flags!X8</f>
        <v>17</v>
      </c>
      <c r="Y4" s="1076">
        <f>Flags!Y8</f>
        <v>18</v>
      </c>
      <c r="Z4" s="1076">
        <f>Flags!Z8</f>
        <v>19</v>
      </c>
      <c r="AA4" s="1076">
        <f>Flags!AA8</f>
        <v>20</v>
      </c>
      <c r="AB4" s="1076">
        <f>Flags!AB8</f>
        <v>21</v>
      </c>
      <c r="AC4" s="1076">
        <f>Flags!AC8</f>
        <v>22</v>
      </c>
      <c r="AD4" s="1076">
        <f>Flags!AD8</f>
        <v>23</v>
      </c>
      <c r="AE4" s="1076">
        <f>Flags!AE8</f>
        <v>24</v>
      </c>
      <c r="AF4" s="1076">
        <f>Flags!AF8</f>
        <v>25</v>
      </c>
      <c r="AG4" s="1076">
        <f>Flags!AG8</f>
        <v>26</v>
      </c>
      <c r="AH4" s="1076">
        <f>Flags!AH8</f>
        <v>27</v>
      </c>
      <c r="AI4" s="1076">
        <f>Flags!AI8</f>
        <v>28</v>
      </c>
      <c r="AJ4" s="1076">
        <f>Flags!AJ8</f>
        <v>29</v>
      </c>
      <c r="AK4" s="1076">
        <f>Flags!AK8</f>
        <v>30</v>
      </c>
      <c r="AL4" s="1076">
        <f>Flags!AL8</f>
        <v>31</v>
      </c>
      <c r="AM4" s="1076">
        <f>Flags!AM8</f>
        <v>32</v>
      </c>
      <c r="AN4" s="1076">
        <f>Flags!AN8</f>
        <v>33</v>
      </c>
      <c r="AO4" s="1076">
        <f>Flags!AO8</f>
        <v>34</v>
      </c>
      <c r="AP4" s="1076">
        <f>Flags!AP8</f>
        <v>35</v>
      </c>
      <c r="AQ4" s="1076">
        <f>Flags!AQ8</f>
        <v>36</v>
      </c>
      <c r="AR4" s="1076">
        <f>Flags!AR8</f>
        <v>37</v>
      </c>
      <c r="AS4" s="1076">
        <f>Flags!AS8</f>
        <v>38</v>
      </c>
      <c r="AT4" s="1076">
        <f>Flags!AT8</f>
        <v>39</v>
      </c>
      <c r="AU4" s="1076">
        <f>Flags!AU8</f>
        <v>40</v>
      </c>
      <c r="AV4" s="1076">
        <f>Flags!AV8</f>
        <v>41</v>
      </c>
      <c r="AW4" s="1076">
        <f>Flags!AW8</f>
        <v>42</v>
      </c>
      <c r="AX4" s="1076">
        <f>Flags!AX8</f>
        <v>43</v>
      </c>
      <c r="AY4" s="1076">
        <f>Flags!AY8</f>
        <v>44</v>
      </c>
      <c r="AZ4" s="1076">
        <f>Flags!AZ8</f>
        <v>45</v>
      </c>
      <c r="BA4" s="1076">
        <f>Flags!BA8</f>
        <v>46</v>
      </c>
      <c r="BB4" s="1076">
        <f>Flags!BB8</f>
        <v>47</v>
      </c>
      <c r="BC4" s="1076">
        <f>Flags!BC8</f>
        <v>48</v>
      </c>
      <c r="BD4" s="1076">
        <f>Flags!BD8</f>
        <v>49</v>
      </c>
      <c r="BE4" s="1076">
        <f>Flags!BE8</f>
        <v>50</v>
      </c>
      <c r="BF4" s="1076">
        <f>Flags!BF8</f>
        <v>51</v>
      </c>
      <c r="BG4" s="1076">
        <f>Flags!BG8</f>
        <v>52</v>
      </c>
      <c r="BH4" s="1076">
        <f>Flags!BH8</f>
        <v>53</v>
      </c>
      <c r="BI4" s="1076">
        <f>Flags!BI8</f>
        <v>54</v>
      </c>
      <c r="BJ4" s="1076">
        <f>Flags!BJ8</f>
        <v>55</v>
      </c>
      <c r="BK4" s="1076">
        <f>Flags!BK8</f>
        <v>56</v>
      </c>
      <c r="BL4" s="1076">
        <f>Flags!BL8</f>
        <v>57</v>
      </c>
      <c r="BM4" s="1076">
        <f>Flags!BM8</f>
        <v>58</v>
      </c>
      <c r="BN4" s="1076">
        <f>Flags!BN8</f>
        <v>59</v>
      </c>
      <c r="BO4" s="1076">
        <f>Flags!BO8</f>
        <v>60</v>
      </c>
      <c r="BP4" s="1076"/>
      <c r="BQ4" s="1076"/>
      <c r="BR4" s="1076"/>
      <c r="BS4" s="1076"/>
      <c r="BT4" s="1076"/>
      <c r="BU4" s="1076"/>
      <c r="BV4" s="1076"/>
      <c r="BW4" s="1076"/>
      <c r="BX4" s="1076"/>
      <c r="BY4" s="1076"/>
      <c r="BZ4" s="1076"/>
      <c r="CA4" s="1076"/>
      <c r="CB4" s="1076"/>
      <c r="CC4" s="1076"/>
      <c r="CD4" s="1076"/>
      <c r="CE4" s="1076"/>
      <c r="CF4" s="1076"/>
      <c r="CG4" s="1076"/>
      <c r="CH4" s="1076"/>
      <c r="CI4" s="1076"/>
      <c r="CJ4" s="1076"/>
      <c r="CK4" s="1076"/>
      <c r="CL4" s="1076"/>
      <c r="CM4" s="1076"/>
      <c r="CN4" s="1076"/>
      <c r="CO4" s="1076"/>
      <c r="CP4" s="1076"/>
      <c r="CQ4" s="1076"/>
      <c r="CR4" s="1076"/>
      <c r="CS4" s="1076"/>
      <c r="CT4" s="1076"/>
      <c r="CU4" s="1076"/>
      <c r="CV4" s="1076"/>
      <c r="CW4" s="1076"/>
      <c r="CX4" s="1076"/>
      <c r="CY4" s="1076"/>
      <c r="CZ4" s="1076"/>
      <c r="DA4" s="1076"/>
      <c r="DB4" s="1076"/>
      <c r="DC4" s="1076"/>
      <c r="DD4" s="1076"/>
      <c r="DE4" s="1076"/>
      <c r="DF4" s="1076"/>
      <c r="DG4" s="1076"/>
      <c r="DH4" s="1076"/>
      <c r="DI4" s="1076"/>
      <c r="DJ4" s="1076"/>
      <c r="DK4" s="1076"/>
      <c r="DL4" s="1076"/>
      <c r="DM4" s="1076"/>
      <c r="DN4" s="1076"/>
      <c r="DO4" s="1076"/>
      <c r="DP4" s="1076"/>
      <c r="DQ4" s="1076"/>
      <c r="DR4" s="1076"/>
      <c r="DS4" s="1076"/>
      <c r="DT4" s="1076"/>
      <c r="DU4" s="1076"/>
      <c r="DV4" s="1076"/>
      <c r="DW4" s="1076"/>
    </row>
    <row r="5" spans="1:127">
      <c r="A5" s="859" t="str">
        <f>Flags!A19</f>
        <v>Senior Debt Maturity</v>
      </c>
      <c r="B5" s="983"/>
      <c r="C5" s="983"/>
      <c r="D5" s="610"/>
      <c r="E5" s="610"/>
      <c r="F5" s="314"/>
      <c r="G5" s="517" t="b">
        <f>Flags!G19</f>
        <v>0</v>
      </c>
      <c r="H5" s="517" t="b">
        <f>Flags!H19</f>
        <v>1</v>
      </c>
      <c r="I5" s="517" t="b">
        <f>Flags!I19</f>
        <v>1</v>
      </c>
      <c r="J5" s="517" t="b">
        <f>Flags!J19</f>
        <v>1</v>
      </c>
      <c r="K5" s="517" t="b">
        <f>Flags!K19</f>
        <v>1</v>
      </c>
      <c r="L5" s="517" t="b">
        <f>Flags!L19</f>
        <v>1</v>
      </c>
      <c r="M5" s="517" t="b">
        <f>Flags!M19</f>
        <v>1</v>
      </c>
      <c r="N5" s="517" t="b">
        <f>Flags!N19</f>
        <v>1</v>
      </c>
      <c r="O5" s="517" t="b">
        <f>Flags!O19</f>
        <v>1</v>
      </c>
      <c r="P5" s="517" t="b">
        <f>Flags!P19</f>
        <v>1</v>
      </c>
      <c r="Q5" s="517" t="b">
        <f>Flags!Q19</f>
        <v>1</v>
      </c>
      <c r="R5" s="517" t="b">
        <f>Flags!R19</f>
        <v>1</v>
      </c>
      <c r="S5" s="517" t="b">
        <f>Flags!S19</f>
        <v>1</v>
      </c>
      <c r="T5" s="517" t="b">
        <f>Flags!T19</f>
        <v>1</v>
      </c>
      <c r="U5" s="517" t="b">
        <f>Flags!U19</f>
        <v>1</v>
      </c>
      <c r="V5" s="517" t="b">
        <f>Flags!V19</f>
        <v>1</v>
      </c>
      <c r="W5" s="517" t="b">
        <f>Flags!W19</f>
        <v>1</v>
      </c>
      <c r="X5" s="517" t="b">
        <f>Flags!X19</f>
        <v>1</v>
      </c>
      <c r="Y5" s="517" t="b">
        <f>Flags!Y19</f>
        <v>1</v>
      </c>
      <c r="Z5" s="517" t="b">
        <f>Flags!Z19</f>
        <v>1</v>
      </c>
      <c r="AA5" s="517" t="b">
        <f>Flags!AA19</f>
        <v>1</v>
      </c>
      <c r="AB5" s="517" t="b">
        <f>Flags!AB19</f>
        <v>1</v>
      </c>
      <c r="AC5" s="517" t="b">
        <f>Flags!AC19</f>
        <v>1</v>
      </c>
      <c r="AD5" s="517" t="b">
        <f>Flags!AD19</f>
        <v>1</v>
      </c>
      <c r="AE5" s="517" t="b">
        <f>Flags!AE19</f>
        <v>1</v>
      </c>
      <c r="AF5" s="517" t="b">
        <f>Flags!AF19</f>
        <v>1</v>
      </c>
      <c r="AG5" s="517" t="b">
        <f>Flags!AG19</f>
        <v>1</v>
      </c>
      <c r="AH5" s="517" t="b">
        <f>Flags!AH19</f>
        <v>1</v>
      </c>
      <c r="AI5" s="517" t="b">
        <f>Flags!AI19</f>
        <v>1</v>
      </c>
      <c r="AJ5" s="517" t="b">
        <f>Flags!AJ19</f>
        <v>0</v>
      </c>
      <c r="AK5" s="517" t="b">
        <f>Flags!AK19</f>
        <v>0</v>
      </c>
      <c r="AL5" s="517" t="b">
        <f>Flags!AL19</f>
        <v>0</v>
      </c>
      <c r="AM5" s="517" t="b">
        <f>Flags!AM19</f>
        <v>0</v>
      </c>
      <c r="AN5" s="517" t="b">
        <f>Flags!AN19</f>
        <v>0</v>
      </c>
      <c r="AO5" s="517" t="b">
        <f>Flags!AO19</f>
        <v>0</v>
      </c>
      <c r="AP5" s="517" t="b">
        <f>Flags!AP19</f>
        <v>0</v>
      </c>
      <c r="AQ5" s="517" t="b">
        <f>Flags!AQ19</f>
        <v>0</v>
      </c>
      <c r="AR5" s="517" t="b">
        <f>Flags!AR19</f>
        <v>0</v>
      </c>
      <c r="AS5" s="517" t="b">
        <f>Flags!AS19</f>
        <v>0</v>
      </c>
      <c r="AT5" s="517" t="b">
        <f>Flags!AT19</f>
        <v>0</v>
      </c>
      <c r="AU5" s="517" t="b">
        <f>Flags!AU19</f>
        <v>0</v>
      </c>
      <c r="AV5" s="517" t="b">
        <f>Flags!AV19</f>
        <v>0</v>
      </c>
      <c r="AW5" s="517" t="b">
        <f>Flags!AW19</f>
        <v>0</v>
      </c>
      <c r="AX5" s="517" t="b">
        <f>Flags!AX19</f>
        <v>0</v>
      </c>
      <c r="AY5" s="517" t="b">
        <f>Flags!AY19</f>
        <v>0</v>
      </c>
      <c r="AZ5" s="517" t="b">
        <f>Flags!AZ19</f>
        <v>0</v>
      </c>
      <c r="BA5" s="517" t="b">
        <f>Flags!BA19</f>
        <v>0</v>
      </c>
      <c r="BB5" s="517" t="b">
        <f>Flags!BB19</f>
        <v>0</v>
      </c>
      <c r="BC5" s="517" t="b">
        <f>Flags!BC19</f>
        <v>0</v>
      </c>
      <c r="BD5" s="517" t="b">
        <f>Flags!BD19</f>
        <v>0</v>
      </c>
      <c r="BE5" s="517" t="b">
        <f>Flags!BE19</f>
        <v>0</v>
      </c>
      <c r="BF5" s="517" t="b">
        <f>Flags!BF19</f>
        <v>0</v>
      </c>
      <c r="BG5" s="517" t="b">
        <f>Flags!BG19</f>
        <v>0</v>
      </c>
      <c r="BH5" s="517" t="b">
        <f>Flags!BH19</f>
        <v>0</v>
      </c>
      <c r="BI5" s="517" t="b">
        <f>Flags!BI19</f>
        <v>0</v>
      </c>
      <c r="BJ5" s="517" t="b">
        <f>Flags!BJ19</f>
        <v>0</v>
      </c>
      <c r="BK5" s="517" t="b">
        <f>Flags!BK19</f>
        <v>0</v>
      </c>
      <c r="BL5" s="517" t="b">
        <f>Flags!BL19</f>
        <v>0</v>
      </c>
      <c r="BM5" s="517" t="b">
        <f>Flags!BM19</f>
        <v>0</v>
      </c>
      <c r="BN5" s="517" t="b">
        <f>Flags!BN19</f>
        <v>0</v>
      </c>
      <c r="BO5" s="517" t="b">
        <f>Flags!BO19</f>
        <v>0</v>
      </c>
      <c r="BP5" s="517"/>
      <c r="BQ5" s="517"/>
      <c r="BR5" s="517"/>
      <c r="BS5" s="517"/>
      <c r="BT5" s="517"/>
      <c r="BU5" s="517"/>
      <c r="BV5" s="517"/>
      <c r="BW5" s="517"/>
      <c r="BX5" s="517"/>
      <c r="BY5" s="517"/>
      <c r="BZ5" s="517"/>
      <c r="CA5" s="517"/>
      <c r="CB5" s="517"/>
      <c r="CC5" s="517"/>
      <c r="CD5" s="517"/>
      <c r="CE5" s="517"/>
      <c r="CF5" s="517"/>
      <c r="CG5" s="517"/>
      <c r="CH5" s="517"/>
      <c r="CI5" s="517"/>
      <c r="CJ5" s="517"/>
      <c r="CK5" s="517"/>
      <c r="CL5" s="517"/>
      <c r="CM5" s="517"/>
      <c r="CN5" s="517"/>
      <c r="CO5" s="517"/>
      <c r="CP5" s="517"/>
      <c r="CQ5" s="517"/>
      <c r="CR5" s="517"/>
      <c r="CS5" s="517"/>
      <c r="CT5" s="517"/>
      <c r="CU5" s="517"/>
      <c r="CV5" s="517"/>
      <c r="CW5" s="517"/>
      <c r="CX5" s="517"/>
      <c r="CY5" s="517"/>
      <c r="CZ5" s="517"/>
      <c r="DA5" s="517"/>
      <c r="DB5" s="517"/>
      <c r="DC5" s="517"/>
      <c r="DD5" s="517"/>
      <c r="DE5" s="517"/>
      <c r="DF5" s="517"/>
      <c r="DG5" s="517"/>
      <c r="DH5" s="517"/>
      <c r="DI5" s="517"/>
      <c r="DJ5" s="517"/>
      <c r="DK5" s="517"/>
      <c r="DL5" s="517"/>
      <c r="DM5" s="517"/>
      <c r="DN5" s="517"/>
      <c r="DO5" s="517"/>
      <c r="DP5" s="517"/>
      <c r="DQ5" s="517"/>
      <c r="DR5" s="517"/>
      <c r="DS5" s="517"/>
      <c r="DT5" s="517"/>
      <c r="DU5" s="517"/>
      <c r="DV5" s="517"/>
      <c r="DW5" s="517"/>
    </row>
    <row r="6" spans="1:127">
      <c r="A6" s="859" t="s">
        <v>1225</v>
      </c>
      <c r="B6" s="983"/>
      <c r="C6" s="983"/>
      <c r="D6" s="610"/>
      <c r="E6" s="610"/>
      <c r="F6" s="314"/>
      <c r="G6" s="1005">
        <f>Flags!G23</f>
        <v>1.0194444444444444</v>
      </c>
      <c r="H6" s="1005">
        <f>Flags!H23</f>
        <v>0.51111111111111107</v>
      </c>
      <c r="I6" s="1005">
        <f>Flags!I23</f>
        <v>0.50277777777777777</v>
      </c>
      <c r="J6" s="1005">
        <f>Flags!J23</f>
        <v>0.51111111111111107</v>
      </c>
      <c r="K6" s="1005">
        <f>Flags!K23</f>
        <v>0.50555555555555554</v>
      </c>
      <c r="L6" s="1005">
        <f>Flags!L23</f>
        <v>0.51111111111111107</v>
      </c>
      <c r="M6" s="1005">
        <f>Flags!M23</f>
        <v>0.50277777777777777</v>
      </c>
      <c r="N6" s="1005">
        <f>Flags!N23</f>
        <v>0.51111111111111107</v>
      </c>
      <c r="O6" s="1005">
        <f>Flags!O23</f>
        <v>0.50277777777777777</v>
      </c>
      <c r="P6" s="1005">
        <f>Flags!P23</f>
        <v>0.51111111111111107</v>
      </c>
      <c r="Q6" s="1005">
        <f>Flags!Q23</f>
        <v>0.50277777777777777</v>
      </c>
      <c r="R6" s="1005">
        <f>Flags!R23</f>
        <v>0.51111111111111107</v>
      </c>
      <c r="S6" s="1005">
        <f>Flags!S23</f>
        <v>0.50555555555555554</v>
      </c>
      <c r="T6" s="1005">
        <f>Flags!T23</f>
        <v>0.51111111111111107</v>
      </c>
      <c r="U6" s="1005">
        <f>Flags!U23</f>
        <v>0.50277777777777777</v>
      </c>
      <c r="V6" s="1005">
        <f>Flags!V23</f>
        <v>0.51111111111111107</v>
      </c>
      <c r="W6" s="1005">
        <f>Flags!W23</f>
        <v>0.50277777777777777</v>
      </c>
      <c r="X6" s="1005">
        <f>Flags!X23</f>
        <v>0.51111111111111107</v>
      </c>
      <c r="Y6" s="1005">
        <f>Flags!Y23</f>
        <v>0.50277777777777777</v>
      </c>
      <c r="Z6" s="1005">
        <f>Flags!Z23</f>
        <v>0.51111111111111107</v>
      </c>
      <c r="AA6" s="1005">
        <f>Flags!AA23</f>
        <v>0.50555555555555554</v>
      </c>
      <c r="AB6" s="1005">
        <f>Flags!AB23</f>
        <v>0.51111111111111107</v>
      </c>
      <c r="AC6" s="1005">
        <f>Flags!AC23</f>
        <v>0.50277777777777777</v>
      </c>
      <c r="AD6" s="1005">
        <f>Flags!AD23</f>
        <v>0.51111111111111107</v>
      </c>
      <c r="AE6" s="1005">
        <f>Flags!AE23</f>
        <v>0.50277777777777777</v>
      </c>
      <c r="AF6" s="1005">
        <f>Flags!AF23</f>
        <v>0.51111111111111107</v>
      </c>
      <c r="AG6" s="1005">
        <f>Flags!AG23</f>
        <v>0.50277777777777777</v>
      </c>
      <c r="AH6" s="1005">
        <f>Flags!AH23</f>
        <v>0.51111111111111107</v>
      </c>
      <c r="AI6" s="1005">
        <f>Flags!AI23</f>
        <v>0.50555555555555554</v>
      </c>
      <c r="AJ6" s="1005">
        <f>Flags!AJ23</f>
        <v>0.51111111111111107</v>
      </c>
      <c r="AK6" s="1005">
        <f>Flags!AK23</f>
        <v>0.50277777777777777</v>
      </c>
      <c r="AL6" s="1005">
        <f>Flags!AL23</f>
        <v>0.51111111111111107</v>
      </c>
      <c r="AM6" s="1005">
        <f>Flags!AM23</f>
        <v>0.50277777777777777</v>
      </c>
      <c r="AN6" s="1005">
        <f>Flags!AN23</f>
        <v>0.51111111111111107</v>
      </c>
      <c r="AO6" s="1005">
        <f>Flags!AO23</f>
        <v>0.50277777777777777</v>
      </c>
      <c r="AP6" s="1005">
        <f>Flags!AP23</f>
        <v>0.51111111111111107</v>
      </c>
      <c r="AQ6" s="1005">
        <f>Flags!AQ23</f>
        <v>0.50555555555555554</v>
      </c>
      <c r="AR6" s="1005">
        <f>Flags!AR23</f>
        <v>0.51111111111111107</v>
      </c>
      <c r="AS6" s="1005">
        <f>Flags!AS23</f>
        <v>0.50277777777777777</v>
      </c>
      <c r="AT6" s="1005">
        <f>Flags!AT23</f>
        <v>0.51111111111111107</v>
      </c>
      <c r="AU6" s="1005">
        <f>Flags!AU23</f>
        <v>0.50277777777777777</v>
      </c>
      <c r="AV6" s="1005">
        <f>Flags!AV23</f>
        <v>0.51111111111111107</v>
      </c>
      <c r="AW6" s="1005">
        <f>Flags!AW23</f>
        <v>0.50277777777777777</v>
      </c>
      <c r="AX6" s="1005">
        <f>Flags!AX23</f>
        <v>0.51111111111111107</v>
      </c>
      <c r="AY6" s="1005">
        <f>Flags!AY23</f>
        <v>0.50555555555555554</v>
      </c>
      <c r="AZ6" s="1005">
        <f>Flags!AZ23</f>
        <v>0.51111111111111107</v>
      </c>
      <c r="BA6" s="1005">
        <f>Flags!BA23</f>
        <v>0.50277777777777777</v>
      </c>
      <c r="BB6" s="1005">
        <f>Flags!BB23</f>
        <v>0.51111111111111107</v>
      </c>
      <c r="BC6" s="1005">
        <f>Flags!BC23</f>
        <v>0.50277777777777777</v>
      </c>
      <c r="BD6" s="1005">
        <f>Flags!BD23</f>
        <v>0.51111111111111107</v>
      </c>
      <c r="BE6" s="1005">
        <f>Flags!BE23</f>
        <v>0.50277777777777777</v>
      </c>
      <c r="BF6" s="1005">
        <f>Flags!BF23</f>
        <v>0.51111111111111107</v>
      </c>
      <c r="BG6" s="1005">
        <f>Flags!BG23</f>
        <v>0.50555555555555554</v>
      </c>
      <c r="BH6" s="1005">
        <f>Flags!BH23</f>
        <v>0.51111111111111107</v>
      </c>
      <c r="BI6" s="1005">
        <f>Flags!BI23</f>
        <v>0.50277777777777777</v>
      </c>
      <c r="BJ6" s="1005">
        <f>Flags!BJ23</f>
        <v>0.51111111111111107</v>
      </c>
      <c r="BK6" s="1005">
        <f>Flags!BK23</f>
        <v>0.50277777777777777</v>
      </c>
      <c r="BL6" s="1005">
        <f>Flags!BL23</f>
        <v>0.51111111111111107</v>
      </c>
      <c r="BM6" s="1005">
        <f>Flags!BM23</f>
        <v>0.50277777777777777</v>
      </c>
      <c r="BN6" s="1005">
        <f>Flags!BN23</f>
        <v>0.51111111111111107</v>
      </c>
      <c r="BO6" s="1005">
        <f>Flags!BO23</f>
        <v>0.50555555555555554</v>
      </c>
      <c r="BP6" s="1005"/>
      <c r="BQ6" s="1005"/>
      <c r="BR6" s="1005"/>
      <c r="BS6" s="1005"/>
      <c r="BT6" s="1005"/>
      <c r="BU6" s="1005"/>
      <c r="BV6" s="1005"/>
      <c r="BW6" s="1005"/>
      <c r="BX6" s="1005"/>
      <c r="BY6" s="1005"/>
      <c r="BZ6" s="1005"/>
      <c r="CA6" s="1005"/>
      <c r="CB6" s="1005"/>
      <c r="CC6" s="1005"/>
      <c r="CD6" s="1005"/>
      <c r="CE6" s="1005"/>
      <c r="CF6" s="1005"/>
      <c r="CG6" s="1005"/>
      <c r="CH6" s="1005"/>
      <c r="CI6" s="1005"/>
      <c r="CJ6" s="1005"/>
      <c r="CK6" s="1005"/>
      <c r="CL6" s="1005"/>
      <c r="CM6" s="1005"/>
      <c r="CN6" s="1005"/>
      <c r="CO6" s="1005"/>
      <c r="CP6" s="1005"/>
      <c r="CQ6" s="1005"/>
      <c r="CR6" s="1005"/>
      <c r="CS6" s="1005"/>
      <c r="CT6" s="1005"/>
      <c r="CU6" s="1005"/>
      <c r="CV6" s="1005"/>
      <c r="CW6" s="1005"/>
      <c r="CX6" s="1005"/>
      <c r="CY6" s="1005"/>
      <c r="CZ6" s="1005"/>
      <c r="DA6" s="1005"/>
      <c r="DB6" s="1005"/>
      <c r="DC6" s="1005"/>
      <c r="DD6" s="1005"/>
      <c r="DE6" s="1005"/>
      <c r="DF6" s="1005"/>
      <c r="DG6" s="1005"/>
      <c r="DH6" s="1005"/>
      <c r="DI6" s="1005"/>
      <c r="DJ6" s="1005"/>
      <c r="DK6" s="1005"/>
      <c r="DL6" s="1005"/>
      <c r="DM6" s="1005"/>
      <c r="DN6" s="1005"/>
      <c r="DO6" s="1005"/>
      <c r="DP6" s="1005"/>
      <c r="DQ6" s="1005"/>
      <c r="DR6" s="1005"/>
      <c r="DS6" s="1005"/>
      <c r="DT6" s="1005"/>
      <c r="DU6" s="1005"/>
      <c r="DV6" s="1005"/>
      <c r="DW6" s="1005"/>
    </row>
    <row r="7" spans="1:127">
      <c r="A7" s="871" t="str">
        <f>Flags!A20</f>
        <v>Senior Debt Refinancing Maturity</v>
      </c>
      <c r="B7" s="810"/>
      <c r="C7" s="810"/>
      <c r="G7" s="1006" t="b">
        <f>Flags!G20</f>
        <v>0</v>
      </c>
      <c r="H7" s="1006" t="b">
        <f>Flags!H20</f>
        <v>0</v>
      </c>
      <c r="I7" s="1006" t="b">
        <f>Flags!I20</f>
        <v>0</v>
      </c>
      <c r="J7" s="1006" t="b">
        <f>Flags!J20</f>
        <v>0</v>
      </c>
      <c r="K7" s="1006" t="b">
        <f>Flags!K20</f>
        <v>0</v>
      </c>
      <c r="L7" s="1006" t="b">
        <f>Flags!L20</f>
        <v>0</v>
      </c>
      <c r="M7" s="1006" t="b">
        <f>Flags!M20</f>
        <v>0</v>
      </c>
      <c r="N7" s="1006" t="b">
        <f>Flags!N20</f>
        <v>0</v>
      </c>
      <c r="O7" s="1006" t="b">
        <f>Flags!O20</f>
        <v>0</v>
      </c>
      <c r="P7" s="1006" t="b">
        <f>Flags!P20</f>
        <v>0</v>
      </c>
      <c r="Q7" s="1006" t="b">
        <f>Flags!Q20</f>
        <v>0</v>
      </c>
      <c r="R7" s="1006" t="b">
        <f>Flags!R20</f>
        <v>0</v>
      </c>
      <c r="S7" s="1006" t="b">
        <f>Flags!S20</f>
        <v>0</v>
      </c>
      <c r="T7" s="1006" t="b">
        <f>Flags!T20</f>
        <v>0</v>
      </c>
      <c r="U7" s="1006" t="b">
        <f>Flags!U20</f>
        <v>0</v>
      </c>
      <c r="V7" s="1006" t="b">
        <f>Flags!V20</f>
        <v>0</v>
      </c>
      <c r="W7" s="1006" t="b">
        <f>Flags!W20</f>
        <v>0</v>
      </c>
      <c r="X7" s="1006" t="b">
        <f>Flags!X20</f>
        <v>0</v>
      </c>
      <c r="Y7" s="1006" t="b">
        <f>Flags!Y20</f>
        <v>0</v>
      </c>
      <c r="Z7" s="1006" t="b">
        <f>Flags!Z20</f>
        <v>0</v>
      </c>
      <c r="AA7" s="1006" t="b">
        <f>Flags!AA20</f>
        <v>0</v>
      </c>
      <c r="AB7" s="1006" t="b">
        <f>Flags!AB20</f>
        <v>0</v>
      </c>
      <c r="AC7" s="1006" t="b">
        <f>Flags!AC20</f>
        <v>0</v>
      </c>
      <c r="AD7" s="1006" t="b">
        <f>Flags!AD20</f>
        <v>0</v>
      </c>
      <c r="AE7" s="1006" t="b">
        <f>Flags!AE20</f>
        <v>0</v>
      </c>
      <c r="AF7" s="1006" t="b">
        <f>Flags!AF20</f>
        <v>0</v>
      </c>
      <c r="AG7" s="1006" t="b">
        <f>Flags!AG20</f>
        <v>0</v>
      </c>
      <c r="AH7" s="1006" t="b">
        <f>Flags!AH20</f>
        <v>0</v>
      </c>
      <c r="AI7" s="1006" t="b">
        <f>Flags!AI20</f>
        <v>0</v>
      </c>
      <c r="AJ7" s="1006" t="b">
        <f>Flags!AJ20</f>
        <v>0</v>
      </c>
      <c r="AK7" s="1006" t="b">
        <f>Flags!AK20</f>
        <v>0</v>
      </c>
      <c r="AL7" s="1006" t="b">
        <f>Flags!AL20</f>
        <v>0</v>
      </c>
      <c r="AM7" s="1006" t="b">
        <f>Flags!AM20</f>
        <v>0</v>
      </c>
      <c r="AN7" s="1006" t="b">
        <f>Flags!AN20</f>
        <v>0</v>
      </c>
      <c r="AO7" s="1006" t="b">
        <f>Flags!AO20</f>
        <v>0</v>
      </c>
      <c r="AP7" s="1006" t="b">
        <f>Flags!AP20</f>
        <v>0</v>
      </c>
      <c r="AQ7" s="1006" t="b">
        <f>Flags!AQ20</f>
        <v>0</v>
      </c>
      <c r="AR7" s="1006" t="b">
        <f>Flags!AR20</f>
        <v>0</v>
      </c>
      <c r="AS7" s="1006" t="b">
        <f>Flags!AS20</f>
        <v>0</v>
      </c>
      <c r="AT7" s="1006" t="b">
        <f>Flags!AT20</f>
        <v>0</v>
      </c>
      <c r="AU7" s="1006" t="b">
        <f>Flags!AU20</f>
        <v>0</v>
      </c>
      <c r="AV7" s="1006" t="b">
        <f>Flags!AV20</f>
        <v>0</v>
      </c>
      <c r="AW7" s="1006" t="b">
        <f>Flags!AW20</f>
        <v>0</v>
      </c>
      <c r="AX7" s="1006" t="b">
        <f>Flags!AX20</f>
        <v>0</v>
      </c>
      <c r="AY7" s="1006" t="b">
        <f>Flags!AY20</f>
        <v>0</v>
      </c>
      <c r="AZ7" s="1006" t="b">
        <f>Flags!AZ20</f>
        <v>0</v>
      </c>
      <c r="BA7" s="1006" t="b">
        <f>Flags!BA20</f>
        <v>0</v>
      </c>
      <c r="BB7" s="1006" t="b">
        <f>Flags!BB20</f>
        <v>0</v>
      </c>
      <c r="BC7" s="1006" t="b">
        <f>Flags!BC20</f>
        <v>0</v>
      </c>
      <c r="BD7" s="1006" t="b">
        <f>Flags!BD20</f>
        <v>0</v>
      </c>
      <c r="BE7" s="1006" t="b">
        <f>Flags!BE20</f>
        <v>0</v>
      </c>
      <c r="BF7" s="1006" t="b">
        <f>Flags!BF20</f>
        <v>0</v>
      </c>
      <c r="BG7" s="1006" t="b">
        <f>Flags!BG20</f>
        <v>0</v>
      </c>
      <c r="BH7" s="1006" t="b">
        <f>Flags!BH20</f>
        <v>0</v>
      </c>
      <c r="BI7" s="1006" t="b">
        <f>Flags!BI20</f>
        <v>0</v>
      </c>
      <c r="BJ7" s="1006" t="b">
        <f>Flags!BJ20</f>
        <v>0</v>
      </c>
      <c r="BK7" s="1006" t="b">
        <f>Flags!BK20</f>
        <v>0</v>
      </c>
      <c r="BL7" s="1006" t="b">
        <f>Flags!BL20</f>
        <v>0</v>
      </c>
      <c r="BM7" s="1006" t="b">
        <f>Flags!BM20</f>
        <v>0</v>
      </c>
      <c r="BN7" s="1006" t="b">
        <f>Flags!BN20</f>
        <v>0</v>
      </c>
      <c r="BO7" s="1006" t="b">
        <f>Flags!BO20</f>
        <v>0</v>
      </c>
      <c r="BP7" s="1006"/>
      <c r="BQ7" s="1006"/>
      <c r="BR7" s="1006"/>
      <c r="BS7" s="1006"/>
      <c r="BT7" s="1006"/>
      <c r="BU7" s="1006"/>
      <c r="BV7" s="1006"/>
      <c r="BW7" s="1006"/>
      <c r="BX7" s="1006"/>
      <c r="BY7" s="1006"/>
      <c r="BZ7" s="1006"/>
      <c r="CA7" s="1006"/>
      <c r="CB7" s="1006"/>
      <c r="CC7" s="1006"/>
      <c r="CD7" s="1006"/>
      <c r="CE7" s="1006"/>
      <c r="CF7" s="1006"/>
      <c r="CG7" s="1006"/>
      <c r="CH7" s="1006"/>
      <c r="CI7" s="1006"/>
      <c r="CJ7" s="1006"/>
      <c r="CK7" s="1006"/>
      <c r="CL7" s="1006"/>
      <c r="CM7" s="1006"/>
      <c r="CN7" s="1006"/>
      <c r="CO7" s="1006"/>
      <c r="CP7" s="1006"/>
      <c r="CQ7" s="1006"/>
      <c r="CR7" s="1006"/>
      <c r="CS7" s="1006"/>
      <c r="CT7" s="1006"/>
      <c r="CU7" s="1006"/>
      <c r="CV7" s="1006"/>
      <c r="CW7" s="1006"/>
      <c r="CX7" s="1006"/>
      <c r="CY7" s="1006"/>
      <c r="CZ7" s="1006"/>
      <c r="DA7" s="1006"/>
      <c r="DB7" s="1006"/>
      <c r="DC7" s="1006"/>
      <c r="DD7" s="1006"/>
      <c r="DE7" s="1006"/>
      <c r="DF7" s="1006"/>
      <c r="DG7" s="1006"/>
      <c r="DH7" s="1006"/>
      <c r="DI7" s="1006"/>
      <c r="DJ7" s="1006"/>
      <c r="DK7" s="1006"/>
      <c r="DL7" s="1006"/>
      <c r="DM7" s="1006"/>
      <c r="DN7" s="1006"/>
      <c r="DO7" s="1006"/>
      <c r="DP7" s="1006"/>
      <c r="DQ7" s="1006"/>
      <c r="DR7" s="1006"/>
      <c r="DS7" s="1006"/>
      <c r="DT7" s="1006"/>
      <c r="DU7" s="1006"/>
      <c r="DV7" s="1006"/>
      <c r="DW7" s="1006"/>
    </row>
    <row r="8" spans="1:127">
      <c r="A8" s="871" t="str">
        <f>Flags!A21</f>
        <v>Senior Debt Hedge Maturity</v>
      </c>
      <c r="B8" s="810">
        <f>Flags!B21</f>
        <v>14</v>
      </c>
      <c r="G8" s="1006" t="b">
        <f>Flags!G21</f>
        <v>0</v>
      </c>
      <c r="H8" s="1006" t="b">
        <f>Flags!H21</f>
        <v>1</v>
      </c>
      <c r="I8" s="1006" t="b">
        <f>Flags!I21</f>
        <v>1</v>
      </c>
      <c r="J8" s="1006" t="b">
        <f>Flags!J21</f>
        <v>1</v>
      </c>
      <c r="K8" s="1006" t="b">
        <f>Flags!K21</f>
        <v>1</v>
      </c>
      <c r="L8" s="1006" t="b">
        <f>Flags!L21</f>
        <v>1</v>
      </c>
      <c r="M8" s="1006" t="b">
        <f>Flags!M21</f>
        <v>1</v>
      </c>
      <c r="N8" s="1006" t="b">
        <f>Flags!N21</f>
        <v>1</v>
      </c>
      <c r="O8" s="1006" t="b">
        <f>Flags!O21</f>
        <v>1</v>
      </c>
      <c r="P8" s="1006" t="b">
        <f>Flags!P21</f>
        <v>1</v>
      </c>
      <c r="Q8" s="1006" t="b">
        <f>Flags!Q21</f>
        <v>1</v>
      </c>
      <c r="R8" s="1006" t="b">
        <f>Flags!R21</f>
        <v>1</v>
      </c>
      <c r="S8" s="1006" t="b">
        <f>Flags!S21</f>
        <v>1</v>
      </c>
      <c r="T8" s="1006" t="b">
        <f>Flags!T21</f>
        <v>1</v>
      </c>
      <c r="U8" s="1006" t="b">
        <f>Flags!U21</f>
        <v>1</v>
      </c>
      <c r="V8" s="1006" t="b">
        <f>Flags!V21</f>
        <v>1</v>
      </c>
      <c r="W8" s="1006" t="b">
        <f>Flags!W21</f>
        <v>1</v>
      </c>
      <c r="X8" s="1006" t="b">
        <f>Flags!X21</f>
        <v>1</v>
      </c>
      <c r="Y8" s="1006" t="b">
        <f>Flags!Y21</f>
        <v>1</v>
      </c>
      <c r="Z8" s="1006" t="b">
        <f>Flags!Z21</f>
        <v>1</v>
      </c>
      <c r="AA8" s="1006" t="b">
        <f>Flags!AA21</f>
        <v>1</v>
      </c>
      <c r="AB8" s="1006" t="b">
        <f>Flags!AB21</f>
        <v>1</v>
      </c>
      <c r="AC8" s="1006" t="b">
        <f>Flags!AC21</f>
        <v>1</v>
      </c>
      <c r="AD8" s="1006" t="b">
        <f>Flags!AD21</f>
        <v>1</v>
      </c>
      <c r="AE8" s="1006" t="b">
        <f>Flags!AE21</f>
        <v>1</v>
      </c>
      <c r="AF8" s="1006" t="b">
        <f>Flags!AF21</f>
        <v>1</v>
      </c>
      <c r="AG8" s="1006" t="b">
        <f>Flags!AG21</f>
        <v>1</v>
      </c>
      <c r="AH8" s="1006" t="b">
        <f>Flags!AH21</f>
        <v>1</v>
      </c>
      <c r="AI8" s="1006" t="b">
        <f>Flags!AI21</f>
        <v>1</v>
      </c>
      <c r="AJ8" s="1006" t="b">
        <f>Flags!AJ21</f>
        <v>0</v>
      </c>
      <c r="AK8" s="1006" t="b">
        <f>Flags!AK21</f>
        <v>0</v>
      </c>
      <c r="AL8" s="1006" t="b">
        <f>Flags!AL21</f>
        <v>0</v>
      </c>
      <c r="AM8" s="1006" t="b">
        <f>Flags!AM21</f>
        <v>0</v>
      </c>
      <c r="AN8" s="1006" t="b">
        <f>Flags!AN21</f>
        <v>0</v>
      </c>
      <c r="AO8" s="1006" t="b">
        <f>Flags!AO21</f>
        <v>0</v>
      </c>
      <c r="AP8" s="1006" t="b">
        <f>Flags!AP21</f>
        <v>0</v>
      </c>
      <c r="AQ8" s="1006" t="b">
        <f>Flags!AQ21</f>
        <v>0</v>
      </c>
      <c r="AR8" s="1006" t="b">
        <f>Flags!AR21</f>
        <v>0</v>
      </c>
      <c r="AS8" s="1006" t="b">
        <f>Flags!AS21</f>
        <v>0</v>
      </c>
      <c r="AT8" s="1006" t="b">
        <f>Flags!AT21</f>
        <v>0</v>
      </c>
      <c r="AU8" s="1006" t="b">
        <f>Flags!AU21</f>
        <v>0</v>
      </c>
      <c r="AV8" s="1006" t="b">
        <f>Flags!AV21</f>
        <v>0</v>
      </c>
      <c r="AW8" s="1006" t="b">
        <f>Flags!AW21</f>
        <v>0</v>
      </c>
      <c r="AX8" s="1006" t="b">
        <f>Flags!AX21</f>
        <v>0</v>
      </c>
      <c r="AY8" s="1006" t="b">
        <f>Flags!AY21</f>
        <v>0</v>
      </c>
      <c r="AZ8" s="1006" t="b">
        <f>Flags!AZ21</f>
        <v>0</v>
      </c>
      <c r="BA8" s="1006" t="b">
        <f>Flags!BA21</f>
        <v>0</v>
      </c>
      <c r="BB8" s="1006" t="b">
        <f>Flags!BB21</f>
        <v>0</v>
      </c>
      <c r="BC8" s="1006" t="b">
        <f>Flags!BC21</f>
        <v>0</v>
      </c>
      <c r="BD8" s="1006" t="b">
        <f>Flags!BD21</f>
        <v>0</v>
      </c>
      <c r="BE8" s="1006" t="b">
        <f>Flags!BE21</f>
        <v>0</v>
      </c>
      <c r="BF8" s="1006" t="b">
        <f>Flags!BF21</f>
        <v>0</v>
      </c>
      <c r="BG8" s="1006" t="b">
        <f>Flags!BG21</f>
        <v>0</v>
      </c>
      <c r="BH8" s="1006" t="b">
        <f>Flags!BH21</f>
        <v>0</v>
      </c>
      <c r="BI8" s="1006" t="b">
        <f>Flags!BI21</f>
        <v>0</v>
      </c>
      <c r="BJ8" s="1006" t="b">
        <f>Flags!BJ21</f>
        <v>0</v>
      </c>
      <c r="BK8" s="1006" t="b">
        <f>Flags!BK21</f>
        <v>0</v>
      </c>
      <c r="BL8" s="1006" t="b">
        <f>Flags!BL21</f>
        <v>0</v>
      </c>
      <c r="BM8" s="1006" t="b">
        <f>Flags!BM21</f>
        <v>0</v>
      </c>
      <c r="BN8" s="1006" t="b">
        <f>Flags!BN21</f>
        <v>0</v>
      </c>
      <c r="BO8" s="1006" t="b">
        <f>Flags!BO21</f>
        <v>0</v>
      </c>
      <c r="BP8" s="1006"/>
      <c r="BQ8" s="1006"/>
      <c r="BR8" s="1006"/>
      <c r="BS8" s="1006"/>
      <c r="BT8" s="1006"/>
      <c r="BU8" s="1006"/>
      <c r="BV8" s="1006"/>
      <c r="BW8" s="1006"/>
      <c r="BX8" s="1006"/>
      <c r="BY8" s="1006"/>
      <c r="BZ8" s="1006"/>
      <c r="CA8" s="1006"/>
      <c r="CB8" s="1006"/>
      <c r="CC8" s="1006"/>
      <c r="CD8" s="1006"/>
      <c r="CE8" s="1006"/>
      <c r="CF8" s="1006"/>
      <c r="CG8" s="1006"/>
      <c r="CH8" s="1006"/>
      <c r="CI8" s="1006"/>
      <c r="CJ8" s="1006"/>
      <c r="CK8" s="1006"/>
      <c r="CL8" s="1006"/>
      <c r="CM8" s="1006"/>
      <c r="CN8" s="1006"/>
      <c r="CO8" s="1006"/>
      <c r="CP8" s="1006"/>
      <c r="CQ8" s="1006"/>
      <c r="CR8" s="1006"/>
      <c r="CS8" s="1006"/>
      <c r="CT8" s="1006"/>
      <c r="CU8" s="1006"/>
      <c r="CV8" s="1006"/>
      <c r="CW8" s="1006"/>
      <c r="CX8" s="1006"/>
      <c r="CY8" s="1006"/>
      <c r="CZ8" s="1006"/>
      <c r="DA8" s="1006"/>
      <c r="DB8" s="1006"/>
      <c r="DC8" s="1006"/>
      <c r="DD8" s="1006"/>
      <c r="DE8" s="1006"/>
      <c r="DF8" s="1006"/>
      <c r="DG8" s="1006"/>
      <c r="DH8" s="1006"/>
      <c r="DI8" s="1006"/>
      <c r="DJ8" s="1006"/>
      <c r="DK8" s="1006"/>
      <c r="DL8" s="1006"/>
      <c r="DM8" s="1006"/>
      <c r="DN8" s="1006"/>
      <c r="DO8" s="1006"/>
      <c r="DP8" s="1006"/>
      <c r="DQ8" s="1006"/>
      <c r="DR8" s="1006"/>
      <c r="DS8" s="1006"/>
      <c r="DT8" s="1006"/>
      <c r="DU8" s="1006"/>
      <c r="DV8" s="1006"/>
      <c r="DW8" s="1006"/>
    </row>
    <row r="9" spans="1:127">
      <c r="A9" s="871" t="str">
        <f>Flags!A24</f>
        <v>Senior Debt Maturity Days (%)</v>
      </c>
      <c r="B9" s="810"/>
      <c r="C9" s="810"/>
      <c r="G9" s="1006">
        <f>Flags!G24</f>
        <v>0</v>
      </c>
      <c r="H9" s="1006">
        <f>Flags!H24</f>
        <v>1</v>
      </c>
      <c r="I9" s="1006">
        <f>Flags!I24</f>
        <v>1</v>
      </c>
      <c r="J9" s="1006">
        <f>Flags!J24</f>
        <v>1</v>
      </c>
      <c r="K9" s="1006">
        <f>Flags!K24</f>
        <v>1</v>
      </c>
      <c r="L9" s="1006">
        <f>Flags!L24</f>
        <v>1</v>
      </c>
      <c r="M9" s="1006">
        <f>Flags!M24</f>
        <v>1</v>
      </c>
      <c r="N9" s="1006">
        <f>Flags!N24</f>
        <v>1</v>
      </c>
      <c r="O9" s="1006">
        <f>Flags!O24</f>
        <v>1</v>
      </c>
      <c r="P9" s="1006">
        <f>Flags!P24</f>
        <v>1</v>
      </c>
      <c r="Q9" s="1006">
        <f>Flags!Q24</f>
        <v>1</v>
      </c>
      <c r="R9" s="1006">
        <f>Flags!R24</f>
        <v>1</v>
      </c>
      <c r="S9" s="1006">
        <f>Flags!S24</f>
        <v>1</v>
      </c>
      <c r="T9" s="1006">
        <f>Flags!T24</f>
        <v>1</v>
      </c>
      <c r="U9" s="1006">
        <f>Flags!U24</f>
        <v>1</v>
      </c>
      <c r="V9" s="1006">
        <f>Flags!V24</f>
        <v>1</v>
      </c>
      <c r="W9" s="1006">
        <f>Flags!W24</f>
        <v>1</v>
      </c>
      <c r="X9" s="1006">
        <f>Flags!X24</f>
        <v>1</v>
      </c>
      <c r="Y9" s="1006">
        <f>Flags!Y24</f>
        <v>1</v>
      </c>
      <c r="Z9" s="1006">
        <f>Flags!Z24</f>
        <v>1</v>
      </c>
      <c r="AA9" s="1006">
        <f>Flags!AA24</f>
        <v>1</v>
      </c>
      <c r="AB9" s="1006">
        <f>Flags!AB24</f>
        <v>1</v>
      </c>
      <c r="AC9" s="1006">
        <f>Flags!AC24</f>
        <v>1</v>
      </c>
      <c r="AD9" s="1006">
        <f>Flags!AD24</f>
        <v>1</v>
      </c>
      <c r="AE9" s="1006">
        <f>Flags!AE24</f>
        <v>1</v>
      </c>
      <c r="AF9" s="1006">
        <f>Flags!AF24</f>
        <v>1</v>
      </c>
      <c r="AG9" s="1006">
        <f>Flags!AG24</f>
        <v>1</v>
      </c>
      <c r="AH9" s="1006">
        <f>Flags!AH24</f>
        <v>1</v>
      </c>
      <c r="AI9" s="1006">
        <f>Flags!AI24</f>
        <v>0.98895027624309395</v>
      </c>
      <c r="AJ9" s="1006">
        <f>Flags!AJ24</f>
        <v>0</v>
      </c>
      <c r="AK9" s="1006">
        <f>Flags!AK24</f>
        <v>0</v>
      </c>
      <c r="AL9" s="1006">
        <f>Flags!AL24</f>
        <v>0</v>
      </c>
      <c r="AM9" s="1006">
        <f>Flags!AM24</f>
        <v>0</v>
      </c>
      <c r="AN9" s="1006">
        <f>Flags!AN24</f>
        <v>0</v>
      </c>
      <c r="AO9" s="1006">
        <f>Flags!AO24</f>
        <v>0</v>
      </c>
      <c r="AP9" s="1006">
        <f>Flags!AP24</f>
        <v>0</v>
      </c>
      <c r="AQ9" s="1006">
        <f>Flags!AQ24</f>
        <v>0</v>
      </c>
      <c r="AR9" s="1006">
        <f>Flags!AR24</f>
        <v>0</v>
      </c>
      <c r="AS9" s="1006">
        <f>Flags!AS24</f>
        <v>0</v>
      </c>
      <c r="AT9" s="1006">
        <f>Flags!AT24</f>
        <v>0</v>
      </c>
      <c r="AU9" s="1006">
        <f>Flags!AU24</f>
        <v>0</v>
      </c>
      <c r="AV9" s="1006">
        <f>Flags!AV24</f>
        <v>0</v>
      </c>
      <c r="AW9" s="1006">
        <f>Flags!AW24</f>
        <v>0</v>
      </c>
      <c r="AX9" s="1006">
        <f>Flags!AX24</f>
        <v>0</v>
      </c>
      <c r="AY9" s="1006">
        <f>Flags!AY24</f>
        <v>0</v>
      </c>
      <c r="AZ9" s="1006">
        <f>Flags!AZ24</f>
        <v>0</v>
      </c>
      <c r="BA9" s="1006">
        <f>Flags!BA24</f>
        <v>0</v>
      </c>
      <c r="BB9" s="1006">
        <f>Flags!BB24</f>
        <v>0</v>
      </c>
      <c r="BC9" s="1006">
        <f>Flags!BC24</f>
        <v>0</v>
      </c>
      <c r="BD9" s="1006">
        <f>Flags!BD24</f>
        <v>0</v>
      </c>
      <c r="BE9" s="1006">
        <f>Flags!BE24</f>
        <v>0</v>
      </c>
      <c r="BF9" s="1006">
        <f>Flags!BF24</f>
        <v>0</v>
      </c>
      <c r="BG9" s="1006">
        <f>Flags!BG24</f>
        <v>0</v>
      </c>
      <c r="BH9" s="1006">
        <f>Flags!BH24</f>
        <v>0</v>
      </c>
      <c r="BI9" s="1006">
        <f>Flags!BI24</f>
        <v>0</v>
      </c>
      <c r="BJ9" s="1006">
        <f>Flags!BJ24</f>
        <v>0</v>
      </c>
      <c r="BK9" s="1006">
        <f>Flags!BK24</f>
        <v>0</v>
      </c>
      <c r="BL9" s="1006">
        <f>Flags!BL24</f>
        <v>0</v>
      </c>
      <c r="BM9" s="1006">
        <f>Flags!BM24</f>
        <v>0</v>
      </c>
      <c r="BN9" s="1006">
        <f>Flags!BN24</f>
        <v>0</v>
      </c>
      <c r="BO9" s="1006">
        <f>Flags!BO24</f>
        <v>0</v>
      </c>
      <c r="BP9" s="1006"/>
      <c r="BQ9" s="1006"/>
      <c r="BR9" s="1006"/>
      <c r="BS9" s="1006"/>
      <c r="BT9" s="1006"/>
      <c r="BU9" s="1006"/>
      <c r="BV9" s="1006"/>
      <c r="BW9" s="1006"/>
      <c r="BX9" s="1006"/>
      <c r="BY9" s="1006"/>
      <c r="BZ9" s="1006"/>
      <c r="CA9" s="1006"/>
      <c r="CB9" s="1006"/>
      <c r="CC9" s="1006"/>
      <c r="CD9" s="1006"/>
      <c r="CE9" s="1006"/>
      <c r="CF9" s="1006"/>
      <c r="CG9" s="1006"/>
      <c r="CH9" s="1006"/>
      <c r="CI9" s="1006"/>
      <c r="CJ9" s="1006"/>
      <c r="CK9" s="1006"/>
      <c r="CL9" s="1006"/>
      <c r="CM9" s="1006"/>
      <c r="CN9" s="1006"/>
      <c r="CO9" s="1006"/>
      <c r="CP9" s="1006"/>
      <c r="CQ9" s="1006"/>
      <c r="CR9" s="1006"/>
      <c r="CS9" s="1006"/>
      <c r="CT9" s="1006"/>
      <c r="CU9" s="1006"/>
      <c r="CV9" s="1006"/>
      <c r="CW9" s="1006"/>
      <c r="CX9" s="1006"/>
      <c r="CY9" s="1006"/>
      <c r="CZ9" s="1006"/>
      <c r="DA9" s="1006"/>
      <c r="DB9" s="1006"/>
      <c r="DC9" s="1006"/>
      <c r="DD9" s="1006"/>
      <c r="DE9" s="1006"/>
      <c r="DF9" s="1006"/>
      <c r="DG9" s="1006"/>
      <c r="DH9" s="1006"/>
      <c r="DI9" s="1006"/>
      <c r="DJ9" s="1006"/>
      <c r="DK9" s="1006"/>
      <c r="DL9" s="1006"/>
      <c r="DM9" s="1006"/>
      <c r="DN9" s="1006"/>
      <c r="DO9" s="1006"/>
      <c r="DP9" s="1006"/>
      <c r="DQ9" s="1006"/>
      <c r="DR9" s="1006"/>
      <c r="DS9" s="1006"/>
      <c r="DT9" s="1006"/>
      <c r="DU9" s="1006"/>
      <c r="DV9" s="1006"/>
      <c r="DW9" s="1006"/>
    </row>
    <row r="10" spans="1:127">
      <c r="A10" s="859" t="str">
        <f>Flags!A26</f>
        <v>Junior Debt Maturity</v>
      </c>
      <c r="B10" s="810">
        <f>Flags!B26</f>
        <v>7</v>
      </c>
      <c r="C10" s="810"/>
      <c r="D10" s="610"/>
      <c r="E10" s="610"/>
      <c r="F10" s="314"/>
      <c r="G10" s="517" t="b">
        <f>Flags!G26</f>
        <v>0</v>
      </c>
      <c r="H10" s="517" t="b">
        <f>Flags!H26</f>
        <v>1</v>
      </c>
      <c r="I10" s="517" t="b">
        <f>Flags!I26</f>
        <v>1</v>
      </c>
      <c r="J10" s="517" t="b">
        <f>Flags!J26</f>
        <v>1</v>
      </c>
      <c r="K10" s="517" t="b">
        <f>Flags!K26</f>
        <v>1</v>
      </c>
      <c r="L10" s="517" t="b">
        <f>Flags!L26</f>
        <v>1</v>
      </c>
      <c r="M10" s="517" t="b">
        <f>Flags!M26</f>
        <v>1</v>
      </c>
      <c r="N10" s="517" t="b">
        <f>Flags!N26</f>
        <v>1</v>
      </c>
      <c r="O10" s="517" t="b">
        <f>Flags!O26</f>
        <v>1</v>
      </c>
      <c r="P10" s="517" t="b">
        <f>Flags!P26</f>
        <v>1</v>
      </c>
      <c r="Q10" s="517" t="b">
        <f>Flags!Q26</f>
        <v>1</v>
      </c>
      <c r="R10" s="517" t="b">
        <f>Flags!R26</f>
        <v>1</v>
      </c>
      <c r="S10" s="517" t="b">
        <f>Flags!S26</f>
        <v>1</v>
      </c>
      <c r="T10" s="517" t="b">
        <f>Flags!T26</f>
        <v>1</v>
      </c>
      <c r="U10" s="517" t="b">
        <f>Flags!U26</f>
        <v>1</v>
      </c>
      <c r="V10" s="517" t="b">
        <f>Flags!V26</f>
        <v>0</v>
      </c>
      <c r="W10" s="517" t="b">
        <f>Flags!W26</f>
        <v>0</v>
      </c>
      <c r="X10" s="517" t="b">
        <f>Flags!X26</f>
        <v>0</v>
      </c>
      <c r="Y10" s="517" t="b">
        <f>Flags!Y26</f>
        <v>0</v>
      </c>
      <c r="Z10" s="517" t="b">
        <f>Flags!Z26</f>
        <v>0</v>
      </c>
      <c r="AA10" s="517" t="b">
        <f>Flags!AA26</f>
        <v>0</v>
      </c>
      <c r="AB10" s="517" t="b">
        <f>Flags!AB26</f>
        <v>0</v>
      </c>
      <c r="AC10" s="517" t="b">
        <f>Flags!AC26</f>
        <v>0</v>
      </c>
      <c r="AD10" s="517" t="b">
        <f>Flags!AD26</f>
        <v>0</v>
      </c>
      <c r="AE10" s="517" t="b">
        <f>Flags!AE26</f>
        <v>0</v>
      </c>
      <c r="AF10" s="517" t="b">
        <f>Flags!AF26</f>
        <v>0</v>
      </c>
      <c r="AG10" s="517" t="b">
        <f>Flags!AG26</f>
        <v>0</v>
      </c>
      <c r="AH10" s="517" t="b">
        <f>Flags!AH26</f>
        <v>0</v>
      </c>
      <c r="AI10" s="517" t="b">
        <f>Flags!AI26</f>
        <v>0</v>
      </c>
      <c r="AJ10" s="517" t="b">
        <f>Flags!AJ26</f>
        <v>0</v>
      </c>
      <c r="AK10" s="517" t="b">
        <f>Flags!AK26</f>
        <v>0</v>
      </c>
      <c r="AL10" s="517" t="b">
        <f>Flags!AL26</f>
        <v>0</v>
      </c>
      <c r="AM10" s="517" t="b">
        <f>Flags!AM26</f>
        <v>0</v>
      </c>
      <c r="AN10" s="517" t="b">
        <f>Flags!AN26</f>
        <v>0</v>
      </c>
      <c r="AO10" s="517" t="b">
        <f>Flags!AO26</f>
        <v>0</v>
      </c>
      <c r="AP10" s="517" t="b">
        <f>Flags!AP26</f>
        <v>0</v>
      </c>
      <c r="AQ10" s="517" t="b">
        <f>Flags!AQ26</f>
        <v>0</v>
      </c>
      <c r="AR10" s="517" t="b">
        <f>Flags!AR26</f>
        <v>0</v>
      </c>
      <c r="AS10" s="517" t="b">
        <f>Flags!AS26</f>
        <v>0</v>
      </c>
      <c r="AT10" s="517" t="b">
        <f>Flags!AT26</f>
        <v>0</v>
      </c>
      <c r="AU10" s="517" t="b">
        <f>Flags!AU26</f>
        <v>0</v>
      </c>
      <c r="AV10" s="517" t="b">
        <f>Flags!AV26</f>
        <v>0</v>
      </c>
      <c r="AW10" s="517" t="b">
        <f>Flags!AW26</f>
        <v>0</v>
      </c>
      <c r="AX10" s="517" t="b">
        <f>Flags!AX26</f>
        <v>0</v>
      </c>
      <c r="AY10" s="517" t="b">
        <f>Flags!AY26</f>
        <v>0</v>
      </c>
      <c r="AZ10" s="517" t="b">
        <f>Flags!AZ26</f>
        <v>0</v>
      </c>
      <c r="BA10" s="517" t="b">
        <f>Flags!BA26</f>
        <v>0</v>
      </c>
      <c r="BB10" s="517" t="b">
        <f>Flags!BB26</f>
        <v>0</v>
      </c>
      <c r="BC10" s="517" t="b">
        <f>Flags!BC26</f>
        <v>0</v>
      </c>
      <c r="BD10" s="517" t="b">
        <f>Flags!BD26</f>
        <v>0</v>
      </c>
      <c r="BE10" s="517" t="b">
        <f>Flags!BE26</f>
        <v>0</v>
      </c>
      <c r="BF10" s="517" t="b">
        <f>Flags!BF26</f>
        <v>0</v>
      </c>
      <c r="BG10" s="517" t="b">
        <f>Flags!BG26</f>
        <v>0</v>
      </c>
      <c r="BH10" s="517" t="b">
        <f>Flags!BH26</f>
        <v>0</v>
      </c>
      <c r="BI10" s="517" t="b">
        <f>Flags!BI26</f>
        <v>0</v>
      </c>
      <c r="BJ10" s="517" t="b">
        <f>Flags!BJ26</f>
        <v>0</v>
      </c>
      <c r="BK10" s="517" t="b">
        <f>Flags!BK26</f>
        <v>0</v>
      </c>
      <c r="BL10" s="517" t="b">
        <f>Flags!BL26</f>
        <v>0</v>
      </c>
      <c r="BM10" s="517" t="b">
        <f>Flags!BM26</f>
        <v>0</v>
      </c>
      <c r="BN10" s="517" t="b">
        <f>Flags!BN26</f>
        <v>0</v>
      </c>
      <c r="BO10" s="517" t="b">
        <f>Flags!BO26</f>
        <v>0</v>
      </c>
      <c r="BP10" s="517"/>
      <c r="BQ10" s="517"/>
      <c r="BR10" s="517"/>
      <c r="BS10" s="517"/>
      <c r="BT10" s="517"/>
      <c r="BU10" s="517"/>
      <c r="BV10" s="517"/>
      <c r="BW10" s="517"/>
      <c r="BX10" s="517"/>
      <c r="BY10" s="517"/>
      <c r="BZ10" s="517"/>
      <c r="CA10" s="517"/>
      <c r="CB10" s="517"/>
      <c r="CC10" s="517"/>
      <c r="CD10" s="517"/>
      <c r="CE10" s="517"/>
      <c r="CF10" s="517"/>
      <c r="CG10" s="517"/>
      <c r="CH10" s="517"/>
      <c r="CI10" s="517"/>
      <c r="CJ10" s="517"/>
      <c r="CK10" s="517"/>
      <c r="CL10" s="517"/>
      <c r="CM10" s="517"/>
      <c r="CN10" s="517"/>
      <c r="CO10" s="517"/>
      <c r="CP10" s="517"/>
      <c r="CQ10" s="517"/>
      <c r="CR10" s="517"/>
      <c r="CS10" s="517"/>
      <c r="CT10" s="517"/>
      <c r="CU10" s="517"/>
      <c r="CV10" s="517"/>
      <c r="CW10" s="517"/>
      <c r="CX10" s="517"/>
      <c r="CY10" s="517"/>
      <c r="CZ10" s="517"/>
      <c r="DA10" s="517"/>
      <c r="DB10" s="517"/>
      <c r="DC10" s="517"/>
      <c r="DD10" s="517"/>
      <c r="DE10" s="517"/>
      <c r="DF10" s="517"/>
      <c r="DG10" s="517"/>
      <c r="DH10" s="517"/>
      <c r="DI10" s="517"/>
      <c r="DJ10" s="517"/>
      <c r="DK10" s="517"/>
      <c r="DL10" s="517"/>
      <c r="DM10" s="517"/>
      <c r="DN10" s="517"/>
      <c r="DO10" s="517"/>
      <c r="DP10" s="517"/>
      <c r="DQ10" s="517"/>
      <c r="DR10" s="517"/>
      <c r="DS10" s="517"/>
      <c r="DT10" s="517"/>
      <c r="DU10" s="517"/>
      <c r="DV10" s="517"/>
      <c r="DW10" s="517"/>
    </row>
    <row r="11" spans="1:127">
      <c r="A11" s="859" t="str">
        <f>Flags!A27</f>
        <v>Junior Debt Period</v>
      </c>
      <c r="B11" s="810"/>
      <c r="C11" s="810"/>
      <c r="D11" s="610"/>
      <c r="E11" s="610"/>
      <c r="F11" s="314"/>
      <c r="G11" s="1005">
        <f>Flags!G27</f>
        <v>1.0194444444444444</v>
      </c>
      <c r="H11" s="1005">
        <f>Flags!H27</f>
        <v>0.51111111111111107</v>
      </c>
      <c r="I11" s="1005">
        <f>Flags!I27</f>
        <v>0.50277777777777777</v>
      </c>
      <c r="J11" s="1005">
        <f>Flags!J27</f>
        <v>0.51111111111111107</v>
      </c>
      <c r="K11" s="1005">
        <f>Flags!K27</f>
        <v>0.50555555555555554</v>
      </c>
      <c r="L11" s="1005">
        <f>Flags!L27</f>
        <v>0.51111111111111107</v>
      </c>
      <c r="M11" s="1005">
        <f>Flags!M27</f>
        <v>0.50277777777777777</v>
      </c>
      <c r="N11" s="1005">
        <f>Flags!N27</f>
        <v>0.51111111111111107</v>
      </c>
      <c r="O11" s="1005">
        <f>Flags!O27</f>
        <v>0.50277777777777777</v>
      </c>
      <c r="P11" s="1005">
        <f>Flags!P27</f>
        <v>0.51111111111111107</v>
      </c>
      <c r="Q11" s="1005">
        <f>Flags!Q27</f>
        <v>0.50277777777777777</v>
      </c>
      <c r="R11" s="1005">
        <f>Flags!R27</f>
        <v>0.51111111111111107</v>
      </c>
      <c r="S11" s="1005">
        <f>Flags!S27</f>
        <v>0.50555555555555554</v>
      </c>
      <c r="T11" s="1005">
        <f>Flags!T27</f>
        <v>0.51111111111111107</v>
      </c>
      <c r="U11" s="1005">
        <f>Flags!U27</f>
        <v>0.50277777777777777</v>
      </c>
      <c r="V11" s="1005">
        <f>Flags!V27</f>
        <v>0.51111111111111107</v>
      </c>
      <c r="W11" s="1005">
        <f>Flags!W27</f>
        <v>0.50277777777777777</v>
      </c>
      <c r="X11" s="1005">
        <f>Flags!X27</f>
        <v>0.51111111111111107</v>
      </c>
      <c r="Y11" s="1005">
        <f>Flags!Y27</f>
        <v>0.50277777777777777</v>
      </c>
      <c r="Z11" s="1005">
        <f>Flags!Z27</f>
        <v>0.51111111111111107</v>
      </c>
      <c r="AA11" s="1005">
        <f>Flags!AA27</f>
        <v>0.50555555555555554</v>
      </c>
      <c r="AB11" s="1005">
        <f>Flags!AB27</f>
        <v>0.51111111111111107</v>
      </c>
      <c r="AC11" s="1005">
        <f>Flags!AC27</f>
        <v>0.50277777777777777</v>
      </c>
      <c r="AD11" s="1005">
        <f>Flags!AD27</f>
        <v>0.51111111111111107</v>
      </c>
      <c r="AE11" s="1005">
        <f>Flags!AE27</f>
        <v>0.50277777777777777</v>
      </c>
      <c r="AF11" s="1005">
        <f>Flags!AF27</f>
        <v>0.51111111111111107</v>
      </c>
      <c r="AG11" s="1005">
        <f>Flags!AG27</f>
        <v>0.50277777777777777</v>
      </c>
      <c r="AH11" s="1005">
        <f>Flags!AH27</f>
        <v>0.51111111111111107</v>
      </c>
      <c r="AI11" s="1005">
        <f>Flags!AI27</f>
        <v>0.50555555555555554</v>
      </c>
      <c r="AJ11" s="1005">
        <f>Flags!AJ27</f>
        <v>0.51111111111111107</v>
      </c>
      <c r="AK11" s="1005">
        <f>Flags!AK27</f>
        <v>0.50277777777777777</v>
      </c>
      <c r="AL11" s="1005">
        <f>Flags!AL27</f>
        <v>0.51111111111111107</v>
      </c>
      <c r="AM11" s="1005">
        <f>Flags!AM27</f>
        <v>0.50277777777777777</v>
      </c>
      <c r="AN11" s="1005">
        <f>Flags!AN27</f>
        <v>0.51111111111111107</v>
      </c>
      <c r="AO11" s="1005">
        <f>Flags!AO27</f>
        <v>0.50277777777777777</v>
      </c>
      <c r="AP11" s="1005">
        <f>Flags!AP27</f>
        <v>0.51111111111111107</v>
      </c>
      <c r="AQ11" s="1005">
        <f>Flags!AQ27</f>
        <v>0.50555555555555554</v>
      </c>
      <c r="AR11" s="1005">
        <f>Flags!AR27</f>
        <v>0.51111111111111107</v>
      </c>
      <c r="AS11" s="1005">
        <f>Flags!AS27</f>
        <v>0.50277777777777777</v>
      </c>
      <c r="AT11" s="1005">
        <f>Flags!AT27</f>
        <v>0.51111111111111107</v>
      </c>
      <c r="AU11" s="1005">
        <f>Flags!AU27</f>
        <v>0.50277777777777777</v>
      </c>
      <c r="AV11" s="1005">
        <f>Flags!AV27</f>
        <v>0.51111111111111107</v>
      </c>
      <c r="AW11" s="1005">
        <f>Flags!AW27</f>
        <v>0.50277777777777777</v>
      </c>
      <c r="AX11" s="1005">
        <f>Flags!AX27</f>
        <v>0.51111111111111107</v>
      </c>
      <c r="AY11" s="1005">
        <f>Flags!AY27</f>
        <v>0.50555555555555554</v>
      </c>
      <c r="AZ11" s="1005">
        <f>Flags!AZ27</f>
        <v>0.51111111111111107</v>
      </c>
      <c r="BA11" s="1005">
        <f>Flags!BA27</f>
        <v>0.50277777777777777</v>
      </c>
      <c r="BB11" s="1005">
        <f>Flags!BB27</f>
        <v>0.51111111111111107</v>
      </c>
      <c r="BC11" s="1005">
        <f>Flags!BC27</f>
        <v>0.50277777777777777</v>
      </c>
      <c r="BD11" s="1005">
        <f>Flags!BD27</f>
        <v>0.51111111111111107</v>
      </c>
      <c r="BE11" s="1005">
        <f>Flags!BE27</f>
        <v>0.50277777777777777</v>
      </c>
      <c r="BF11" s="1005">
        <f>Flags!BF27</f>
        <v>0.51111111111111107</v>
      </c>
      <c r="BG11" s="1005">
        <f>Flags!BG27</f>
        <v>0.50555555555555554</v>
      </c>
      <c r="BH11" s="1005">
        <f>Flags!BH27</f>
        <v>0.51111111111111107</v>
      </c>
      <c r="BI11" s="1005">
        <f>Flags!BI27</f>
        <v>0.50277777777777777</v>
      </c>
      <c r="BJ11" s="1005">
        <f>Flags!BJ27</f>
        <v>0.51111111111111107</v>
      </c>
      <c r="BK11" s="1005">
        <f>Flags!BK27</f>
        <v>0.50277777777777777</v>
      </c>
      <c r="BL11" s="1005">
        <f>Flags!BL27</f>
        <v>0.51111111111111107</v>
      </c>
      <c r="BM11" s="1005">
        <f>Flags!BM27</f>
        <v>0.50277777777777777</v>
      </c>
      <c r="BN11" s="1005">
        <f>Flags!BN27</f>
        <v>0.51111111111111107</v>
      </c>
      <c r="BO11" s="1005">
        <f>Flags!BO27</f>
        <v>0.50555555555555554</v>
      </c>
      <c r="BP11" s="1005"/>
      <c r="BQ11" s="1005"/>
      <c r="BR11" s="1005"/>
      <c r="BS11" s="1005"/>
      <c r="BT11" s="1005"/>
      <c r="BU11" s="1005"/>
      <c r="BV11" s="1005"/>
      <c r="BW11" s="1005"/>
      <c r="BX11" s="1005"/>
      <c r="BY11" s="1005"/>
      <c r="BZ11" s="1005"/>
      <c r="CA11" s="1005"/>
      <c r="CB11" s="1005"/>
      <c r="CC11" s="1005"/>
      <c r="CD11" s="1005"/>
      <c r="CE11" s="1005"/>
      <c r="CF11" s="1005"/>
      <c r="CG11" s="1005"/>
      <c r="CH11" s="1005"/>
      <c r="CI11" s="1005"/>
      <c r="CJ11" s="1005"/>
      <c r="CK11" s="1005"/>
      <c r="CL11" s="1005"/>
      <c r="CM11" s="1005"/>
      <c r="CN11" s="1005"/>
      <c r="CO11" s="1005"/>
      <c r="CP11" s="1005"/>
      <c r="CQ11" s="1005"/>
      <c r="CR11" s="1005"/>
      <c r="CS11" s="1005"/>
      <c r="CT11" s="1005"/>
      <c r="CU11" s="1005"/>
      <c r="CV11" s="1005"/>
      <c r="CW11" s="1005"/>
      <c r="CX11" s="1005"/>
      <c r="CY11" s="1005"/>
      <c r="CZ11" s="1005"/>
      <c r="DA11" s="1005"/>
      <c r="DB11" s="1005"/>
      <c r="DC11" s="1005"/>
      <c r="DD11" s="1005"/>
      <c r="DE11" s="1005"/>
      <c r="DF11" s="1005"/>
      <c r="DG11" s="1005"/>
      <c r="DH11" s="1005"/>
      <c r="DI11" s="1005"/>
      <c r="DJ11" s="1005"/>
      <c r="DK11" s="1005"/>
      <c r="DL11" s="1005"/>
      <c r="DM11" s="1005"/>
      <c r="DN11" s="1005"/>
      <c r="DO11" s="1005"/>
      <c r="DP11" s="1005"/>
      <c r="DQ11" s="1005"/>
      <c r="DR11" s="1005"/>
      <c r="DS11" s="1005"/>
      <c r="DT11" s="1005"/>
      <c r="DU11" s="1005"/>
      <c r="DV11" s="1005"/>
      <c r="DW11" s="1005"/>
    </row>
    <row r="12" spans="1:127">
      <c r="A12" s="871" t="str">
        <f>Flags!A28</f>
        <v>Junior Debt Maturity Days (%)</v>
      </c>
      <c r="B12" s="983"/>
      <c r="C12" s="983"/>
      <c r="G12" s="1006">
        <f>Flags!G28</f>
        <v>0</v>
      </c>
      <c r="H12" s="1006">
        <f>Flags!H28</f>
        <v>1</v>
      </c>
      <c r="I12" s="1006">
        <f>Flags!I28</f>
        <v>1</v>
      </c>
      <c r="J12" s="1006">
        <f>Flags!J28</f>
        <v>1</v>
      </c>
      <c r="K12" s="1006">
        <f>Flags!K28</f>
        <v>1</v>
      </c>
      <c r="L12" s="1006">
        <f>Flags!L28</f>
        <v>1</v>
      </c>
      <c r="M12" s="1006">
        <f>Flags!M28</f>
        <v>1</v>
      </c>
      <c r="N12" s="1006">
        <f>Flags!N28</f>
        <v>1</v>
      </c>
      <c r="O12" s="1006">
        <f>Flags!O28</f>
        <v>1</v>
      </c>
      <c r="P12" s="1006">
        <f>Flags!P28</f>
        <v>1</v>
      </c>
      <c r="Q12" s="1006">
        <f>Flags!Q28</f>
        <v>1</v>
      </c>
      <c r="R12" s="1006">
        <f>Flags!R28</f>
        <v>1</v>
      </c>
      <c r="S12" s="1006">
        <f>Flags!S28</f>
        <v>1</v>
      </c>
      <c r="T12" s="1006">
        <f>Flags!T28</f>
        <v>1</v>
      </c>
      <c r="U12" s="1006">
        <f>Flags!U28</f>
        <v>0.98888888888888893</v>
      </c>
      <c r="V12" s="1006">
        <f>Flags!V28</f>
        <v>0</v>
      </c>
      <c r="W12" s="1006">
        <f>Flags!W28</f>
        <v>0</v>
      </c>
      <c r="X12" s="1006">
        <f>Flags!X28</f>
        <v>0</v>
      </c>
      <c r="Y12" s="1006">
        <f>Flags!Y28</f>
        <v>0</v>
      </c>
      <c r="Z12" s="1006">
        <f>Flags!Z28</f>
        <v>0</v>
      </c>
      <c r="AA12" s="1006">
        <f>Flags!AA28</f>
        <v>0</v>
      </c>
      <c r="AB12" s="1006">
        <f>Flags!AB28</f>
        <v>0</v>
      </c>
      <c r="AC12" s="1006">
        <f>Flags!AC28</f>
        <v>0</v>
      </c>
      <c r="AD12" s="1006">
        <f>Flags!AD28</f>
        <v>0</v>
      </c>
      <c r="AE12" s="1006">
        <f>Flags!AE28</f>
        <v>0</v>
      </c>
      <c r="AF12" s="1006">
        <f>Flags!AF28</f>
        <v>0</v>
      </c>
      <c r="AG12" s="1006">
        <f>Flags!AG28</f>
        <v>0</v>
      </c>
      <c r="AH12" s="1006">
        <f>Flags!AH28</f>
        <v>0</v>
      </c>
      <c r="AI12" s="1006">
        <f>Flags!AI28</f>
        <v>0</v>
      </c>
      <c r="AJ12" s="1006">
        <f>Flags!AJ28</f>
        <v>0</v>
      </c>
      <c r="AK12" s="1006">
        <f>Flags!AK28</f>
        <v>0</v>
      </c>
      <c r="AL12" s="1006">
        <f>Flags!AL28</f>
        <v>0</v>
      </c>
      <c r="AM12" s="1006">
        <f>Flags!AM28</f>
        <v>0</v>
      </c>
      <c r="AN12" s="1006">
        <f>Flags!AN28</f>
        <v>0</v>
      </c>
      <c r="AO12" s="1006">
        <f>Flags!AO28</f>
        <v>0</v>
      </c>
      <c r="AP12" s="1006">
        <f>Flags!AP28</f>
        <v>0</v>
      </c>
      <c r="AQ12" s="1006">
        <f>Flags!AQ28</f>
        <v>0</v>
      </c>
      <c r="AR12" s="1006">
        <f>Flags!AR28</f>
        <v>0</v>
      </c>
      <c r="AS12" s="1006">
        <f>Flags!AS28</f>
        <v>0</v>
      </c>
      <c r="AT12" s="1006">
        <f>Flags!AT28</f>
        <v>0</v>
      </c>
      <c r="AU12" s="1006">
        <f>Flags!AU28</f>
        <v>0</v>
      </c>
      <c r="AV12" s="1006">
        <f>Flags!AV28</f>
        <v>0</v>
      </c>
      <c r="AW12" s="1006">
        <f>Flags!AW28</f>
        <v>0</v>
      </c>
      <c r="AX12" s="1006">
        <f>Flags!AX28</f>
        <v>0</v>
      </c>
      <c r="AY12" s="1006">
        <f>Flags!AY28</f>
        <v>0</v>
      </c>
      <c r="AZ12" s="1006">
        <f>Flags!AZ28</f>
        <v>0</v>
      </c>
      <c r="BA12" s="1006">
        <f>Flags!BA28</f>
        <v>0</v>
      </c>
      <c r="BB12" s="1006">
        <f>Flags!BB28</f>
        <v>0</v>
      </c>
      <c r="BC12" s="1006">
        <f>Flags!BC28</f>
        <v>0</v>
      </c>
      <c r="BD12" s="1006">
        <f>Flags!BD28</f>
        <v>0</v>
      </c>
      <c r="BE12" s="1006">
        <f>Flags!BE28</f>
        <v>0</v>
      </c>
      <c r="BF12" s="1006">
        <f>Flags!BF28</f>
        <v>0</v>
      </c>
      <c r="BG12" s="1006">
        <f>Flags!BG28</f>
        <v>0</v>
      </c>
      <c r="BH12" s="1006">
        <f>Flags!BH28</f>
        <v>0</v>
      </c>
      <c r="BI12" s="1006">
        <f>Flags!BI28</f>
        <v>0</v>
      </c>
      <c r="BJ12" s="1006">
        <f>Flags!BJ28</f>
        <v>0</v>
      </c>
      <c r="BK12" s="1006">
        <f>Flags!BK28</f>
        <v>0</v>
      </c>
      <c r="BL12" s="1006">
        <f>Flags!BL28</f>
        <v>0</v>
      </c>
      <c r="BM12" s="1006">
        <f>Flags!BM28</f>
        <v>0</v>
      </c>
      <c r="BN12" s="1006">
        <f>Flags!BN28</f>
        <v>0</v>
      </c>
      <c r="BO12" s="1006">
        <f>Flags!BO28</f>
        <v>0</v>
      </c>
      <c r="BP12" s="1006"/>
      <c r="BQ12" s="1006"/>
      <c r="BR12" s="1006"/>
      <c r="BS12" s="1006"/>
      <c r="BT12" s="1006"/>
      <c r="BU12" s="1006"/>
      <c r="BV12" s="1006"/>
      <c r="BW12" s="1006"/>
      <c r="BX12" s="1006"/>
      <c r="BY12" s="1006"/>
      <c r="BZ12" s="1006"/>
      <c r="CA12" s="1006"/>
      <c r="CB12" s="1006"/>
      <c r="CC12" s="1006"/>
      <c r="CD12" s="1006"/>
      <c r="CE12" s="1006"/>
      <c r="CF12" s="1006"/>
      <c r="CG12" s="1006"/>
      <c r="CH12" s="1006"/>
      <c r="CI12" s="1006"/>
      <c r="CJ12" s="1006"/>
      <c r="CK12" s="1006"/>
      <c r="CL12" s="1006"/>
      <c r="CM12" s="1006"/>
      <c r="CN12" s="1006"/>
      <c r="CO12" s="1006"/>
      <c r="CP12" s="1006"/>
      <c r="CQ12" s="1006"/>
      <c r="CR12" s="1006"/>
      <c r="CS12" s="1006"/>
      <c r="CT12" s="1006"/>
      <c r="CU12" s="1006"/>
      <c r="CV12" s="1006"/>
      <c r="CW12" s="1006"/>
      <c r="CX12" s="1006"/>
      <c r="CY12" s="1006"/>
      <c r="CZ12" s="1006"/>
      <c r="DA12" s="1006"/>
      <c r="DB12" s="1006"/>
      <c r="DC12" s="1006"/>
      <c r="DD12" s="1006"/>
      <c r="DE12" s="1006"/>
      <c r="DF12" s="1006"/>
      <c r="DG12" s="1006"/>
      <c r="DH12" s="1006"/>
      <c r="DI12" s="1006"/>
      <c r="DJ12" s="1006"/>
      <c r="DK12" s="1006"/>
      <c r="DL12" s="1006"/>
      <c r="DM12" s="1006"/>
      <c r="DN12" s="1006"/>
      <c r="DO12" s="1006"/>
      <c r="DP12" s="1006"/>
      <c r="DQ12" s="1006"/>
      <c r="DR12" s="1006"/>
      <c r="DS12" s="1006"/>
      <c r="DT12" s="1006"/>
      <c r="DU12" s="1006"/>
      <c r="DV12" s="1006"/>
      <c r="DW12" s="1006"/>
    </row>
    <row r="13" spans="1:127">
      <c r="A13" s="871" t="str">
        <f>Flags!A17</f>
        <v>PPA Life</v>
      </c>
      <c r="B13" s="810">
        <f>Flags!B17</f>
        <v>12</v>
      </c>
      <c r="C13" s="871"/>
      <c r="D13" s="871"/>
      <c r="E13" s="871"/>
      <c r="F13" s="871"/>
      <c r="G13" s="871" t="b">
        <f>Flags!G17</f>
        <v>0</v>
      </c>
      <c r="H13" s="871" t="b">
        <f>Flags!H17</f>
        <v>1</v>
      </c>
      <c r="I13" s="871" t="b">
        <f>Flags!I17</f>
        <v>1</v>
      </c>
      <c r="J13" s="871" t="b">
        <f>Flags!J17</f>
        <v>1</v>
      </c>
      <c r="K13" s="871" t="b">
        <f>Flags!K17</f>
        <v>1</v>
      </c>
      <c r="L13" s="871" t="b">
        <f>Flags!L17</f>
        <v>1</v>
      </c>
      <c r="M13" s="871" t="b">
        <f>Flags!M17</f>
        <v>1</v>
      </c>
      <c r="N13" s="871" t="b">
        <f>Flags!N17</f>
        <v>1</v>
      </c>
      <c r="O13" s="871" t="b">
        <f>Flags!O17</f>
        <v>1</v>
      </c>
      <c r="P13" s="871" t="b">
        <f>Flags!P17</f>
        <v>1</v>
      </c>
      <c r="Q13" s="871" t="b">
        <f>Flags!Q17</f>
        <v>1</v>
      </c>
      <c r="R13" s="871" t="b">
        <f>Flags!R17</f>
        <v>1</v>
      </c>
      <c r="S13" s="871" t="b">
        <f>Flags!S17</f>
        <v>1</v>
      </c>
      <c r="T13" s="871" t="b">
        <f>Flags!T17</f>
        <v>1</v>
      </c>
      <c r="U13" s="871" t="b">
        <f>Flags!U17</f>
        <v>1</v>
      </c>
      <c r="V13" s="871" t="b">
        <f>Flags!V17</f>
        <v>1</v>
      </c>
      <c r="W13" s="871" t="b">
        <f>Flags!W17</f>
        <v>1</v>
      </c>
      <c r="X13" s="871" t="b">
        <f>Flags!X17</f>
        <v>1</v>
      </c>
      <c r="Y13" s="871" t="b">
        <f>Flags!Y17</f>
        <v>1</v>
      </c>
      <c r="Z13" s="871" t="b">
        <f>Flags!Z17</f>
        <v>1</v>
      </c>
      <c r="AA13" s="871" t="b">
        <f>Flags!AA17</f>
        <v>1</v>
      </c>
      <c r="AB13" s="871" t="b">
        <f>Flags!AB17</f>
        <v>1</v>
      </c>
      <c r="AC13" s="871" t="b">
        <f>Flags!AC17</f>
        <v>1</v>
      </c>
      <c r="AD13" s="871" t="b">
        <f>Flags!AD17</f>
        <v>1</v>
      </c>
      <c r="AE13" s="871" t="b">
        <f>Flags!AE17</f>
        <v>1</v>
      </c>
      <c r="AF13" s="871" t="b">
        <f>Flags!AF17</f>
        <v>0</v>
      </c>
      <c r="AG13" s="871" t="b">
        <f>Flags!AG17</f>
        <v>0</v>
      </c>
      <c r="AH13" s="871" t="b">
        <f>Flags!AH17</f>
        <v>0</v>
      </c>
      <c r="AI13" s="871" t="b">
        <f>Flags!AI17</f>
        <v>0</v>
      </c>
      <c r="AJ13" s="871" t="b">
        <f>Flags!AJ17</f>
        <v>0</v>
      </c>
      <c r="AK13" s="871" t="b">
        <f>Flags!AK17</f>
        <v>0</v>
      </c>
      <c r="AL13" s="871" t="b">
        <f>Flags!AL17</f>
        <v>0</v>
      </c>
      <c r="AM13" s="871" t="b">
        <f>Flags!AM17</f>
        <v>0</v>
      </c>
      <c r="AN13" s="871" t="b">
        <f>Flags!AN17</f>
        <v>0</v>
      </c>
      <c r="AO13" s="871" t="b">
        <f>Flags!AO17</f>
        <v>0</v>
      </c>
      <c r="AP13" s="871" t="b">
        <f>Flags!AP17</f>
        <v>0</v>
      </c>
      <c r="AQ13" s="871" t="b">
        <f>Flags!AQ17</f>
        <v>0</v>
      </c>
      <c r="AR13" s="871" t="b">
        <f>Flags!AR17</f>
        <v>0</v>
      </c>
      <c r="AS13" s="871" t="b">
        <f>Flags!AS17</f>
        <v>0</v>
      </c>
      <c r="AT13" s="871" t="b">
        <f>Flags!AT17</f>
        <v>0</v>
      </c>
      <c r="AU13" s="871" t="b">
        <f>Flags!AU17</f>
        <v>0</v>
      </c>
      <c r="AV13" s="871" t="b">
        <f>Flags!AV17</f>
        <v>0</v>
      </c>
      <c r="AW13" s="871" t="b">
        <f>Flags!AW17</f>
        <v>0</v>
      </c>
      <c r="AX13" s="871" t="b">
        <f>Flags!AX17</f>
        <v>0</v>
      </c>
      <c r="AY13" s="871" t="b">
        <f>Flags!AY17</f>
        <v>0</v>
      </c>
      <c r="AZ13" s="871" t="b">
        <f>Flags!AZ17</f>
        <v>0</v>
      </c>
      <c r="BA13" s="871" t="b">
        <f>Flags!BA17</f>
        <v>0</v>
      </c>
      <c r="BB13" s="871" t="b">
        <f>Flags!BB17</f>
        <v>0</v>
      </c>
      <c r="BC13" s="871" t="b">
        <f>Flags!BC17</f>
        <v>0</v>
      </c>
      <c r="BD13" s="871" t="b">
        <f>Flags!BD17</f>
        <v>0</v>
      </c>
      <c r="BE13" s="871" t="b">
        <f>Flags!BE17</f>
        <v>0</v>
      </c>
      <c r="BF13" s="871" t="b">
        <f>Flags!BF17</f>
        <v>0</v>
      </c>
      <c r="BG13" s="871" t="b">
        <f>Flags!BG17</f>
        <v>0</v>
      </c>
      <c r="BH13" s="871" t="b">
        <f>Flags!BH17</f>
        <v>0</v>
      </c>
      <c r="BI13" s="871" t="b">
        <f>Flags!BI17</f>
        <v>0</v>
      </c>
      <c r="BJ13" s="871" t="b">
        <f>Flags!BJ17</f>
        <v>0</v>
      </c>
      <c r="BK13" s="871" t="b">
        <f>Flags!BK17</f>
        <v>0</v>
      </c>
      <c r="BL13" s="871" t="b">
        <f>Flags!BL17</f>
        <v>0</v>
      </c>
      <c r="BM13" s="871" t="b">
        <f>Flags!BM17</f>
        <v>0</v>
      </c>
      <c r="BN13" s="871" t="b">
        <f>Flags!BN17</f>
        <v>0</v>
      </c>
      <c r="BO13" s="871" t="b">
        <f>Flags!BO17</f>
        <v>0</v>
      </c>
      <c r="BP13" s="871"/>
      <c r="BQ13" s="871"/>
      <c r="BR13" s="871"/>
      <c r="BS13" s="871"/>
      <c r="BT13" s="871"/>
      <c r="BU13" s="871"/>
      <c r="BV13" s="871"/>
      <c r="BW13" s="871"/>
      <c r="BX13" s="871"/>
      <c r="BY13" s="871"/>
      <c r="BZ13" s="871"/>
      <c r="CA13" s="871"/>
      <c r="CB13" s="871"/>
      <c r="CC13" s="871"/>
      <c r="CD13" s="871"/>
      <c r="CE13" s="871"/>
      <c r="CF13" s="871"/>
      <c r="CG13" s="871"/>
      <c r="CH13" s="871"/>
      <c r="CI13" s="871"/>
      <c r="CJ13" s="871"/>
      <c r="CK13" s="871"/>
      <c r="CL13" s="871"/>
      <c r="CM13" s="871"/>
      <c r="CN13" s="871"/>
      <c r="CO13" s="871"/>
      <c r="CP13" s="871"/>
      <c r="CQ13" s="871"/>
      <c r="CR13" s="871"/>
      <c r="CS13" s="871"/>
      <c r="CT13" s="871"/>
      <c r="CU13" s="871"/>
      <c r="CV13" s="871"/>
      <c r="CW13" s="871"/>
      <c r="CX13" s="871"/>
      <c r="CY13" s="871"/>
      <c r="CZ13" s="871"/>
      <c r="DA13" s="871"/>
      <c r="DB13" s="871"/>
      <c r="DC13" s="871"/>
      <c r="DD13" s="871"/>
      <c r="DE13" s="871"/>
      <c r="DF13" s="871"/>
      <c r="DG13" s="871"/>
      <c r="DH13" s="871"/>
      <c r="DI13" s="871"/>
      <c r="DJ13" s="871"/>
      <c r="DK13" s="871"/>
      <c r="DL13" s="871"/>
      <c r="DM13" s="871"/>
      <c r="DN13" s="871"/>
      <c r="DO13" s="871"/>
      <c r="DP13" s="871"/>
      <c r="DQ13" s="871"/>
      <c r="DR13" s="871"/>
      <c r="DS13" s="871"/>
      <c r="DT13" s="871"/>
      <c r="DU13" s="871"/>
      <c r="DV13" s="871"/>
      <c r="DW13" s="871"/>
    </row>
    <row r="14" spans="1:127">
      <c r="A14" s="871" t="str">
        <f>Flags!A30</f>
        <v>Equity Period</v>
      </c>
      <c r="B14" s="983"/>
      <c r="C14" s="983"/>
      <c r="G14" s="643">
        <f>Flags!G30</f>
        <v>1.0054794520547945</v>
      </c>
      <c r="H14" s="643">
        <f>Flags!H30</f>
        <v>0.50410958904109593</v>
      </c>
      <c r="I14" s="643">
        <f>Flags!I30</f>
        <v>0.49589041095890413</v>
      </c>
      <c r="J14" s="643">
        <f>Flags!J30</f>
        <v>0.50410958904109593</v>
      </c>
      <c r="K14" s="643">
        <f>Flags!K30</f>
        <v>0.49863013698630138</v>
      </c>
      <c r="L14" s="643">
        <f>Flags!L30</f>
        <v>0.50410958904109593</v>
      </c>
      <c r="M14" s="643">
        <f>Flags!M30</f>
        <v>0.49589041095890413</v>
      </c>
      <c r="N14" s="643">
        <f>Flags!N30</f>
        <v>0.50410958904109593</v>
      </c>
      <c r="O14" s="643">
        <f>Flags!O30</f>
        <v>0.49589041095890413</v>
      </c>
      <c r="P14" s="643">
        <f>Flags!P30</f>
        <v>0.50410958904109593</v>
      </c>
      <c r="Q14" s="643">
        <f>Flags!Q30</f>
        <v>0.49589041095890413</v>
      </c>
      <c r="R14" s="643">
        <f>Flags!R30</f>
        <v>0.50410958904109593</v>
      </c>
      <c r="S14" s="643">
        <f>Flags!S30</f>
        <v>0.49863013698630138</v>
      </c>
      <c r="T14" s="643">
        <f>Flags!T30</f>
        <v>0.50410958904109593</v>
      </c>
      <c r="U14" s="643">
        <f>Flags!U30</f>
        <v>0.49589041095890413</v>
      </c>
      <c r="V14" s="643">
        <f>Flags!V30</f>
        <v>0.50410958904109593</v>
      </c>
      <c r="W14" s="643">
        <f>Flags!W30</f>
        <v>0.49589041095890413</v>
      </c>
      <c r="X14" s="643">
        <f>Flags!X30</f>
        <v>0.50410958904109593</v>
      </c>
      <c r="Y14" s="643">
        <f>Flags!Y30</f>
        <v>0.49589041095890413</v>
      </c>
      <c r="Z14" s="643">
        <f>Flags!Z30</f>
        <v>0.50410958904109593</v>
      </c>
      <c r="AA14" s="643">
        <f>Flags!AA30</f>
        <v>0.49863013698630138</v>
      </c>
      <c r="AB14" s="643">
        <f>Flags!AB30</f>
        <v>0.50410958904109593</v>
      </c>
      <c r="AC14" s="643">
        <f>Flags!AC30</f>
        <v>0.49589041095890413</v>
      </c>
      <c r="AD14" s="643">
        <f>Flags!AD30</f>
        <v>0.50410958904109593</v>
      </c>
      <c r="AE14" s="643">
        <f>Flags!AE30</f>
        <v>0.49589041095890413</v>
      </c>
      <c r="AF14" s="643">
        <f>Flags!AF30</f>
        <v>0.50410958904109593</v>
      </c>
      <c r="AG14" s="643">
        <f>Flags!AG30</f>
        <v>0.49589041095890413</v>
      </c>
      <c r="AH14" s="643">
        <f>Flags!AH30</f>
        <v>0.50410958904109593</v>
      </c>
      <c r="AI14" s="643">
        <f>Flags!AI30</f>
        <v>0.49863013698630138</v>
      </c>
      <c r="AJ14" s="643">
        <f>Flags!AJ30</f>
        <v>0.50410958904109593</v>
      </c>
      <c r="AK14" s="643">
        <f>Flags!AK30</f>
        <v>0.49589041095890413</v>
      </c>
      <c r="AL14" s="643">
        <f>Flags!AL30</f>
        <v>0.50410958904109593</v>
      </c>
      <c r="AM14" s="643">
        <f>Flags!AM30</f>
        <v>0.49589041095890413</v>
      </c>
      <c r="AN14" s="643">
        <f>Flags!AN30</f>
        <v>0.50410958904109593</v>
      </c>
      <c r="AO14" s="643">
        <f>Flags!AO30</f>
        <v>0.49589041095890413</v>
      </c>
      <c r="AP14" s="643">
        <f>Flags!AP30</f>
        <v>0.50410958904109593</v>
      </c>
      <c r="AQ14" s="643">
        <f>Flags!AQ30</f>
        <v>0.49863013698630138</v>
      </c>
      <c r="AR14" s="643">
        <f>Flags!AR30</f>
        <v>0.50410958904109593</v>
      </c>
      <c r="AS14" s="643">
        <f>Flags!AS30</f>
        <v>0.49589041095890413</v>
      </c>
      <c r="AT14" s="643">
        <f>Flags!AT30</f>
        <v>0.50410958904109593</v>
      </c>
      <c r="AU14" s="643">
        <f>Flags!AU30</f>
        <v>0.49589041095890413</v>
      </c>
      <c r="AV14" s="643">
        <f>Flags!AV30</f>
        <v>0.50410958904109593</v>
      </c>
      <c r="AW14" s="643">
        <f>Flags!AW30</f>
        <v>0.49589041095890413</v>
      </c>
      <c r="AX14" s="643">
        <f>Flags!AX30</f>
        <v>0.50410958904109593</v>
      </c>
      <c r="AY14" s="643">
        <f>Flags!AY30</f>
        <v>0.49863013698630138</v>
      </c>
      <c r="AZ14" s="643">
        <f>Flags!AZ30</f>
        <v>0.50410958904109593</v>
      </c>
      <c r="BA14" s="643">
        <f>Flags!BA30</f>
        <v>0.49589041095890413</v>
      </c>
      <c r="BB14" s="643">
        <f>Flags!BB30</f>
        <v>0.50410958904109593</v>
      </c>
      <c r="BC14" s="643">
        <f>Flags!BC30</f>
        <v>0.49589041095890413</v>
      </c>
      <c r="BD14" s="643">
        <f>Flags!BD30</f>
        <v>0.50410958904109593</v>
      </c>
      <c r="BE14" s="643">
        <f>Flags!BE30</f>
        <v>0.49589041095890413</v>
      </c>
      <c r="BF14" s="643">
        <f>Flags!BF30</f>
        <v>0.50410958904109593</v>
      </c>
      <c r="BG14" s="643">
        <f>Flags!BG30</f>
        <v>0.49863013698630138</v>
      </c>
      <c r="BH14" s="643">
        <f>Flags!BH30</f>
        <v>0.50410958904109593</v>
      </c>
      <c r="BI14" s="643">
        <f>Flags!BI30</f>
        <v>0.49589041095890413</v>
      </c>
      <c r="BJ14" s="643">
        <f>Flags!BJ30</f>
        <v>0.50410958904109593</v>
      </c>
      <c r="BK14" s="643">
        <f>Flags!BK30</f>
        <v>0.49589041095890413</v>
      </c>
      <c r="BL14" s="643">
        <f>Flags!BL30</f>
        <v>0.50410958904109593</v>
      </c>
      <c r="BM14" s="643">
        <f>Flags!BM30</f>
        <v>0.49589041095890413</v>
      </c>
      <c r="BN14" s="643">
        <f>Flags!BN30</f>
        <v>0.50410958904109593</v>
      </c>
      <c r="BO14" s="643">
        <f>Flags!BO30</f>
        <v>0.49863013698630138</v>
      </c>
      <c r="BP14" s="643"/>
      <c r="BQ14" s="643"/>
      <c r="BR14" s="643"/>
      <c r="BS14" s="643"/>
      <c r="BT14" s="643"/>
      <c r="BU14" s="643"/>
      <c r="BV14" s="643"/>
      <c r="BW14" s="643"/>
      <c r="BX14" s="643"/>
      <c r="BY14" s="643"/>
      <c r="BZ14" s="643"/>
      <c r="CA14" s="643"/>
      <c r="CB14" s="643"/>
      <c r="CC14" s="643"/>
      <c r="CD14" s="643"/>
      <c r="CE14" s="643"/>
      <c r="CF14" s="643"/>
      <c r="CG14" s="643"/>
      <c r="CH14" s="643"/>
      <c r="CI14" s="643"/>
      <c r="CJ14" s="643"/>
      <c r="CK14" s="643"/>
      <c r="CL14" s="643"/>
      <c r="CM14" s="643"/>
      <c r="CN14" s="643"/>
      <c r="CO14" s="643"/>
      <c r="CP14" s="643"/>
      <c r="CQ14" s="643"/>
      <c r="CR14" s="643"/>
      <c r="CS14" s="643"/>
      <c r="CT14" s="643"/>
      <c r="CU14" s="643"/>
      <c r="CV14" s="643"/>
      <c r="CW14" s="643"/>
      <c r="CX14" s="643"/>
      <c r="CY14" s="643"/>
      <c r="CZ14" s="643"/>
      <c r="DA14" s="643"/>
      <c r="DB14" s="643"/>
      <c r="DC14" s="643"/>
      <c r="DD14" s="643"/>
      <c r="DE14" s="643"/>
      <c r="DF14" s="643"/>
      <c r="DG14" s="643"/>
      <c r="DH14" s="643"/>
      <c r="DI14" s="643"/>
      <c r="DJ14" s="643"/>
      <c r="DK14" s="643"/>
      <c r="DL14" s="643"/>
      <c r="DM14" s="643"/>
      <c r="DN14" s="643"/>
      <c r="DO14" s="643"/>
      <c r="DP14" s="643"/>
      <c r="DQ14" s="643"/>
      <c r="DR14" s="643"/>
      <c r="DS14" s="643"/>
      <c r="DT14" s="643"/>
      <c r="DU14" s="643"/>
      <c r="DV14" s="643"/>
      <c r="DW14" s="643"/>
    </row>
    <row r="15" spans="1:127">
      <c r="A15" s="871" t="s">
        <v>1226</v>
      </c>
      <c r="B15" s="983"/>
      <c r="C15" s="983"/>
      <c r="G15" s="1928">
        <v>1</v>
      </c>
      <c r="H15" s="643">
        <f>(CF!H24+CF!H32)/(CF!H24+CF!H28+CF!H36+CF!H32)</f>
        <v>1</v>
      </c>
      <c r="I15" s="643">
        <f>(CF!I24+CF!I32)/(CF!I24+CF!I28+CF!I36+CF!I32)</f>
        <v>1</v>
      </c>
      <c r="J15" s="643">
        <f>(CF!J24+CF!J32)/(CF!J24+CF!J28+CF!J36+CF!J32)</f>
        <v>1</v>
      </c>
      <c r="K15" s="643">
        <f>(CF!K24+CF!K32)/(CF!K24+CF!K28+CF!K36+CF!K32)</f>
        <v>1</v>
      </c>
      <c r="L15" s="643">
        <f>(CF!L24+CF!L32)/(CF!L24+CF!L28+CF!L36+CF!L32)</f>
        <v>1</v>
      </c>
      <c r="M15" s="643">
        <f>(CF!M24+CF!M32)/(CF!M24+CF!M28+CF!M36+CF!M32)</f>
        <v>1</v>
      </c>
      <c r="N15" s="643">
        <f>(CF!N24+CF!N32)/(CF!N24+CF!N28+CF!N36+CF!N32)</f>
        <v>1</v>
      </c>
      <c r="O15" s="643">
        <f>(CF!O24+CF!O32)/(CF!O24+CF!O28+CF!O36+CF!O32)</f>
        <v>1</v>
      </c>
      <c r="P15" s="643">
        <f>(CF!P24+CF!P32)/(CF!P24+CF!P28+CF!P36+CF!P32)</f>
        <v>1</v>
      </c>
      <c r="Q15" s="643">
        <f>(CF!Q24+CF!Q32)/(CF!Q24+CF!Q28+CF!Q36+CF!Q32)</f>
        <v>1</v>
      </c>
      <c r="R15" s="643">
        <f>(CF!R24+CF!R32)/(CF!R24+CF!R28+CF!R36+CF!R32)</f>
        <v>1</v>
      </c>
      <c r="S15" s="643">
        <f>(CF!S24+CF!S32)/(CF!S24+CF!S28+CF!S36+CF!S32)</f>
        <v>1</v>
      </c>
      <c r="T15" s="643">
        <f>(CF!T24+CF!T32)/(CF!T24+CF!T28+CF!T36+CF!T32)</f>
        <v>1</v>
      </c>
      <c r="U15" s="643">
        <f>(CF!U24+CF!U32)/(CF!U24+CF!U28+CF!U36+CF!U32)</f>
        <v>1</v>
      </c>
      <c r="V15" s="643">
        <f>(CF!V24+CF!V32)/(CF!V24+CF!V28+CF!V36+CF!V32)</f>
        <v>1</v>
      </c>
      <c r="W15" s="643">
        <f>(CF!W24+CF!W32)/(CF!W24+CF!W28+CF!W36+CF!W32)</f>
        <v>1</v>
      </c>
      <c r="X15" s="643">
        <f>(CF!X24+CF!X32)/(CF!X24+CF!X28+CF!X36+CF!X32)</f>
        <v>1</v>
      </c>
      <c r="Y15" s="643">
        <f>(CF!Y24+CF!Y32)/(CF!Y24+CF!Y28+CF!Y36+CF!Y32)</f>
        <v>1</v>
      </c>
      <c r="Z15" s="643">
        <f>(CF!Z24+CF!Z32)/(CF!Z24+CF!Z28+CF!Z36+CF!Z32)</f>
        <v>1</v>
      </c>
      <c r="AA15" s="643">
        <f>(CF!AA24+CF!AA32)/(CF!AA24+CF!AA28+CF!AA36+CF!AA32)</f>
        <v>1</v>
      </c>
      <c r="AB15" s="643">
        <f>(CF!AB24+CF!AB32)/(CF!AB24+CF!AB28+CF!AB36+CF!AB32)</f>
        <v>1</v>
      </c>
      <c r="AC15" s="643">
        <f>(CF!AC24+CF!AC32)/(CF!AC24+CF!AC28+CF!AC36+CF!AC32)</f>
        <v>1</v>
      </c>
      <c r="AD15" s="643">
        <f>(CF!AD24+CF!AD32)/(CF!AD24+CF!AD28+CF!AD36+CF!AD32)</f>
        <v>1</v>
      </c>
      <c r="AE15" s="643">
        <f>(CF!AE24+CF!AE32)/(CF!AE24+CF!AE28+CF!AE36+CF!AE32)</f>
        <v>1</v>
      </c>
      <c r="AF15" s="643">
        <f>(CF!AF24+CF!AF32)/(CF!AF24+CF!AF28+CF!AF36+CF!AF32)</f>
        <v>0</v>
      </c>
      <c r="AG15" s="643">
        <f>(CF!AG24+CF!AG32)/(CF!AG24+CF!AG28+CF!AG36+CF!AG32)</f>
        <v>0</v>
      </c>
      <c r="AH15" s="643">
        <f>(CF!AH24+CF!AH32)/(CF!AH24+CF!AH28+CF!AH36+CF!AH32)</f>
        <v>0</v>
      </c>
      <c r="AI15" s="643">
        <f>(CF!AI24+CF!AI32)/(CF!AI24+CF!AI28+CF!AI36+CF!AI32)</f>
        <v>0</v>
      </c>
      <c r="AJ15" s="643">
        <f>(CF!AJ24+CF!AJ32)/(CF!AJ24+CF!AJ28+CF!AJ36+CF!AJ32)</f>
        <v>0</v>
      </c>
      <c r="AK15" s="643">
        <f>(CF!AK24+CF!AK32)/(CF!AK24+CF!AK28+CF!AK36+CF!AK32)</f>
        <v>0</v>
      </c>
      <c r="AL15" s="643">
        <f>(CF!AL24+CF!AL32)/(CF!AL24+CF!AL28+CF!AL36+CF!AL32)</f>
        <v>0</v>
      </c>
      <c r="AM15" s="643">
        <f>(CF!AM24+CF!AM32)/(CF!AM24+CF!AM28+CF!AM36+CF!AM32)</f>
        <v>0</v>
      </c>
      <c r="AN15" s="643">
        <f>(CF!AN24+CF!AN32)/(CF!AN24+CF!AN28+CF!AN36+CF!AN32)</f>
        <v>0</v>
      </c>
      <c r="AO15" s="643">
        <f>(CF!AO24+CF!AO32)/(CF!AO24+CF!AO28+CF!AO36+CF!AO32)</f>
        <v>0</v>
      </c>
      <c r="AP15" s="643">
        <f>(CF!AP24+CF!AP32)/(CF!AP24+CF!AP28+CF!AP36+CF!AP32)</f>
        <v>0</v>
      </c>
      <c r="AQ15" s="643">
        <f>(CF!AQ24+CF!AQ32)/(CF!AQ24+CF!AQ28+CF!AQ36+CF!AQ32)</f>
        <v>0</v>
      </c>
      <c r="AR15" s="643">
        <f>(CF!AR24+CF!AR32)/(CF!AR24+CF!AR28+CF!AR36+CF!AR32)</f>
        <v>0</v>
      </c>
      <c r="AS15" s="643">
        <f>(CF!AS24+CF!AS32)/(CF!AS24+CF!AS28+CF!AS36+CF!AS32)</f>
        <v>0</v>
      </c>
      <c r="AT15" s="643">
        <f>(CF!AT24+CF!AT32)/(CF!AT24+CF!AT28+CF!AT36+CF!AT32)</f>
        <v>0</v>
      </c>
      <c r="AU15" s="643">
        <f>(CF!AU24+CF!AU32)/(CF!AU24+CF!AU28+CF!AU36+CF!AU32)</f>
        <v>0</v>
      </c>
      <c r="AV15" s="643">
        <f>(CF!AV24+CF!AV32)/(CF!AV24+CF!AV28+CF!AV36+CF!AV32)</f>
        <v>0</v>
      </c>
      <c r="AW15" s="643">
        <f>(CF!AW24+CF!AW32)/(CF!AW24+CF!AW28+CF!AW36+CF!AW32)</f>
        <v>0</v>
      </c>
      <c r="AX15" s="643">
        <f>(CF!AX24+CF!AX32)/(CF!AX24+CF!AX28+CF!AX36+CF!AX32)</f>
        <v>0</v>
      </c>
      <c r="AY15" s="643">
        <f>(CF!AY24+CF!AY32)/(CF!AY24+CF!AY28+CF!AY36+CF!AY32)</f>
        <v>0</v>
      </c>
      <c r="AZ15" s="643">
        <f>(CF!AZ24+CF!AZ32)/(CF!AZ24+CF!AZ28+CF!AZ36+CF!AZ32)</f>
        <v>0</v>
      </c>
      <c r="BA15" s="643">
        <f>(CF!BA24+CF!BA32)/(CF!BA24+CF!BA28+CF!BA36+CF!BA32)</f>
        <v>0</v>
      </c>
      <c r="BB15" s="643">
        <f>(CF!BB24+CF!BB32)/(CF!BB24+CF!BB28+CF!BB36+CF!BB32)</f>
        <v>0</v>
      </c>
      <c r="BC15" s="643">
        <f>(CF!BC24+CF!BC32)/(CF!BC24+CF!BC28+CF!BC36+CF!BC32)</f>
        <v>0</v>
      </c>
      <c r="BD15" s="643">
        <f>(CF!BD24+CF!BD32)/(CF!BD24+CF!BD28+CF!BD36+CF!BD32)</f>
        <v>0</v>
      </c>
      <c r="BE15" s="643">
        <f>(CF!BE24+CF!BE32)/(CF!BE24+CF!BE28+CF!BE36+CF!BE32)</f>
        <v>0</v>
      </c>
      <c r="BF15" s="643">
        <f>(CF!BF24+CF!BF32)/(CF!BF24+CF!BF28+CF!BF36+CF!BF32)</f>
        <v>0</v>
      </c>
      <c r="BG15" s="643">
        <f>(CF!BG24+CF!BG32)/(CF!BG24+CF!BG28+CF!BG36+CF!BG32)</f>
        <v>0</v>
      </c>
      <c r="BH15" s="643">
        <f>(CF!BH24+CF!BH32)/(CF!BH24+CF!BH28+CF!BH36+CF!BH32)</f>
        <v>0</v>
      </c>
      <c r="BI15" s="643">
        <f>(CF!BI24+CF!BI32)/(CF!BI24+CF!BI28+CF!BI36+CF!BI32)</f>
        <v>0</v>
      </c>
      <c r="BJ15" s="643">
        <f>(CF!BJ24+CF!BJ32)/(CF!BJ24+CF!BJ28+CF!BJ36+CF!BJ32)</f>
        <v>0</v>
      </c>
      <c r="BK15" s="643">
        <f>(CF!BK24+CF!BK32)/(CF!BK24+CF!BK28+CF!BK36+CF!BK32)</f>
        <v>0</v>
      </c>
      <c r="BL15" s="643">
        <f>(CF!BL24+CF!BL32)/(CF!BL24+CF!BL28+CF!BL36+CF!BL32)</f>
        <v>0</v>
      </c>
      <c r="BM15" s="643">
        <f>(CF!BM24+CF!BM32)/(CF!BM24+CF!BM28+CF!BM36+CF!BM32)</f>
        <v>0</v>
      </c>
      <c r="BN15" s="643">
        <f>(CF!BN24+CF!BN32)/(CF!BN24+CF!BN28+CF!BN36+CF!BN32)</f>
        <v>0</v>
      </c>
      <c r="BO15" s="643">
        <f>(CF!BO24+CF!BO32)/(CF!BO24+CF!BO28+CF!BO36+CF!BO32)</f>
        <v>0</v>
      </c>
      <c r="BP15" s="643"/>
      <c r="BQ15" s="643"/>
      <c r="BR15" s="643"/>
      <c r="BS15" s="643"/>
      <c r="BT15" s="643"/>
      <c r="BU15" s="643"/>
      <c r="BV15" s="643"/>
      <c r="BW15" s="643"/>
      <c r="BX15" s="643"/>
      <c r="BY15" s="643"/>
      <c r="BZ15" s="643"/>
      <c r="CA15" s="643"/>
      <c r="CB15" s="643"/>
      <c r="CC15" s="643"/>
      <c r="CD15" s="643"/>
      <c r="CE15" s="643"/>
      <c r="CF15" s="643"/>
      <c r="CG15" s="643"/>
      <c r="CH15" s="643"/>
      <c r="CI15" s="643"/>
      <c r="CJ15" s="643"/>
      <c r="CK15" s="643"/>
      <c r="CL15" s="643"/>
      <c r="CM15" s="643"/>
      <c r="CN15" s="643"/>
      <c r="CO15" s="643"/>
      <c r="CP15" s="643"/>
      <c r="CQ15" s="643"/>
      <c r="CR15" s="643"/>
      <c r="CS15" s="643"/>
      <c r="CT15" s="643"/>
      <c r="CU15" s="643"/>
      <c r="CV15" s="643"/>
      <c r="CW15" s="643"/>
      <c r="CX15" s="643"/>
      <c r="CY15" s="643"/>
      <c r="CZ15" s="643"/>
      <c r="DA15" s="643"/>
      <c r="DB15" s="643"/>
      <c r="DC15" s="643"/>
      <c r="DD15" s="643"/>
      <c r="DE15" s="643"/>
      <c r="DF15" s="643"/>
      <c r="DG15" s="643"/>
      <c r="DH15" s="643"/>
      <c r="DI15" s="643"/>
      <c r="DJ15" s="643"/>
      <c r="DK15" s="643"/>
      <c r="DL15" s="643"/>
      <c r="DM15" s="643"/>
      <c r="DN15" s="643"/>
      <c r="DO15" s="643"/>
      <c r="DP15" s="643"/>
      <c r="DQ15" s="643"/>
      <c r="DR15" s="643"/>
      <c r="DS15" s="643"/>
      <c r="DT15" s="643"/>
      <c r="DU15" s="643"/>
      <c r="DV15" s="643"/>
      <c r="DW15" s="643"/>
    </row>
    <row r="16" spans="1:127">
      <c r="A16" s="871" t="s">
        <v>1227</v>
      </c>
      <c r="B16" s="983"/>
      <c r="C16" s="983"/>
      <c r="G16" s="1928">
        <v>0</v>
      </c>
      <c r="H16" s="643">
        <f>(CF!H36)/(CF!H24+CF!H28+CF!H36+CF!H32)</f>
        <v>0</v>
      </c>
      <c r="I16" s="643">
        <f>CF!I36/(CF!I24+CF!I28+CF!I36+CF!I32)</f>
        <v>0</v>
      </c>
      <c r="J16" s="643">
        <f>CF!J36/(CF!J24+CF!J28+CF!J36+CF!J32)</f>
        <v>0</v>
      </c>
      <c r="K16" s="643">
        <f>CF!K36/(CF!K24+CF!K28+CF!K36+CF!K32)</f>
        <v>0</v>
      </c>
      <c r="L16" s="643">
        <f>CF!L36/(CF!L24+CF!L28+CF!L36+CF!L32)</f>
        <v>0</v>
      </c>
      <c r="M16" s="643">
        <f>CF!M36/(CF!M24+CF!M28+CF!M36+CF!M32)</f>
        <v>0</v>
      </c>
      <c r="N16" s="643">
        <f>CF!N36/(CF!N24+CF!N28+CF!N36+CF!N32)</f>
        <v>0</v>
      </c>
      <c r="O16" s="643">
        <f>CF!O36/(CF!O24+CF!O28+CF!O36+CF!O32)</f>
        <v>0</v>
      </c>
      <c r="P16" s="643">
        <f>CF!P36/(CF!P24+CF!P28+CF!P36+CF!P32)</f>
        <v>0</v>
      </c>
      <c r="Q16" s="643">
        <f>CF!Q36/(CF!Q24+CF!Q28+CF!Q36+CF!Q32)</f>
        <v>0</v>
      </c>
      <c r="R16" s="643">
        <f>CF!R36/(CF!R24+CF!R28+CF!R36+CF!R32)</f>
        <v>0</v>
      </c>
      <c r="S16" s="643">
        <f>CF!S36/(CF!S24+CF!S28+CF!S36+CF!S32)</f>
        <v>0</v>
      </c>
      <c r="T16" s="643">
        <f>CF!T36/(CF!T24+CF!T28+CF!T36+CF!T32)</f>
        <v>0</v>
      </c>
      <c r="U16" s="643">
        <f>CF!U36/(CF!U24+CF!U28+CF!U36+CF!U32)</f>
        <v>0</v>
      </c>
      <c r="V16" s="643">
        <f>CF!V36/(CF!V24+CF!V28+CF!V36+CF!V32)</f>
        <v>0</v>
      </c>
      <c r="W16" s="643">
        <f>CF!W36/(CF!W24+CF!W28+CF!W36+CF!W32)</f>
        <v>0</v>
      </c>
      <c r="X16" s="643">
        <f>CF!X36/(CF!X24+CF!X28+CF!X36+CF!X32)</f>
        <v>0</v>
      </c>
      <c r="Y16" s="643">
        <f>CF!Y36/(CF!Y24+CF!Y28+CF!Y36+CF!Y32)</f>
        <v>0</v>
      </c>
      <c r="Z16" s="643">
        <f>CF!Z36/(CF!Z24+CF!Z28+CF!Z36+CF!Z32)</f>
        <v>0</v>
      </c>
      <c r="AA16" s="643">
        <f>CF!AA36/(CF!AA24+CF!AA28+CF!AA36+CF!AA32)</f>
        <v>0</v>
      </c>
      <c r="AB16" s="643">
        <f>CF!AB36/(CF!AB24+CF!AB28+CF!AB36+CF!AB32)</f>
        <v>0</v>
      </c>
      <c r="AC16" s="643">
        <f>CF!AC36/(CF!AC24+CF!AC28+CF!AC36+CF!AC32)</f>
        <v>0</v>
      </c>
      <c r="AD16" s="643">
        <f>CF!AD36/(CF!AD24+CF!AD28+CF!AD36+CF!AD32)</f>
        <v>0</v>
      </c>
      <c r="AE16" s="643">
        <f>CF!AE36/(CF!AE24+CF!AE28+CF!AE36+CF!AE32)</f>
        <v>0</v>
      </c>
      <c r="AF16" s="643">
        <f>CF!AF36/(CF!AF24+CF!AF28+CF!AF36+CF!AF32)</f>
        <v>0</v>
      </c>
      <c r="AG16" s="643">
        <f>CF!AG36/(CF!AG24+CF!AG28+CF!AG36+CF!AG32)</f>
        <v>0</v>
      </c>
      <c r="AH16" s="643">
        <f>CF!AH36/(CF!AH24+CF!AH28+CF!AH36+CF!AH32)</f>
        <v>0</v>
      </c>
      <c r="AI16" s="643">
        <f>CF!AI36/(CF!AI24+CF!AI28+CF!AI36+CF!AI32)</f>
        <v>0</v>
      </c>
      <c r="AJ16" s="643">
        <f>CF!AJ36/(CF!AJ24+CF!AJ28+CF!AJ36+CF!AJ32)</f>
        <v>0</v>
      </c>
      <c r="AK16" s="643">
        <f>CF!AK36/(CF!AK24+CF!AK28+CF!AK36+CF!AK32)</f>
        <v>0</v>
      </c>
      <c r="AL16" s="643">
        <f>CF!AL36/(CF!AL24+CF!AL28+CF!AL36+CF!AL32)</f>
        <v>0</v>
      </c>
      <c r="AM16" s="643">
        <f>CF!AM36/(CF!AM24+CF!AM28+CF!AM36+CF!AM32)</f>
        <v>0</v>
      </c>
      <c r="AN16" s="643">
        <f>CF!AN36/(CF!AN24+CF!AN28+CF!AN36+CF!AN32)</f>
        <v>0</v>
      </c>
      <c r="AO16" s="643">
        <f>CF!AO36/(CF!AO24+CF!AO28+CF!AO36+CF!AO32)</f>
        <v>0</v>
      </c>
      <c r="AP16" s="643">
        <f>CF!AP36/(CF!AP24+CF!AP28+CF!AP36+CF!AP32)</f>
        <v>0</v>
      </c>
      <c r="AQ16" s="643">
        <f>CF!AQ36/(CF!AQ24+CF!AQ28+CF!AQ36+CF!AQ32)</f>
        <v>0</v>
      </c>
      <c r="AR16" s="643">
        <f>CF!AR36/(CF!AR24+CF!AR28+CF!AR36+CF!AR32)</f>
        <v>0</v>
      </c>
      <c r="AS16" s="643">
        <f>CF!AS36/(CF!AS24+CF!AS28+CF!AS36+CF!AS32)</f>
        <v>0</v>
      </c>
      <c r="AT16" s="643">
        <f>CF!AT36/(CF!AT24+CF!AT28+CF!AT36+CF!AT32)</f>
        <v>0</v>
      </c>
      <c r="AU16" s="643">
        <f>CF!AU36/(CF!AU24+CF!AU28+CF!AU36+CF!AU32)</f>
        <v>0</v>
      </c>
      <c r="AV16" s="643">
        <f>CF!AV36/(CF!AV24+CF!AV28+CF!AV36+CF!AV32)</f>
        <v>0</v>
      </c>
      <c r="AW16" s="643">
        <f>CF!AW36/(CF!AW24+CF!AW28+CF!AW36+CF!AW32)</f>
        <v>0</v>
      </c>
      <c r="AX16" s="643">
        <f>CF!AX36/(CF!AX24+CF!AX28+CF!AX36+CF!AX32)</f>
        <v>0</v>
      </c>
      <c r="AY16" s="643">
        <f>CF!AY36/(CF!AY24+CF!AY28+CF!AY36+CF!AY32)</f>
        <v>0</v>
      </c>
      <c r="AZ16" s="643">
        <f>CF!AZ36/(CF!AZ24+CF!AZ28+CF!AZ36+CF!AZ32)</f>
        <v>0</v>
      </c>
      <c r="BA16" s="643">
        <f>CF!BA36/(CF!BA24+CF!BA28+CF!BA36+CF!BA32)</f>
        <v>0</v>
      </c>
      <c r="BB16" s="643">
        <f>CF!BB36/(CF!BB24+CF!BB28+CF!BB36+CF!BB32)</f>
        <v>0</v>
      </c>
      <c r="BC16" s="643">
        <f>CF!BC36/(CF!BC24+CF!BC28+CF!BC36+CF!BC32)</f>
        <v>0</v>
      </c>
      <c r="BD16" s="643">
        <f>CF!BD36/(CF!BD24+CF!BD28+CF!BD36+CF!BD32)</f>
        <v>0</v>
      </c>
      <c r="BE16" s="643">
        <f>CF!BE36/(CF!BE24+CF!BE28+CF!BE36+CF!BE32)</f>
        <v>0</v>
      </c>
      <c r="BF16" s="643">
        <f>CF!BF36/(CF!BF24+CF!BF28+CF!BF36+CF!BF32)</f>
        <v>0</v>
      </c>
      <c r="BG16" s="643">
        <f>CF!BG36/(CF!BG24+CF!BG28+CF!BG36+CF!BG32)</f>
        <v>0</v>
      </c>
      <c r="BH16" s="643">
        <f>CF!BH36/(CF!BH24+CF!BH28+CF!BH36+CF!BH32)</f>
        <v>0</v>
      </c>
      <c r="BI16" s="643">
        <f>CF!BI36/(CF!BI24+CF!BI28+CF!BI36+CF!BI32)</f>
        <v>0</v>
      </c>
      <c r="BJ16" s="643">
        <f>CF!BJ36/(CF!BJ24+CF!BJ28+CF!BJ36+CF!BJ32)</f>
        <v>0</v>
      </c>
      <c r="BK16" s="643">
        <f>CF!BK36/(CF!BK24+CF!BK28+CF!BK36+CF!BK32)</f>
        <v>0</v>
      </c>
      <c r="BL16" s="643">
        <f>CF!BL36/(CF!BL24+CF!BL28+CF!BL36+CF!BL32)</f>
        <v>0</v>
      </c>
      <c r="BM16" s="643">
        <f>CF!BM36/(CF!BM24+CF!BM28+CF!BM36+CF!BM32)</f>
        <v>0</v>
      </c>
      <c r="BN16" s="643">
        <f>CF!BN36/(CF!BN24+CF!BN28+CF!BN36+CF!BN32)</f>
        <v>0</v>
      </c>
      <c r="BO16" s="643">
        <f>CF!BO36/(CF!BO24+CF!BO28+CF!BO36+CF!BO32)</f>
        <v>0</v>
      </c>
      <c r="BP16" s="643"/>
      <c r="BQ16" s="643"/>
      <c r="BR16" s="643"/>
      <c r="BS16" s="643"/>
      <c r="BT16" s="643"/>
      <c r="BU16" s="643"/>
      <c r="BV16" s="643"/>
      <c r="BW16" s="643"/>
      <c r="BX16" s="643"/>
      <c r="BY16" s="643"/>
      <c r="BZ16" s="643"/>
      <c r="CA16" s="643"/>
      <c r="CB16" s="643"/>
      <c r="CC16" s="643"/>
      <c r="CD16" s="643"/>
      <c r="CE16" s="643"/>
      <c r="CF16" s="643"/>
      <c r="CG16" s="643"/>
      <c r="CH16" s="643"/>
      <c r="CI16" s="643"/>
      <c r="CJ16" s="643"/>
      <c r="CK16" s="643"/>
      <c r="CL16" s="643"/>
      <c r="CM16" s="643"/>
      <c r="CN16" s="643"/>
      <c r="CO16" s="643"/>
      <c r="CP16" s="643"/>
      <c r="CQ16" s="643"/>
      <c r="CR16" s="643"/>
      <c r="CS16" s="643"/>
      <c r="CT16" s="643"/>
      <c r="CU16" s="643"/>
      <c r="CV16" s="643"/>
      <c r="CW16" s="643"/>
      <c r="CX16" s="643"/>
      <c r="CY16" s="643"/>
      <c r="CZ16" s="643"/>
      <c r="DA16" s="643"/>
      <c r="DB16" s="643"/>
      <c r="DC16" s="643"/>
      <c r="DD16" s="643"/>
      <c r="DE16" s="643"/>
      <c r="DF16" s="643"/>
      <c r="DG16" s="643"/>
      <c r="DH16" s="643"/>
      <c r="DI16" s="643"/>
      <c r="DJ16" s="643"/>
      <c r="DK16" s="643"/>
      <c r="DL16" s="643"/>
      <c r="DM16" s="643"/>
      <c r="DN16" s="643"/>
      <c r="DO16" s="643"/>
      <c r="DP16" s="643"/>
      <c r="DQ16" s="643"/>
      <c r="DR16" s="643"/>
      <c r="DS16" s="643"/>
      <c r="DT16" s="643"/>
      <c r="DU16" s="643"/>
      <c r="DV16" s="643"/>
      <c r="DW16" s="643"/>
    </row>
    <row r="17" spans="1:127">
      <c r="A17" s="871" t="s">
        <v>1228</v>
      </c>
      <c r="B17" s="983"/>
      <c r="C17" s="983"/>
      <c r="G17" s="1928">
        <v>0</v>
      </c>
      <c r="H17" s="643">
        <f>1-H15-H16</f>
        <v>0</v>
      </c>
      <c r="I17" s="643">
        <f t="shared" ref="I17:BO17" si="0">1-I15-I16</f>
        <v>0</v>
      </c>
      <c r="J17" s="643">
        <f t="shared" si="0"/>
        <v>0</v>
      </c>
      <c r="K17" s="643">
        <f t="shared" si="0"/>
        <v>0</v>
      </c>
      <c r="L17" s="643">
        <f t="shared" si="0"/>
        <v>0</v>
      </c>
      <c r="M17" s="643">
        <f t="shared" si="0"/>
        <v>0</v>
      </c>
      <c r="N17" s="643">
        <f t="shared" si="0"/>
        <v>0</v>
      </c>
      <c r="O17" s="643">
        <f t="shared" si="0"/>
        <v>0</v>
      </c>
      <c r="P17" s="643">
        <f t="shared" si="0"/>
        <v>0</v>
      </c>
      <c r="Q17" s="643">
        <f t="shared" si="0"/>
        <v>0</v>
      </c>
      <c r="R17" s="643">
        <f t="shared" si="0"/>
        <v>0</v>
      </c>
      <c r="S17" s="643">
        <f t="shared" si="0"/>
        <v>0</v>
      </c>
      <c r="T17" s="643">
        <f t="shared" si="0"/>
        <v>0</v>
      </c>
      <c r="U17" s="643">
        <f t="shared" si="0"/>
        <v>0</v>
      </c>
      <c r="V17" s="643">
        <f t="shared" si="0"/>
        <v>0</v>
      </c>
      <c r="W17" s="643">
        <f t="shared" si="0"/>
        <v>0</v>
      </c>
      <c r="X17" s="643">
        <f t="shared" si="0"/>
        <v>0</v>
      </c>
      <c r="Y17" s="643">
        <f t="shared" si="0"/>
        <v>0</v>
      </c>
      <c r="Z17" s="643">
        <f t="shared" si="0"/>
        <v>0</v>
      </c>
      <c r="AA17" s="643">
        <f t="shared" si="0"/>
        <v>0</v>
      </c>
      <c r="AB17" s="643">
        <f t="shared" si="0"/>
        <v>0</v>
      </c>
      <c r="AC17" s="643">
        <f t="shared" si="0"/>
        <v>0</v>
      </c>
      <c r="AD17" s="643">
        <f t="shared" si="0"/>
        <v>0</v>
      </c>
      <c r="AE17" s="643">
        <f t="shared" si="0"/>
        <v>0</v>
      </c>
      <c r="AF17" s="643">
        <f t="shared" si="0"/>
        <v>1</v>
      </c>
      <c r="AG17" s="643">
        <f t="shared" si="0"/>
        <v>1</v>
      </c>
      <c r="AH17" s="643">
        <f t="shared" si="0"/>
        <v>1</v>
      </c>
      <c r="AI17" s="643">
        <f t="shared" si="0"/>
        <v>1</v>
      </c>
      <c r="AJ17" s="643">
        <f t="shared" si="0"/>
        <v>1</v>
      </c>
      <c r="AK17" s="643">
        <f t="shared" si="0"/>
        <v>1</v>
      </c>
      <c r="AL17" s="643">
        <f t="shared" si="0"/>
        <v>1</v>
      </c>
      <c r="AM17" s="643">
        <f t="shared" si="0"/>
        <v>1</v>
      </c>
      <c r="AN17" s="643">
        <f t="shared" si="0"/>
        <v>1</v>
      </c>
      <c r="AO17" s="643">
        <f t="shared" si="0"/>
        <v>1</v>
      </c>
      <c r="AP17" s="643">
        <f t="shared" si="0"/>
        <v>1</v>
      </c>
      <c r="AQ17" s="643">
        <f t="shared" si="0"/>
        <v>1</v>
      </c>
      <c r="AR17" s="643">
        <f t="shared" si="0"/>
        <v>1</v>
      </c>
      <c r="AS17" s="643">
        <f t="shared" si="0"/>
        <v>1</v>
      </c>
      <c r="AT17" s="643">
        <f t="shared" si="0"/>
        <v>1</v>
      </c>
      <c r="AU17" s="643">
        <f t="shared" si="0"/>
        <v>1</v>
      </c>
      <c r="AV17" s="643">
        <f t="shared" si="0"/>
        <v>1</v>
      </c>
      <c r="AW17" s="643">
        <f t="shared" si="0"/>
        <v>1</v>
      </c>
      <c r="AX17" s="643">
        <f t="shared" si="0"/>
        <v>1</v>
      </c>
      <c r="AY17" s="643">
        <f t="shared" si="0"/>
        <v>1</v>
      </c>
      <c r="AZ17" s="643">
        <f t="shared" si="0"/>
        <v>1</v>
      </c>
      <c r="BA17" s="643">
        <f t="shared" si="0"/>
        <v>1</v>
      </c>
      <c r="BB17" s="643">
        <f t="shared" si="0"/>
        <v>1</v>
      </c>
      <c r="BC17" s="643">
        <f t="shared" si="0"/>
        <v>1</v>
      </c>
      <c r="BD17" s="643">
        <f t="shared" si="0"/>
        <v>1</v>
      </c>
      <c r="BE17" s="643">
        <f t="shared" si="0"/>
        <v>1</v>
      </c>
      <c r="BF17" s="643">
        <f t="shared" si="0"/>
        <v>1</v>
      </c>
      <c r="BG17" s="643">
        <f t="shared" si="0"/>
        <v>1</v>
      </c>
      <c r="BH17" s="643">
        <f t="shared" si="0"/>
        <v>1</v>
      </c>
      <c r="BI17" s="643">
        <f t="shared" si="0"/>
        <v>1</v>
      </c>
      <c r="BJ17" s="643">
        <f t="shared" si="0"/>
        <v>1</v>
      </c>
      <c r="BK17" s="643">
        <f t="shared" si="0"/>
        <v>1</v>
      </c>
      <c r="BL17" s="643">
        <f t="shared" si="0"/>
        <v>1</v>
      </c>
      <c r="BM17" s="643">
        <f t="shared" si="0"/>
        <v>1</v>
      </c>
      <c r="BN17" s="643">
        <f t="shared" si="0"/>
        <v>1</v>
      </c>
      <c r="BO17" s="643">
        <f t="shared" si="0"/>
        <v>1</v>
      </c>
      <c r="BP17" s="643"/>
      <c r="BQ17" s="643"/>
      <c r="BR17" s="643"/>
      <c r="BS17" s="643"/>
      <c r="BT17" s="643"/>
      <c r="BU17" s="643"/>
      <c r="BV17" s="643"/>
      <c r="BW17" s="643"/>
      <c r="BX17" s="643"/>
      <c r="BY17" s="643"/>
      <c r="BZ17" s="643"/>
      <c r="CA17" s="643"/>
      <c r="CB17" s="643"/>
      <c r="CC17" s="643"/>
      <c r="CD17" s="643"/>
      <c r="CE17" s="643"/>
      <c r="CF17" s="643"/>
      <c r="CG17" s="643"/>
      <c r="CH17" s="643"/>
      <c r="CI17" s="643"/>
      <c r="CJ17" s="643"/>
      <c r="CK17" s="643"/>
      <c r="CL17" s="643"/>
      <c r="CM17" s="643"/>
      <c r="CN17" s="643"/>
      <c r="CO17" s="643"/>
      <c r="CP17" s="643"/>
      <c r="CQ17" s="643"/>
      <c r="CR17" s="643"/>
      <c r="CS17" s="643"/>
      <c r="CT17" s="643"/>
      <c r="CU17" s="643"/>
      <c r="CV17" s="643"/>
      <c r="CW17" s="643"/>
      <c r="CX17" s="643"/>
      <c r="CY17" s="643"/>
      <c r="CZ17" s="643"/>
      <c r="DA17" s="643"/>
      <c r="DB17" s="643"/>
      <c r="DC17" s="643"/>
      <c r="DD17" s="643"/>
      <c r="DE17" s="643"/>
      <c r="DF17" s="643"/>
      <c r="DG17" s="643"/>
      <c r="DH17" s="643"/>
      <c r="DI17" s="643"/>
      <c r="DJ17" s="643"/>
      <c r="DK17" s="643"/>
      <c r="DL17" s="643"/>
      <c r="DM17" s="643"/>
      <c r="DN17" s="643"/>
      <c r="DO17" s="643"/>
      <c r="DP17" s="643"/>
      <c r="DQ17" s="643"/>
      <c r="DR17" s="643"/>
      <c r="DS17" s="643"/>
      <c r="DT17" s="643"/>
      <c r="DU17" s="643"/>
      <c r="DV17" s="643"/>
      <c r="DW17" s="643"/>
    </row>
    <row r="18" spans="1:127">
      <c r="A18" s="314"/>
      <c r="B18" s="703"/>
      <c r="C18" s="703"/>
      <c r="D18" s="610"/>
      <c r="E18" s="610"/>
      <c r="F18" s="314"/>
      <c r="G18" s="544"/>
      <c r="H18" s="610"/>
      <c r="I18" s="610"/>
      <c r="J18" s="610"/>
      <c r="K18" s="610"/>
      <c r="L18" s="610"/>
      <c r="M18" s="610"/>
      <c r="N18" s="610"/>
      <c r="O18" s="610"/>
      <c r="P18" s="610"/>
      <c r="Q18" s="610"/>
      <c r="R18" s="610"/>
      <c r="S18" s="610"/>
      <c r="T18" s="610"/>
      <c r="U18" s="610"/>
      <c r="V18" s="610"/>
      <c r="W18" s="610"/>
      <c r="X18" s="610"/>
      <c r="Y18" s="610"/>
      <c r="Z18" s="610"/>
      <c r="AA18" s="610"/>
      <c r="AB18" s="610"/>
      <c r="AC18" s="610"/>
      <c r="AD18" s="610"/>
      <c r="AE18" s="610"/>
      <c r="AF18" s="610"/>
      <c r="AG18" s="610"/>
      <c r="AH18" s="610"/>
      <c r="AI18" s="610"/>
      <c r="AJ18" s="610"/>
      <c r="AK18" s="610"/>
      <c r="AL18" s="610"/>
      <c r="AM18" s="610"/>
      <c r="AN18" s="610"/>
      <c r="AO18" s="610"/>
      <c r="AP18" s="610"/>
      <c r="AQ18" s="610"/>
      <c r="AR18" s="610"/>
      <c r="AS18" s="610"/>
      <c r="AT18" s="610"/>
      <c r="AU18" s="610"/>
      <c r="AV18" s="610"/>
      <c r="AW18" s="610"/>
      <c r="AX18" s="610"/>
      <c r="AY18" s="610"/>
      <c r="AZ18" s="610"/>
      <c r="BA18" s="610"/>
      <c r="BB18" s="610"/>
      <c r="BC18" s="610"/>
      <c r="BD18" s="610"/>
      <c r="BE18" s="610"/>
      <c r="BF18" s="610"/>
      <c r="BG18" s="610"/>
      <c r="BH18" s="610"/>
      <c r="BI18" s="610"/>
      <c r="BJ18" s="610"/>
      <c r="BK18" s="610"/>
      <c r="BL18" s="610"/>
      <c r="BM18" s="610"/>
      <c r="BN18" s="610"/>
      <c r="BO18" s="610"/>
      <c r="BP18" s="610"/>
      <c r="BQ18" s="610"/>
      <c r="BR18" s="610"/>
      <c r="BS18" s="610"/>
      <c r="BT18" s="610"/>
      <c r="BU18" s="610"/>
      <c r="BV18" s="610"/>
      <c r="BW18" s="610"/>
      <c r="BX18" s="610"/>
      <c r="BY18" s="610"/>
      <c r="BZ18" s="610"/>
      <c r="CA18" s="610"/>
      <c r="CB18" s="610"/>
      <c r="CC18" s="610"/>
      <c r="CD18" s="610"/>
      <c r="CE18" s="610"/>
      <c r="CF18" s="610"/>
      <c r="CG18" s="610"/>
      <c r="CH18" s="610"/>
      <c r="CI18" s="610"/>
      <c r="CJ18" s="610"/>
      <c r="CK18" s="610"/>
      <c r="CL18" s="610"/>
      <c r="CM18" s="610"/>
      <c r="CN18" s="610"/>
      <c r="CO18" s="610"/>
      <c r="CP18" s="610"/>
      <c r="CQ18" s="610"/>
      <c r="CR18" s="610"/>
      <c r="CS18" s="610"/>
      <c r="CT18" s="610"/>
      <c r="CU18" s="610"/>
      <c r="CV18" s="610"/>
      <c r="CW18" s="610"/>
      <c r="CX18" s="610"/>
      <c r="CY18" s="610"/>
      <c r="CZ18" s="610"/>
      <c r="DA18" s="610"/>
      <c r="DB18" s="610"/>
      <c r="DC18" s="610"/>
      <c r="DD18" s="610"/>
      <c r="DE18" s="610"/>
      <c r="DF18" s="610"/>
      <c r="DG18" s="610"/>
      <c r="DH18" s="610"/>
      <c r="DI18" s="610"/>
      <c r="DJ18" s="610"/>
      <c r="DK18" s="610"/>
      <c r="DL18" s="610"/>
      <c r="DM18" s="610"/>
      <c r="DN18" s="610"/>
      <c r="DO18" s="610"/>
      <c r="DP18" s="610"/>
      <c r="DQ18" s="610"/>
      <c r="DR18" s="610"/>
      <c r="DS18" s="610"/>
      <c r="DT18" s="610"/>
      <c r="DU18" s="610"/>
      <c r="DV18" s="610"/>
      <c r="DW18" s="610"/>
    </row>
    <row r="19" spans="1:127">
      <c r="A19" s="861" t="s">
        <v>345</v>
      </c>
      <c r="B19" s="862"/>
      <c r="C19" s="862"/>
      <c r="D19" s="864"/>
      <c r="E19" s="864"/>
      <c r="F19" s="863"/>
      <c r="G19" s="379"/>
      <c r="H19" s="379"/>
      <c r="I19" s="379"/>
      <c r="J19" s="379"/>
      <c r="K19" s="379"/>
      <c r="L19" s="379"/>
      <c r="M19" s="379"/>
      <c r="N19" s="379"/>
      <c r="O19" s="379"/>
      <c r="P19" s="379"/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79"/>
      <c r="AC19" s="379"/>
      <c r="AD19" s="379"/>
      <c r="AE19" s="379"/>
      <c r="AF19" s="379"/>
      <c r="AG19" s="379"/>
      <c r="AH19" s="379"/>
      <c r="AI19" s="379"/>
      <c r="AJ19" s="379"/>
      <c r="AK19" s="379"/>
      <c r="AL19" s="379"/>
      <c r="AM19" s="379"/>
      <c r="AN19" s="379"/>
      <c r="AO19" s="379"/>
      <c r="AP19" s="379"/>
      <c r="AQ19" s="379"/>
      <c r="AR19" s="379"/>
      <c r="AS19" s="379"/>
      <c r="AT19" s="379"/>
      <c r="AU19" s="379"/>
      <c r="AV19" s="379"/>
      <c r="AW19" s="379"/>
      <c r="AX19" s="379"/>
      <c r="AY19" s="379"/>
      <c r="AZ19" s="379"/>
      <c r="BA19" s="379"/>
      <c r="BB19" s="379"/>
      <c r="BC19" s="379"/>
      <c r="BD19" s="379"/>
      <c r="BE19" s="379"/>
      <c r="BF19" s="379"/>
      <c r="BG19" s="379"/>
      <c r="BH19" s="379"/>
      <c r="BI19" s="379"/>
      <c r="BJ19" s="379"/>
      <c r="BK19" s="379"/>
      <c r="BL19" s="379"/>
      <c r="BM19" s="379"/>
      <c r="BN19" s="379"/>
      <c r="BO19" s="379"/>
      <c r="BP19" s="379"/>
      <c r="BQ19" s="379"/>
      <c r="BR19" s="379"/>
      <c r="BS19" s="379"/>
      <c r="BT19" s="379"/>
      <c r="BU19" s="379"/>
      <c r="BV19" s="379"/>
      <c r="BW19" s="379"/>
      <c r="BX19" s="379"/>
      <c r="BY19" s="379"/>
      <c r="BZ19" s="379"/>
      <c r="CA19" s="379"/>
      <c r="CB19" s="379"/>
      <c r="CC19" s="379"/>
      <c r="CD19" s="379"/>
      <c r="CE19" s="379"/>
      <c r="CF19" s="379"/>
      <c r="CG19" s="379"/>
      <c r="CH19" s="379"/>
      <c r="CI19" s="379"/>
      <c r="CJ19" s="379"/>
      <c r="CK19" s="379"/>
      <c r="CL19" s="379"/>
      <c r="CM19" s="379"/>
      <c r="CN19" s="379"/>
      <c r="CO19" s="379"/>
      <c r="CP19" s="379"/>
      <c r="CQ19" s="379"/>
      <c r="CR19" s="379"/>
      <c r="CS19" s="379"/>
      <c r="CT19" s="379"/>
      <c r="CU19" s="379"/>
      <c r="CV19" s="379"/>
      <c r="CW19" s="379"/>
      <c r="CX19" s="379"/>
      <c r="CY19" s="379"/>
      <c r="CZ19" s="379"/>
      <c r="DA19" s="379"/>
      <c r="DB19" s="379"/>
      <c r="DC19" s="379"/>
      <c r="DD19" s="379"/>
      <c r="DE19" s="379"/>
      <c r="DF19" s="379"/>
      <c r="DG19" s="379"/>
      <c r="DH19" s="379"/>
      <c r="DI19" s="379"/>
      <c r="DJ19" s="379"/>
      <c r="DK19" s="379"/>
      <c r="DL19" s="379"/>
      <c r="DM19" s="379"/>
      <c r="DN19" s="379"/>
      <c r="DO19" s="379"/>
      <c r="DP19" s="379"/>
      <c r="DQ19" s="379"/>
      <c r="DR19" s="379"/>
      <c r="DS19" s="379"/>
      <c r="DT19" s="379"/>
      <c r="DU19" s="379"/>
      <c r="DV19" s="379"/>
      <c r="DW19" s="379"/>
    </row>
    <row r="20" spans="1:127">
      <c r="A20" s="617" t="str">
        <f>CF!A79</f>
        <v>Free Cash Flow for Banks</v>
      </c>
      <c r="B20" s="705"/>
      <c r="C20" s="705"/>
      <c r="D20" s="396"/>
      <c r="E20" s="396"/>
      <c r="G20" s="459">
        <f>Macro!G50</f>
        <v>0</v>
      </c>
      <c r="H20" s="459">
        <f>Macro!H50</f>
        <v>2575.0034247825092</v>
      </c>
      <c r="I20" s="459">
        <f>Macro!I50</f>
        <v>2533.0196732914906</v>
      </c>
      <c r="J20" s="459">
        <f>Macro!J50</f>
        <v>2576.6037713428454</v>
      </c>
      <c r="K20" s="459">
        <f>Macro!K50</f>
        <v>2610.8185963428691</v>
      </c>
      <c r="L20" s="459">
        <f>Macro!L50</f>
        <v>2637.7504890658502</v>
      </c>
      <c r="M20" s="459">
        <f>Macro!M50</f>
        <v>2648.8702990221004</v>
      </c>
      <c r="N20" s="459">
        <f>Macro!N50</f>
        <v>2677.4501512146035</v>
      </c>
      <c r="O20" s="459">
        <f>Macro!O50</f>
        <v>2666.4939594869188</v>
      </c>
      <c r="P20" s="459">
        <f>Macro!P50</f>
        <v>2717.7436256413152</v>
      </c>
      <c r="Q20" s="459">
        <f>Macro!Q50</f>
        <v>2684.0331992854285</v>
      </c>
      <c r="R20" s="459">
        <f>Macro!R50</f>
        <v>2751.1021773897965</v>
      </c>
      <c r="S20" s="459">
        <f>Macro!S50</f>
        <v>2709.2581546480474</v>
      </c>
      <c r="T20" s="459">
        <f>Macro!T50</f>
        <v>2800.1462544677497</v>
      </c>
      <c r="U20" s="459">
        <f>Macro!U50</f>
        <v>2717.3449199012562</v>
      </c>
      <c r="V20" s="459">
        <f>Macro!V50</f>
        <v>2842.2728269724084</v>
      </c>
      <c r="W20" s="459">
        <f>Macro!W50</f>
        <v>2732.6334600507289</v>
      </c>
      <c r="X20" s="459">
        <f>Macro!X50</f>
        <v>2885.0280510217112</v>
      </c>
      <c r="Y20" s="459">
        <f>Macro!Y50</f>
        <v>2746.8512382486333</v>
      </c>
      <c r="Z20" s="459">
        <f>Macro!Z50</f>
        <v>2920.4197890044052</v>
      </c>
      <c r="AA20" s="459">
        <f>Macro!AA50</f>
        <v>2768.3960374438393</v>
      </c>
      <c r="AB20" s="459">
        <f>Macro!AB50</f>
        <v>2776.9576052840412</v>
      </c>
      <c r="AC20" s="459">
        <f>Macro!AC50</f>
        <v>2618.77060132006</v>
      </c>
      <c r="AD20" s="459">
        <f>Macro!AD50</f>
        <v>2821.6533572835297</v>
      </c>
      <c r="AE20" s="459">
        <f>Macro!AE50</f>
        <v>2631.1685333913961</v>
      </c>
      <c r="AF20" s="459">
        <f>Macro!AF50</f>
        <v>2279.787086630985</v>
      </c>
      <c r="AG20" s="459">
        <f>Macro!AG50</f>
        <v>2103.8436320117626</v>
      </c>
      <c r="AH20" s="459">
        <f>Macro!AH50</f>
        <v>2248.7629420595358</v>
      </c>
      <c r="AI20" s="459">
        <f>Macro!AI50</f>
        <v>2057.7804294903508</v>
      </c>
      <c r="AJ20" s="459">
        <f>Macro!AJ50</f>
        <v>2226.7693434287439</v>
      </c>
      <c r="AK20" s="459">
        <f>Macro!AK50</f>
        <v>1906.9195421016343</v>
      </c>
      <c r="AL20" s="459">
        <f>Macro!AL50</f>
        <v>2062.0104786240358</v>
      </c>
      <c r="AM20" s="459">
        <f>Macro!AM50</f>
        <v>1968.6430028694483</v>
      </c>
      <c r="AN20" s="459">
        <f>Macro!AN50</f>
        <v>2112.5868900275618</v>
      </c>
      <c r="AO20" s="459">
        <f>Macro!AO50</f>
        <v>2008.2990607656759</v>
      </c>
      <c r="AP20" s="459">
        <f>Macro!AP50</f>
        <v>2156.6475130084063</v>
      </c>
      <c r="AQ20" s="459">
        <f>Macro!AQ50</f>
        <v>2053.9360264247639</v>
      </c>
      <c r="AR20" s="459">
        <f>Macro!AR50</f>
        <v>2212.3179207371804</v>
      </c>
      <c r="AS20" s="459">
        <f>Macro!AS50</f>
        <v>2087.2092851997186</v>
      </c>
      <c r="AT20" s="459">
        <f>Macro!AT50</f>
        <v>2261.8623662998421</v>
      </c>
      <c r="AU20" s="459">
        <f>Macro!AU50</f>
        <v>2126.8000330251843</v>
      </c>
      <c r="AV20" s="459">
        <f>Macro!AV50</f>
        <v>2311.6215928904257</v>
      </c>
      <c r="AW20" s="459">
        <f>Macro!AW50</f>
        <v>1866.9949103249712</v>
      </c>
      <c r="AX20" s="459">
        <f>Macro!AX50</f>
        <v>2334.4256797676221</v>
      </c>
      <c r="AY20" s="459">
        <f>Macro!AY50</f>
        <v>1878.0518407380155</v>
      </c>
      <c r="AZ20" s="459">
        <f>Macro!AZ50</f>
        <v>2348.8775466489715</v>
      </c>
      <c r="BA20" s="459">
        <f>Macro!BA50</f>
        <v>1876.6451444108445</v>
      </c>
      <c r="BB20" s="459">
        <f>Macro!BB50</f>
        <v>2355.1242252630013</v>
      </c>
      <c r="BC20" s="459">
        <f>Macro!BC50</f>
        <v>1898.3615099762492</v>
      </c>
      <c r="BD20" s="459">
        <f>Macro!BD50</f>
        <v>2379.8743443082985</v>
      </c>
      <c r="BE20" s="459">
        <f>Macro!BE50</f>
        <v>1901.6580410830088</v>
      </c>
      <c r="BF20" s="459">
        <f>Macro!BF50</f>
        <v>2379.4679591888057</v>
      </c>
      <c r="BG20" s="459">
        <f>Macro!BG50</f>
        <v>1924.5132950690941</v>
      </c>
      <c r="BH20" s="459">
        <f>Macro!BH50</f>
        <v>2404.5160343134335</v>
      </c>
      <c r="BI20" s="459">
        <f>Macro!BI50</f>
        <v>1931.215285574372</v>
      </c>
      <c r="BJ20" s="459">
        <f>Macro!BJ50</f>
        <v>2421.2049439693114</v>
      </c>
      <c r="BK20" s="459">
        <f>Macro!BK50</f>
        <v>1926.6658585007722</v>
      </c>
      <c r="BL20" s="459">
        <f>Macro!BL50</f>
        <v>2417.5489317632077</v>
      </c>
      <c r="BM20" s="459">
        <f>Macro!BM50</f>
        <v>1939.1895835079445</v>
      </c>
      <c r="BN20" s="459">
        <f>Macro!BN50</f>
        <v>2424.1617038501654</v>
      </c>
      <c r="BO20" s="459">
        <f>Macro!BO50</f>
        <v>1955.1680933501402</v>
      </c>
      <c r="BP20" s="459"/>
      <c r="BQ20" s="459"/>
      <c r="BR20" s="459"/>
      <c r="BS20" s="459"/>
      <c r="BT20" s="459"/>
      <c r="BU20" s="459"/>
      <c r="BV20" s="459"/>
      <c r="BW20" s="459"/>
      <c r="BX20" s="459"/>
      <c r="BY20" s="459"/>
      <c r="BZ20" s="459"/>
      <c r="CA20" s="459"/>
      <c r="CB20" s="459"/>
      <c r="CC20" s="459"/>
      <c r="CD20" s="459"/>
      <c r="CE20" s="459"/>
      <c r="CF20" s="459"/>
      <c r="CG20" s="459"/>
      <c r="CH20" s="459"/>
      <c r="CI20" s="459"/>
      <c r="CJ20" s="459"/>
      <c r="CK20" s="459"/>
      <c r="CL20" s="459"/>
      <c r="CM20" s="459"/>
      <c r="CN20" s="459"/>
      <c r="CO20" s="459"/>
      <c r="CP20" s="459"/>
      <c r="CQ20" s="459"/>
      <c r="CR20" s="459"/>
      <c r="CS20" s="459"/>
      <c r="CT20" s="459"/>
      <c r="CU20" s="459"/>
      <c r="CV20" s="459"/>
      <c r="CW20" s="459"/>
      <c r="CX20" s="459"/>
      <c r="CY20" s="459"/>
      <c r="CZ20" s="459"/>
      <c r="DA20" s="459"/>
      <c r="DB20" s="459"/>
      <c r="DC20" s="459"/>
      <c r="DD20" s="459"/>
      <c r="DE20" s="459"/>
      <c r="DF20" s="459"/>
      <c r="DG20" s="459"/>
      <c r="DH20" s="459"/>
      <c r="DI20" s="459"/>
      <c r="DJ20" s="459"/>
      <c r="DK20" s="459"/>
      <c r="DL20" s="459"/>
      <c r="DM20" s="459"/>
      <c r="DN20" s="459"/>
      <c r="DO20" s="459"/>
      <c r="DP20" s="459"/>
      <c r="DQ20" s="459"/>
      <c r="DR20" s="459"/>
      <c r="DS20" s="459"/>
      <c r="DT20" s="459"/>
      <c r="DU20" s="459"/>
      <c r="DV20" s="459"/>
      <c r="DW20" s="459"/>
    </row>
    <row r="21" spans="1:127">
      <c r="A21" s="617"/>
      <c r="B21" s="705"/>
      <c r="C21" s="705"/>
      <c r="D21" s="396"/>
      <c r="E21" s="396"/>
      <c r="G21" s="459"/>
      <c r="H21" s="459"/>
      <c r="I21" s="459"/>
      <c r="J21" s="459"/>
      <c r="K21" s="459"/>
      <c r="L21" s="459"/>
      <c r="M21" s="459"/>
      <c r="N21" s="459"/>
      <c r="O21" s="459"/>
      <c r="P21" s="459"/>
      <c r="Q21" s="459"/>
      <c r="R21" s="459"/>
      <c r="S21" s="459"/>
      <c r="T21" s="459"/>
      <c r="U21" s="459"/>
      <c r="V21" s="459"/>
      <c r="W21" s="459"/>
      <c r="X21" s="459"/>
      <c r="Y21" s="459"/>
      <c r="Z21" s="459"/>
      <c r="AA21" s="459"/>
      <c r="AB21" s="459"/>
      <c r="AC21" s="459"/>
      <c r="AD21" s="459"/>
      <c r="AE21" s="459"/>
      <c r="AF21" s="459"/>
      <c r="AG21" s="459"/>
      <c r="AH21" s="459"/>
      <c r="AI21" s="459"/>
      <c r="AJ21" s="459"/>
      <c r="AK21" s="459"/>
      <c r="AL21" s="459"/>
      <c r="AM21" s="459"/>
      <c r="AN21" s="459"/>
      <c r="AO21" s="459"/>
      <c r="AP21" s="459"/>
      <c r="AQ21" s="459"/>
      <c r="AR21" s="459"/>
      <c r="AS21" s="459"/>
      <c r="AT21" s="459"/>
      <c r="AU21" s="459"/>
      <c r="AV21" s="459"/>
      <c r="AW21" s="459"/>
      <c r="AX21" s="459"/>
      <c r="AY21" s="459"/>
      <c r="AZ21" s="459"/>
      <c r="BA21" s="459"/>
      <c r="BB21" s="459"/>
      <c r="BC21" s="459"/>
      <c r="BD21" s="459"/>
      <c r="BE21" s="459"/>
      <c r="BF21" s="459"/>
      <c r="BG21" s="459"/>
      <c r="BH21" s="459"/>
      <c r="BI21" s="459"/>
      <c r="BJ21" s="459"/>
      <c r="BK21" s="459"/>
      <c r="BL21" s="459"/>
      <c r="BM21" s="459"/>
      <c r="BN21" s="459"/>
      <c r="BO21" s="459"/>
      <c r="BP21" s="459"/>
      <c r="BQ21" s="459"/>
      <c r="BR21" s="459"/>
      <c r="BS21" s="459"/>
      <c r="BT21" s="459"/>
      <c r="BU21" s="459"/>
      <c r="BV21" s="459"/>
      <c r="BW21" s="459"/>
      <c r="BX21" s="459"/>
      <c r="BY21" s="459"/>
      <c r="BZ21" s="459"/>
      <c r="CA21" s="459"/>
      <c r="CB21" s="459"/>
      <c r="CC21" s="459"/>
      <c r="CD21" s="459"/>
      <c r="CE21" s="459"/>
      <c r="CF21" s="459"/>
      <c r="CG21" s="459"/>
      <c r="CH21" s="459"/>
      <c r="CI21" s="459"/>
      <c r="CJ21" s="459"/>
      <c r="CK21" s="459"/>
      <c r="CL21" s="459"/>
      <c r="CM21" s="459"/>
      <c r="CN21" s="459"/>
      <c r="CO21" s="459"/>
      <c r="CP21" s="459"/>
      <c r="CQ21" s="459"/>
      <c r="CR21" s="459"/>
      <c r="CS21" s="459"/>
      <c r="CT21" s="459"/>
      <c r="CU21" s="459"/>
      <c r="CV21" s="459"/>
      <c r="CW21" s="459"/>
      <c r="CX21" s="459"/>
      <c r="CY21" s="459"/>
      <c r="CZ21" s="459"/>
      <c r="DA21" s="459"/>
      <c r="DB21" s="459"/>
      <c r="DC21" s="459"/>
      <c r="DD21" s="459"/>
      <c r="DE21" s="459"/>
      <c r="DF21" s="459"/>
      <c r="DG21" s="459"/>
      <c r="DH21" s="459"/>
      <c r="DI21" s="459"/>
      <c r="DJ21" s="459"/>
      <c r="DK21" s="459"/>
      <c r="DL21" s="459"/>
      <c r="DM21" s="459"/>
      <c r="DN21" s="459"/>
      <c r="DO21" s="459"/>
      <c r="DP21" s="459"/>
      <c r="DQ21" s="459"/>
      <c r="DR21" s="459"/>
      <c r="DS21" s="459"/>
      <c r="DT21" s="459"/>
      <c r="DU21" s="459"/>
      <c r="DV21" s="459"/>
      <c r="DW21" s="459"/>
    </row>
    <row r="22" spans="1:127">
      <c r="A22" s="617" t="str">
        <f>Inputs!A221</f>
        <v>DSCR</v>
      </c>
      <c r="B22" s="984">
        <f>Scenarios!E350</f>
        <v>1.1499999999999999</v>
      </c>
      <c r="C22" s="984">
        <f>Scenarios!E351</f>
        <v>1.35</v>
      </c>
      <c r="D22" s="984">
        <f>Scenarios!E352</f>
        <v>1.65</v>
      </c>
      <c r="F22" s="313"/>
      <c r="G22" s="415">
        <f>($B$22*G15)+(G16*$D$22)+(G17*$C$22)</f>
        <v>1.1499999999999999</v>
      </c>
      <c r="H22" s="415">
        <f>($B$22*H15)+(H16*$D$22)+(H17*$C$22)</f>
        <v>1.1499999999999999</v>
      </c>
      <c r="I22" s="415">
        <f t="shared" ref="I22:BO22" si="1">($B$22*I15)+(I16*$D$22)+(I17*$C$22)</f>
        <v>1.1499999999999999</v>
      </c>
      <c r="J22" s="415">
        <f t="shared" si="1"/>
        <v>1.1499999999999999</v>
      </c>
      <c r="K22" s="415">
        <f t="shared" si="1"/>
        <v>1.1499999999999999</v>
      </c>
      <c r="L22" s="415">
        <f t="shared" si="1"/>
        <v>1.1499999999999999</v>
      </c>
      <c r="M22" s="415">
        <f t="shared" si="1"/>
        <v>1.1499999999999999</v>
      </c>
      <c r="N22" s="415">
        <f t="shared" si="1"/>
        <v>1.1499999999999999</v>
      </c>
      <c r="O22" s="415">
        <f t="shared" si="1"/>
        <v>1.1499999999999999</v>
      </c>
      <c r="P22" s="415">
        <f t="shared" si="1"/>
        <v>1.1499999999999999</v>
      </c>
      <c r="Q22" s="415">
        <f t="shared" si="1"/>
        <v>1.1499999999999999</v>
      </c>
      <c r="R22" s="415">
        <f t="shared" si="1"/>
        <v>1.1499999999999999</v>
      </c>
      <c r="S22" s="415">
        <f t="shared" si="1"/>
        <v>1.1499999999999999</v>
      </c>
      <c r="T22" s="415">
        <f t="shared" si="1"/>
        <v>1.1499999999999999</v>
      </c>
      <c r="U22" s="415">
        <f t="shared" si="1"/>
        <v>1.1499999999999999</v>
      </c>
      <c r="V22" s="415">
        <f t="shared" si="1"/>
        <v>1.1499999999999999</v>
      </c>
      <c r="W22" s="415">
        <f t="shared" si="1"/>
        <v>1.1499999999999999</v>
      </c>
      <c r="X22" s="415">
        <f t="shared" si="1"/>
        <v>1.1499999999999999</v>
      </c>
      <c r="Y22" s="415">
        <f t="shared" si="1"/>
        <v>1.1499999999999999</v>
      </c>
      <c r="Z22" s="415">
        <f t="shared" si="1"/>
        <v>1.1499999999999999</v>
      </c>
      <c r="AA22" s="415">
        <f t="shared" si="1"/>
        <v>1.1499999999999999</v>
      </c>
      <c r="AB22" s="415">
        <f t="shared" si="1"/>
        <v>1.1499999999999999</v>
      </c>
      <c r="AC22" s="415">
        <f t="shared" si="1"/>
        <v>1.1499999999999999</v>
      </c>
      <c r="AD22" s="415">
        <f t="shared" si="1"/>
        <v>1.1499999999999999</v>
      </c>
      <c r="AE22" s="415">
        <f t="shared" si="1"/>
        <v>1.1499999999999999</v>
      </c>
      <c r="AF22" s="415">
        <f t="shared" si="1"/>
        <v>1.35</v>
      </c>
      <c r="AG22" s="415">
        <f t="shared" si="1"/>
        <v>1.35</v>
      </c>
      <c r="AH22" s="415">
        <f t="shared" si="1"/>
        <v>1.35</v>
      </c>
      <c r="AI22" s="415">
        <f t="shared" si="1"/>
        <v>1.35</v>
      </c>
      <c r="AJ22" s="415">
        <f t="shared" si="1"/>
        <v>1.35</v>
      </c>
      <c r="AK22" s="415">
        <f t="shared" si="1"/>
        <v>1.35</v>
      </c>
      <c r="AL22" s="415">
        <f t="shared" si="1"/>
        <v>1.35</v>
      </c>
      <c r="AM22" s="415">
        <f t="shared" si="1"/>
        <v>1.35</v>
      </c>
      <c r="AN22" s="415">
        <f t="shared" si="1"/>
        <v>1.35</v>
      </c>
      <c r="AO22" s="415">
        <f t="shared" si="1"/>
        <v>1.35</v>
      </c>
      <c r="AP22" s="415">
        <f t="shared" si="1"/>
        <v>1.35</v>
      </c>
      <c r="AQ22" s="415">
        <f t="shared" si="1"/>
        <v>1.35</v>
      </c>
      <c r="AR22" s="415">
        <f t="shared" si="1"/>
        <v>1.35</v>
      </c>
      <c r="AS22" s="415">
        <f t="shared" si="1"/>
        <v>1.35</v>
      </c>
      <c r="AT22" s="415">
        <f t="shared" si="1"/>
        <v>1.35</v>
      </c>
      <c r="AU22" s="415">
        <f t="shared" si="1"/>
        <v>1.35</v>
      </c>
      <c r="AV22" s="415">
        <f t="shared" si="1"/>
        <v>1.35</v>
      </c>
      <c r="AW22" s="415">
        <f t="shared" si="1"/>
        <v>1.35</v>
      </c>
      <c r="AX22" s="415">
        <f t="shared" si="1"/>
        <v>1.35</v>
      </c>
      <c r="AY22" s="415">
        <f t="shared" si="1"/>
        <v>1.35</v>
      </c>
      <c r="AZ22" s="415">
        <f t="shared" si="1"/>
        <v>1.35</v>
      </c>
      <c r="BA22" s="415">
        <f t="shared" si="1"/>
        <v>1.35</v>
      </c>
      <c r="BB22" s="415">
        <f t="shared" si="1"/>
        <v>1.35</v>
      </c>
      <c r="BC22" s="415">
        <f t="shared" si="1"/>
        <v>1.35</v>
      </c>
      <c r="BD22" s="415">
        <f t="shared" si="1"/>
        <v>1.35</v>
      </c>
      <c r="BE22" s="415">
        <f t="shared" si="1"/>
        <v>1.35</v>
      </c>
      <c r="BF22" s="415">
        <f t="shared" si="1"/>
        <v>1.35</v>
      </c>
      <c r="BG22" s="415">
        <f t="shared" si="1"/>
        <v>1.35</v>
      </c>
      <c r="BH22" s="415">
        <f t="shared" si="1"/>
        <v>1.35</v>
      </c>
      <c r="BI22" s="415">
        <f t="shared" si="1"/>
        <v>1.35</v>
      </c>
      <c r="BJ22" s="415">
        <f t="shared" si="1"/>
        <v>1.35</v>
      </c>
      <c r="BK22" s="415">
        <f t="shared" si="1"/>
        <v>1.35</v>
      </c>
      <c r="BL22" s="415">
        <f t="shared" si="1"/>
        <v>1.35</v>
      </c>
      <c r="BM22" s="415">
        <f t="shared" si="1"/>
        <v>1.35</v>
      </c>
      <c r="BN22" s="415">
        <f t="shared" si="1"/>
        <v>1.35</v>
      </c>
      <c r="BO22" s="415">
        <f t="shared" si="1"/>
        <v>1.35</v>
      </c>
      <c r="BP22" s="415"/>
      <c r="BQ22" s="415"/>
      <c r="BR22" s="415"/>
      <c r="BS22" s="415"/>
      <c r="BT22" s="415"/>
      <c r="BU22" s="415"/>
      <c r="BV22" s="415"/>
      <c r="BW22" s="415"/>
      <c r="BX22" s="415"/>
      <c r="BY22" s="415"/>
      <c r="BZ22" s="415"/>
      <c r="CA22" s="415"/>
      <c r="CB22" s="415"/>
      <c r="CC22" s="415"/>
      <c r="CD22" s="415"/>
      <c r="CE22" s="415"/>
      <c r="CF22" s="415"/>
      <c r="CG22" s="415"/>
      <c r="CH22" s="415"/>
      <c r="CI22" s="415"/>
      <c r="CJ22" s="415"/>
      <c r="CK22" s="415"/>
      <c r="CL22" s="415"/>
      <c r="CM22" s="415"/>
      <c r="CN22" s="415"/>
      <c r="CO22" s="415"/>
      <c r="CP22" s="415"/>
      <c r="CQ22" s="415"/>
      <c r="CR22" s="415"/>
      <c r="CS22" s="415"/>
      <c r="CT22" s="415"/>
      <c r="CU22" s="415"/>
      <c r="CV22" s="415"/>
      <c r="CW22" s="415"/>
      <c r="CX22" s="415"/>
      <c r="CY22" s="415"/>
      <c r="CZ22" s="415"/>
      <c r="DA22" s="415"/>
      <c r="DB22" s="415"/>
      <c r="DC22" s="415"/>
      <c r="DD22" s="415"/>
      <c r="DE22" s="415"/>
      <c r="DF22" s="415"/>
      <c r="DG22" s="415"/>
      <c r="DH22" s="415"/>
      <c r="DI22" s="415"/>
      <c r="DJ22" s="415"/>
      <c r="DK22" s="415"/>
      <c r="DL22" s="415"/>
      <c r="DM22" s="415"/>
      <c r="DN22" s="415"/>
      <c r="DO22" s="415"/>
      <c r="DP22" s="415"/>
      <c r="DQ22" s="415"/>
      <c r="DR22" s="415"/>
      <c r="DS22" s="415"/>
      <c r="DT22" s="415"/>
      <c r="DU22" s="415"/>
      <c r="DV22" s="415"/>
      <c r="DW22" s="415"/>
    </row>
    <row r="23" spans="1:127">
      <c r="A23" s="960" t="s">
        <v>1229</v>
      </c>
      <c r="B23" s="985" t="b">
        <f>Inputs!$C$192</f>
        <v>1</v>
      </c>
      <c r="C23" s="985"/>
      <c r="G23" s="510">
        <f>(G20/G22+SUM(CF!G83:G83))*G9*$B23</f>
        <v>0</v>
      </c>
      <c r="H23" s="510">
        <f ca="1">(H20/H22+SUM(CF!H83:H83))*H9*$B23</f>
        <v>2239.1334128543558</v>
      </c>
      <c r="I23" s="510">
        <f ca="1">(I20/I22+SUM(CF!I83:I83))*I9*$B23</f>
        <v>2202.625802862166</v>
      </c>
      <c r="J23" s="510">
        <f ca="1">(J20/J22+SUM(CF!J83:J83))*J9*$B23</f>
        <v>2240.5250185589962</v>
      </c>
      <c r="K23" s="510">
        <f ca="1">(K20/K22+SUM(CF!K83:K83))*K9*$B23</f>
        <v>2270.2770402981473</v>
      </c>
      <c r="L23" s="510">
        <f ca="1">(L20/L22+SUM(CF!L83:L83))*L9*$B23</f>
        <v>2293.6960774485656</v>
      </c>
      <c r="M23" s="510">
        <f ca="1">(M20/M22+SUM(CF!M83:M83))*M9*$B23</f>
        <v>2303.3654774105221</v>
      </c>
      <c r="N23" s="510">
        <f ca="1">(N20/N22+SUM(CF!N83:N83))*N9*$B23</f>
        <v>2328.2175227953076</v>
      </c>
      <c r="O23" s="510">
        <f ca="1">(O20/O22+SUM(CF!O83:O83))*O9*$B23</f>
        <v>2318.6903995538428</v>
      </c>
      <c r="P23" s="510">
        <f ca="1">(P20/P22+SUM(CF!P83:P83))*P9*$B23</f>
        <v>2363.2553266446221</v>
      </c>
      <c r="Q23" s="510">
        <f ca="1">(Q20/Q22+SUM(CF!Q83:Q83))*Q9*$B23</f>
        <v>2333.9419124221117</v>
      </c>
      <c r="R23" s="510">
        <f ca="1">(R20/R22+SUM(CF!R83:R83))*R9*$B23</f>
        <v>2392.2627629476492</v>
      </c>
      <c r="S23" s="510">
        <f ca="1">(S20/S22+SUM(CF!S83:S83))*S9*$B23</f>
        <v>2355.8766562156934</v>
      </c>
      <c r="T23" s="510">
        <f ca="1">(T20/T22+SUM(CF!T83:T83))*T9*$B23</f>
        <v>2434.9097864936957</v>
      </c>
      <c r="U23" s="510">
        <f ca="1">(U20/U22+SUM(CF!U83:U83))*U9*$B23</f>
        <v>2362.9086260010927</v>
      </c>
      <c r="V23" s="510">
        <f ca="1">(V20/V22+SUM(CF!V83:V83))*V9*$B23</f>
        <v>2471.5415886716596</v>
      </c>
      <c r="W23" s="510">
        <f ca="1">(W20/W22+SUM(CF!W83:W83))*W9*$B23</f>
        <v>2376.2030087397643</v>
      </c>
      <c r="X23" s="510">
        <f ca="1">(X20/X22+SUM(CF!X83:X83))*X9*$B23</f>
        <v>2508.7200443667057</v>
      </c>
      <c r="Y23" s="510">
        <f ca="1">(Y20/Y22+SUM(CF!Y83:Y83))*Y9*$B23</f>
        <v>2388.5662941292467</v>
      </c>
      <c r="Z23" s="510">
        <f ca="1">(Z20/Z22+SUM(CF!Z83:Z83))*Z9*$B23</f>
        <v>2539.4954686994829</v>
      </c>
      <c r="AA23" s="510">
        <f ca="1">(AA20/AA22+SUM(CF!AA83:AA83))*AA9*$B23</f>
        <v>2407.3009021250778</v>
      </c>
      <c r="AB23" s="510">
        <f ca="1">(AB20/AB22+SUM(CF!AB83:AB83))*AB9*$B23</f>
        <v>2414.7457437252533</v>
      </c>
      <c r="AC23" s="510">
        <f ca="1">(AC20/AC22+SUM(CF!AC83:AC83))*AC9*$B23</f>
        <v>2277.1918272348348</v>
      </c>
      <c r="AD23" s="510">
        <f ca="1">(AD20/AD22+SUM(CF!AD83:AD83))*AD9*$B23</f>
        <v>2453.6116150291564</v>
      </c>
      <c r="AE23" s="510">
        <f ca="1">(AE20/AE22+SUM(CF!AE83:AE83))*AE9*$B23</f>
        <v>2287.9726377316488</v>
      </c>
      <c r="AF23" s="510">
        <f ca="1">(AF20/AF22+SUM(CF!AF83:AF83))*AF9*$B23</f>
        <v>1688.7311752822109</v>
      </c>
      <c r="AG23" s="510">
        <f ca="1">(AG20/AG22+SUM(CF!AG83:AG83))*AG9*$B23</f>
        <v>1558.4026903790832</v>
      </c>
      <c r="AH23" s="510">
        <f ca="1">(AH20/AH22+SUM(CF!AH83:AH83))*AH9*$B23</f>
        <v>1665.7503274515079</v>
      </c>
      <c r="AI23" s="510">
        <f ca="1">(AI20/AI22+SUM(CF!AI83:AI83))*AI9*$B23</f>
        <v>1507.4389068089738</v>
      </c>
      <c r="AJ23" s="510">
        <f ca="1">(AJ20/AJ22+SUM(CF!AJ83:AJ83))*AJ9*$B23</f>
        <v>0</v>
      </c>
      <c r="AK23" s="510">
        <f ca="1">(AK20/AK22+SUM(CF!AK83:AK83))*AK9*$B23</f>
        <v>0</v>
      </c>
      <c r="AL23" s="510">
        <f ca="1">(AL20/AL22+SUM(CF!AL83:AL83))*AL9*$B23</f>
        <v>0</v>
      </c>
      <c r="AM23" s="510">
        <f ca="1">(AM20/AM22+SUM(CF!AM83:AM83))*AM9*$B23</f>
        <v>0</v>
      </c>
      <c r="AN23" s="510">
        <f ca="1">(AN20/AN22+SUM(CF!AN83:AN83))*AN9*$B23</f>
        <v>0</v>
      </c>
      <c r="AO23" s="510">
        <f ca="1">(AO20/AO22+SUM(CF!AO83:AO83))*AO9*$B23</f>
        <v>0</v>
      </c>
      <c r="AP23" s="510">
        <f ca="1">(AP20/AP22+SUM(CF!AP83:AP83))*AP9*$B23</f>
        <v>0</v>
      </c>
      <c r="AQ23" s="510">
        <f ca="1">(AQ20/AQ22+SUM(CF!AQ83:AQ83))*AQ9*$B23</f>
        <v>0</v>
      </c>
      <c r="AR23" s="510">
        <f ca="1">(AR20/AR22+SUM(CF!AR83:AR83))*AR9*$B23</f>
        <v>0</v>
      </c>
      <c r="AS23" s="510">
        <f ca="1">(AS20/AS22+SUM(CF!AS83:AS83))*AS9*$B23</f>
        <v>0</v>
      </c>
      <c r="AT23" s="510">
        <f ca="1">(AT20/AT22+SUM(CF!AT83:AT83))*AT9*$B23</f>
        <v>0</v>
      </c>
      <c r="AU23" s="510">
        <f ca="1">(AU20/AU22+SUM(CF!AU83:AU83))*AU9*$B23</f>
        <v>0</v>
      </c>
      <c r="AV23" s="510">
        <f ca="1">(AV20/AV22+SUM(CF!AV83:AV83))*AV9*$B23</f>
        <v>0</v>
      </c>
      <c r="AW23" s="510">
        <f ca="1">(AW20/AW22+SUM(CF!AW83:AW83))*AW9*$B23</f>
        <v>0</v>
      </c>
      <c r="AX23" s="510">
        <f ca="1">(AX20/AX22+SUM(CF!AX83:AX83))*AX9*$B23</f>
        <v>0</v>
      </c>
      <c r="AY23" s="510">
        <f ca="1">(AY20/AY22+SUM(CF!AY83:AY83))*AY9*$B23</f>
        <v>0</v>
      </c>
      <c r="AZ23" s="510">
        <f ca="1">(AZ20/AZ22+SUM(CF!AZ83:AZ83))*AZ9*$B23</f>
        <v>0</v>
      </c>
      <c r="BA23" s="510">
        <f ca="1">(BA20/BA22+SUM(CF!BA83:BA83))*BA9*$B23</f>
        <v>0</v>
      </c>
      <c r="BB23" s="510">
        <f ca="1">(BB20/BB22+SUM(CF!BB83:BB83))*BB9*$B23</f>
        <v>0</v>
      </c>
      <c r="BC23" s="510">
        <f ca="1">(BC20/BC22+SUM(CF!BC83:BC83))*BC9*$B23</f>
        <v>0</v>
      </c>
      <c r="BD23" s="510">
        <f ca="1">(BD20/BD22+SUM(CF!BD83:BD83))*BD9*$B23</f>
        <v>0</v>
      </c>
      <c r="BE23" s="510">
        <f ca="1">(BE20/BE22+SUM(CF!BE83:BE83))*BE9*$B23</f>
        <v>0</v>
      </c>
      <c r="BF23" s="510">
        <f ca="1">(BF20/BF22+SUM(CF!BF83:BF83))*BF9*$B23</f>
        <v>0</v>
      </c>
      <c r="BG23" s="510">
        <f ca="1">(BG20/BG22+SUM(CF!BG83:BG83))*BG9*$B23</f>
        <v>0</v>
      </c>
      <c r="BH23" s="510">
        <f ca="1">(BH20/BH22+SUM(CF!BH83:BH83))*BH9*$B23</f>
        <v>0</v>
      </c>
      <c r="BI23" s="510">
        <f ca="1">(BI20/BI22+SUM(CF!BI83:BI83))*BI9*$B23</f>
        <v>0</v>
      </c>
      <c r="BJ23" s="510">
        <f ca="1">(BJ20/BJ22+SUM(CF!BJ83:BJ83))*BJ9*$B23</f>
        <v>0</v>
      </c>
      <c r="BK23" s="510">
        <f ca="1">(BK20/BK22+SUM(CF!BK83:BK83))*BK9*$B23</f>
        <v>0</v>
      </c>
      <c r="BL23" s="510">
        <f ca="1">(BL20/BL22+SUM(CF!BL83:BL83))*BL9*$B23</f>
        <v>0</v>
      </c>
      <c r="BM23" s="510">
        <f ca="1">(BM20/BM22+SUM(CF!BM83:BM83))*BM9*$B23</f>
        <v>0</v>
      </c>
      <c r="BN23" s="510">
        <f ca="1">(BN20/BN22+SUM(CF!BN83:BN83))*BN9*$B23</f>
        <v>0</v>
      </c>
      <c r="BO23" s="510">
        <f ca="1">(BO20/BO22+SUM(CF!BO83:BO83))*BO9*$B23</f>
        <v>0</v>
      </c>
      <c r="BP23" s="510"/>
      <c r="BQ23" s="510"/>
      <c r="BR23" s="510"/>
      <c r="BS23" s="510"/>
      <c r="BT23" s="510"/>
      <c r="BU23" s="510"/>
      <c r="BV23" s="510"/>
      <c r="BW23" s="510"/>
      <c r="BX23" s="510"/>
      <c r="BY23" s="510"/>
      <c r="BZ23" s="510"/>
      <c r="CA23" s="510"/>
      <c r="CB23" s="510"/>
      <c r="CC23" s="510"/>
      <c r="CD23" s="510"/>
      <c r="CE23" s="510"/>
      <c r="CF23" s="510"/>
      <c r="CG23" s="510"/>
      <c r="CH23" s="510"/>
      <c r="CI23" s="510"/>
      <c r="CJ23" s="510"/>
      <c r="CK23" s="510"/>
      <c r="CL23" s="510"/>
      <c r="CM23" s="510"/>
      <c r="CN23" s="510"/>
      <c r="CO23" s="510"/>
      <c r="CP23" s="510"/>
      <c r="CQ23" s="510"/>
      <c r="CR23" s="510"/>
      <c r="CS23" s="510"/>
      <c r="CT23" s="510"/>
      <c r="CU23" s="510"/>
      <c r="CV23" s="510"/>
      <c r="CW23" s="510"/>
      <c r="CX23" s="510"/>
      <c r="CY23" s="510"/>
      <c r="CZ23" s="510"/>
      <c r="DA23" s="510"/>
      <c r="DB23" s="510"/>
      <c r="DC23" s="510"/>
      <c r="DD23" s="510"/>
      <c r="DE23" s="510"/>
      <c r="DF23" s="510"/>
      <c r="DG23" s="510"/>
      <c r="DH23" s="510"/>
      <c r="DI23" s="510"/>
      <c r="DJ23" s="510"/>
      <c r="DK23" s="510"/>
      <c r="DL23" s="510"/>
      <c r="DM23" s="510"/>
      <c r="DN23" s="510"/>
      <c r="DO23" s="510"/>
      <c r="DP23" s="510"/>
      <c r="DQ23" s="510"/>
      <c r="DR23" s="510"/>
      <c r="DS23" s="510"/>
      <c r="DT23" s="510"/>
      <c r="DU23" s="510"/>
      <c r="DV23" s="510"/>
      <c r="DW23" s="510"/>
    </row>
    <row r="25" spans="1:127">
      <c r="A25" s="373" t="str">
        <f>Inputs!A262</f>
        <v>J-DSCR</v>
      </c>
      <c r="B25" s="704"/>
      <c r="C25" s="704"/>
      <c r="D25" s="618"/>
      <c r="E25" s="618"/>
      <c r="F25" s="373"/>
      <c r="G25" s="415">
        <f>VLOOKUP(G3,Inputs!$C$262:$D$263,2)</f>
        <v>1</v>
      </c>
      <c r="H25" s="415">
        <f>VLOOKUP(H3,Inputs!$C$262:$D$263,2)</f>
        <v>1</v>
      </c>
      <c r="I25" s="415">
        <f>VLOOKUP(I3,Inputs!$C$262:$D$263,2)</f>
        <v>1</v>
      </c>
      <c r="J25" s="415">
        <f>VLOOKUP(J3,Inputs!$C$262:$D$263,2)</f>
        <v>1</v>
      </c>
      <c r="K25" s="415">
        <f>VLOOKUP(K3,Inputs!$C$262:$D$263,2)</f>
        <v>1</v>
      </c>
      <c r="L25" s="415">
        <f>VLOOKUP(L3,Inputs!$C$262:$D$263,2)</f>
        <v>1</v>
      </c>
      <c r="M25" s="415">
        <f>VLOOKUP(M3,Inputs!$C$262:$D$263,2)</f>
        <v>1</v>
      </c>
      <c r="N25" s="415">
        <f>VLOOKUP(N3,Inputs!$C$262:$D$263,2)</f>
        <v>1</v>
      </c>
      <c r="O25" s="415">
        <f>VLOOKUP(O3,Inputs!$C$262:$D$263,2)</f>
        <v>1</v>
      </c>
      <c r="P25" s="415">
        <f>VLOOKUP(P3,Inputs!$C$262:$D$263,2)</f>
        <v>1</v>
      </c>
      <c r="Q25" s="415">
        <f>VLOOKUP(Q3,Inputs!$C$262:$D$263,2)</f>
        <v>1</v>
      </c>
      <c r="R25" s="415">
        <f>VLOOKUP(R3,Inputs!$C$262:$D$263,2)</f>
        <v>1</v>
      </c>
      <c r="S25" s="415">
        <f>VLOOKUP(S3,Inputs!$C$262:$D$263,2)</f>
        <v>1</v>
      </c>
      <c r="T25" s="415">
        <f>VLOOKUP(T3,Inputs!$C$262:$D$263,2)</f>
        <v>1</v>
      </c>
      <c r="U25" s="415">
        <f>VLOOKUP(U3,Inputs!$C$262:$D$263,2)</f>
        <v>1</v>
      </c>
      <c r="V25" s="415">
        <f>VLOOKUP(V3,Inputs!$C$262:$D$263,2)</f>
        <v>1</v>
      </c>
      <c r="W25" s="415">
        <f>VLOOKUP(W3,Inputs!$C$262:$D$263,2)</f>
        <v>1</v>
      </c>
      <c r="X25" s="415">
        <f>VLOOKUP(X3,Inputs!$C$262:$D$263,2)</f>
        <v>1</v>
      </c>
      <c r="Y25" s="415">
        <f>VLOOKUP(Y3,Inputs!$C$262:$D$263,2)</f>
        <v>1</v>
      </c>
      <c r="Z25" s="415">
        <f>VLOOKUP(Z3,Inputs!$C$262:$D$263,2)</f>
        <v>1</v>
      </c>
      <c r="AA25" s="415">
        <f>VLOOKUP(AA3,Inputs!$C$262:$D$263,2)</f>
        <v>1</v>
      </c>
      <c r="AB25" s="415">
        <f>VLOOKUP(AB3,Inputs!$C$262:$D$263,2)</f>
        <v>1</v>
      </c>
      <c r="AC25" s="415">
        <f>VLOOKUP(AC3,Inputs!$C$262:$D$263,2)</f>
        <v>1</v>
      </c>
      <c r="AD25" s="415">
        <f>VLOOKUP(AD3,Inputs!$C$262:$D$263,2)</f>
        <v>1</v>
      </c>
      <c r="AE25" s="415">
        <f>VLOOKUP(AE3,Inputs!$C$262:$D$263,2)</f>
        <v>1</v>
      </c>
      <c r="AF25" s="415">
        <f>VLOOKUP(AF3,Inputs!$C$262:$D$263,2)</f>
        <v>1</v>
      </c>
      <c r="AG25" s="415">
        <f>VLOOKUP(AG3,Inputs!$C$262:$D$263,2)</f>
        <v>1</v>
      </c>
      <c r="AH25" s="415">
        <f>VLOOKUP(AH3,Inputs!$C$262:$D$263,2)</f>
        <v>1</v>
      </c>
      <c r="AI25" s="415">
        <f>VLOOKUP(AI3,Inputs!$C$262:$D$263,2)</f>
        <v>1</v>
      </c>
      <c r="AJ25" s="415">
        <f>VLOOKUP(AJ3,Inputs!$C$262:$D$263,2)</f>
        <v>1</v>
      </c>
      <c r="AK25" s="415">
        <f>VLOOKUP(AK3,Inputs!$C$262:$D$263,2)</f>
        <v>1</v>
      </c>
      <c r="AL25" s="415">
        <f>VLOOKUP(AL3,Inputs!$C$262:$D$263,2)</f>
        <v>1</v>
      </c>
      <c r="AM25" s="415">
        <f>VLOOKUP(AM3,Inputs!$C$262:$D$263,2)</f>
        <v>1</v>
      </c>
      <c r="AN25" s="415">
        <f>VLOOKUP(AN3,Inputs!$C$262:$D$263,2)</f>
        <v>1</v>
      </c>
      <c r="AO25" s="415">
        <f>VLOOKUP(AO3,Inputs!$C$262:$D$263,2)</f>
        <v>1</v>
      </c>
      <c r="AP25" s="415">
        <f>VLOOKUP(AP3,Inputs!$C$262:$D$263,2)</f>
        <v>1</v>
      </c>
      <c r="AQ25" s="415">
        <f>VLOOKUP(AQ3,Inputs!$C$262:$D$263,2)</f>
        <v>1</v>
      </c>
      <c r="AR25" s="415">
        <f>VLOOKUP(AR3,Inputs!$C$262:$D$263,2)</f>
        <v>1</v>
      </c>
      <c r="AS25" s="415">
        <f>VLOOKUP(AS3,Inputs!$C$262:$D$263,2)</f>
        <v>1</v>
      </c>
      <c r="AT25" s="415">
        <f>VLOOKUP(AT3,Inputs!$C$262:$D$263,2)</f>
        <v>1</v>
      </c>
      <c r="AU25" s="415">
        <f>VLOOKUP(AU3,Inputs!$C$262:$D$263,2)</f>
        <v>1</v>
      </c>
      <c r="AV25" s="415">
        <f>VLOOKUP(AV3,Inputs!$C$262:$D$263,2)</f>
        <v>1</v>
      </c>
      <c r="AW25" s="415">
        <f>VLOOKUP(AW3,Inputs!$C$262:$D$263,2)</f>
        <v>1</v>
      </c>
      <c r="AX25" s="415">
        <f>VLOOKUP(AX3,Inputs!$C$262:$D$263,2)</f>
        <v>1</v>
      </c>
      <c r="AY25" s="415">
        <f>VLOOKUP(AY3,Inputs!$C$262:$D$263,2)</f>
        <v>1</v>
      </c>
      <c r="AZ25" s="415">
        <f>VLOOKUP(AZ3,Inputs!$C$262:$D$263,2)</f>
        <v>1</v>
      </c>
      <c r="BA25" s="415">
        <f>VLOOKUP(BA3,Inputs!$C$262:$D$263,2)</f>
        <v>1</v>
      </c>
      <c r="BB25" s="415">
        <f>VLOOKUP(BB3,Inputs!$C$262:$D$263,2)</f>
        <v>1</v>
      </c>
      <c r="BC25" s="415">
        <f>VLOOKUP(BC3,Inputs!$C$262:$D$263,2)</f>
        <v>1</v>
      </c>
      <c r="BD25" s="415">
        <f>VLOOKUP(BD3,Inputs!$C$262:$D$263,2)</f>
        <v>1</v>
      </c>
      <c r="BE25" s="415">
        <f>VLOOKUP(BE3,Inputs!$C$262:$D$263,2)</f>
        <v>1</v>
      </c>
      <c r="BF25" s="415">
        <f>VLOOKUP(BF3,Inputs!$C$262:$D$263,2)</f>
        <v>1</v>
      </c>
      <c r="BG25" s="415">
        <f>VLOOKUP(BG3,Inputs!$C$262:$D$263,2)</f>
        <v>1</v>
      </c>
      <c r="BH25" s="415">
        <f>VLOOKUP(BH3,Inputs!$C$262:$D$263,2)</f>
        <v>1</v>
      </c>
      <c r="BI25" s="415">
        <f>VLOOKUP(BI3,Inputs!$C$262:$D$263,2)</f>
        <v>1</v>
      </c>
      <c r="BJ25" s="415">
        <f>VLOOKUP(BJ3,Inputs!$C$262:$D$263,2)</f>
        <v>1</v>
      </c>
      <c r="BK25" s="415">
        <f>VLOOKUP(BK3,Inputs!$C$262:$D$263,2)</f>
        <v>1</v>
      </c>
      <c r="BL25" s="415">
        <f>VLOOKUP(BL3,Inputs!$C$262:$D$263,2)</f>
        <v>1</v>
      </c>
      <c r="BM25" s="415">
        <f>VLOOKUP(BM3,Inputs!$C$262:$D$263,2)</f>
        <v>1</v>
      </c>
      <c r="BN25" s="415">
        <f>VLOOKUP(BN3,Inputs!$C$262:$D$263,2)</f>
        <v>1</v>
      </c>
      <c r="BO25" s="415">
        <f>VLOOKUP(BO3,Inputs!$C$262:$D$263,2)</f>
        <v>1</v>
      </c>
      <c r="BP25" s="415"/>
      <c r="BQ25" s="415"/>
      <c r="BR25" s="415"/>
      <c r="BS25" s="415"/>
      <c r="BT25" s="415"/>
      <c r="BU25" s="415"/>
      <c r="BV25" s="415"/>
      <c r="BW25" s="415"/>
      <c r="BX25" s="415"/>
      <c r="BY25" s="415"/>
      <c r="BZ25" s="415"/>
      <c r="CA25" s="415"/>
      <c r="CB25" s="415"/>
      <c r="CC25" s="415"/>
      <c r="CD25" s="415"/>
      <c r="CE25" s="415"/>
      <c r="CF25" s="415"/>
      <c r="CG25" s="415"/>
      <c r="CH25" s="415"/>
      <c r="CI25" s="415"/>
      <c r="CJ25" s="415"/>
      <c r="CK25" s="415"/>
      <c r="CL25" s="415"/>
      <c r="CM25" s="415"/>
      <c r="CN25" s="415"/>
      <c r="CO25" s="415"/>
      <c r="CP25" s="415"/>
      <c r="CQ25" s="415"/>
      <c r="CR25" s="415"/>
      <c r="CS25" s="415"/>
      <c r="CT25" s="415"/>
      <c r="CU25" s="415"/>
      <c r="CV25" s="415"/>
      <c r="CW25" s="415"/>
      <c r="CX25" s="415"/>
      <c r="CY25" s="415"/>
      <c r="CZ25" s="415"/>
      <c r="DA25" s="415"/>
      <c r="DB25" s="415"/>
      <c r="DC25" s="415"/>
      <c r="DD25" s="415"/>
      <c r="DE25" s="415"/>
      <c r="DF25" s="415"/>
      <c r="DG25" s="415"/>
      <c r="DH25" s="415"/>
      <c r="DI25" s="415"/>
      <c r="DJ25" s="415"/>
      <c r="DK25" s="415"/>
      <c r="DL25" s="415"/>
      <c r="DM25" s="415"/>
      <c r="DN25" s="415"/>
      <c r="DO25" s="415"/>
      <c r="DP25" s="415"/>
      <c r="DQ25" s="415"/>
      <c r="DR25" s="415"/>
      <c r="DS25" s="415"/>
      <c r="DT25" s="415"/>
      <c r="DU25" s="415"/>
      <c r="DV25" s="415"/>
      <c r="DW25" s="415"/>
    </row>
    <row r="26" spans="1:127">
      <c r="A26" s="874" t="s">
        <v>1230</v>
      </c>
      <c r="B26" s="704" t="b">
        <f>Inputs!$C$255</f>
        <v>0</v>
      </c>
      <c r="C26" s="704"/>
      <c r="D26" s="512"/>
      <c r="E26" s="512"/>
      <c r="F26" s="373"/>
      <c r="G26" s="510">
        <f>(G20/G25-G57-G92+CF!G83)*G12*$B26</f>
        <v>0</v>
      </c>
      <c r="H26" s="510">
        <f ca="1">(H20/H25-H57-H92+CF!H83)*H12*$B26</f>
        <v>0</v>
      </c>
      <c r="I26" s="510">
        <f ca="1">(I20/I25-I57-I92+CF!I83)*I12*$B26</f>
        <v>0</v>
      </c>
      <c r="J26" s="510">
        <f ca="1">(J20/J25-J57-J92+CF!J83)*J12*$B26</f>
        <v>0</v>
      </c>
      <c r="K26" s="510">
        <f ca="1">(K20/K25-K57-K92+CF!K83)*K12*$B26</f>
        <v>0</v>
      </c>
      <c r="L26" s="510">
        <f ca="1">(L20/L25-L57-L92+CF!L83)*L12*$B26</f>
        <v>0</v>
      </c>
      <c r="M26" s="510">
        <f ca="1">(M20/M25-M57-M92+CF!M83)*M12*$B26</f>
        <v>0</v>
      </c>
      <c r="N26" s="510">
        <f ca="1">(N20/N25-N57-N92+CF!N83)*N12*$B26</f>
        <v>0</v>
      </c>
      <c r="O26" s="510">
        <f ca="1">(O20/O25-O57-O92+CF!O83)*O12*$B26</f>
        <v>0</v>
      </c>
      <c r="P26" s="510">
        <f ca="1">(P20/P25-P57-P92+CF!P83)*P12*$B26</f>
        <v>0</v>
      </c>
      <c r="Q26" s="510">
        <f ca="1">(Q20/Q25-Q57-Q92+CF!Q83)*Q12*$B26</f>
        <v>0</v>
      </c>
      <c r="R26" s="510">
        <f ca="1">(R20/R25-R57-R92+CF!R83)*R12*$B26</f>
        <v>0</v>
      </c>
      <c r="S26" s="510">
        <f ca="1">(S20/S25-S57-S92+CF!S83)*S12*$B26</f>
        <v>0</v>
      </c>
      <c r="T26" s="510">
        <f ca="1">(T20/T25-T57-T92+CF!T83)*T12*$B26</f>
        <v>0</v>
      </c>
      <c r="U26" s="510">
        <f ca="1">(U20/U25-U57-U92+CF!U83)*U12*$B26</f>
        <v>0</v>
      </c>
      <c r="V26" s="510">
        <f ca="1">(V20/V25-V57-V92+CF!V83)*V12*$B26</f>
        <v>0</v>
      </c>
      <c r="W26" s="510">
        <f ca="1">(W20/W25-W57-W92+CF!W83)*W12*$B26</f>
        <v>0</v>
      </c>
      <c r="X26" s="510">
        <f ca="1">(X20/X25-X57-X92+CF!X83)*X12*$B26</f>
        <v>0</v>
      </c>
      <c r="Y26" s="510">
        <f ca="1">(Y20/Y25-Y57-Y92+CF!Y83)*Y12*$B26</f>
        <v>0</v>
      </c>
      <c r="Z26" s="510">
        <f ca="1">(Z20/Z25-Z57-Z92+CF!Z83)*Z12*$B26</f>
        <v>0</v>
      </c>
      <c r="AA26" s="510">
        <f ca="1">(AA20/AA25-AA57-AA92+CF!AA83)*AA12*$B26</f>
        <v>0</v>
      </c>
      <c r="AB26" s="510">
        <f ca="1">(AB20/AB25-AB57-AB92+CF!AB83)*AB12*$B26</f>
        <v>0</v>
      </c>
      <c r="AC26" s="510">
        <f ca="1">(AC20/AC25-AC57-AC92+CF!AC83)*AC12*$B26</f>
        <v>0</v>
      </c>
      <c r="AD26" s="510">
        <f ca="1">(AD20/AD25-AD57-AD92+CF!AD83)*AD12*$B26</f>
        <v>0</v>
      </c>
      <c r="AE26" s="510">
        <f ca="1">(AE20/AE25-AE57-AE92+CF!AE83)*AE12*$B26</f>
        <v>0</v>
      </c>
      <c r="AF26" s="510">
        <f ca="1">(AF20/AF25-AF57-AF92+CF!AF83)*AF12*$B26</f>
        <v>0</v>
      </c>
      <c r="AG26" s="510">
        <f ca="1">(AG20/AG25-AG57-AG92+CF!AG83)*AG12*$B26</f>
        <v>0</v>
      </c>
      <c r="AH26" s="510">
        <f ca="1">(AH20/AH25-AH57-AH92+CF!AH83)*AH12*$B26</f>
        <v>0</v>
      </c>
      <c r="AI26" s="510">
        <f ca="1">(AI20/AI25-AI57-AI92+CF!AI83)*AI12*$B26</f>
        <v>0</v>
      </c>
      <c r="AJ26" s="510">
        <f ca="1">(AJ20/AJ25-AJ57-AJ92+CF!AJ83)*AJ12*$B26</f>
        <v>0</v>
      </c>
      <c r="AK26" s="510">
        <f ca="1">(AK20/AK25-AK57-AK92+CF!AK83)*AK12*$B26</f>
        <v>0</v>
      </c>
      <c r="AL26" s="510">
        <f ca="1">(AL20/AL25-AL57-AL92+CF!AL83)*AL12*$B26</f>
        <v>0</v>
      </c>
      <c r="AM26" s="510">
        <f ca="1">(AM20/AM25-AM57-AM92+CF!AM83)*AM12*$B26</f>
        <v>0</v>
      </c>
      <c r="AN26" s="510">
        <f ca="1">(AN20/AN25-AN57-AN92+CF!AN83)*AN12*$B26</f>
        <v>0</v>
      </c>
      <c r="AO26" s="510">
        <f ca="1">(AO20/AO25-AO57-AO92+CF!AO83)*AO12*$B26</f>
        <v>0</v>
      </c>
      <c r="AP26" s="510">
        <f ca="1">(AP20/AP25-AP57-AP92+CF!AP83)*AP12*$B26</f>
        <v>0</v>
      </c>
      <c r="AQ26" s="510">
        <f ca="1">(AQ20/AQ25-AQ57-AQ92+CF!AQ83)*AQ12*$B26</f>
        <v>0</v>
      </c>
      <c r="AR26" s="510">
        <f ca="1">(AR20/AR25-AR57-AR92+CF!AR83)*AR12*$B26</f>
        <v>0</v>
      </c>
      <c r="AS26" s="510">
        <f ca="1">(AS20/AS25-AS57-AS92+CF!AS83)*AS12*$B26</f>
        <v>0</v>
      </c>
      <c r="AT26" s="510">
        <f ca="1">(AT20/AT25-AT57-AT92+CF!AT83)*AT12*$B26</f>
        <v>0</v>
      </c>
      <c r="AU26" s="510">
        <f ca="1">(AU20/AU25-AU57-AU92+CF!AU83)*AU12*$B26</f>
        <v>0</v>
      </c>
      <c r="AV26" s="510">
        <f ca="1">(AV20/AV25-AV57-AV92+CF!AV83)*AV12*$B26</f>
        <v>0</v>
      </c>
      <c r="AW26" s="510">
        <f ca="1">(AW20/AW25-AW57-AW92+CF!AW83)*AW12*$B26</f>
        <v>0</v>
      </c>
      <c r="AX26" s="510">
        <f ca="1">(AX20/AX25-AX57-AX92+CF!AX83)*AX12*$B26</f>
        <v>0</v>
      </c>
      <c r="AY26" s="510">
        <f ca="1">(AY20/AY25-AY57-AY92+CF!AY83)*AY12*$B26</f>
        <v>0</v>
      </c>
      <c r="AZ26" s="510">
        <f ca="1">(AZ20/AZ25-AZ57-AZ92+CF!AZ83)*AZ12*$B26</f>
        <v>0</v>
      </c>
      <c r="BA26" s="510">
        <f ca="1">(BA20/BA25-BA57-BA92+CF!BA83)*BA12*$B26</f>
        <v>0</v>
      </c>
      <c r="BB26" s="510">
        <f ca="1">(BB20/BB25-BB57-BB92+CF!BB83)*BB12*$B26</f>
        <v>0</v>
      </c>
      <c r="BC26" s="510">
        <f ca="1">(BC20/BC25-BC57-BC92+CF!BC83)*BC12*$B26</f>
        <v>0</v>
      </c>
      <c r="BD26" s="510">
        <f ca="1">(BD20/BD25-BD57-BD92+CF!BD83)*BD12*$B26</f>
        <v>0</v>
      </c>
      <c r="BE26" s="510">
        <f ca="1">(BE20/BE25-BE57-BE92+CF!BE83)*BE12*$B26</f>
        <v>0</v>
      </c>
      <c r="BF26" s="510">
        <f ca="1">(BF20/BF25-BF57-BF92+CF!BF83)*BF12*$B26</f>
        <v>0</v>
      </c>
      <c r="BG26" s="510">
        <f ca="1">(BG20/BG25-BG57-BG92+CF!BG83)*BG12*$B26</f>
        <v>0</v>
      </c>
      <c r="BH26" s="510">
        <f ca="1">(BH20/BH25-BH57-BH92+CF!BH83)*BH12*$B26</f>
        <v>0</v>
      </c>
      <c r="BI26" s="510">
        <f ca="1">(BI20/BI25-BI57-BI92+CF!BI83)*BI12*$B26</f>
        <v>0</v>
      </c>
      <c r="BJ26" s="510">
        <f ca="1">(BJ20/BJ25-BJ57-BJ92+CF!BJ83)*BJ12*$B26</f>
        <v>0</v>
      </c>
      <c r="BK26" s="510">
        <f ca="1">(BK20/BK25-BK57-BK92+CF!BK83)*BK12*$B26</f>
        <v>0</v>
      </c>
      <c r="BL26" s="510">
        <f ca="1">(BL20/BL25-BL57-BL92+CF!BL83)*BL12*$B26</f>
        <v>0</v>
      </c>
      <c r="BM26" s="510">
        <f ca="1">(BM20/BM25-BM57-BM92+CF!BM83)*BM12*$B26</f>
        <v>0</v>
      </c>
      <c r="BN26" s="510">
        <f ca="1">(BN20/BN25-BN57-BN92+CF!BN83)*BN12*$B26</f>
        <v>0</v>
      </c>
      <c r="BO26" s="510">
        <f ca="1">(BO20/BO25-BO57-BO92+CF!BO83)*BO12*$B26</f>
        <v>0</v>
      </c>
      <c r="BP26" s="510"/>
      <c r="BQ26" s="510"/>
      <c r="BR26" s="510"/>
      <c r="BS26" s="510"/>
      <c r="BT26" s="510"/>
      <c r="BU26" s="510"/>
      <c r="BV26" s="510"/>
      <c r="BW26" s="510"/>
      <c r="BX26" s="510"/>
      <c r="BY26" s="510"/>
      <c r="BZ26" s="510"/>
      <c r="CA26" s="510"/>
      <c r="CB26" s="510"/>
      <c r="CC26" s="510"/>
      <c r="CD26" s="510"/>
      <c r="CE26" s="510"/>
      <c r="CF26" s="510"/>
      <c r="CG26" s="510"/>
      <c r="CH26" s="510"/>
      <c r="CI26" s="510"/>
      <c r="CJ26" s="510"/>
      <c r="CK26" s="510"/>
      <c r="CL26" s="510"/>
      <c r="CM26" s="510"/>
      <c r="CN26" s="510"/>
      <c r="CO26" s="510"/>
      <c r="CP26" s="510"/>
      <c r="CQ26" s="510"/>
      <c r="CR26" s="510"/>
      <c r="CS26" s="510"/>
      <c r="CT26" s="510"/>
      <c r="CU26" s="510"/>
      <c r="CV26" s="510"/>
      <c r="CW26" s="510"/>
      <c r="CX26" s="510"/>
      <c r="CY26" s="510"/>
      <c r="CZ26" s="510"/>
      <c r="DA26" s="510"/>
      <c r="DB26" s="510"/>
      <c r="DC26" s="510"/>
      <c r="DD26" s="510"/>
      <c r="DE26" s="510"/>
      <c r="DF26" s="510"/>
      <c r="DG26" s="510"/>
      <c r="DH26" s="510"/>
      <c r="DI26" s="510"/>
      <c r="DJ26" s="510"/>
      <c r="DK26" s="510"/>
      <c r="DL26" s="510"/>
      <c r="DM26" s="510"/>
      <c r="DN26" s="510"/>
      <c r="DO26" s="510"/>
      <c r="DP26" s="510"/>
      <c r="DQ26" s="510"/>
      <c r="DR26" s="510"/>
      <c r="DS26" s="510"/>
      <c r="DT26" s="510"/>
      <c r="DU26" s="510"/>
      <c r="DV26" s="510"/>
      <c r="DW26" s="510"/>
    </row>
    <row r="27" spans="1:127">
      <c r="A27" s="314"/>
      <c r="B27" s="703"/>
      <c r="C27" s="703"/>
      <c r="D27" s="610"/>
      <c r="E27" s="610"/>
      <c r="F27" s="373"/>
      <c r="G27" s="544"/>
      <c r="H27" s="610"/>
      <c r="I27" s="610"/>
      <c r="J27" s="610"/>
      <c r="K27" s="610"/>
      <c r="L27" s="610"/>
      <c r="M27" s="610"/>
      <c r="N27" s="610"/>
      <c r="O27" s="610"/>
      <c r="P27" s="610"/>
      <c r="Q27" s="610"/>
      <c r="R27" s="610"/>
      <c r="S27" s="610"/>
      <c r="T27" s="610"/>
      <c r="U27" s="610"/>
      <c r="V27" s="610"/>
      <c r="W27" s="610"/>
      <c r="X27" s="610"/>
      <c r="Y27" s="610"/>
      <c r="Z27" s="610"/>
      <c r="AA27" s="610"/>
      <c r="AB27" s="610"/>
      <c r="AC27" s="610"/>
      <c r="AD27" s="610"/>
      <c r="AE27" s="610"/>
      <c r="AF27" s="610"/>
      <c r="AG27" s="610"/>
      <c r="AH27" s="610"/>
      <c r="AI27" s="610"/>
      <c r="AJ27" s="610"/>
      <c r="AK27" s="610"/>
      <c r="AL27" s="610"/>
      <c r="AM27" s="610"/>
      <c r="AN27" s="610"/>
      <c r="AO27" s="610"/>
      <c r="AP27" s="610"/>
      <c r="AQ27" s="610"/>
      <c r="AR27" s="610"/>
      <c r="AS27" s="610"/>
      <c r="AT27" s="610"/>
      <c r="AU27" s="610"/>
      <c r="AV27" s="610"/>
      <c r="AW27" s="610"/>
      <c r="AX27" s="610"/>
      <c r="AY27" s="610"/>
      <c r="AZ27" s="610"/>
      <c r="BA27" s="610"/>
      <c r="BB27" s="610"/>
      <c r="BC27" s="610"/>
      <c r="BD27" s="610"/>
      <c r="BE27" s="610"/>
      <c r="BF27" s="610"/>
      <c r="BG27" s="610"/>
      <c r="BH27" s="610"/>
      <c r="BI27" s="610"/>
      <c r="BJ27" s="610"/>
      <c r="BK27" s="610"/>
      <c r="BL27" s="610"/>
      <c r="BM27" s="610"/>
      <c r="BN27" s="610"/>
      <c r="BO27" s="610"/>
      <c r="BP27" s="610"/>
      <c r="BQ27" s="610"/>
      <c r="BR27" s="610"/>
      <c r="BS27" s="610"/>
      <c r="BT27" s="610"/>
      <c r="BU27" s="610"/>
      <c r="BV27" s="610"/>
      <c r="BW27" s="610"/>
      <c r="BX27" s="610"/>
      <c r="BY27" s="610"/>
      <c r="BZ27" s="610"/>
      <c r="CA27" s="610"/>
      <c r="CB27" s="610"/>
      <c r="CC27" s="610"/>
      <c r="CD27" s="610"/>
      <c r="CE27" s="610"/>
      <c r="CF27" s="610"/>
      <c r="CG27" s="610"/>
      <c r="CH27" s="610"/>
      <c r="CI27" s="610"/>
      <c r="CJ27" s="610"/>
      <c r="CK27" s="610"/>
      <c r="CL27" s="610"/>
      <c r="CM27" s="610"/>
      <c r="CN27" s="610"/>
      <c r="CO27" s="610"/>
      <c r="CP27" s="610"/>
      <c r="CQ27" s="610"/>
      <c r="CR27" s="610"/>
      <c r="CS27" s="610"/>
      <c r="CT27" s="610"/>
      <c r="CU27" s="610"/>
      <c r="CV27" s="610"/>
      <c r="CW27" s="610"/>
      <c r="CX27" s="610"/>
      <c r="CY27" s="610"/>
      <c r="CZ27" s="610"/>
      <c r="DA27" s="610"/>
      <c r="DB27" s="610"/>
      <c r="DC27" s="610"/>
      <c r="DD27" s="610"/>
      <c r="DE27" s="610"/>
      <c r="DF27" s="610"/>
      <c r="DG27" s="610"/>
      <c r="DH27" s="610"/>
      <c r="DI27" s="610"/>
      <c r="DJ27" s="610"/>
      <c r="DK27" s="610"/>
      <c r="DL27" s="610"/>
      <c r="DM27" s="610"/>
      <c r="DN27" s="610"/>
      <c r="DO27" s="610"/>
      <c r="DP27" s="610"/>
      <c r="DQ27" s="610"/>
      <c r="DR27" s="610"/>
      <c r="DS27" s="610"/>
      <c r="DT27" s="610"/>
      <c r="DU27" s="610"/>
      <c r="DV27" s="610"/>
      <c r="DW27" s="610"/>
    </row>
    <row r="28" spans="1:127">
      <c r="A28" s="861" t="str">
        <f>Inputs!A273</f>
        <v>VAT Facility</v>
      </c>
      <c r="B28" s="862"/>
      <c r="C28" s="862"/>
      <c r="D28" s="864"/>
      <c r="E28" s="864"/>
      <c r="F28" s="863"/>
      <c r="G28" s="1068"/>
      <c r="H28" s="1069"/>
      <c r="I28" s="1069"/>
      <c r="J28" s="1069"/>
      <c r="K28" s="1069"/>
      <c r="L28" s="1069"/>
      <c r="M28" s="1069"/>
      <c r="N28" s="1069"/>
      <c r="O28" s="1069"/>
      <c r="P28" s="1069"/>
      <c r="Q28" s="1069"/>
      <c r="R28" s="1069"/>
      <c r="S28" s="1069"/>
      <c r="T28" s="1069"/>
      <c r="U28" s="1069"/>
      <c r="V28" s="1069"/>
      <c r="W28" s="1069"/>
      <c r="X28" s="1069"/>
      <c r="Y28" s="1069"/>
      <c r="Z28" s="1069"/>
      <c r="AA28" s="1069"/>
      <c r="AB28" s="1069"/>
      <c r="AC28" s="1069"/>
      <c r="AD28" s="1069"/>
      <c r="AE28" s="1069"/>
      <c r="AF28" s="1069"/>
      <c r="AG28" s="1069"/>
      <c r="AH28" s="1069"/>
      <c r="AI28" s="1069"/>
      <c r="AJ28" s="1069"/>
      <c r="AK28" s="1069"/>
      <c r="AL28" s="1069"/>
      <c r="AM28" s="1069"/>
      <c r="AN28" s="1069"/>
      <c r="AO28" s="1069"/>
      <c r="AP28" s="1069"/>
      <c r="AQ28" s="1069"/>
      <c r="AR28" s="1069"/>
      <c r="AS28" s="1069"/>
      <c r="AT28" s="1069"/>
      <c r="AU28" s="1069"/>
      <c r="AV28" s="1069"/>
      <c r="AW28" s="1069"/>
      <c r="AX28" s="1069"/>
      <c r="AY28" s="1069"/>
      <c r="AZ28" s="1069"/>
      <c r="BA28" s="1069"/>
      <c r="BB28" s="1069"/>
      <c r="BC28" s="1069"/>
      <c r="BD28" s="1069"/>
      <c r="BE28" s="1069"/>
      <c r="BF28" s="1069"/>
      <c r="BG28" s="1069"/>
      <c r="BH28" s="1069"/>
      <c r="BI28" s="1069"/>
      <c r="BJ28" s="1069"/>
      <c r="BK28" s="1069"/>
      <c r="BL28" s="1069"/>
      <c r="BM28" s="1069"/>
      <c r="BN28" s="1069"/>
      <c r="BO28" s="1069"/>
      <c r="BP28" s="1069"/>
      <c r="BQ28" s="1069"/>
      <c r="BR28" s="1069"/>
      <c r="BS28" s="1069"/>
      <c r="BT28" s="1069"/>
      <c r="BU28" s="1069"/>
      <c r="BV28" s="1069"/>
      <c r="BW28" s="1069"/>
      <c r="BX28" s="1069"/>
      <c r="BY28" s="1069"/>
      <c r="BZ28" s="1069"/>
      <c r="CA28" s="1069"/>
      <c r="CB28" s="1069"/>
      <c r="CC28" s="1069"/>
      <c r="CD28" s="1069"/>
      <c r="CE28" s="1069"/>
      <c r="CF28" s="1069"/>
      <c r="CG28" s="1069"/>
      <c r="CH28" s="1069"/>
      <c r="CI28" s="1069"/>
      <c r="CJ28" s="1069"/>
      <c r="CK28" s="1069"/>
      <c r="CL28" s="1069"/>
      <c r="CM28" s="1069"/>
      <c r="CN28" s="1069"/>
      <c r="CO28" s="1069"/>
      <c r="CP28" s="1069"/>
      <c r="CQ28" s="1069"/>
      <c r="CR28" s="1069"/>
      <c r="CS28" s="1069"/>
      <c r="CT28" s="1069"/>
      <c r="CU28" s="1069"/>
      <c r="CV28" s="1069"/>
      <c r="CW28" s="1069"/>
      <c r="CX28" s="1069"/>
      <c r="CY28" s="1069"/>
      <c r="CZ28" s="1069"/>
      <c r="DA28" s="1069"/>
      <c r="DB28" s="1069"/>
      <c r="DC28" s="1069"/>
      <c r="DD28" s="1069"/>
      <c r="DE28" s="1069"/>
      <c r="DF28" s="1069"/>
      <c r="DG28" s="1069"/>
      <c r="DH28" s="1069"/>
      <c r="DI28" s="1069"/>
      <c r="DJ28" s="1069"/>
      <c r="DK28" s="1069"/>
      <c r="DL28" s="1069"/>
      <c r="DM28" s="1069"/>
      <c r="DN28" s="1069"/>
      <c r="DO28" s="1069"/>
      <c r="DP28" s="1069"/>
      <c r="DQ28" s="1069"/>
      <c r="DR28" s="1069"/>
      <c r="DS28" s="1069"/>
      <c r="DT28" s="1069"/>
      <c r="DU28" s="1069"/>
      <c r="DV28" s="1069"/>
      <c r="DW28" s="1069"/>
    </row>
    <row r="29" spans="1:127">
      <c r="A29" s="314" t="str">
        <f>"FCF for "&amp;A28</f>
        <v>FCF for VAT Facility</v>
      </c>
      <c r="B29" s="843">
        <f>Inputs!$D$438</f>
        <v>0.17</v>
      </c>
      <c r="C29" s="843">
        <f>Inputs!$D$278</f>
        <v>1</v>
      </c>
      <c r="D29" s="610"/>
      <c r="E29" s="610"/>
      <c r="F29" s="373"/>
      <c r="G29" s="810">
        <f>(CF!G23*$C$29+CF!G49)*$B29</f>
        <v>0</v>
      </c>
      <c r="H29" s="810">
        <f>(CF!H23*$C$29+CF!H49)*$B29</f>
        <v>437.75058221302658</v>
      </c>
      <c r="I29" s="810">
        <f>(CF!I23*$C$29+CF!I49)*$B29</f>
        <v>430.61334445955345</v>
      </c>
      <c r="J29" s="810">
        <f>(CF!J23*$C$29+CF!J49)*$B29</f>
        <v>438.02264112828374</v>
      </c>
      <c r="K29" s="810">
        <f>(CF!K23*$C$29+CF!K49)*$B29</f>
        <v>443.83916137828777</v>
      </c>
      <c r="L29" s="810">
        <f>(CF!L23*$C$29+CF!L49)*$B29</f>
        <v>448.41758314119454</v>
      </c>
      <c r="M29" s="810">
        <f>(CF!M23*$C$29+CF!M49)*$B29</f>
        <v>451.82269405981276</v>
      </c>
      <c r="N29" s="810">
        <f>(CF!N23*$C$29+CF!N49)*$B29</f>
        <v>455.16652570648262</v>
      </c>
      <c r="O29" s="810">
        <f>(CF!O23*$C$29+CF!O49)*$B29</f>
        <v>458.63220249133281</v>
      </c>
      <c r="P29" s="810">
        <f>(CF!P23*$C$29+CF!P49)*$B29</f>
        <v>462.01641635902365</v>
      </c>
      <c r="Q29" s="810">
        <f>(CF!Q23*$C$29+CF!Q49)*$B29</f>
        <v>465.54372911671305</v>
      </c>
      <c r="R29" s="810">
        <f>(CF!R23*$C$29+CF!R49)*$B29</f>
        <v>467.68737015626544</v>
      </c>
      <c r="S29" s="810">
        <f>(CF!S23*$C$29+CF!S49)*$B29</f>
        <v>473.87128813379178</v>
      </c>
      <c r="T29" s="810">
        <f>(CF!T23*$C$29+CF!T49)*$B29</f>
        <v>476.02486325951747</v>
      </c>
      <c r="U29" s="810">
        <f>(CF!U23*$C$29+CF!U49)*$B29</f>
        <v>479.6787370128576</v>
      </c>
      <c r="V29" s="810">
        <f>(CF!V23*$C$29+CF!V49)*$B29</f>
        <v>483.18638058530945</v>
      </c>
      <c r="W29" s="810">
        <f>(CF!W23*$C$29+CF!W49)*$B29</f>
        <v>486.90521963647603</v>
      </c>
      <c r="X29" s="810">
        <f>(CF!X23*$C$29+CF!X49)*$B29</f>
        <v>490.45476867369092</v>
      </c>
      <c r="Y29" s="810">
        <f>(CF!Y23*$C$29+CF!Y49)*$B29</f>
        <v>494.23972369294154</v>
      </c>
      <c r="Z29" s="810">
        <f>(CF!Z23*$C$29+CF!Z49)*$B29</f>
        <v>496.4713641307489</v>
      </c>
      <c r="AA29" s="810">
        <f>(CF!AA23*$C$29+CF!AA49)*$B29</f>
        <v>503.07724228517679</v>
      </c>
      <c r="AB29" s="810">
        <f>(CF!AB23*$C$29+CF!AB49)*$B29</f>
        <v>472.08279289828704</v>
      </c>
      <c r="AC29" s="810">
        <f>(CF!AC23*$C$29+CF!AC49)*$B29</f>
        <v>476.5453999447501</v>
      </c>
      <c r="AD29" s="810">
        <f>(CF!AD23*$C$29+CF!AD49)*$B29</f>
        <v>479.68107073820005</v>
      </c>
      <c r="AE29" s="810">
        <f>(CF!AE23*$C$29+CF!AE49)*$B29</f>
        <v>484.21337379682706</v>
      </c>
      <c r="AF29" s="810">
        <f>(CF!AF23*$C$29+CF!AF49)*$B29</f>
        <v>508.72921144463777</v>
      </c>
      <c r="AG29" s="810">
        <f>(CF!AG23*$C$29+CF!AG49)*$B29</f>
        <v>506.5836636618256</v>
      </c>
      <c r="AH29" s="810">
        <f>(CF!AH23*$C$29+CF!AH49)*$B29</f>
        <v>508.59563491114784</v>
      </c>
      <c r="AI29" s="810">
        <f>(CF!AI23*$C$29+CF!AI49)*$B29</f>
        <v>504.80833241505661</v>
      </c>
      <c r="AJ29" s="810">
        <f>(CF!AJ23*$C$29+CF!AJ49)*$B29</f>
        <v>509.07319572635578</v>
      </c>
      <c r="AK29" s="810">
        <f>(CF!AK23*$C$29+CF!AK49)*$B29</f>
        <v>484.26677399560236</v>
      </c>
      <c r="AL29" s="810">
        <f>(CF!AL23*$C$29+CF!AL49)*$B29</f>
        <v>487.3391631282646</v>
      </c>
      <c r="AM29" s="810">
        <f>(CF!AM23*$C$29+CF!AM49)*$B29</f>
        <v>493.74315623616855</v>
      </c>
      <c r="AN29" s="810">
        <f>(CF!AN23*$C$29+CF!AN49)*$B29</f>
        <v>496.87839920700122</v>
      </c>
      <c r="AO29" s="810">
        <f>(CF!AO23*$C$29+CF!AO49)*$B29</f>
        <v>503.13029649348925</v>
      </c>
      <c r="AP29" s="810">
        <f>(CF!AP23*$C$29+CF!AP49)*$B29</f>
        <v>504.94275863049347</v>
      </c>
      <c r="AQ29" s="810">
        <f>(CF!AQ23*$C$29+CF!AQ49)*$B29</f>
        <v>513.70594613582114</v>
      </c>
      <c r="AR29" s="810">
        <f>(CF!AR23*$C$29+CF!AR49)*$B29</f>
        <v>515.53549000962812</v>
      </c>
      <c r="AS29" s="810">
        <f>(CF!AS23*$C$29+CF!AS49)*$B29</f>
        <v>521.48655365878926</v>
      </c>
      <c r="AT29" s="810">
        <f>(CF!AT23*$C$29+CF!AT49)*$B29</f>
        <v>524.79500952548869</v>
      </c>
      <c r="AU29" s="810">
        <f>(CF!AU23*$C$29+CF!AU49)*$B29</f>
        <v>530.59778368251011</v>
      </c>
      <c r="AV29" s="810">
        <f>(CF!AV23*$C$29+CF!AV49)*$B29</f>
        <v>533.95993617928707</v>
      </c>
      <c r="AW29" s="810">
        <f>(CF!AW23*$C$29+CF!AW49)*$B29</f>
        <v>543.70932030296558</v>
      </c>
      <c r="AX29" s="810">
        <f>(CF!AX23*$C$29+CF!AX49)*$B29</f>
        <v>545.67899009716473</v>
      </c>
      <c r="AY29" s="810">
        <f>(CF!AY23*$C$29+CF!AY49)*$B29</f>
        <v>554.15866514686365</v>
      </c>
      <c r="AZ29" s="810">
        <f>(CF!AZ23*$C$29+CF!AZ49)*$B29</f>
        <v>556.13721893666707</v>
      </c>
      <c r="BA29" s="810">
        <f>(CF!BA23*$C$29+CF!BA49)*$B29</f>
        <v>561.2870508915579</v>
      </c>
      <c r="BB29" s="810">
        <f>(CF!BB23*$C$29+CF!BB49)*$B29</f>
        <v>564.8449365781637</v>
      </c>
      <c r="BC29" s="810">
        <f>(CF!BC23*$C$29+CF!BC49)*$B29</f>
        <v>574.22957036228729</v>
      </c>
      <c r="BD29" s="810">
        <f>(CF!BD23*$C$29+CF!BD49)*$B29</f>
        <v>577.8841074233975</v>
      </c>
      <c r="BE29" s="810">
        <f>(CF!BE23*$C$29+CF!BE49)*$B29</f>
        <v>582.68458138496953</v>
      </c>
      <c r="BF29" s="810">
        <f>(CF!BF23*$C$29+CF!BF49)*$B29</f>
        <v>584.77620743243574</v>
      </c>
      <c r="BG29" s="810">
        <f>(CF!BG23*$C$29+CF!BG49)*$B29</f>
        <v>590.1704795501596</v>
      </c>
      <c r="BH29" s="810">
        <f>(CF!BH23*$C$29+CF!BH49)*$B29</f>
        <v>592.23487440875761</v>
      </c>
      <c r="BI29" s="810">
        <f>(CF!BI23*$C$29+CF!BI49)*$B29</f>
        <v>593.86390180646629</v>
      </c>
      <c r="BJ29" s="810">
        <f>(CF!BJ23*$C$29+CF!BJ49)*$B29</f>
        <v>597.56038520711627</v>
      </c>
      <c r="BK29" s="810">
        <f>(CF!BK23*$C$29+CF!BK49)*$B29</f>
        <v>594.92009831186408</v>
      </c>
      <c r="BL29" s="810">
        <f>(CF!BL23*$C$29+CF!BL49)*$B29</f>
        <v>598.55917788658769</v>
      </c>
      <c r="BM29" s="810">
        <f>(CF!BM23*$C$29+CF!BM49)*$B29</f>
        <v>599.57685108831367</v>
      </c>
      <c r="BN29" s="810">
        <f>(CF!BN23*$C$29+CF!BN49)*$B29</f>
        <v>601.55405801901668</v>
      </c>
      <c r="BO29" s="810">
        <f>(CF!BO23*$C$29+CF!BO49)*$B29</f>
        <v>605.72891338806198</v>
      </c>
      <c r="BP29" s="810"/>
      <c r="BQ29" s="810"/>
      <c r="BR29" s="810"/>
      <c r="BS29" s="810"/>
      <c r="BT29" s="810"/>
      <c r="BU29" s="810"/>
      <c r="BV29" s="810"/>
      <c r="BW29" s="810"/>
      <c r="BX29" s="810"/>
      <c r="BY29" s="810"/>
      <c r="BZ29" s="810"/>
      <c r="CA29" s="810"/>
      <c r="CB29" s="810"/>
      <c r="CC29" s="810"/>
      <c r="CD29" s="810"/>
      <c r="CE29" s="810"/>
      <c r="CF29" s="810"/>
      <c r="CG29" s="810"/>
      <c r="CH29" s="810"/>
      <c r="CI29" s="810"/>
      <c r="CJ29" s="810"/>
      <c r="CK29" s="810"/>
      <c r="CL29" s="810"/>
      <c r="CM29" s="810"/>
      <c r="CN29" s="810"/>
      <c r="CO29" s="810"/>
      <c r="CP29" s="810"/>
      <c r="CQ29" s="810"/>
      <c r="CR29" s="810"/>
      <c r="CS29" s="810"/>
      <c r="CT29" s="810"/>
      <c r="CU29" s="810"/>
      <c r="CV29" s="810"/>
      <c r="CW29" s="810"/>
      <c r="CX29" s="810"/>
      <c r="CY29" s="810"/>
      <c r="CZ29" s="810"/>
      <c r="DA29" s="810"/>
      <c r="DB29" s="810"/>
      <c r="DC29" s="810"/>
      <c r="DD29" s="810"/>
      <c r="DE29" s="810"/>
      <c r="DF29" s="810"/>
      <c r="DG29" s="810"/>
      <c r="DH29" s="810"/>
      <c r="DI29" s="810"/>
      <c r="DJ29" s="810"/>
      <c r="DK29" s="810"/>
      <c r="DL29" s="810"/>
      <c r="DM29" s="810"/>
      <c r="DN29" s="810"/>
      <c r="DO29" s="810"/>
      <c r="DP29" s="810"/>
      <c r="DQ29" s="810"/>
      <c r="DR29" s="810"/>
      <c r="DS29" s="810"/>
      <c r="DT29" s="810"/>
      <c r="DU29" s="810"/>
      <c r="DV29" s="810"/>
      <c r="DW29" s="810"/>
    </row>
    <row r="30" spans="1:127">
      <c r="A30" s="858" t="s">
        <v>1231</v>
      </c>
      <c r="B30" s="703"/>
      <c r="C30" s="703"/>
      <c r="D30" s="610"/>
      <c r="E30" s="610"/>
      <c r="F30" s="373"/>
      <c r="G30" s="459">
        <f t="shared" ref="G30:H30" si="2">F34</f>
        <v>0</v>
      </c>
      <c r="H30" s="459">
        <f t="shared" ca="1" si="2"/>
        <v>0</v>
      </c>
      <c r="I30" s="459">
        <f t="shared" ref="I30" ca="1" si="3">H34</f>
        <v>0</v>
      </c>
      <c r="J30" s="459">
        <f t="shared" ref="J30" ca="1" si="4">I34</f>
        <v>0</v>
      </c>
      <c r="K30" s="459">
        <f t="shared" ref="K30" ca="1" si="5">J34</f>
        <v>0</v>
      </c>
      <c r="L30" s="459">
        <f t="shared" ref="L30" ca="1" si="6">K34</f>
        <v>0</v>
      </c>
      <c r="M30" s="459">
        <f t="shared" ref="M30" ca="1" si="7">L34</f>
        <v>0</v>
      </c>
      <c r="N30" s="459">
        <f t="shared" ref="N30" ca="1" si="8">M34</f>
        <v>0</v>
      </c>
      <c r="O30" s="459">
        <f t="shared" ref="O30" ca="1" si="9">N34</f>
        <v>0</v>
      </c>
      <c r="P30" s="459">
        <f t="shared" ref="P30" ca="1" si="10">O34</f>
        <v>0</v>
      </c>
      <c r="Q30" s="459">
        <f t="shared" ref="Q30" ca="1" si="11">P34</f>
        <v>0</v>
      </c>
      <c r="R30" s="459">
        <f t="shared" ref="R30" ca="1" si="12">Q34</f>
        <v>0</v>
      </c>
      <c r="S30" s="459">
        <f t="shared" ref="S30" ca="1" si="13">R34</f>
        <v>0</v>
      </c>
      <c r="T30" s="459">
        <f t="shared" ref="T30" ca="1" si="14">S34</f>
        <v>0</v>
      </c>
      <c r="U30" s="459">
        <f t="shared" ref="U30" ca="1" si="15">T34</f>
        <v>0</v>
      </c>
      <c r="V30" s="459">
        <f t="shared" ref="V30" ca="1" si="16">U34</f>
        <v>0</v>
      </c>
      <c r="W30" s="459">
        <f t="shared" ref="W30" ca="1" si="17">V34</f>
        <v>0</v>
      </c>
      <c r="X30" s="459">
        <f t="shared" ref="X30" ca="1" si="18">W34</f>
        <v>0</v>
      </c>
      <c r="Y30" s="459">
        <f t="shared" ref="Y30" ca="1" si="19">X34</f>
        <v>0</v>
      </c>
      <c r="Z30" s="459">
        <f t="shared" ref="Z30" ca="1" si="20">Y34</f>
        <v>0</v>
      </c>
      <c r="AA30" s="459">
        <f t="shared" ref="AA30" ca="1" si="21">Z34</f>
        <v>0</v>
      </c>
      <c r="AB30" s="459">
        <f t="shared" ref="AB30" ca="1" si="22">AA34</f>
        <v>0</v>
      </c>
      <c r="AC30" s="459">
        <f t="shared" ref="AC30" ca="1" si="23">AB34</f>
        <v>0</v>
      </c>
      <c r="AD30" s="459">
        <f t="shared" ref="AD30" ca="1" si="24">AC34</f>
        <v>0</v>
      </c>
      <c r="AE30" s="459">
        <f t="shared" ref="AE30" ca="1" si="25">AD34</f>
        <v>0</v>
      </c>
      <c r="AF30" s="459">
        <f t="shared" ref="AF30" ca="1" si="26">AE34</f>
        <v>0</v>
      </c>
      <c r="AG30" s="459">
        <f t="shared" ref="AG30" ca="1" si="27">AF34</f>
        <v>0</v>
      </c>
      <c r="AH30" s="459">
        <f t="shared" ref="AH30" ca="1" si="28">AG34</f>
        <v>0</v>
      </c>
      <c r="AI30" s="459">
        <f t="shared" ref="AI30" ca="1" si="29">AH34</f>
        <v>0</v>
      </c>
      <c r="AJ30" s="459">
        <f t="shared" ref="AJ30" ca="1" si="30">AI34</f>
        <v>0</v>
      </c>
      <c r="AK30" s="459">
        <f t="shared" ref="AK30" ca="1" si="31">AJ34</f>
        <v>0</v>
      </c>
      <c r="AL30" s="459">
        <f t="shared" ref="AL30" ca="1" si="32">AK34</f>
        <v>0</v>
      </c>
      <c r="AM30" s="459">
        <f t="shared" ref="AM30" ca="1" si="33">AL34</f>
        <v>0</v>
      </c>
      <c r="AN30" s="459">
        <f t="shared" ref="AN30" ca="1" si="34">AM34</f>
        <v>0</v>
      </c>
      <c r="AO30" s="459">
        <f t="shared" ref="AO30" ca="1" si="35">AN34</f>
        <v>0</v>
      </c>
      <c r="AP30" s="459">
        <f t="shared" ref="AP30" ca="1" si="36">AO34</f>
        <v>0</v>
      </c>
      <c r="AQ30" s="459">
        <f t="shared" ref="AQ30" ca="1" si="37">AP34</f>
        <v>0</v>
      </c>
      <c r="AR30" s="459">
        <f t="shared" ref="AR30" ca="1" si="38">AQ34</f>
        <v>0</v>
      </c>
      <c r="AS30" s="459">
        <f t="shared" ref="AS30" ca="1" si="39">AR34</f>
        <v>0</v>
      </c>
      <c r="AT30" s="459">
        <f t="shared" ref="AT30" ca="1" si="40">AS34</f>
        <v>0</v>
      </c>
      <c r="AU30" s="459">
        <f t="shared" ref="AU30" ca="1" si="41">AT34</f>
        <v>0</v>
      </c>
      <c r="AV30" s="459">
        <f t="shared" ref="AV30" ca="1" si="42">AU34</f>
        <v>0</v>
      </c>
      <c r="AW30" s="459">
        <f t="shared" ref="AW30" ca="1" si="43">AV34</f>
        <v>0</v>
      </c>
      <c r="AX30" s="459">
        <f t="shared" ref="AX30" ca="1" si="44">AW34</f>
        <v>0</v>
      </c>
      <c r="AY30" s="459">
        <f t="shared" ref="AY30" ca="1" si="45">AX34</f>
        <v>0</v>
      </c>
      <c r="AZ30" s="459">
        <f t="shared" ref="AZ30" ca="1" si="46">AY34</f>
        <v>0</v>
      </c>
      <c r="BA30" s="459">
        <f t="shared" ref="BA30" ca="1" si="47">AZ34</f>
        <v>0</v>
      </c>
      <c r="BB30" s="459">
        <f t="shared" ref="BB30" ca="1" si="48">BA34</f>
        <v>0</v>
      </c>
      <c r="BC30" s="459">
        <f t="shared" ref="BC30" ca="1" si="49">BB34</f>
        <v>0</v>
      </c>
      <c r="BD30" s="459">
        <f t="shared" ref="BD30" ca="1" si="50">BC34</f>
        <v>0</v>
      </c>
      <c r="BE30" s="459">
        <f t="shared" ref="BE30" ca="1" si="51">BD34</f>
        <v>0</v>
      </c>
      <c r="BF30" s="459">
        <f t="shared" ref="BF30" ca="1" si="52">BE34</f>
        <v>0</v>
      </c>
      <c r="BG30" s="459">
        <f t="shared" ref="BG30" ca="1" si="53">BF34</f>
        <v>0</v>
      </c>
      <c r="BH30" s="459">
        <f t="shared" ref="BH30" ca="1" si="54">BG34</f>
        <v>0</v>
      </c>
      <c r="BI30" s="459">
        <f t="shared" ref="BI30" ca="1" si="55">BH34</f>
        <v>0</v>
      </c>
      <c r="BJ30" s="459">
        <f t="shared" ref="BJ30" ca="1" si="56">BI34</f>
        <v>0</v>
      </c>
      <c r="BK30" s="459">
        <f t="shared" ref="BK30" ca="1" si="57">BJ34</f>
        <v>0</v>
      </c>
      <c r="BL30" s="459">
        <f t="shared" ref="BL30" ca="1" si="58">BK34</f>
        <v>0</v>
      </c>
      <c r="BM30" s="459">
        <f t="shared" ref="BM30" ca="1" si="59">BL34</f>
        <v>0</v>
      </c>
      <c r="BN30" s="459">
        <f t="shared" ref="BN30" ca="1" si="60">BM34</f>
        <v>0</v>
      </c>
      <c r="BO30" s="459">
        <f t="shared" ref="BO30" ca="1" si="61">BN34</f>
        <v>0</v>
      </c>
      <c r="BP30" s="459"/>
      <c r="BQ30" s="459"/>
      <c r="BR30" s="459"/>
      <c r="BS30" s="459"/>
      <c r="BT30" s="459"/>
      <c r="BU30" s="459"/>
      <c r="BV30" s="459"/>
      <c r="BW30" s="459"/>
      <c r="BX30" s="459"/>
      <c r="BY30" s="459"/>
      <c r="BZ30" s="459"/>
      <c r="CA30" s="459"/>
      <c r="CB30" s="459"/>
      <c r="CC30" s="459"/>
      <c r="CD30" s="459"/>
      <c r="CE30" s="459"/>
      <c r="CF30" s="459"/>
      <c r="CG30" s="459"/>
      <c r="CH30" s="459"/>
      <c r="CI30" s="459"/>
      <c r="CJ30" s="459"/>
      <c r="CK30" s="459"/>
      <c r="CL30" s="459"/>
      <c r="CM30" s="459"/>
      <c r="CN30" s="459"/>
      <c r="CO30" s="459"/>
      <c r="CP30" s="459"/>
      <c r="CQ30" s="459"/>
      <c r="CR30" s="459"/>
      <c r="CS30" s="459"/>
      <c r="CT30" s="459"/>
      <c r="CU30" s="459"/>
      <c r="CV30" s="459"/>
      <c r="CW30" s="459"/>
      <c r="CX30" s="459"/>
      <c r="CY30" s="459"/>
      <c r="CZ30" s="459"/>
      <c r="DA30" s="459"/>
      <c r="DB30" s="459"/>
      <c r="DC30" s="459"/>
      <c r="DD30" s="459"/>
      <c r="DE30" s="459"/>
      <c r="DF30" s="459"/>
      <c r="DG30" s="459"/>
      <c r="DH30" s="459"/>
      <c r="DI30" s="459"/>
      <c r="DJ30" s="459"/>
      <c r="DK30" s="459"/>
      <c r="DL30" s="459"/>
      <c r="DM30" s="459"/>
      <c r="DN30" s="459"/>
      <c r="DO30" s="459"/>
      <c r="DP30" s="459"/>
      <c r="DQ30" s="459"/>
      <c r="DR30" s="459"/>
      <c r="DS30" s="459"/>
      <c r="DT30" s="459"/>
      <c r="DU30" s="459"/>
      <c r="DV30" s="459"/>
      <c r="DW30" s="459"/>
    </row>
    <row r="31" spans="1:127">
      <c r="A31" s="500" t="s">
        <v>1152</v>
      </c>
      <c r="B31" s="810">
        <f ca="1">IDC!$D$67*(Inputs!$D$437=0)</f>
        <v>0</v>
      </c>
      <c r="C31" s="810"/>
      <c r="D31" s="510">
        <f ca="1">SUM(G31:AA31)</f>
        <v>0</v>
      </c>
      <c r="E31" s="510"/>
      <c r="F31" s="373"/>
      <c r="G31" s="459">
        <f t="shared" ref="G31:AL31" ca="1" si="62">$B31*(G3=0)</f>
        <v>0</v>
      </c>
      <c r="H31" s="459">
        <f t="shared" ca="1" si="62"/>
        <v>0</v>
      </c>
      <c r="I31" s="459">
        <f t="shared" ca="1" si="62"/>
        <v>0</v>
      </c>
      <c r="J31" s="459">
        <f t="shared" ca="1" si="62"/>
        <v>0</v>
      </c>
      <c r="K31" s="459">
        <f t="shared" ca="1" si="62"/>
        <v>0</v>
      </c>
      <c r="L31" s="459">
        <f t="shared" ca="1" si="62"/>
        <v>0</v>
      </c>
      <c r="M31" s="459">
        <f t="shared" ca="1" si="62"/>
        <v>0</v>
      </c>
      <c r="N31" s="459">
        <f t="shared" ca="1" si="62"/>
        <v>0</v>
      </c>
      <c r="O31" s="459">
        <f t="shared" ca="1" si="62"/>
        <v>0</v>
      </c>
      <c r="P31" s="459">
        <f t="shared" ca="1" si="62"/>
        <v>0</v>
      </c>
      <c r="Q31" s="459">
        <f t="shared" ca="1" si="62"/>
        <v>0</v>
      </c>
      <c r="R31" s="459">
        <f t="shared" ca="1" si="62"/>
        <v>0</v>
      </c>
      <c r="S31" s="459">
        <f t="shared" ca="1" si="62"/>
        <v>0</v>
      </c>
      <c r="T31" s="459">
        <f t="shared" ca="1" si="62"/>
        <v>0</v>
      </c>
      <c r="U31" s="459">
        <f t="shared" ca="1" si="62"/>
        <v>0</v>
      </c>
      <c r="V31" s="459">
        <f t="shared" ca="1" si="62"/>
        <v>0</v>
      </c>
      <c r="W31" s="459">
        <f t="shared" ca="1" si="62"/>
        <v>0</v>
      </c>
      <c r="X31" s="459">
        <f t="shared" ca="1" si="62"/>
        <v>0</v>
      </c>
      <c r="Y31" s="459">
        <f t="shared" ca="1" si="62"/>
        <v>0</v>
      </c>
      <c r="Z31" s="459">
        <f t="shared" ca="1" si="62"/>
        <v>0</v>
      </c>
      <c r="AA31" s="459">
        <f t="shared" ca="1" si="62"/>
        <v>0</v>
      </c>
      <c r="AB31" s="459">
        <f t="shared" ca="1" si="62"/>
        <v>0</v>
      </c>
      <c r="AC31" s="459">
        <f t="shared" ca="1" si="62"/>
        <v>0</v>
      </c>
      <c r="AD31" s="459">
        <f t="shared" ca="1" si="62"/>
        <v>0</v>
      </c>
      <c r="AE31" s="459">
        <f t="shared" ca="1" si="62"/>
        <v>0</v>
      </c>
      <c r="AF31" s="459">
        <f t="shared" ca="1" si="62"/>
        <v>0</v>
      </c>
      <c r="AG31" s="459">
        <f t="shared" ca="1" si="62"/>
        <v>0</v>
      </c>
      <c r="AH31" s="459">
        <f t="shared" ca="1" si="62"/>
        <v>0</v>
      </c>
      <c r="AI31" s="459">
        <f t="shared" ca="1" si="62"/>
        <v>0</v>
      </c>
      <c r="AJ31" s="459">
        <f t="shared" ca="1" si="62"/>
        <v>0</v>
      </c>
      <c r="AK31" s="459">
        <f t="shared" ca="1" si="62"/>
        <v>0</v>
      </c>
      <c r="AL31" s="459">
        <f t="shared" ca="1" si="62"/>
        <v>0</v>
      </c>
      <c r="AM31" s="459">
        <f t="shared" ref="AM31:BO31" ca="1" si="63">$B31*(AM3=0)</f>
        <v>0</v>
      </c>
      <c r="AN31" s="459">
        <f t="shared" ca="1" si="63"/>
        <v>0</v>
      </c>
      <c r="AO31" s="459">
        <f t="shared" ca="1" si="63"/>
        <v>0</v>
      </c>
      <c r="AP31" s="459">
        <f t="shared" ca="1" si="63"/>
        <v>0</v>
      </c>
      <c r="AQ31" s="459">
        <f t="shared" ca="1" si="63"/>
        <v>0</v>
      </c>
      <c r="AR31" s="459">
        <f t="shared" ca="1" si="63"/>
        <v>0</v>
      </c>
      <c r="AS31" s="459">
        <f t="shared" ca="1" si="63"/>
        <v>0</v>
      </c>
      <c r="AT31" s="459">
        <f t="shared" ca="1" si="63"/>
        <v>0</v>
      </c>
      <c r="AU31" s="459">
        <f t="shared" ca="1" si="63"/>
        <v>0</v>
      </c>
      <c r="AV31" s="459">
        <f t="shared" ca="1" si="63"/>
        <v>0</v>
      </c>
      <c r="AW31" s="459">
        <f t="shared" ca="1" si="63"/>
        <v>0</v>
      </c>
      <c r="AX31" s="459">
        <f t="shared" ca="1" si="63"/>
        <v>0</v>
      </c>
      <c r="AY31" s="459">
        <f t="shared" ca="1" si="63"/>
        <v>0</v>
      </c>
      <c r="AZ31" s="459">
        <f t="shared" ca="1" si="63"/>
        <v>0</v>
      </c>
      <c r="BA31" s="459">
        <f t="shared" ca="1" si="63"/>
        <v>0</v>
      </c>
      <c r="BB31" s="459">
        <f t="shared" ca="1" si="63"/>
        <v>0</v>
      </c>
      <c r="BC31" s="459">
        <f t="shared" ca="1" si="63"/>
        <v>0</v>
      </c>
      <c r="BD31" s="459">
        <f t="shared" ca="1" si="63"/>
        <v>0</v>
      </c>
      <c r="BE31" s="459">
        <f t="shared" ca="1" si="63"/>
        <v>0</v>
      </c>
      <c r="BF31" s="459">
        <f t="shared" ca="1" si="63"/>
        <v>0</v>
      </c>
      <c r="BG31" s="459">
        <f t="shared" ca="1" si="63"/>
        <v>0</v>
      </c>
      <c r="BH31" s="459">
        <f t="shared" ca="1" si="63"/>
        <v>0</v>
      </c>
      <c r="BI31" s="459">
        <f t="shared" ca="1" si="63"/>
        <v>0</v>
      </c>
      <c r="BJ31" s="459">
        <f t="shared" ca="1" si="63"/>
        <v>0</v>
      </c>
      <c r="BK31" s="459">
        <f t="shared" ca="1" si="63"/>
        <v>0</v>
      </c>
      <c r="BL31" s="459">
        <f t="shared" ca="1" si="63"/>
        <v>0</v>
      </c>
      <c r="BM31" s="459">
        <f t="shared" ca="1" si="63"/>
        <v>0</v>
      </c>
      <c r="BN31" s="459">
        <f t="shared" ca="1" si="63"/>
        <v>0</v>
      </c>
      <c r="BO31" s="459">
        <f t="shared" ca="1" si="63"/>
        <v>0</v>
      </c>
      <c r="BP31" s="459"/>
      <c r="BQ31" s="459"/>
      <c r="BR31" s="459"/>
      <c r="BS31" s="459"/>
      <c r="BT31" s="459"/>
      <c r="BU31" s="459"/>
      <c r="BV31" s="459"/>
      <c r="BW31" s="459"/>
      <c r="BX31" s="459"/>
      <c r="BY31" s="459"/>
      <c r="BZ31" s="459"/>
      <c r="CA31" s="459"/>
      <c r="CB31" s="459"/>
      <c r="CC31" s="459"/>
      <c r="CD31" s="459"/>
      <c r="CE31" s="459"/>
      <c r="CF31" s="459"/>
      <c r="CG31" s="459"/>
      <c r="CH31" s="459"/>
      <c r="CI31" s="459"/>
      <c r="CJ31" s="459"/>
      <c r="CK31" s="459"/>
      <c r="CL31" s="459"/>
      <c r="CM31" s="459"/>
      <c r="CN31" s="459"/>
      <c r="CO31" s="459"/>
      <c r="CP31" s="459"/>
      <c r="CQ31" s="459"/>
      <c r="CR31" s="459"/>
      <c r="CS31" s="459"/>
      <c r="CT31" s="459"/>
      <c r="CU31" s="459"/>
      <c r="CV31" s="459"/>
      <c r="CW31" s="459"/>
      <c r="CX31" s="459"/>
      <c r="CY31" s="459"/>
      <c r="CZ31" s="459"/>
      <c r="DA31" s="459"/>
      <c r="DB31" s="459"/>
      <c r="DC31" s="459"/>
      <c r="DD31" s="459"/>
      <c r="DE31" s="459"/>
      <c r="DF31" s="459"/>
      <c r="DG31" s="459"/>
      <c r="DH31" s="459"/>
      <c r="DI31" s="459"/>
      <c r="DJ31" s="459"/>
      <c r="DK31" s="459"/>
      <c r="DL31" s="459"/>
      <c r="DM31" s="459"/>
      <c r="DN31" s="459"/>
      <c r="DO31" s="459"/>
      <c r="DP31" s="459"/>
      <c r="DQ31" s="459"/>
      <c r="DR31" s="459"/>
      <c r="DS31" s="459"/>
      <c r="DT31" s="459"/>
      <c r="DU31" s="459"/>
      <c r="DV31" s="459"/>
      <c r="DW31" s="459"/>
    </row>
    <row r="32" spans="1:127">
      <c r="A32" s="500" t="s">
        <v>227</v>
      </c>
      <c r="B32" s="703"/>
      <c r="C32" s="703"/>
      <c r="D32" s="510">
        <f ca="1">SUM(G32:AA32)</f>
        <v>0</v>
      </c>
      <c r="E32" s="510"/>
      <c r="F32" s="373"/>
      <c r="G32" s="459">
        <f t="shared" ref="G32:H32" ca="1" si="64">MIN(G29,G30+G31)</f>
        <v>0</v>
      </c>
      <c r="H32" s="459">
        <f t="shared" ca="1" si="64"/>
        <v>0</v>
      </c>
      <c r="I32" s="459">
        <f t="shared" ref="I32:BO32" ca="1" si="65">MIN(I29,I30+I31)</f>
        <v>0</v>
      </c>
      <c r="J32" s="459">
        <f t="shared" ca="1" si="65"/>
        <v>0</v>
      </c>
      <c r="K32" s="459">
        <f t="shared" ca="1" si="65"/>
        <v>0</v>
      </c>
      <c r="L32" s="459">
        <f t="shared" ca="1" si="65"/>
        <v>0</v>
      </c>
      <c r="M32" s="459">
        <f t="shared" ca="1" si="65"/>
        <v>0</v>
      </c>
      <c r="N32" s="459">
        <f t="shared" ca="1" si="65"/>
        <v>0</v>
      </c>
      <c r="O32" s="459">
        <f t="shared" ca="1" si="65"/>
        <v>0</v>
      </c>
      <c r="P32" s="459">
        <f t="shared" ca="1" si="65"/>
        <v>0</v>
      </c>
      <c r="Q32" s="459">
        <f t="shared" ca="1" si="65"/>
        <v>0</v>
      </c>
      <c r="R32" s="459">
        <f t="shared" ca="1" si="65"/>
        <v>0</v>
      </c>
      <c r="S32" s="459">
        <f t="shared" ca="1" si="65"/>
        <v>0</v>
      </c>
      <c r="T32" s="459">
        <f t="shared" ca="1" si="65"/>
        <v>0</v>
      </c>
      <c r="U32" s="459">
        <f t="shared" ca="1" si="65"/>
        <v>0</v>
      </c>
      <c r="V32" s="459">
        <f t="shared" ca="1" si="65"/>
        <v>0</v>
      </c>
      <c r="W32" s="459">
        <f t="shared" ca="1" si="65"/>
        <v>0</v>
      </c>
      <c r="X32" s="459">
        <f t="shared" ca="1" si="65"/>
        <v>0</v>
      </c>
      <c r="Y32" s="459">
        <f t="shared" ca="1" si="65"/>
        <v>0</v>
      </c>
      <c r="Z32" s="459">
        <f t="shared" ca="1" si="65"/>
        <v>0</v>
      </c>
      <c r="AA32" s="459">
        <f t="shared" ca="1" si="65"/>
        <v>0</v>
      </c>
      <c r="AB32" s="459">
        <f t="shared" ca="1" si="65"/>
        <v>0</v>
      </c>
      <c r="AC32" s="459">
        <f t="shared" ca="1" si="65"/>
        <v>0</v>
      </c>
      <c r="AD32" s="459">
        <f t="shared" ca="1" si="65"/>
        <v>0</v>
      </c>
      <c r="AE32" s="459">
        <f t="shared" ca="1" si="65"/>
        <v>0</v>
      </c>
      <c r="AF32" s="459">
        <f t="shared" ca="1" si="65"/>
        <v>0</v>
      </c>
      <c r="AG32" s="459">
        <f t="shared" ca="1" si="65"/>
        <v>0</v>
      </c>
      <c r="AH32" s="459">
        <f t="shared" ca="1" si="65"/>
        <v>0</v>
      </c>
      <c r="AI32" s="459">
        <f t="shared" ca="1" si="65"/>
        <v>0</v>
      </c>
      <c r="AJ32" s="459">
        <f t="shared" ca="1" si="65"/>
        <v>0</v>
      </c>
      <c r="AK32" s="459">
        <f t="shared" ca="1" si="65"/>
        <v>0</v>
      </c>
      <c r="AL32" s="459">
        <f t="shared" ca="1" si="65"/>
        <v>0</v>
      </c>
      <c r="AM32" s="459">
        <f t="shared" ca="1" si="65"/>
        <v>0</v>
      </c>
      <c r="AN32" s="459">
        <f t="shared" ca="1" si="65"/>
        <v>0</v>
      </c>
      <c r="AO32" s="459">
        <f t="shared" ca="1" si="65"/>
        <v>0</v>
      </c>
      <c r="AP32" s="459">
        <f t="shared" ca="1" si="65"/>
        <v>0</v>
      </c>
      <c r="AQ32" s="459">
        <f t="shared" ca="1" si="65"/>
        <v>0</v>
      </c>
      <c r="AR32" s="459">
        <f t="shared" ca="1" si="65"/>
        <v>0</v>
      </c>
      <c r="AS32" s="459">
        <f t="shared" ca="1" si="65"/>
        <v>0</v>
      </c>
      <c r="AT32" s="459">
        <f t="shared" ca="1" si="65"/>
        <v>0</v>
      </c>
      <c r="AU32" s="459">
        <f t="shared" ca="1" si="65"/>
        <v>0</v>
      </c>
      <c r="AV32" s="459">
        <f t="shared" ca="1" si="65"/>
        <v>0</v>
      </c>
      <c r="AW32" s="459">
        <f t="shared" ca="1" si="65"/>
        <v>0</v>
      </c>
      <c r="AX32" s="459">
        <f t="shared" ca="1" si="65"/>
        <v>0</v>
      </c>
      <c r="AY32" s="459">
        <f t="shared" ca="1" si="65"/>
        <v>0</v>
      </c>
      <c r="AZ32" s="459">
        <f t="shared" ca="1" si="65"/>
        <v>0</v>
      </c>
      <c r="BA32" s="459">
        <f t="shared" ca="1" si="65"/>
        <v>0</v>
      </c>
      <c r="BB32" s="459">
        <f t="shared" ca="1" si="65"/>
        <v>0</v>
      </c>
      <c r="BC32" s="459">
        <f t="shared" ca="1" si="65"/>
        <v>0</v>
      </c>
      <c r="BD32" s="459">
        <f t="shared" ca="1" si="65"/>
        <v>0</v>
      </c>
      <c r="BE32" s="459">
        <f t="shared" ca="1" si="65"/>
        <v>0</v>
      </c>
      <c r="BF32" s="459">
        <f t="shared" ca="1" si="65"/>
        <v>0</v>
      </c>
      <c r="BG32" s="459">
        <f t="shared" ca="1" si="65"/>
        <v>0</v>
      </c>
      <c r="BH32" s="459">
        <f t="shared" ca="1" si="65"/>
        <v>0</v>
      </c>
      <c r="BI32" s="459">
        <f t="shared" ca="1" si="65"/>
        <v>0</v>
      </c>
      <c r="BJ32" s="459">
        <f t="shared" ca="1" si="65"/>
        <v>0</v>
      </c>
      <c r="BK32" s="459">
        <f t="shared" ca="1" si="65"/>
        <v>0</v>
      </c>
      <c r="BL32" s="459">
        <f t="shared" ca="1" si="65"/>
        <v>0</v>
      </c>
      <c r="BM32" s="459">
        <f t="shared" ca="1" si="65"/>
        <v>0</v>
      </c>
      <c r="BN32" s="459">
        <f t="shared" ca="1" si="65"/>
        <v>0</v>
      </c>
      <c r="BO32" s="459">
        <f t="shared" ca="1" si="65"/>
        <v>0</v>
      </c>
      <c r="BP32" s="459"/>
      <c r="BQ32" s="459"/>
      <c r="BR32" s="459"/>
      <c r="BS32" s="459"/>
      <c r="BT32" s="459"/>
      <c r="BU32" s="459"/>
      <c r="BV32" s="459"/>
      <c r="BW32" s="459"/>
      <c r="BX32" s="459"/>
      <c r="BY32" s="459"/>
      <c r="BZ32" s="459"/>
      <c r="CA32" s="459"/>
      <c r="CB32" s="459"/>
      <c r="CC32" s="459"/>
      <c r="CD32" s="459"/>
      <c r="CE32" s="459"/>
      <c r="CF32" s="459"/>
      <c r="CG32" s="459"/>
      <c r="CH32" s="459"/>
      <c r="CI32" s="459"/>
      <c r="CJ32" s="459"/>
      <c r="CK32" s="459"/>
      <c r="CL32" s="459"/>
      <c r="CM32" s="459"/>
      <c r="CN32" s="459"/>
      <c r="CO32" s="459"/>
      <c r="CP32" s="459"/>
      <c r="CQ32" s="459"/>
      <c r="CR32" s="459"/>
      <c r="CS32" s="459"/>
      <c r="CT32" s="459"/>
      <c r="CU32" s="459"/>
      <c r="CV32" s="459"/>
      <c r="CW32" s="459"/>
      <c r="CX32" s="459"/>
      <c r="CY32" s="459"/>
      <c r="CZ32" s="459"/>
      <c r="DA32" s="459"/>
      <c r="DB32" s="459"/>
      <c r="DC32" s="459"/>
      <c r="DD32" s="459"/>
      <c r="DE32" s="459"/>
      <c r="DF32" s="459"/>
      <c r="DG32" s="459"/>
      <c r="DH32" s="459"/>
      <c r="DI32" s="459"/>
      <c r="DJ32" s="459"/>
      <c r="DK32" s="459"/>
      <c r="DL32" s="459"/>
      <c r="DM32" s="459"/>
      <c r="DN32" s="459"/>
      <c r="DO32" s="459"/>
      <c r="DP32" s="459"/>
      <c r="DQ32" s="459"/>
      <c r="DR32" s="459"/>
      <c r="DS32" s="459"/>
      <c r="DT32" s="459"/>
      <c r="DU32" s="459"/>
      <c r="DV32" s="459"/>
      <c r="DW32" s="459"/>
    </row>
    <row r="33" spans="1:127">
      <c r="A33" s="500" t="s">
        <v>228</v>
      </c>
      <c r="B33" s="986">
        <f>Inputs!$D$280</f>
        <v>5.6499999999999995E-2</v>
      </c>
      <c r="C33" s="986"/>
      <c r="D33" s="610"/>
      <c r="E33" s="610"/>
      <c r="F33" s="373"/>
      <c r="G33" s="459">
        <f t="shared" ref="G33:AL33" si="66">G30*(G2-G1+1)/bank_year*$B33</f>
        <v>0</v>
      </c>
      <c r="H33" s="459">
        <f t="shared" ca="1" si="66"/>
        <v>0</v>
      </c>
      <c r="I33" s="459">
        <f t="shared" ca="1" si="66"/>
        <v>0</v>
      </c>
      <c r="J33" s="459">
        <f t="shared" ca="1" si="66"/>
        <v>0</v>
      </c>
      <c r="K33" s="459">
        <f t="shared" ca="1" si="66"/>
        <v>0</v>
      </c>
      <c r="L33" s="459">
        <f t="shared" ca="1" si="66"/>
        <v>0</v>
      </c>
      <c r="M33" s="459">
        <f t="shared" ca="1" si="66"/>
        <v>0</v>
      </c>
      <c r="N33" s="459">
        <f t="shared" ca="1" si="66"/>
        <v>0</v>
      </c>
      <c r="O33" s="459">
        <f t="shared" ca="1" si="66"/>
        <v>0</v>
      </c>
      <c r="P33" s="459">
        <f t="shared" ca="1" si="66"/>
        <v>0</v>
      </c>
      <c r="Q33" s="459">
        <f t="shared" ca="1" si="66"/>
        <v>0</v>
      </c>
      <c r="R33" s="459">
        <f t="shared" ca="1" si="66"/>
        <v>0</v>
      </c>
      <c r="S33" s="459">
        <f t="shared" ca="1" si="66"/>
        <v>0</v>
      </c>
      <c r="T33" s="459">
        <f t="shared" ca="1" si="66"/>
        <v>0</v>
      </c>
      <c r="U33" s="459">
        <f t="shared" ca="1" si="66"/>
        <v>0</v>
      </c>
      <c r="V33" s="459">
        <f t="shared" ca="1" si="66"/>
        <v>0</v>
      </c>
      <c r="W33" s="459">
        <f t="shared" ca="1" si="66"/>
        <v>0</v>
      </c>
      <c r="X33" s="459">
        <f t="shared" ca="1" si="66"/>
        <v>0</v>
      </c>
      <c r="Y33" s="459">
        <f t="shared" ca="1" si="66"/>
        <v>0</v>
      </c>
      <c r="Z33" s="459">
        <f t="shared" ca="1" si="66"/>
        <v>0</v>
      </c>
      <c r="AA33" s="459">
        <f t="shared" ca="1" si="66"/>
        <v>0</v>
      </c>
      <c r="AB33" s="459">
        <f t="shared" ca="1" si="66"/>
        <v>0</v>
      </c>
      <c r="AC33" s="459">
        <f t="shared" ca="1" si="66"/>
        <v>0</v>
      </c>
      <c r="AD33" s="459">
        <f t="shared" ca="1" si="66"/>
        <v>0</v>
      </c>
      <c r="AE33" s="459">
        <f t="shared" ca="1" si="66"/>
        <v>0</v>
      </c>
      <c r="AF33" s="459">
        <f t="shared" ca="1" si="66"/>
        <v>0</v>
      </c>
      <c r="AG33" s="459">
        <f t="shared" ca="1" si="66"/>
        <v>0</v>
      </c>
      <c r="AH33" s="459">
        <f t="shared" ca="1" si="66"/>
        <v>0</v>
      </c>
      <c r="AI33" s="459">
        <f t="shared" ca="1" si="66"/>
        <v>0</v>
      </c>
      <c r="AJ33" s="459">
        <f t="shared" ca="1" si="66"/>
        <v>0</v>
      </c>
      <c r="AK33" s="459">
        <f t="shared" ca="1" si="66"/>
        <v>0</v>
      </c>
      <c r="AL33" s="459">
        <f t="shared" ca="1" si="66"/>
        <v>0</v>
      </c>
      <c r="AM33" s="459">
        <f t="shared" ref="AM33:BO33" ca="1" si="67">AM30*(AM2-AM1+1)/bank_year*$B33</f>
        <v>0</v>
      </c>
      <c r="AN33" s="459">
        <f t="shared" ca="1" si="67"/>
        <v>0</v>
      </c>
      <c r="AO33" s="459">
        <f t="shared" ca="1" si="67"/>
        <v>0</v>
      </c>
      <c r="AP33" s="459">
        <f t="shared" ca="1" si="67"/>
        <v>0</v>
      </c>
      <c r="AQ33" s="459">
        <f t="shared" ca="1" si="67"/>
        <v>0</v>
      </c>
      <c r="AR33" s="459">
        <f t="shared" ca="1" si="67"/>
        <v>0</v>
      </c>
      <c r="AS33" s="459">
        <f t="shared" ca="1" si="67"/>
        <v>0</v>
      </c>
      <c r="AT33" s="459">
        <f t="shared" ca="1" si="67"/>
        <v>0</v>
      </c>
      <c r="AU33" s="459">
        <f t="shared" ca="1" si="67"/>
        <v>0</v>
      </c>
      <c r="AV33" s="459">
        <f t="shared" ca="1" si="67"/>
        <v>0</v>
      </c>
      <c r="AW33" s="459">
        <f t="shared" ca="1" si="67"/>
        <v>0</v>
      </c>
      <c r="AX33" s="459">
        <f t="shared" ca="1" si="67"/>
        <v>0</v>
      </c>
      <c r="AY33" s="459">
        <f t="shared" ca="1" si="67"/>
        <v>0</v>
      </c>
      <c r="AZ33" s="459">
        <f t="shared" ca="1" si="67"/>
        <v>0</v>
      </c>
      <c r="BA33" s="459">
        <f t="shared" ca="1" si="67"/>
        <v>0</v>
      </c>
      <c r="BB33" s="459">
        <f t="shared" ca="1" si="67"/>
        <v>0</v>
      </c>
      <c r="BC33" s="459">
        <f t="shared" ca="1" si="67"/>
        <v>0</v>
      </c>
      <c r="BD33" s="459">
        <f t="shared" ca="1" si="67"/>
        <v>0</v>
      </c>
      <c r="BE33" s="459">
        <f t="shared" ca="1" si="67"/>
        <v>0</v>
      </c>
      <c r="BF33" s="459">
        <f t="shared" ca="1" si="67"/>
        <v>0</v>
      </c>
      <c r="BG33" s="459">
        <f t="shared" ca="1" si="67"/>
        <v>0</v>
      </c>
      <c r="BH33" s="459">
        <f t="shared" ca="1" si="67"/>
        <v>0</v>
      </c>
      <c r="BI33" s="459">
        <f t="shared" ca="1" si="67"/>
        <v>0</v>
      </c>
      <c r="BJ33" s="459">
        <f t="shared" ca="1" si="67"/>
        <v>0</v>
      </c>
      <c r="BK33" s="459">
        <f t="shared" ca="1" si="67"/>
        <v>0</v>
      </c>
      <c r="BL33" s="459">
        <f t="shared" ca="1" si="67"/>
        <v>0</v>
      </c>
      <c r="BM33" s="459">
        <f t="shared" ca="1" si="67"/>
        <v>0</v>
      </c>
      <c r="BN33" s="459">
        <f t="shared" ca="1" si="67"/>
        <v>0</v>
      </c>
      <c r="BO33" s="459">
        <f t="shared" ca="1" si="67"/>
        <v>0</v>
      </c>
      <c r="BP33" s="459"/>
      <c r="BQ33" s="459"/>
      <c r="BR33" s="459"/>
      <c r="BS33" s="459"/>
      <c r="BT33" s="459"/>
      <c r="BU33" s="459"/>
      <c r="BV33" s="459"/>
      <c r="BW33" s="459"/>
      <c r="BX33" s="459"/>
      <c r="BY33" s="459"/>
      <c r="BZ33" s="459"/>
      <c r="CA33" s="459"/>
      <c r="CB33" s="459"/>
      <c r="CC33" s="459"/>
      <c r="CD33" s="459"/>
      <c r="CE33" s="459"/>
      <c r="CF33" s="459"/>
      <c r="CG33" s="459"/>
      <c r="CH33" s="459"/>
      <c r="CI33" s="459"/>
      <c r="CJ33" s="459"/>
      <c r="CK33" s="459"/>
      <c r="CL33" s="459"/>
      <c r="CM33" s="459"/>
      <c r="CN33" s="459"/>
      <c r="CO33" s="459"/>
      <c r="CP33" s="459"/>
      <c r="CQ33" s="459"/>
      <c r="CR33" s="459"/>
      <c r="CS33" s="459"/>
      <c r="CT33" s="459"/>
      <c r="CU33" s="459"/>
      <c r="CV33" s="459"/>
      <c r="CW33" s="459"/>
      <c r="CX33" s="459"/>
      <c r="CY33" s="459"/>
      <c r="CZ33" s="459"/>
      <c r="DA33" s="459"/>
      <c r="DB33" s="459"/>
      <c r="DC33" s="459"/>
      <c r="DD33" s="459"/>
      <c r="DE33" s="459"/>
      <c r="DF33" s="459"/>
      <c r="DG33" s="459"/>
      <c r="DH33" s="459"/>
      <c r="DI33" s="459"/>
      <c r="DJ33" s="459"/>
      <c r="DK33" s="459"/>
      <c r="DL33" s="459"/>
      <c r="DM33" s="459"/>
      <c r="DN33" s="459"/>
      <c r="DO33" s="459"/>
      <c r="DP33" s="459"/>
      <c r="DQ33" s="459"/>
      <c r="DR33" s="459"/>
      <c r="DS33" s="459"/>
      <c r="DT33" s="459"/>
      <c r="DU33" s="459"/>
      <c r="DV33" s="459"/>
      <c r="DW33" s="459"/>
    </row>
    <row r="34" spans="1:127">
      <c r="A34" s="858" t="s">
        <v>1154</v>
      </c>
      <c r="B34" s="703"/>
      <c r="C34" s="703"/>
      <c r="D34" s="614"/>
      <c r="E34" s="614"/>
      <c r="F34" s="611"/>
      <c r="G34" s="459">
        <f t="shared" ref="G34:H34" ca="1" si="68">G30+G31-G32</f>
        <v>0</v>
      </c>
      <c r="H34" s="459">
        <f t="shared" ca="1" si="68"/>
        <v>0</v>
      </c>
      <c r="I34" s="459">
        <f t="shared" ref="I34:BO34" ca="1" si="69">I30+I31-I32</f>
        <v>0</v>
      </c>
      <c r="J34" s="459">
        <f t="shared" ca="1" si="69"/>
        <v>0</v>
      </c>
      <c r="K34" s="459">
        <f t="shared" ca="1" si="69"/>
        <v>0</v>
      </c>
      <c r="L34" s="459">
        <f t="shared" ca="1" si="69"/>
        <v>0</v>
      </c>
      <c r="M34" s="459">
        <f t="shared" ca="1" si="69"/>
        <v>0</v>
      </c>
      <c r="N34" s="459">
        <f t="shared" ca="1" si="69"/>
        <v>0</v>
      </c>
      <c r="O34" s="459">
        <f t="shared" ca="1" si="69"/>
        <v>0</v>
      </c>
      <c r="P34" s="459">
        <f t="shared" ca="1" si="69"/>
        <v>0</v>
      </c>
      <c r="Q34" s="459">
        <f t="shared" ca="1" si="69"/>
        <v>0</v>
      </c>
      <c r="R34" s="459">
        <f t="shared" ca="1" si="69"/>
        <v>0</v>
      </c>
      <c r="S34" s="459">
        <f t="shared" ca="1" si="69"/>
        <v>0</v>
      </c>
      <c r="T34" s="459">
        <f t="shared" ca="1" si="69"/>
        <v>0</v>
      </c>
      <c r="U34" s="459">
        <f t="shared" ca="1" si="69"/>
        <v>0</v>
      </c>
      <c r="V34" s="459">
        <f t="shared" ca="1" si="69"/>
        <v>0</v>
      </c>
      <c r="W34" s="459">
        <f t="shared" ca="1" si="69"/>
        <v>0</v>
      </c>
      <c r="X34" s="459">
        <f t="shared" ca="1" si="69"/>
        <v>0</v>
      </c>
      <c r="Y34" s="459">
        <f t="shared" ca="1" si="69"/>
        <v>0</v>
      </c>
      <c r="Z34" s="459">
        <f t="shared" ca="1" si="69"/>
        <v>0</v>
      </c>
      <c r="AA34" s="459">
        <f t="shared" ca="1" si="69"/>
        <v>0</v>
      </c>
      <c r="AB34" s="459">
        <f t="shared" ca="1" si="69"/>
        <v>0</v>
      </c>
      <c r="AC34" s="459">
        <f t="shared" ca="1" si="69"/>
        <v>0</v>
      </c>
      <c r="AD34" s="459">
        <f t="shared" ca="1" si="69"/>
        <v>0</v>
      </c>
      <c r="AE34" s="459">
        <f t="shared" ca="1" si="69"/>
        <v>0</v>
      </c>
      <c r="AF34" s="459">
        <f t="shared" ca="1" si="69"/>
        <v>0</v>
      </c>
      <c r="AG34" s="459">
        <f t="shared" ca="1" si="69"/>
        <v>0</v>
      </c>
      <c r="AH34" s="459">
        <f t="shared" ca="1" si="69"/>
        <v>0</v>
      </c>
      <c r="AI34" s="459">
        <f t="shared" ca="1" si="69"/>
        <v>0</v>
      </c>
      <c r="AJ34" s="459">
        <f t="shared" ca="1" si="69"/>
        <v>0</v>
      </c>
      <c r="AK34" s="459">
        <f t="shared" ca="1" si="69"/>
        <v>0</v>
      </c>
      <c r="AL34" s="459">
        <f t="shared" ca="1" si="69"/>
        <v>0</v>
      </c>
      <c r="AM34" s="459">
        <f t="shared" ca="1" si="69"/>
        <v>0</v>
      </c>
      <c r="AN34" s="459">
        <f t="shared" ca="1" si="69"/>
        <v>0</v>
      </c>
      <c r="AO34" s="459">
        <f t="shared" ca="1" si="69"/>
        <v>0</v>
      </c>
      <c r="AP34" s="459">
        <f t="shared" ca="1" si="69"/>
        <v>0</v>
      </c>
      <c r="AQ34" s="459">
        <f t="shared" ca="1" si="69"/>
        <v>0</v>
      </c>
      <c r="AR34" s="459">
        <f t="shared" ca="1" si="69"/>
        <v>0</v>
      </c>
      <c r="AS34" s="459">
        <f t="shared" ca="1" si="69"/>
        <v>0</v>
      </c>
      <c r="AT34" s="459">
        <f t="shared" ca="1" si="69"/>
        <v>0</v>
      </c>
      <c r="AU34" s="459">
        <f t="shared" ca="1" si="69"/>
        <v>0</v>
      </c>
      <c r="AV34" s="459">
        <f t="shared" ca="1" si="69"/>
        <v>0</v>
      </c>
      <c r="AW34" s="459">
        <f t="shared" ca="1" si="69"/>
        <v>0</v>
      </c>
      <c r="AX34" s="459">
        <f t="shared" ca="1" si="69"/>
        <v>0</v>
      </c>
      <c r="AY34" s="459">
        <f t="shared" ca="1" si="69"/>
        <v>0</v>
      </c>
      <c r="AZ34" s="459">
        <f t="shared" ca="1" si="69"/>
        <v>0</v>
      </c>
      <c r="BA34" s="459">
        <f t="shared" ca="1" si="69"/>
        <v>0</v>
      </c>
      <c r="BB34" s="459">
        <f t="shared" ca="1" si="69"/>
        <v>0</v>
      </c>
      <c r="BC34" s="459">
        <f t="shared" ca="1" si="69"/>
        <v>0</v>
      </c>
      <c r="BD34" s="459">
        <f t="shared" ca="1" si="69"/>
        <v>0</v>
      </c>
      <c r="BE34" s="459">
        <f t="shared" ca="1" si="69"/>
        <v>0</v>
      </c>
      <c r="BF34" s="459">
        <f t="shared" ca="1" si="69"/>
        <v>0</v>
      </c>
      <c r="BG34" s="459">
        <f t="shared" ca="1" si="69"/>
        <v>0</v>
      </c>
      <c r="BH34" s="459">
        <f t="shared" ca="1" si="69"/>
        <v>0</v>
      </c>
      <c r="BI34" s="459">
        <f t="shared" ca="1" si="69"/>
        <v>0</v>
      </c>
      <c r="BJ34" s="459">
        <f t="shared" ca="1" si="69"/>
        <v>0</v>
      </c>
      <c r="BK34" s="459">
        <f t="shared" ca="1" si="69"/>
        <v>0</v>
      </c>
      <c r="BL34" s="459">
        <f t="shared" ca="1" si="69"/>
        <v>0</v>
      </c>
      <c r="BM34" s="459">
        <f t="shared" ca="1" si="69"/>
        <v>0</v>
      </c>
      <c r="BN34" s="459">
        <f t="shared" ca="1" si="69"/>
        <v>0</v>
      </c>
      <c r="BO34" s="459">
        <f t="shared" ca="1" si="69"/>
        <v>0</v>
      </c>
      <c r="BP34" s="459"/>
      <c r="BQ34" s="459"/>
      <c r="BR34" s="459"/>
      <c r="BS34" s="459"/>
      <c r="BT34" s="459"/>
      <c r="BU34" s="459"/>
      <c r="BV34" s="459"/>
      <c r="BW34" s="459"/>
      <c r="BX34" s="459"/>
      <c r="BY34" s="459"/>
      <c r="BZ34" s="459"/>
      <c r="CA34" s="459"/>
      <c r="CB34" s="459"/>
      <c r="CC34" s="459"/>
      <c r="CD34" s="459"/>
      <c r="CE34" s="459"/>
      <c r="CF34" s="459"/>
      <c r="CG34" s="459"/>
      <c r="CH34" s="459"/>
      <c r="CI34" s="459"/>
      <c r="CJ34" s="459"/>
      <c r="CK34" s="459"/>
      <c r="CL34" s="459"/>
      <c r="CM34" s="459"/>
      <c r="CN34" s="459"/>
      <c r="CO34" s="459"/>
      <c r="CP34" s="459"/>
      <c r="CQ34" s="459"/>
      <c r="CR34" s="459"/>
      <c r="CS34" s="459"/>
      <c r="CT34" s="459"/>
      <c r="CU34" s="459"/>
      <c r="CV34" s="459"/>
      <c r="CW34" s="459"/>
      <c r="CX34" s="459"/>
      <c r="CY34" s="459"/>
      <c r="CZ34" s="459"/>
      <c r="DA34" s="459"/>
      <c r="DB34" s="459"/>
      <c r="DC34" s="459"/>
      <c r="DD34" s="459"/>
      <c r="DE34" s="459"/>
      <c r="DF34" s="459"/>
      <c r="DG34" s="459"/>
      <c r="DH34" s="459"/>
      <c r="DI34" s="459"/>
      <c r="DJ34" s="459"/>
      <c r="DK34" s="459"/>
      <c r="DL34" s="459"/>
      <c r="DM34" s="459"/>
      <c r="DN34" s="459"/>
      <c r="DO34" s="459"/>
      <c r="DP34" s="459"/>
      <c r="DQ34" s="459"/>
      <c r="DR34" s="459"/>
      <c r="DS34" s="459"/>
      <c r="DT34" s="459"/>
      <c r="DU34" s="459"/>
      <c r="DV34" s="459"/>
      <c r="DW34" s="459"/>
    </row>
    <row r="35" spans="1:127">
      <c r="A35" s="322" t="s">
        <v>1232</v>
      </c>
      <c r="B35" s="703"/>
      <c r="C35" s="703"/>
      <c r="D35" s="614"/>
      <c r="E35" s="614"/>
      <c r="F35" s="373"/>
      <c r="G35" s="575">
        <f t="shared" ref="G35:H35" si="70">G33</f>
        <v>0</v>
      </c>
      <c r="H35" s="575">
        <f t="shared" ca="1" si="70"/>
        <v>0</v>
      </c>
      <c r="I35" s="575">
        <f t="shared" ref="I35:BO35" ca="1" si="71">I33</f>
        <v>0</v>
      </c>
      <c r="J35" s="575">
        <f t="shared" ca="1" si="71"/>
        <v>0</v>
      </c>
      <c r="K35" s="575">
        <f t="shared" ca="1" si="71"/>
        <v>0</v>
      </c>
      <c r="L35" s="575">
        <f t="shared" ca="1" si="71"/>
        <v>0</v>
      </c>
      <c r="M35" s="575">
        <f t="shared" ca="1" si="71"/>
        <v>0</v>
      </c>
      <c r="N35" s="575">
        <f t="shared" ca="1" si="71"/>
        <v>0</v>
      </c>
      <c r="O35" s="575">
        <f t="shared" ca="1" si="71"/>
        <v>0</v>
      </c>
      <c r="P35" s="575">
        <f t="shared" ca="1" si="71"/>
        <v>0</v>
      </c>
      <c r="Q35" s="575">
        <f t="shared" ca="1" si="71"/>
        <v>0</v>
      </c>
      <c r="R35" s="575">
        <f t="shared" ca="1" si="71"/>
        <v>0</v>
      </c>
      <c r="S35" s="575">
        <f t="shared" ca="1" si="71"/>
        <v>0</v>
      </c>
      <c r="T35" s="575">
        <f t="shared" ca="1" si="71"/>
        <v>0</v>
      </c>
      <c r="U35" s="575">
        <f t="shared" ca="1" si="71"/>
        <v>0</v>
      </c>
      <c r="V35" s="575">
        <f t="shared" ca="1" si="71"/>
        <v>0</v>
      </c>
      <c r="W35" s="575">
        <f t="shared" ca="1" si="71"/>
        <v>0</v>
      </c>
      <c r="X35" s="575">
        <f t="shared" ca="1" si="71"/>
        <v>0</v>
      </c>
      <c r="Y35" s="575">
        <f t="shared" ca="1" si="71"/>
        <v>0</v>
      </c>
      <c r="Z35" s="575">
        <f t="shared" ca="1" si="71"/>
        <v>0</v>
      </c>
      <c r="AA35" s="575">
        <f t="shared" ca="1" si="71"/>
        <v>0</v>
      </c>
      <c r="AB35" s="575">
        <f t="shared" ca="1" si="71"/>
        <v>0</v>
      </c>
      <c r="AC35" s="575">
        <f t="shared" ca="1" si="71"/>
        <v>0</v>
      </c>
      <c r="AD35" s="575">
        <f t="shared" ca="1" si="71"/>
        <v>0</v>
      </c>
      <c r="AE35" s="575">
        <f t="shared" ca="1" si="71"/>
        <v>0</v>
      </c>
      <c r="AF35" s="575">
        <f t="shared" ca="1" si="71"/>
        <v>0</v>
      </c>
      <c r="AG35" s="575">
        <f t="shared" ca="1" si="71"/>
        <v>0</v>
      </c>
      <c r="AH35" s="575">
        <f t="shared" ca="1" si="71"/>
        <v>0</v>
      </c>
      <c r="AI35" s="575">
        <f t="shared" ca="1" si="71"/>
        <v>0</v>
      </c>
      <c r="AJ35" s="575">
        <f t="shared" ca="1" si="71"/>
        <v>0</v>
      </c>
      <c r="AK35" s="575">
        <f t="shared" ca="1" si="71"/>
        <v>0</v>
      </c>
      <c r="AL35" s="575">
        <f t="shared" ca="1" si="71"/>
        <v>0</v>
      </c>
      <c r="AM35" s="575">
        <f t="shared" ca="1" si="71"/>
        <v>0</v>
      </c>
      <c r="AN35" s="575">
        <f t="shared" ca="1" si="71"/>
        <v>0</v>
      </c>
      <c r="AO35" s="575">
        <f t="shared" ca="1" si="71"/>
        <v>0</v>
      </c>
      <c r="AP35" s="575">
        <f t="shared" ca="1" si="71"/>
        <v>0</v>
      </c>
      <c r="AQ35" s="575">
        <f t="shared" ca="1" si="71"/>
        <v>0</v>
      </c>
      <c r="AR35" s="575">
        <f t="shared" ca="1" si="71"/>
        <v>0</v>
      </c>
      <c r="AS35" s="575">
        <f t="shared" ca="1" si="71"/>
        <v>0</v>
      </c>
      <c r="AT35" s="575">
        <f t="shared" ca="1" si="71"/>
        <v>0</v>
      </c>
      <c r="AU35" s="575">
        <f t="shared" ca="1" si="71"/>
        <v>0</v>
      </c>
      <c r="AV35" s="575">
        <f t="shared" ca="1" si="71"/>
        <v>0</v>
      </c>
      <c r="AW35" s="575">
        <f t="shared" ca="1" si="71"/>
        <v>0</v>
      </c>
      <c r="AX35" s="575">
        <f t="shared" ca="1" si="71"/>
        <v>0</v>
      </c>
      <c r="AY35" s="575">
        <f t="shared" ca="1" si="71"/>
        <v>0</v>
      </c>
      <c r="AZ35" s="575">
        <f t="shared" ca="1" si="71"/>
        <v>0</v>
      </c>
      <c r="BA35" s="575">
        <f t="shared" ca="1" si="71"/>
        <v>0</v>
      </c>
      <c r="BB35" s="575">
        <f t="shared" ca="1" si="71"/>
        <v>0</v>
      </c>
      <c r="BC35" s="575">
        <f t="shared" ca="1" si="71"/>
        <v>0</v>
      </c>
      <c r="BD35" s="575">
        <f t="shared" ca="1" si="71"/>
        <v>0</v>
      </c>
      <c r="BE35" s="575">
        <f t="shared" ca="1" si="71"/>
        <v>0</v>
      </c>
      <c r="BF35" s="575">
        <f t="shared" ca="1" si="71"/>
        <v>0</v>
      </c>
      <c r="BG35" s="575">
        <f t="shared" ca="1" si="71"/>
        <v>0</v>
      </c>
      <c r="BH35" s="575">
        <f t="shared" ca="1" si="71"/>
        <v>0</v>
      </c>
      <c r="BI35" s="575">
        <f t="shared" ca="1" si="71"/>
        <v>0</v>
      </c>
      <c r="BJ35" s="575">
        <f t="shared" ca="1" si="71"/>
        <v>0</v>
      </c>
      <c r="BK35" s="575">
        <f t="shared" ca="1" si="71"/>
        <v>0</v>
      </c>
      <c r="BL35" s="575">
        <f t="shared" ca="1" si="71"/>
        <v>0</v>
      </c>
      <c r="BM35" s="575">
        <f t="shared" ca="1" si="71"/>
        <v>0</v>
      </c>
      <c r="BN35" s="575">
        <f t="shared" ca="1" si="71"/>
        <v>0</v>
      </c>
      <c r="BO35" s="575">
        <f t="shared" ca="1" si="71"/>
        <v>0</v>
      </c>
      <c r="BP35" s="575"/>
      <c r="BQ35" s="575"/>
      <c r="BR35" s="575"/>
      <c r="BS35" s="575"/>
      <c r="BT35" s="575"/>
      <c r="BU35" s="575"/>
      <c r="BV35" s="575"/>
      <c r="BW35" s="575"/>
      <c r="BX35" s="575"/>
      <c r="BY35" s="575"/>
      <c r="BZ35" s="575"/>
      <c r="CA35" s="575"/>
      <c r="CB35" s="575"/>
      <c r="CC35" s="575"/>
      <c r="CD35" s="575"/>
      <c r="CE35" s="575"/>
      <c r="CF35" s="575"/>
      <c r="CG35" s="575"/>
      <c r="CH35" s="575"/>
      <c r="CI35" s="575"/>
      <c r="CJ35" s="575"/>
      <c r="CK35" s="575"/>
      <c r="CL35" s="575"/>
      <c r="CM35" s="575"/>
      <c r="CN35" s="575"/>
      <c r="CO35" s="575"/>
      <c r="CP35" s="575"/>
      <c r="CQ35" s="575"/>
      <c r="CR35" s="575"/>
      <c r="CS35" s="575"/>
      <c r="CT35" s="575"/>
      <c r="CU35" s="575"/>
      <c r="CV35" s="575"/>
      <c r="CW35" s="575"/>
      <c r="CX35" s="575"/>
      <c r="CY35" s="575"/>
      <c r="CZ35" s="575"/>
      <c r="DA35" s="575"/>
      <c r="DB35" s="575"/>
      <c r="DC35" s="575"/>
      <c r="DD35" s="575"/>
      <c r="DE35" s="575"/>
      <c r="DF35" s="575"/>
      <c r="DG35" s="575"/>
      <c r="DH35" s="575"/>
      <c r="DI35" s="575"/>
      <c r="DJ35" s="575"/>
      <c r="DK35" s="575"/>
      <c r="DL35" s="575"/>
      <c r="DM35" s="575"/>
      <c r="DN35" s="575"/>
      <c r="DO35" s="575"/>
      <c r="DP35" s="575"/>
      <c r="DQ35" s="575"/>
      <c r="DR35" s="575"/>
      <c r="DS35" s="575"/>
      <c r="DT35" s="575"/>
      <c r="DU35" s="575"/>
      <c r="DV35" s="575"/>
      <c r="DW35" s="575"/>
    </row>
    <row r="36" spans="1:127">
      <c r="A36" s="615" t="s">
        <v>1233</v>
      </c>
      <c r="B36" s="703"/>
      <c r="C36" s="703"/>
      <c r="E36" s="396">
        <f ca="1">ABS(D31-D32)</f>
        <v>0</v>
      </c>
      <c r="F36" s="314"/>
      <c r="G36" s="544"/>
      <c r="H36" s="610"/>
      <c r="I36" s="610"/>
      <c r="J36" s="610"/>
      <c r="K36" s="610"/>
      <c r="L36" s="610"/>
      <c r="M36" s="610"/>
      <c r="N36" s="610"/>
      <c r="O36" s="610"/>
      <c r="P36" s="610"/>
      <c r="Q36" s="610"/>
      <c r="R36" s="610"/>
      <c r="S36" s="610"/>
      <c r="T36" s="610"/>
      <c r="U36" s="610"/>
      <c r="V36" s="610"/>
      <c r="W36" s="610"/>
      <c r="X36" s="610"/>
      <c r="Y36" s="610"/>
      <c r="Z36" s="610"/>
      <c r="AA36" s="610"/>
      <c r="AB36" s="610"/>
      <c r="AC36" s="610"/>
      <c r="AD36" s="610"/>
      <c r="AE36" s="610"/>
      <c r="AF36" s="610"/>
      <c r="AG36" s="610"/>
      <c r="AH36" s="610"/>
      <c r="AI36" s="610"/>
      <c r="AJ36" s="610"/>
      <c r="AK36" s="610"/>
      <c r="AL36" s="610"/>
      <c r="AM36" s="610"/>
      <c r="AN36" s="610"/>
      <c r="AO36" s="610"/>
      <c r="AP36" s="610"/>
      <c r="AQ36" s="610"/>
      <c r="AR36" s="610"/>
      <c r="AS36" s="610"/>
      <c r="AT36" s="610"/>
      <c r="AU36" s="610"/>
      <c r="AV36" s="610"/>
      <c r="AW36" s="610"/>
      <c r="AX36" s="610"/>
      <c r="AY36" s="610"/>
      <c r="AZ36" s="610"/>
      <c r="BA36" s="610"/>
      <c r="BB36" s="610"/>
      <c r="BC36" s="610"/>
      <c r="BD36" s="610"/>
      <c r="BE36" s="610"/>
      <c r="BF36" s="610"/>
      <c r="BG36" s="610"/>
      <c r="BH36" s="610"/>
      <c r="BI36" s="610"/>
      <c r="BJ36" s="610"/>
      <c r="BK36" s="610"/>
      <c r="BL36" s="610"/>
      <c r="BM36" s="610"/>
      <c r="BN36" s="610"/>
      <c r="BO36" s="610"/>
      <c r="BP36" s="610"/>
      <c r="BQ36" s="610"/>
      <c r="BR36" s="610"/>
      <c r="BS36" s="610"/>
      <c r="BT36" s="610"/>
      <c r="BU36" s="610"/>
      <c r="BV36" s="610"/>
      <c r="BW36" s="610"/>
      <c r="BX36" s="610"/>
      <c r="BY36" s="610"/>
      <c r="BZ36" s="610"/>
      <c r="CA36" s="610"/>
      <c r="CB36" s="610"/>
      <c r="CC36" s="610"/>
      <c r="CD36" s="610"/>
      <c r="CE36" s="610"/>
      <c r="CF36" s="610"/>
      <c r="CG36" s="610"/>
      <c r="CH36" s="610"/>
      <c r="CI36" s="610"/>
      <c r="CJ36" s="610"/>
      <c r="CK36" s="610"/>
      <c r="CL36" s="610"/>
      <c r="CM36" s="610"/>
      <c r="CN36" s="610"/>
      <c r="CO36" s="610"/>
      <c r="CP36" s="610"/>
      <c r="CQ36" s="610"/>
      <c r="CR36" s="610"/>
      <c r="CS36" s="610"/>
      <c r="CT36" s="610"/>
      <c r="CU36" s="610"/>
      <c r="CV36" s="610"/>
      <c r="CW36" s="610"/>
      <c r="CX36" s="610"/>
      <c r="CY36" s="610"/>
      <c r="CZ36" s="610"/>
      <c r="DA36" s="610"/>
      <c r="DB36" s="610"/>
      <c r="DC36" s="610"/>
      <c r="DD36" s="610"/>
      <c r="DE36" s="610"/>
      <c r="DF36" s="610"/>
      <c r="DG36" s="610"/>
      <c r="DH36" s="610"/>
      <c r="DI36" s="610"/>
      <c r="DJ36" s="610"/>
      <c r="DK36" s="610"/>
      <c r="DL36" s="610"/>
      <c r="DM36" s="610"/>
      <c r="DN36" s="610"/>
      <c r="DO36" s="610"/>
      <c r="DP36" s="610"/>
      <c r="DQ36" s="610"/>
      <c r="DR36" s="610"/>
      <c r="DS36" s="610"/>
      <c r="DT36" s="610"/>
      <c r="DU36" s="610"/>
      <c r="DV36" s="610"/>
      <c r="DW36" s="610"/>
    </row>
    <row r="37" spans="1:127">
      <c r="A37" s="615"/>
      <c r="B37" s="703"/>
      <c r="C37" s="703"/>
      <c r="D37" s="396"/>
      <c r="E37" s="396"/>
      <c r="F37" s="314"/>
      <c r="G37" s="544"/>
      <c r="H37" s="610"/>
      <c r="I37" s="610"/>
      <c r="J37" s="610"/>
      <c r="K37" s="610"/>
      <c r="L37" s="610"/>
      <c r="M37" s="610"/>
      <c r="N37" s="610"/>
      <c r="O37" s="610"/>
      <c r="P37" s="610"/>
      <c r="Q37" s="610"/>
      <c r="R37" s="610"/>
      <c r="S37" s="610"/>
      <c r="T37" s="610"/>
      <c r="U37" s="610"/>
      <c r="V37" s="610"/>
      <c r="W37" s="610"/>
      <c r="X37" s="610"/>
      <c r="Y37" s="610"/>
      <c r="Z37" s="610"/>
      <c r="AA37" s="610"/>
      <c r="AB37" s="610"/>
      <c r="AC37" s="610"/>
      <c r="AD37" s="610"/>
      <c r="AE37" s="610"/>
      <c r="AF37" s="610"/>
      <c r="AG37" s="610"/>
      <c r="AH37" s="610"/>
      <c r="AI37" s="610"/>
      <c r="AJ37" s="610"/>
      <c r="AK37" s="610"/>
      <c r="AL37" s="610"/>
      <c r="AM37" s="610"/>
      <c r="AN37" s="610"/>
      <c r="AO37" s="610"/>
      <c r="AP37" s="610"/>
      <c r="AQ37" s="610"/>
      <c r="AR37" s="610"/>
      <c r="AS37" s="610"/>
      <c r="AT37" s="610"/>
      <c r="AU37" s="610"/>
      <c r="AV37" s="610"/>
      <c r="AW37" s="610"/>
      <c r="AX37" s="610"/>
      <c r="AY37" s="610"/>
      <c r="AZ37" s="610"/>
      <c r="BA37" s="610"/>
      <c r="BB37" s="610"/>
      <c r="BC37" s="610"/>
      <c r="BD37" s="610"/>
      <c r="BE37" s="610"/>
      <c r="BF37" s="610"/>
      <c r="BG37" s="610"/>
      <c r="BH37" s="610"/>
      <c r="BI37" s="610"/>
      <c r="BJ37" s="610"/>
      <c r="BK37" s="610"/>
      <c r="BL37" s="610"/>
      <c r="BM37" s="610"/>
      <c r="BN37" s="610"/>
      <c r="BO37" s="610"/>
      <c r="BP37" s="610"/>
      <c r="BQ37" s="610"/>
      <c r="BR37" s="610"/>
      <c r="BS37" s="610"/>
      <c r="BT37" s="610"/>
      <c r="BU37" s="610"/>
      <c r="BV37" s="610"/>
      <c r="BW37" s="610"/>
      <c r="BX37" s="610"/>
      <c r="BY37" s="610"/>
      <c r="BZ37" s="610"/>
      <c r="CA37" s="610"/>
      <c r="CB37" s="610"/>
      <c r="CC37" s="610"/>
      <c r="CD37" s="610"/>
      <c r="CE37" s="610"/>
      <c r="CF37" s="610"/>
      <c r="CG37" s="610"/>
      <c r="CH37" s="610"/>
      <c r="CI37" s="610"/>
      <c r="CJ37" s="610"/>
      <c r="CK37" s="610"/>
      <c r="CL37" s="610"/>
      <c r="CM37" s="610"/>
      <c r="CN37" s="610"/>
      <c r="CO37" s="610"/>
      <c r="CP37" s="610"/>
      <c r="CQ37" s="610"/>
      <c r="CR37" s="610"/>
      <c r="CS37" s="610"/>
      <c r="CT37" s="610"/>
      <c r="CU37" s="610"/>
      <c r="CV37" s="610"/>
      <c r="CW37" s="610"/>
      <c r="CX37" s="610"/>
      <c r="CY37" s="610"/>
      <c r="CZ37" s="610"/>
      <c r="DA37" s="610"/>
      <c r="DB37" s="610"/>
      <c r="DC37" s="610"/>
      <c r="DD37" s="610"/>
      <c r="DE37" s="610"/>
      <c r="DF37" s="610"/>
      <c r="DG37" s="610"/>
      <c r="DH37" s="610"/>
      <c r="DI37" s="610"/>
      <c r="DJ37" s="610"/>
      <c r="DK37" s="610"/>
      <c r="DL37" s="610"/>
      <c r="DM37" s="610"/>
      <c r="DN37" s="610"/>
      <c r="DO37" s="610"/>
      <c r="DP37" s="610"/>
      <c r="DQ37" s="610"/>
      <c r="DR37" s="610"/>
      <c r="DS37" s="610"/>
      <c r="DT37" s="610"/>
      <c r="DU37" s="610"/>
      <c r="DV37" s="610"/>
      <c r="DW37" s="610"/>
    </row>
    <row r="38" spans="1:127">
      <c r="A38" s="861" t="s">
        <v>348</v>
      </c>
      <c r="B38" s="862"/>
      <c r="C38" s="862"/>
      <c r="D38" s="963"/>
      <c r="E38" s="864"/>
      <c r="F38" s="863"/>
      <c r="G38" s="923"/>
      <c r="H38" s="924"/>
      <c r="I38" s="924"/>
      <c r="J38" s="924"/>
      <c r="K38" s="924"/>
      <c r="L38" s="924"/>
      <c r="M38" s="924"/>
      <c r="N38" s="924"/>
      <c r="O38" s="924"/>
      <c r="P38" s="924"/>
      <c r="Q38" s="924"/>
      <c r="R38" s="924"/>
      <c r="S38" s="924"/>
      <c r="T38" s="924"/>
      <c r="U38" s="924"/>
      <c r="V38" s="924"/>
      <c r="W38" s="924"/>
      <c r="X38" s="924"/>
      <c r="Y38" s="924"/>
      <c r="Z38" s="924"/>
      <c r="AA38" s="924"/>
      <c r="AB38" s="924"/>
      <c r="AC38" s="924"/>
      <c r="AD38" s="924"/>
      <c r="AE38" s="924"/>
      <c r="AF38" s="924"/>
      <c r="AG38" s="924"/>
      <c r="AH38" s="924"/>
      <c r="AI38" s="924"/>
      <c r="AJ38" s="924"/>
      <c r="AK38" s="924"/>
      <c r="AL38" s="924"/>
      <c r="AM38" s="924"/>
      <c r="AN38" s="924"/>
      <c r="AO38" s="924"/>
      <c r="AP38" s="924"/>
      <c r="AQ38" s="924"/>
      <c r="AR38" s="924"/>
      <c r="AS38" s="924"/>
      <c r="AT38" s="924"/>
      <c r="AU38" s="924"/>
      <c r="AV38" s="924"/>
      <c r="AW38" s="924"/>
      <c r="AX38" s="924"/>
      <c r="AY38" s="924"/>
      <c r="AZ38" s="924"/>
      <c r="BA38" s="924"/>
      <c r="BB38" s="924"/>
      <c r="BC38" s="924"/>
      <c r="BD38" s="924"/>
      <c r="BE38" s="924"/>
      <c r="BF38" s="924"/>
      <c r="BG38" s="924"/>
      <c r="BH38" s="924"/>
      <c r="BI38" s="924"/>
      <c r="BJ38" s="924"/>
      <c r="BK38" s="924"/>
      <c r="BL38" s="924"/>
      <c r="BM38" s="924"/>
      <c r="BN38" s="924"/>
      <c r="BO38" s="924"/>
      <c r="BP38" s="924"/>
      <c r="BQ38" s="924"/>
      <c r="BR38" s="924"/>
      <c r="BS38" s="924"/>
      <c r="BT38" s="924"/>
      <c r="BU38" s="924"/>
      <c r="BV38" s="924"/>
      <c r="BW38" s="924"/>
      <c r="BX38" s="924"/>
      <c r="BY38" s="924"/>
      <c r="BZ38" s="924"/>
      <c r="CA38" s="924"/>
      <c r="CB38" s="924"/>
      <c r="CC38" s="924"/>
      <c r="CD38" s="924"/>
      <c r="CE38" s="924"/>
      <c r="CF38" s="924"/>
      <c r="CG38" s="924"/>
      <c r="CH38" s="924"/>
      <c r="CI38" s="924"/>
      <c r="CJ38" s="924"/>
      <c r="CK38" s="924"/>
      <c r="CL38" s="924"/>
      <c r="CM38" s="924"/>
      <c r="CN38" s="924"/>
      <c r="CO38" s="924"/>
      <c r="CP38" s="924"/>
      <c r="CQ38" s="924"/>
      <c r="CR38" s="924"/>
      <c r="CS38" s="924"/>
      <c r="CT38" s="924"/>
      <c r="CU38" s="924"/>
      <c r="CV38" s="924"/>
      <c r="CW38" s="924"/>
      <c r="CX38" s="924"/>
      <c r="CY38" s="924"/>
      <c r="CZ38" s="924"/>
      <c r="DA38" s="924"/>
      <c r="DB38" s="924"/>
      <c r="DC38" s="924"/>
      <c r="DD38" s="924"/>
      <c r="DE38" s="924"/>
      <c r="DF38" s="924"/>
      <c r="DG38" s="924"/>
      <c r="DH38" s="924"/>
      <c r="DI38" s="924"/>
      <c r="DJ38" s="924"/>
      <c r="DK38" s="924"/>
      <c r="DL38" s="924"/>
      <c r="DM38" s="924"/>
      <c r="DN38" s="924"/>
      <c r="DO38" s="924"/>
      <c r="DP38" s="924"/>
      <c r="DQ38" s="924"/>
      <c r="DR38" s="924"/>
      <c r="DS38" s="924"/>
      <c r="DT38" s="924"/>
      <c r="DU38" s="924"/>
      <c r="DV38" s="924"/>
      <c r="DW38" s="924"/>
    </row>
    <row r="39" spans="1:127">
      <c r="A39" s="373" t="s">
        <v>1234</v>
      </c>
      <c r="B39" s="843">
        <f>1-B40</f>
        <v>0.19999999999999996</v>
      </c>
      <c r="C39" s="843">
        <f>Inputs!$D$298</f>
        <v>0.2</v>
      </c>
      <c r="D39" s="568"/>
      <c r="E39" s="637"/>
      <c r="F39" s="637"/>
      <c r="G39" s="807">
        <f>IF(G5,HLOOKUP(G$3,Inputs!$A$304:$T$305,2,0),0)*(1+$C$39)</f>
        <v>0</v>
      </c>
      <c r="H39" s="807">
        <f>IF(H5,HLOOKUP(H$3,Inputs!$A$304:$T$305,2,0),0)*(1+$C$39)</f>
        <v>3.7067999999999997E-2</v>
      </c>
      <c r="I39" s="807">
        <f>IF(I5,HLOOKUP(I$3,Inputs!$A$304:$T$305,2,0),0)*(1+$C$39)</f>
        <v>3.7067999999999997E-2</v>
      </c>
      <c r="J39" s="807">
        <f>IF(J5,HLOOKUP(J$3,Inputs!$A$304:$T$305,2,0),0)*(1+$C$39)</f>
        <v>3.1415999999999999E-2</v>
      </c>
      <c r="K39" s="807">
        <f>IF(K5,HLOOKUP(K$3,Inputs!$A$304:$T$305,2,0),0)*(1+$C$39)</f>
        <v>3.1415999999999999E-2</v>
      </c>
      <c r="L39" s="807">
        <f>IF(L5,HLOOKUP(L$3,Inputs!$A$304:$T$305,2,0),0)*(1+$C$39)</f>
        <v>2.9195999999999996E-2</v>
      </c>
      <c r="M39" s="807">
        <f>IF(M5,HLOOKUP(M$3,Inputs!$A$304:$T$305,2,0),0)*(1+$C$39)</f>
        <v>2.9195999999999996E-2</v>
      </c>
      <c r="N39" s="807">
        <f>IF(N5,HLOOKUP(N$3,Inputs!$A$304:$T$305,2,0),0)*(1+$C$39)</f>
        <v>2.8704E-2</v>
      </c>
      <c r="O39" s="807">
        <f>IF(O5,HLOOKUP(O$3,Inputs!$A$304:$T$305,2,0),0)*(1+$C$39)</f>
        <v>2.8704E-2</v>
      </c>
      <c r="P39" s="807">
        <f>IF(P5,HLOOKUP(P$3,Inputs!$A$304:$T$305,2,0),0)*(1+$C$39)</f>
        <v>2.9003999999999995E-2</v>
      </c>
      <c r="Q39" s="807">
        <f>IF(Q5,HLOOKUP(Q$3,Inputs!$A$304:$T$305,2,0),0)*(1+$C$39)</f>
        <v>2.9003999999999995E-2</v>
      </c>
      <c r="R39" s="807">
        <f>IF(R5,HLOOKUP(R$3,Inputs!$A$304:$T$305,2,0),0)*(1+$C$39)</f>
        <v>2.9663999999999996E-2</v>
      </c>
      <c r="S39" s="807">
        <f>IF(S5,HLOOKUP(S$3,Inputs!$A$304:$T$305,2,0),0)*(1+$C$39)</f>
        <v>2.9663999999999996E-2</v>
      </c>
      <c r="T39" s="807">
        <f>IF(T5,HLOOKUP(T$3,Inputs!$A$304:$T$305,2,0),0)*(1+$C$39)</f>
        <v>3.0468000000000002E-2</v>
      </c>
      <c r="U39" s="807">
        <f>IF(U5,HLOOKUP(U$3,Inputs!$A$304:$T$305,2,0),0)*(1+$C$39)</f>
        <v>3.0468000000000002E-2</v>
      </c>
      <c r="V39" s="807">
        <f>IF(V5,HLOOKUP(V$3,Inputs!$A$304:$T$305,2,0),0)*(1+$C$39)</f>
        <v>3.1200000000000002E-2</v>
      </c>
      <c r="W39" s="807">
        <f>IF(W5,HLOOKUP(W$3,Inputs!$A$304:$T$305,2,0),0)*(1+$C$39)</f>
        <v>3.1200000000000002E-2</v>
      </c>
      <c r="X39" s="807">
        <f>IF(X5,HLOOKUP(X$3,Inputs!$A$304:$T$305,2,0),0)*(1+$C$39)</f>
        <v>3.1812E-2</v>
      </c>
      <c r="Y39" s="807">
        <f>IF(Y5,HLOOKUP(Y$3,Inputs!$A$304:$T$305,2,0),0)*(1+$C$39)</f>
        <v>3.1812E-2</v>
      </c>
      <c r="Z39" s="807">
        <f>IF(Z5,HLOOKUP(Z$3,Inputs!$A$304:$T$305,2,0),0)*(1+$C$39)</f>
        <v>3.2327999999999996E-2</v>
      </c>
      <c r="AA39" s="807">
        <f>IF(AA5,HLOOKUP(AA$3,Inputs!$A$304:$T$305,2,0),0)*(1+$C$39)</f>
        <v>3.2327999999999996E-2</v>
      </c>
      <c r="AB39" s="807">
        <f>IF(AB5,HLOOKUP(AB$3,Inputs!$A$304:$T$305,2,0),0)*(1+$C$39)</f>
        <v>3.2640000000000002E-2</v>
      </c>
      <c r="AC39" s="807">
        <f>IF(AC5,HLOOKUP(AC$3,Inputs!$A$304:$T$305,2,0),0)*(1+$C$39)</f>
        <v>3.2640000000000002E-2</v>
      </c>
      <c r="AD39" s="807">
        <f>IF(AD5,HLOOKUP(AD$3,Inputs!$A$304:$T$305,2,0),0)*(1+$C$39)</f>
        <v>3.2604000000000001E-2</v>
      </c>
      <c r="AE39" s="807">
        <f>IF(AE5,HLOOKUP(AE$3,Inputs!$A$304:$T$305,2,0),0)*(1+$C$39)</f>
        <v>3.2604000000000001E-2</v>
      </c>
      <c r="AF39" s="807">
        <f>IF(AF5,HLOOKUP(AF$3,Inputs!$A$304:$T$305,2,0),0)*(1+$C$39)</f>
        <v>3.2243999999999995E-2</v>
      </c>
      <c r="AG39" s="807">
        <f>IF(AG5,HLOOKUP(AG$3,Inputs!$A$304:$T$305,2,0),0)*(1+$C$39)</f>
        <v>3.2243999999999995E-2</v>
      </c>
      <c r="AH39" s="807">
        <f>IF(AH5,HLOOKUP(AH$3,Inputs!$A$304:$T$305,2,0),0)*(1+$C$39)</f>
        <v>3.1536000000000002E-2</v>
      </c>
      <c r="AI39" s="807">
        <f>IF(AI5,HLOOKUP(AI$3,Inputs!$A$304:$T$305,2,0),0)*(1+$C$39)</f>
        <v>3.1536000000000002E-2</v>
      </c>
      <c r="AJ39" s="807">
        <f>IF(AJ5,HLOOKUP(AJ$3,Inputs!$A$304:$T$305,2,0),0)*(1+$C$39)</f>
        <v>0</v>
      </c>
      <c r="AK39" s="807">
        <f>IF(AK5,HLOOKUP(AK$3,Inputs!$A$304:$T$305,2,0),0)*(1+$C$39)</f>
        <v>0</v>
      </c>
      <c r="AL39" s="807">
        <f>IF(AL5,HLOOKUP(AL$3,Inputs!$A$304:$T$305,2,0),0)*(1+$C$39)</f>
        <v>0</v>
      </c>
      <c r="AM39" s="807">
        <f>IF(AM5,HLOOKUP(AM$3,Inputs!$A$304:$T$305,2,0),0)*(1+$C$39)</f>
        <v>0</v>
      </c>
      <c r="AN39" s="807">
        <f>IF(AN5,HLOOKUP(AN$3,Inputs!$A$304:$T$305,2,0),0)*(1+$C$39)</f>
        <v>0</v>
      </c>
      <c r="AO39" s="807">
        <f>IF(AO5,HLOOKUP(AO$3,Inputs!$A$304:$T$305,2,0),0)*(1+$C$39)</f>
        <v>0</v>
      </c>
      <c r="AP39" s="807">
        <f>IF(AP5,HLOOKUP(AP$3,Inputs!$A$304:$T$305,2,0),0)*(1+$C$39)</f>
        <v>0</v>
      </c>
      <c r="AQ39" s="807">
        <f>IF(AQ5,HLOOKUP(AQ$3,Inputs!$A$304:$T$305,2,0),0)*(1+$C$39)</f>
        <v>0</v>
      </c>
      <c r="AR39" s="807">
        <f>IF(AR5,HLOOKUP(AR$3,Inputs!$A$304:$T$305,2,0),0)*(1+$C$39)</f>
        <v>0</v>
      </c>
      <c r="AS39" s="807">
        <f>IF(AS5,HLOOKUP(AS$3,Inputs!$A$304:$T$305,2,0),0)*(1+$C$39)</f>
        <v>0</v>
      </c>
      <c r="AT39" s="807">
        <f>IF(AT5,HLOOKUP(AT$3,Inputs!$A$304:$T$305,2,0),0)*(1+$C$39)</f>
        <v>0</v>
      </c>
      <c r="AU39" s="807">
        <f>IF(AU5,HLOOKUP(AU$3,Inputs!$A$304:$T$305,2,0),0)*(1+$C$39)</f>
        <v>0</v>
      </c>
      <c r="AV39" s="807">
        <f>IF(AV5,HLOOKUP(AV$3,Inputs!$A$304:$T$305,2,0),0)*(1+$C$39)</f>
        <v>0</v>
      </c>
      <c r="AW39" s="807">
        <f>IF(AW5,HLOOKUP(AW$3,Inputs!$A$304:$T$305,2,0),0)*(1+$C$39)</f>
        <v>0</v>
      </c>
      <c r="AX39" s="807">
        <f>IF(AX5,HLOOKUP(AX$3,Inputs!$A$304:$T$305,2,0),0)*(1+$C$39)</f>
        <v>0</v>
      </c>
      <c r="AY39" s="807">
        <f>IF(AY5,HLOOKUP(AY$3,Inputs!$A$304:$T$305,2,0),0)*(1+$C$39)</f>
        <v>0</v>
      </c>
      <c r="AZ39" s="807">
        <f>IF(AZ5,HLOOKUP(AZ$3,Inputs!$A$304:$T$305,2,0),0)*(1+$C$39)</f>
        <v>0</v>
      </c>
      <c r="BA39" s="807">
        <f>IF(BA5,HLOOKUP(BA$3,Inputs!$A$304:$T$305,2,0),0)*(1+$C$39)</f>
        <v>0</v>
      </c>
      <c r="BB39" s="807">
        <f>IF(BB5,HLOOKUP(BB$3,Inputs!$A$304:$T$305,2,0),0)*(1+$C$39)</f>
        <v>0</v>
      </c>
      <c r="BC39" s="807">
        <f>IF(BC5,HLOOKUP(BC$3,Inputs!$A$304:$T$305,2,0),0)*(1+$C$39)</f>
        <v>0</v>
      </c>
      <c r="BD39" s="807">
        <f>IF(BD5,HLOOKUP(BD$3,Inputs!$A$304:$T$305,2,0),0)*(1+$C$39)</f>
        <v>0</v>
      </c>
      <c r="BE39" s="807">
        <f>IF(BE5,HLOOKUP(BE$3,Inputs!$A$304:$T$305,2,0),0)*(1+$C$39)</f>
        <v>0</v>
      </c>
      <c r="BF39" s="807">
        <f>IF(BF5,HLOOKUP(BF$3,Inputs!$A$304:$T$305,2,0),0)*(1+$C$39)</f>
        <v>0</v>
      </c>
      <c r="BG39" s="807">
        <f>IF(BG5,HLOOKUP(BG$3,Inputs!$A$304:$T$305,2,0),0)*(1+$C$39)</f>
        <v>0</v>
      </c>
      <c r="BH39" s="807">
        <f>IF(BH5,HLOOKUP(BH$3,Inputs!$A$304:$T$305,2,0),0)*(1+$C$39)</f>
        <v>0</v>
      </c>
      <c r="BI39" s="807">
        <f>IF(BI5,HLOOKUP(BI$3,Inputs!$A$304:$T$305,2,0),0)*(1+$C$39)</f>
        <v>0</v>
      </c>
      <c r="BJ39" s="807">
        <f>IF(BJ5,HLOOKUP(BJ$3,Inputs!$A$304:$T$305,2,0),0)*(1+$C$39)</f>
        <v>0</v>
      </c>
      <c r="BK39" s="807">
        <f>IF(BK5,HLOOKUP(BK$3,Inputs!$A$304:$T$305,2,0),0)*(1+$C$39)</f>
        <v>0</v>
      </c>
      <c r="BL39" s="807">
        <f>IF(BL5,HLOOKUP(BL$3,Inputs!$A$304:$T$305,2,0),0)*(1+$C$39)</f>
        <v>0</v>
      </c>
      <c r="BM39" s="807">
        <f>IF(BM5,HLOOKUP(BM$3,Inputs!$A$304:$T$305,2,0),0)*(1+$C$39)</f>
        <v>0</v>
      </c>
      <c r="BN39" s="807">
        <f>IF(BN5,HLOOKUP(BN$3,Inputs!$A$304:$T$305,2,0),0)*(1+$C$39)</f>
        <v>0</v>
      </c>
      <c r="BO39" s="807">
        <f>IF(BO5,HLOOKUP(BO$3,Inputs!$A$304:$T$305,2,0),0)*(1+$C$39)</f>
        <v>0</v>
      </c>
      <c r="BP39" s="807"/>
      <c r="BQ39" s="807"/>
      <c r="BR39" s="807"/>
      <c r="BS39" s="807"/>
      <c r="BT39" s="807"/>
      <c r="BU39" s="807"/>
      <c r="BV39" s="807"/>
      <c r="BW39" s="807"/>
      <c r="BX39" s="807"/>
      <c r="BY39" s="807"/>
      <c r="BZ39" s="807"/>
      <c r="CA39" s="807"/>
      <c r="CB39" s="807"/>
      <c r="CC39" s="807"/>
      <c r="CD39" s="807"/>
      <c r="CE39" s="807"/>
      <c r="CF39" s="807"/>
      <c r="CG39" s="807"/>
      <c r="CH39" s="807"/>
      <c r="CI39" s="807"/>
      <c r="CJ39" s="807"/>
      <c r="CK39" s="807"/>
      <c r="CL39" s="807"/>
      <c r="CM39" s="807"/>
      <c r="CN39" s="807"/>
      <c r="CO39" s="807"/>
      <c r="CP39" s="807"/>
      <c r="CQ39" s="807"/>
      <c r="CR39" s="807"/>
      <c r="CS39" s="807"/>
      <c r="CT39" s="807"/>
      <c r="CU39" s="807"/>
      <c r="CV39" s="807"/>
      <c r="CW39" s="807"/>
      <c r="CX39" s="807"/>
      <c r="CY39" s="807"/>
      <c r="CZ39" s="807"/>
      <c r="DA39" s="807"/>
      <c r="DB39" s="807"/>
      <c r="DC39" s="807"/>
      <c r="DD39" s="807"/>
      <c r="DE39" s="807"/>
      <c r="DF39" s="807"/>
      <c r="DG39" s="807"/>
      <c r="DH39" s="807"/>
      <c r="DI39" s="807"/>
      <c r="DJ39" s="807"/>
      <c r="DK39" s="807"/>
      <c r="DL39" s="807"/>
      <c r="DM39" s="807"/>
      <c r="DN39" s="807"/>
      <c r="DO39" s="807"/>
      <c r="DP39" s="807"/>
      <c r="DQ39" s="807"/>
      <c r="DR39" s="807"/>
      <c r="DS39" s="807"/>
      <c r="DT39" s="807"/>
      <c r="DU39" s="807"/>
      <c r="DV39" s="807"/>
      <c r="DW39" s="807"/>
    </row>
    <row r="40" spans="1:127">
      <c r="A40" s="373" t="s">
        <v>1235</v>
      </c>
      <c r="B40" s="843">
        <f>Inputs!$D$230</f>
        <v>0.8</v>
      </c>
      <c r="C40" s="986">
        <f>Inputs!$D$204</f>
        <v>3.2000000000000001E-2</v>
      </c>
      <c r="D40" s="568"/>
      <c r="E40" s="637"/>
      <c r="F40" s="637"/>
      <c r="G40" s="1058">
        <f t="shared" ref="G40:AL40" si="72">IF(G8,$C$40,G39)*G5</f>
        <v>0</v>
      </c>
      <c r="H40" s="1058">
        <f t="shared" si="72"/>
        <v>3.2000000000000001E-2</v>
      </c>
      <c r="I40" s="1058">
        <f t="shared" si="72"/>
        <v>3.2000000000000001E-2</v>
      </c>
      <c r="J40" s="1058">
        <f t="shared" si="72"/>
        <v>3.2000000000000001E-2</v>
      </c>
      <c r="K40" s="1058">
        <f t="shared" si="72"/>
        <v>3.2000000000000001E-2</v>
      </c>
      <c r="L40" s="1058">
        <f t="shared" si="72"/>
        <v>3.2000000000000001E-2</v>
      </c>
      <c r="M40" s="1058">
        <f t="shared" si="72"/>
        <v>3.2000000000000001E-2</v>
      </c>
      <c r="N40" s="1058">
        <f t="shared" si="72"/>
        <v>3.2000000000000001E-2</v>
      </c>
      <c r="O40" s="1058">
        <f t="shared" si="72"/>
        <v>3.2000000000000001E-2</v>
      </c>
      <c r="P40" s="1058">
        <f t="shared" si="72"/>
        <v>3.2000000000000001E-2</v>
      </c>
      <c r="Q40" s="1058">
        <f t="shared" si="72"/>
        <v>3.2000000000000001E-2</v>
      </c>
      <c r="R40" s="1058">
        <f t="shared" si="72"/>
        <v>3.2000000000000001E-2</v>
      </c>
      <c r="S40" s="1058">
        <f t="shared" si="72"/>
        <v>3.2000000000000001E-2</v>
      </c>
      <c r="T40" s="1058">
        <f t="shared" si="72"/>
        <v>3.2000000000000001E-2</v>
      </c>
      <c r="U40" s="1058">
        <f t="shared" si="72"/>
        <v>3.2000000000000001E-2</v>
      </c>
      <c r="V40" s="1058">
        <f t="shared" si="72"/>
        <v>3.2000000000000001E-2</v>
      </c>
      <c r="W40" s="1058">
        <f t="shared" si="72"/>
        <v>3.2000000000000001E-2</v>
      </c>
      <c r="X40" s="1058">
        <f t="shared" si="72"/>
        <v>3.2000000000000001E-2</v>
      </c>
      <c r="Y40" s="1058">
        <f t="shared" si="72"/>
        <v>3.2000000000000001E-2</v>
      </c>
      <c r="Z40" s="1058">
        <f t="shared" si="72"/>
        <v>3.2000000000000001E-2</v>
      </c>
      <c r="AA40" s="1058">
        <f t="shared" si="72"/>
        <v>3.2000000000000001E-2</v>
      </c>
      <c r="AB40" s="1058">
        <f t="shared" si="72"/>
        <v>3.2000000000000001E-2</v>
      </c>
      <c r="AC40" s="1058">
        <f t="shared" si="72"/>
        <v>3.2000000000000001E-2</v>
      </c>
      <c r="AD40" s="1058">
        <f t="shared" si="72"/>
        <v>3.2000000000000001E-2</v>
      </c>
      <c r="AE40" s="1058">
        <f t="shared" si="72"/>
        <v>3.2000000000000001E-2</v>
      </c>
      <c r="AF40" s="1058">
        <f t="shared" si="72"/>
        <v>3.2000000000000001E-2</v>
      </c>
      <c r="AG40" s="1058">
        <f t="shared" si="72"/>
        <v>3.2000000000000001E-2</v>
      </c>
      <c r="AH40" s="1058">
        <f t="shared" si="72"/>
        <v>3.2000000000000001E-2</v>
      </c>
      <c r="AI40" s="1058">
        <f t="shared" si="72"/>
        <v>3.2000000000000001E-2</v>
      </c>
      <c r="AJ40" s="1058">
        <f t="shared" si="72"/>
        <v>0</v>
      </c>
      <c r="AK40" s="1058">
        <f t="shared" si="72"/>
        <v>0</v>
      </c>
      <c r="AL40" s="1058">
        <f t="shared" si="72"/>
        <v>0</v>
      </c>
      <c r="AM40" s="1058">
        <f t="shared" ref="AM40:BO40" si="73">IF(AM8,$C$40,AM39)*AM5</f>
        <v>0</v>
      </c>
      <c r="AN40" s="1058">
        <f t="shared" si="73"/>
        <v>0</v>
      </c>
      <c r="AO40" s="1058">
        <f t="shared" si="73"/>
        <v>0</v>
      </c>
      <c r="AP40" s="1058">
        <f t="shared" si="73"/>
        <v>0</v>
      </c>
      <c r="AQ40" s="1058">
        <f t="shared" si="73"/>
        <v>0</v>
      </c>
      <c r="AR40" s="1058">
        <f t="shared" si="73"/>
        <v>0</v>
      </c>
      <c r="AS40" s="1058">
        <f t="shared" si="73"/>
        <v>0</v>
      </c>
      <c r="AT40" s="1058">
        <f t="shared" si="73"/>
        <v>0</v>
      </c>
      <c r="AU40" s="1058">
        <f t="shared" si="73"/>
        <v>0</v>
      </c>
      <c r="AV40" s="1058">
        <f t="shared" si="73"/>
        <v>0</v>
      </c>
      <c r="AW40" s="1058">
        <f t="shared" si="73"/>
        <v>0</v>
      </c>
      <c r="AX40" s="1058">
        <f t="shared" si="73"/>
        <v>0</v>
      </c>
      <c r="AY40" s="1058">
        <f t="shared" si="73"/>
        <v>0</v>
      </c>
      <c r="AZ40" s="1058">
        <f t="shared" si="73"/>
        <v>0</v>
      </c>
      <c r="BA40" s="1058">
        <f t="shared" si="73"/>
        <v>0</v>
      </c>
      <c r="BB40" s="1058">
        <f t="shared" si="73"/>
        <v>0</v>
      </c>
      <c r="BC40" s="1058">
        <f t="shared" si="73"/>
        <v>0</v>
      </c>
      <c r="BD40" s="1058">
        <f t="shared" si="73"/>
        <v>0</v>
      </c>
      <c r="BE40" s="1058">
        <f t="shared" si="73"/>
        <v>0</v>
      </c>
      <c r="BF40" s="1058">
        <f t="shared" si="73"/>
        <v>0</v>
      </c>
      <c r="BG40" s="1058">
        <f t="shared" si="73"/>
        <v>0</v>
      </c>
      <c r="BH40" s="1058">
        <f t="shared" si="73"/>
        <v>0</v>
      </c>
      <c r="BI40" s="1058">
        <f t="shared" si="73"/>
        <v>0</v>
      </c>
      <c r="BJ40" s="1058">
        <f t="shared" si="73"/>
        <v>0</v>
      </c>
      <c r="BK40" s="1058">
        <f t="shared" si="73"/>
        <v>0</v>
      </c>
      <c r="BL40" s="1058">
        <f t="shared" si="73"/>
        <v>0</v>
      </c>
      <c r="BM40" s="1058">
        <f t="shared" si="73"/>
        <v>0</v>
      </c>
      <c r="BN40" s="1058">
        <f t="shared" si="73"/>
        <v>0</v>
      </c>
      <c r="BO40" s="1058">
        <f t="shared" si="73"/>
        <v>0</v>
      </c>
      <c r="BP40" s="1058"/>
      <c r="BQ40" s="1058"/>
      <c r="BR40" s="1058"/>
      <c r="BS40" s="1058"/>
      <c r="BT40" s="1058"/>
      <c r="BU40" s="1058"/>
      <c r="BV40" s="1058"/>
      <c r="BW40" s="1058"/>
      <c r="BX40" s="1058"/>
      <c r="BY40" s="1058"/>
      <c r="BZ40" s="1058"/>
      <c r="CA40" s="1058"/>
      <c r="CB40" s="1058"/>
      <c r="CC40" s="1058"/>
      <c r="CD40" s="1058"/>
      <c r="CE40" s="1058"/>
      <c r="CF40" s="1058"/>
      <c r="CG40" s="1058"/>
      <c r="CH40" s="1058"/>
      <c r="CI40" s="1058"/>
      <c r="CJ40" s="1058"/>
      <c r="CK40" s="1058"/>
      <c r="CL40" s="1058"/>
      <c r="CM40" s="1058"/>
      <c r="CN40" s="1058"/>
      <c r="CO40" s="1058"/>
      <c r="CP40" s="1058"/>
      <c r="CQ40" s="1058"/>
      <c r="CR40" s="1058"/>
      <c r="CS40" s="1058"/>
      <c r="CT40" s="1058"/>
      <c r="CU40" s="1058"/>
      <c r="CV40" s="1058"/>
      <c r="CW40" s="1058"/>
      <c r="CX40" s="1058"/>
      <c r="CY40" s="1058"/>
      <c r="CZ40" s="1058"/>
      <c r="DA40" s="1058"/>
      <c r="DB40" s="1058"/>
      <c r="DC40" s="1058"/>
      <c r="DD40" s="1058"/>
      <c r="DE40" s="1058"/>
      <c r="DF40" s="1058"/>
      <c r="DG40" s="1058"/>
      <c r="DH40" s="1058"/>
      <c r="DI40" s="1058"/>
      <c r="DJ40" s="1058"/>
      <c r="DK40" s="1058"/>
      <c r="DL40" s="1058"/>
      <c r="DM40" s="1058"/>
      <c r="DN40" s="1058"/>
      <c r="DO40" s="1058"/>
      <c r="DP40" s="1058"/>
      <c r="DQ40" s="1058"/>
      <c r="DR40" s="1058"/>
      <c r="DS40" s="1058"/>
      <c r="DT40" s="1058"/>
      <c r="DU40" s="1058"/>
      <c r="DV40" s="1058"/>
      <c r="DW40" s="1058"/>
    </row>
    <row r="41" spans="1:127">
      <c r="A41" s="373" t="s">
        <v>1236</v>
      </c>
      <c r="B41" s="708"/>
      <c r="C41" s="708"/>
      <c r="D41" s="568"/>
      <c r="E41" s="637"/>
      <c r="F41" s="637"/>
      <c r="G41" s="632">
        <f>SUMPRODUCT($B$39:$B$40,G39:G40)</f>
        <v>0</v>
      </c>
      <c r="H41" s="632">
        <f t="shared" ref="H41" si="74">SUMPRODUCT($B$39:$B$40,H39:H40)</f>
        <v>3.3013599999999997E-2</v>
      </c>
      <c r="I41" s="632">
        <f t="shared" ref="I41:BO41" si="75">SUMPRODUCT($B$39:$B$40,I39:I40)</f>
        <v>3.3013599999999997E-2</v>
      </c>
      <c r="J41" s="632">
        <f t="shared" si="75"/>
        <v>3.18832E-2</v>
      </c>
      <c r="K41" s="632">
        <f t="shared" si="75"/>
        <v>3.18832E-2</v>
      </c>
      <c r="L41" s="632">
        <f t="shared" si="75"/>
        <v>3.14392E-2</v>
      </c>
      <c r="M41" s="632">
        <f t="shared" si="75"/>
        <v>3.14392E-2</v>
      </c>
      <c r="N41" s="632">
        <f t="shared" si="75"/>
        <v>3.1340800000000002E-2</v>
      </c>
      <c r="O41" s="632">
        <f t="shared" si="75"/>
        <v>3.1340800000000002E-2</v>
      </c>
      <c r="P41" s="632">
        <f t="shared" si="75"/>
        <v>3.14008E-2</v>
      </c>
      <c r="Q41" s="632">
        <f t="shared" si="75"/>
        <v>3.14008E-2</v>
      </c>
      <c r="R41" s="632">
        <f t="shared" si="75"/>
        <v>3.15328E-2</v>
      </c>
      <c r="S41" s="632">
        <f t="shared" si="75"/>
        <v>3.15328E-2</v>
      </c>
      <c r="T41" s="632">
        <f t="shared" si="75"/>
        <v>3.1693600000000002E-2</v>
      </c>
      <c r="U41" s="632">
        <f t="shared" si="75"/>
        <v>3.1693600000000002E-2</v>
      </c>
      <c r="V41" s="632">
        <f t="shared" si="75"/>
        <v>3.184E-2</v>
      </c>
      <c r="W41" s="632">
        <f t="shared" si="75"/>
        <v>3.184E-2</v>
      </c>
      <c r="X41" s="632">
        <f t="shared" si="75"/>
        <v>3.1962400000000002E-2</v>
      </c>
      <c r="Y41" s="632">
        <f t="shared" si="75"/>
        <v>3.1962400000000002E-2</v>
      </c>
      <c r="Z41" s="632">
        <f t="shared" si="75"/>
        <v>3.20656E-2</v>
      </c>
      <c r="AA41" s="632">
        <f t="shared" si="75"/>
        <v>3.20656E-2</v>
      </c>
      <c r="AB41" s="632">
        <f t="shared" si="75"/>
        <v>3.2128000000000004E-2</v>
      </c>
      <c r="AC41" s="632">
        <f t="shared" si="75"/>
        <v>3.2128000000000004E-2</v>
      </c>
      <c r="AD41" s="632">
        <f t="shared" si="75"/>
        <v>3.2120799999999998E-2</v>
      </c>
      <c r="AE41" s="632">
        <f t="shared" si="75"/>
        <v>3.2120799999999998E-2</v>
      </c>
      <c r="AF41" s="632">
        <f t="shared" si="75"/>
        <v>3.2048800000000002E-2</v>
      </c>
      <c r="AG41" s="632">
        <f t="shared" si="75"/>
        <v>3.2048800000000002E-2</v>
      </c>
      <c r="AH41" s="632">
        <f t="shared" si="75"/>
        <v>3.1907199999999997E-2</v>
      </c>
      <c r="AI41" s="632">
        <f t="shared" si="75"/>
        <v>3.1907199999999997E-2</v>
      </c>
      <c r="AJ41" s="632">
        <f t="shared" si="75"/>
        <v>0</v>
      </c>
      <c r="AK41" s="632">
        <f t="shared" si="75"/>
        <v>0</v>
      </c>
      <c r="AL41" s="632">
        <f t="shared" si="75"/>
        <v>0</v>
      </c>
      <c r="AM41" s="632">
        <f t="shared" si="75"/>
        <v>0</v>
      </c>
      <c r="AN41" s="632">
        <f t="shared" si="75"/>
        <v>0</v>
      </c>
      <c r="AO41" s="632">
        <f t="shared" si="75"/>
        <v>0</v>
      </c>
      <c r="AP41" s="632">
        <f t="shared" si="75"/>
        <v>0</v>
      </c>
      <c r="AQ41" s="632">
        <f t="shared" si="75"/>
        <v>0</v>
      </c>
      <c r="AR41" s="632">
        <f t="shared" si="75"/>
        <v>0</v>
      </c>
      <c r="AS41" s="632">
        <f t="shared" si="75"/>
        <v>0</v>
      </c>
      <c r="AT41" s="632">
        <f t="shared" si="75"/>
        <v>0</v>
      </c>
      <c r="AU41" s="632">
        <f t="shared" si="75"/>
        <v>0</v>
      </c>
      <c r="AV41" s="632">
        <f t="shared" si="75"/>
        <v>0</v>
      </c>
      <c r="AW41" s="632">
        <f t="shared" si="75"/>
        <v>0</v>
      </c>
      <c r="AX41" s="632">
        <f t="shared" si="75"/>
        <v>0</v>
      </c>
      <c r="AY41" s="632">
        <f t="shared" si="75"/>
        <v>0</v>
      </c>
      <c r="AZ41" s="632">
        <f t="shared" si="75"/>
        <v>0</v>
      </c>
      <c r="BA41" s="632">
        <f t="shared" si="75"/>
        <v>0</v>
      </c>
      <c r="BB41" s="632">
        <f t="shared" si="75"/>
        <v>0</v>
      </c>
      <c r="BC41" s="632">
        <f t="shared" si="75"/>
        <v>0</v>
      </c>
      <c r="BD41" s="632">
        <f t="shared" si="75"/>
        <v>0</v>
      </c>
      <c r="BE41" s="632">
        <f t="shared" si="75"/>
        <v>0</v>
      </c>
      <c r="BF41" s="632">
        <f t="shared" si="75"/>
        <v>0</v>
      </c>
      <c r="BG41" s="632">
        <f t="shared" si="75"/>
        <v>0</v>
      </c>
      <c r="BH41" s="632">
        <f t="shared" si="75"/>
        <v>0</v>
      </c>
      <c r="BI41" s="632">
        <f t="shared" si="75"/>
        <v>0</v>
      </c>
      <c r="BJ41" s="632">
        <f t="shared" si="75"/>
        <v>0</v>
      </c>
      <c r="BK41" s="632">
        <f t="shared" si="75"/>
        <v>0</v>
      </c>
      <c r="BL41" s="632">
        <f t="shared" si="75"/>
        <v>0</v>
      </c>
      <c r="BM41" s="632">
        <f t="shared" si="75"/>
        <v>0</v>
      </c>
      <c r="BN41" s="632">
        <f t="shared" si="75"/>
        <v>0</v>
      </c>
      <c r="BO41" s="632">
        <f t="shared" si="75"/>
        <v>0</v>
      </c>
      <c r="BP41" s="632"/>
      <c r="BQ41" s="632"/>
      <c r="BR41" s="632"/>
      <c r="BS41" s="632"/>
      <c r="BT41" s="632"/>
      <c r="BU41" s="632"/>
      <c r="BV41" s="632"/>
      <c r="BW41" s="632"/>
      <c r="BX41" s="632"/>
      <c r="BY41" s="632"/>
      <c r="BZ41" s="632"/>
      <c r="CA41" s="632"/>
      <c r="CB41" s="632"/>
      <c r="CC41" s="632"/>
      <c r="CD41" s="632"/>
      <c r="CE41" s="632"/>
      <c r="CF41" s="632"/>
      <c r="CG41" s="632"/>
      <c r="CH41" s="632"/>
      <c r="CI41" s="632"/>
      <c r="CJ41" s="632"/>
      <c r="CK41" s="632"/>
      <c r="CL41" s="632"/>
      <c r="CM41" s="632"/>
      <c r="CN41" s="632"/>
      <c r="CO41" s="632"/>
      <c r="CP41" s="632"/>
      <c r="CQ41" s="632"/>
      <c r="CR41" s="632"/>
      <c r="CS41" s="632"/>
      <c r="CT41" s="632"/>
      <c r="CU41" s="632"/>
      <c r="CV41" s="632"/>
      <c r="CW41" s="632"/>
      <c r="CX41" s="632"/>
      <c r="CY41" s="632"/>
      <c r="CZ41" s="632"/>
      <c r="DA41" s="632"/>
      <c r="DB41" s="632"/>
      <c r="DC41" s="632"/>
      <c r="DD41" s="632"/>
      <c r="DE41" s="632"/>
      <c r="DF41" s="632"/>
      <c r="DG41" s="632"/>
      <c r="DH41" s="632"/>
      <c r="DI41" s="632"/>
      <c r="DJ41" s="632"/>
      <c r="DK41" s="632"/>
      <c r="DL41" s="632"/>
      <c r="DM41" s="632"/>
      <c r="DN41" s="632"/>
      <c r="DO41" s="632"/>
      <c r="DP41" s="632"/>
      <c r="DQ41" s="632"/>
      <c r="DR41" s="632"/>
      <c r="DS41" s="632"/>
      <c r="DT41" s="632"/>
      <c r="DU41" s="632"/>
      <c r="DV41" s="632"/>
      <c r="DW41" s="632"/>
    </row>
    <row r="42" spans="1:127">
      <c r="A42" s="373"/>
      <c r="B42" s="708"/>
      <c r="C42" s="708"/>
      <c r="D42" s="568"/>
      <c r="E42" s="637"/>
      <c r="F42" s="637"/>
      <c r="G42" s="544"/>
      <c r="H42" s="610"/>
      <c r="I42" s="610"/>
      <c r="J42" s="610"/>
      <c r="K42" s="610"/>
      <c r="L42" s="610"/>
      <c r="M42" s="610"/>
      <c r="N42" s="610"/>
      <c r="O42" s="610"/>
      <c r="P42" s="610"/>
      <c r="Q42" s="610"/>
      <c r="R42" s="610"/>
      <c r="S42" s="610"/>
      <c r="T42" s="610"/>
      <c r="U42" s="610"/>
      <c r="V42" s="610"/>
      <c r="W42" s="610"/>
      <c r="X42" s="610"/>
      <c r="Y42" s="610"/>
      <c r="Z42" s="610"/>
      <c r="AA42" s="610"/>
      <c r="AB42" s="610"/>
      <c r="AC42" s="610"/>
      <c r="AD42" s="610"/>
      <c r="AE42" s="610"/>
      <c r="AF42" s="610"/>
      <c r="AG42" s="610"/>
      <c r="AH42" s="610"/>
      <c r="AI42" s="610"/>
      <c r="AJ42" s="610"/>
      <c r="AK42" s="610"/>
      <c r="AL42" s="610"/>
      <c r="AM42" s="610"/>
      <c r="AN42" s="610"/>
      <c r="AO42" s="610"/>
      <c r="AP42" s="610"/>
      <c r="AQ42" s="610"/>
      <c r="AR42" s="610"/>
      <c r="AS42" s="610"/>
      <c r="AT42" s="610"/>
      <c r="AU42" s="610"/>
      <c r="AV42" s="610"/>
      <c r="AW42" s="610"/>
      <c r="AX42" s="610"/>
      <c r="AY42" s="610"/>
      <c r="AZ42" s="610"/>
      <c r="BA42" s="610"/>
      <c r="BB42" s="610"/>
      <c r="BC42" s="610"/>
      <c r="BD42" s="610"/>
      <c r="BE42" s="610"/>
      <c r="BF42" s="610"/>
      <c r="BG42" s="610"/>
      <c r="BH42" s="610"/>
      <c r="BI42" s="610"/>
      <c r="BJ42" s="610"/>
      <c r="BK42" s="610"/>
      <c r="BL42" s="610"/>
      <c r="BM42" s="610"/>
      <c r="BN42" s="610"/>
      <c r="BO42" s="610"/>
      <c r="BP42" s="610"/>
      <c r="BQ42" s="610"/>
      <c r="BR42" s="610"/>
      <c r="BS42" s="610"/>
      <c r="BT42" s="610"/>
      <c r="BU42" s="610"/>
      <c r="BV42" s="610"/>
      <c r="BW42" s="610"/>
      <c r="BX42" s="610"/>
      <c r="BY42" s="610"/>
      <c r="BZ42" s="610"/>
      <c r="CA42" s="610"/>
      <c r="CB42" s="610"/>
      <c r="CC42" s="610"/>
      <c r="CD42" s="610"/>
      <c r="CE42" s="610"/>
      <c r="CF42" s="610"/>
      <c r="CG42" s="610"/>
      <c r="CH42" s="610"/>
      <c r="CI42" s="610"/>
      <c r="CJ42" s="610"/>
      <c r="CK42" s="610"/>
      <c r="CL42" s="610"/>
      <c r="CM42" s="610"/>
      <c r="CN42" s="610"/>
      <c r="CO42" s="610"/>
      <c r="CP42" s="610"/>
      <c r="CQ42" s="610"/>
      <c r="CR42" s="610"/>
      <c r="CS42" s="610"/>
      <c r="CT42" s="610"/>
      <c r="CU42" s="610"/>
      <c r="CV42" s="610"/>
      <c r="CW42" s="610"/>
      <c r="CX42" s="610"/>
      <c r="CY42" s="610"/>
      <c r="CZ42" s="610"/>
      <c r="DA42" s="610"/>
      <c r="DB42" s="610"/>
      <c r="DC42" s="610"/>
      <c r="DD42" s="610"/>
      <c r="DE42" s="610"/>
      <c r="DF42" s="610"/>
      <c r="DG42" s="610"/>
      <c r="DH42" s="610"/>
      <c r="DI42" s="610"/>
      <c r="DJ42" s="610"/>
      <c r="DK42" s="610"/>
      <c r="DL42" s="610"/>
      <c r="DM42" s="610"/>
      <c r="DN42" s="610"/>
      <c r="DO42" s="610"/>
      <c r="DP42" s="610"/>
      <c r="DQ42" s="610"/>
      <c r="DR42" s="610"/>
      <c r="DS42" s="610"/>
      <c r="DT42" s="610"/>
      <c r="DU42" s="610"/>
      <c r="DV42" s="610"/>
      <c r="DW42" s="610"/>
    </row>
    <row r="43" spans="1:127">
      <c r="A43" s="373" t="s">
        <v>151</v>
      </c>
      <c r="B43" s="708"/>
      <c r="C43" s="708"/>
      <c r="D43" s="568"/>
      <c r="E43" s="637"/>
      <c r="F43" s="637"/>
      <c r="G43" s="809">
        <f>G5*IF(G$3,VLOOKUP(G$3,Inputs!$F$202:$G$206,2,1),0)%/100</f>
        <v>0</v>
      </c>
      <c r="H43" s="809">
        <f>H5*IF(H$3,VLOOKUP(H$3,Inputs!$F$202:$G$206,2,1),0)%/100</f>
        <v>2.6499999999999999E-2</v>
      </c>
      <c r="I43" s="809">
        <f>I5*IF(I$3,VLOOKUP(I$3,Inputs!$F$202:$G$206,2,1),0)%/100</f>
        <v>2.6499999999999999E-2</v>
      </c>
      <c r="J43" s="809">
        <f>J5*IF(J$3,VLOOKUP(J$3,Inputs!$F$202:$G$206,2,1),0)%/100</f>
        <v>2.6499999999999999E-2</v>
      </c>
      <c r="K43" s="809">
        <f>K5*IF(K$3,VLOOKUP(K$3,Inputs!$F$202:$G$206,2,1),0)%/100</f>
        <v>2.6499999999999999E-2</v>
      </c>
      <c r="L43" s="809">
        <f>L5*IF(L$3,VLOOKUP(L$3,Inputs!$F$202:$G$206,2,1),0)%/100</f>
        <v>2.6499999999999999E-2</v>
      </c>
      <c r="M43" s="809">
        <f>M5*IF(M$3,VLOOKUP(M$3,Inputs!$F$202:$G$206,2,1),0)%/100</f>
        <v>2.6499999999999999E-2</v>
      </c>
      <c r="N43" s="809">
        <f>N5*IF(N$3,VLOOKUP(N$3,Inputs!$F$202:$G$206,2,1),0)%/100</f>
        <v>2.6499999999999999E-2</v>
      </c>
      <c r="O43" s="809">
        <f>O5*IF(O$3,VLOOKUP(O$3,Inputs!$F$202:$G$206,2,1),0)%/100</f>
        <v>2.6499999999999999E-2</v>
      </c>
      <c r="P43" s="809">
        <f>P5*IF(P$3,VLOOKUP(P$3,Inputs!$F$202:$G$206,2,1),0)%/100</f>
        <v>2.6499999999999999E-2</v>
      </c>
      <c r="Q43" s="809">
        <f>Q5*IF(Q$3,VLOOKUP(Q$3,Inputs!$F$202:$G$206,2,1),0)%/100</f>
        <v>2.6499999999999999E-2</v>
      </c>
      <c r="R43" s="809">
        <f>R5*IF(R$3,VLOOKUP(R$3,Inputs!$F$202:$G$206,2,1),0)%/100</f>
        <v>2.6499999999999999E-2</v>
      </c>
      <c r="S43" s="809">
        <f>S5*IF(S$3,VLOOKUP(S$3,Inputs!$F$202:$G$206,2,1),0)%/100</f>
        <v>2.6499999999999999E-2</v>
      </c>
      <c r="T43" s="809">
        <f>T5*IF(T$3,VLOOKUP(T$3,Inputs!$F$202:$G$206,2,1),0)%/100</f>
        <v>2.6499999999999999E-2</v>
      </c>
      <c r="U43" s="809">
        <f>U5*IF(U$3,VLOOKUP(U$3,Inputs!$F$202:$G$206,2,1),0)%/100</f>
        <v>2.6499999999999999E-2</v>
      </c>
      <c r="V43" s="809">
        <f>V5*IF(V$3,VLOOKUP(V$3,Inputs!$F$202:$G$206,2,1),0)%/100</f>
        <v>2.6499999999999999E-2</v>
      </c>
      <c r="W43" s="809">
        <f>W5*IF(W$3,VLOOKUP(W$3,Inputs!$F$202:$G$206,2,1),0)%/100</f>
        <v>2.6499999999999999E-2</v>
      </c>
      <c r="X43" s="809">
        <f>X5*IF(X$3,VLOOKUP(X$3,Inputs!$F$202:$G$206,2,1),0)%/100</f>
        <v>2.6499999999999999E-2</v>
      </c>
      <c r="Y43" s="809">
        <f>Y5*IF(Y$3,VLOOKUP(Y$3,Inputs!$F$202:$G$206,2,1),0)%/100</f>
        <v>2.6499999999999999E-2</v>
      </c>
      <c r="Z43" s="809">
        <f>Z5*IF(Z$3,VLOOKUP(Z$3,Inputs!$F$202:$G$206,2,1),0)%/100</f>
        <v>2.6499999999999999E-2</v>
      </c>
      <c r="AA43" s="809">
        <f>AA5*IF(AA$3,VLOOKUP(AA$3,Inputs!$F$202:$G$206,2,1),0)%/100</f>
        <v>2.6499999999999999E-2</v>
      </c>
      <c r="AB43" s="809">
        <f>AB5*IF(AB$3,VLOOKUP(AB$3,Inputs!$F$202:$G$206,2,1),0)%/100</f>
        <v>2.6499999999999999E-2</v>
      </c>
      <c r="AC43" s="809">
        <f>AC5*IF(AC$3,VLOOKUP(AC$3,Inputs!$F$202:$G$206,2,1),0)%/100</f>
        <v>2.6499999999999999E-2</v>
      </c>
      <c r="AD43" s="809">
        <f>AD5*IF(AD$3,VLOOKUP(AD$3,Inputs!$F$202:$G$206,2,1),0)%/100</f>
        <v>2.6499999999999999E-2</v>
      </c>
      <c r="AE43" s="809">
        <f>AE5*IF(AE$3,VLOOKUP(AE$3,Inputs!$F$202:$G$206,2,1),0)%/100</f>
        <v>2.6499999999999999E-2</v>
      </c>
      <c r="AF43" s="809">
        <f>AF5*IF(AF$3,VLOOKUP(AF$3,Inputs!$F$202:$G$206,2,1),0)%/100</f>
        <v>2.6499999999999999E-2</v>
      </c>
      <c r="AG43" s="809">
        <f>AG5*IF(AG$3,VLOOKUP(AG$3,Inputs!$F$202:$G$206,2,1),0)%/100</f>
        <v>2.6499999999999999E-2</v>
      </c>
      <c r="AH43" s="809">
        <f>AH5*IF(AH$3,VLOOKUP(AH$3,Inputs!$F$202:$G$206,2,1),0)%/100</f>
        <v>2.6499999999999999E-2</v>
      </c>
      <c r="AI43" s="809">
        <f>AI5*IF(AI$3,VLOOKUP(AI$3,Inputs!$F$202:$G$206,2,1),0)%/100</f>
        <v>2.6499999999999999E-2</v>
      </c>
      <c r="AJ43" s="809">
        <f>AJ5*IF(AJ$3,VLOOKUP(AJ$3,Inputs!$F$202:$G$206,2,1),0)%/100</f>
        <v>0</v>
      </c>
      <c r="AK43" s="809">
        <f>AK5*IF(AK$3,VLOOKUP(AK$3,Inputs!$F$202:$G$206,2,1),0)%/100</f>
        <v>0</v>
      </c>
      <c r="AL43" s="809">
        <f>AL5*IF(AL$3,VLOOKUP(AL$3,Inputs!$F$202:$G$206,2,1),0)%/100</f>
        <v>0</v>
      </c>
      <c r="AM43" s="809">
        <f>AM5*IF(AM$3,VLOOKUP(AM$3,Inputs!$F$202:$G$206,2,1),0)%/100</f>
        <v>0</v>
      </c>
      <c r="AN43" s="809">
        <f>AN5*IF(AN$3,VLOOKUP(AN$3,Inputs!$F$202:$G$206,2,1),0)%/100</f>
        <v>0</v>
      </c>
      <c r="AO43" s="809">
        <f>AO5*IF(AO$3,VLOOKUP(AO$3,Inputs!$F$202:$G$206,2,1),0)%/100</f>
        <v>0</v>
      </c>
      <c r="AP43" s="809">
        <f>AP5*IF(AP$3,VLOOKUP(AP$3,Inputs!$F$202:$G$206,2,1),0)%/100</f>
        <v>0</v>
      </c>
      <c r="AQ43" s="809">
        <f>AQ5*IF(AQ$3,VLOOKUP(AQ$3,Inputs!$F$202:$G$206,2,1),0)%/100</f>
        <v>0</v>
      </c>
      <c r="AR43" s="809">
        <f>AR5*IF(AR$3,VLOOKUP(AR$3,Inputs!$F$202:$G$206,2,1),0)%/100</f>
        <v>0</v>
      </c>
      <c r="AS43" s="809">
        <f>AS5*IF(AS$3,VLOOKUP(AS$3,Inputs!$F$202:$G$206,2,1),0)%/100</f>
        <v>0</v>
      </c>
      <c r="AT43" s="809">
        <f>AT5*IF(AT$3,VLOOKUP(AT$3,Inputs!$F$202:$G$206,2,1),0)%/100</f>
        <v>0</v>
      </c>
      <c r="AU43" s="809">
        <f>AU5*IF(AU$3,VLOOKUP(AU$3,Inputs!$F$202:$G$206,2,1),0)%/100</f>
        <v>0</v>
      </c>
      <c r="AV43" s="809">
        <f>AV5*IF(AV$3,VLOOKUP(AV$3,Inputs!$F$202:$G$206,2,1),0)%/100</f>
        <v>0</v>
      </c>
      <c r="AW43" s="809">
        <f>AW5*IF(AW$3,VLOOKUP(AW$3,Inputs!$F$202:$G$206,2,1),0)%/100</f>
        <v>0</v>
      </c>
      <c r="AX43" s="809">
        <f>AX5*IF(AX$3,VLOOKUP(AX$3,Inputs!$F$202:$G$206,2,1),0)%/100</f>
        <v>0</v>
      </c>
      <c r="AY43" s="809">
        <f>AY5*IF(AY$3,VLOOKUP(AY$3,Inputs!$F$202:$G$206,2,1),0)%/100</f>
        <v>0</v>
      </c>
      <c r="AZ43" s="809">
        <f>AZ5*IF(AZ$3,VLOOKUP(AZ$3,Inputs!$F$202:$G$206,2,1),0)%/100</f>
        <v>0</v>
      </c>
      <c r="BA43" s="809">
        <f>BA5*IF(BA$3,VLOOKUP(BA$3,Inputs!$F$202:$G$206,2,1),0)%/100</f>
        <v>0</v>
      </c>
      <c r="BB43" s="809">
        <f>BB5*IF(BB$3,VLOOKUP(BB$3,Inputs!$F$202:$G$206,2,1),0)%/100</f>
        <v>0</v>
      </c>
      <c r="BC43" s="809">
        <f>BC5*IF(BC$3,VLOOKUP(BC$3,Inputs!$F$202:$G$206,2,1),0)%/100</f>
        <v>0</v>
      </c>
      <c r="BD43" s="809">
        <f>BD5*IF(BD$3,VLOOKUP(BD$3,Inputs!$F$202:$G$206,2,1),0)%/100</f>
        <v>0</v>
      </c>
      <c r="BE43" s="809">
        <f>BE5*IF(BE$3,VLOOKUP(BE$3,Inputs!$F$202:$G$206,2,1),0)%/100</f>
        <v>0</v>
      </c>
      <c r="BF43" s="809">
        <f>BF5*IF(BF$3,VLOOKUP(BF$3,Inputs!$F$202:$G$206,2,1),0)%/100</f>
        <v>0</v>
      </c>
      <c r="BG43" s="809">
        <f>BG5*IF(BG$3,VLOOKUP(BG$3,Inputs!$F$202:$G$206,2,1),0)%/100</f>
        <v>0</v>
      </c>
      <c r="BH43" s="809">
        <f>BH5*IF(BH$3,VLOOKUP(BH$3,Inputs!$F$202:$G$206,2,1),0)%/100</f>
        <v>0</v>
      </c>
      <c r="BI43" s="809">
        <f>BI5*IF(BI$3,VLOOKUP(BI$3,Inputs!$F$202:$G$206,2,1),0)%/100</f>
        <v>0</v>
      </c>
      <c r="BJ43" s="809">
        <f>BJ5*IF(BJ$3,VLOOKUP(BJ$3,Inputs!$F$202:$G$206,2,1),0)%/100</f>
        <v>0</v>
      </c>
      <c r="BK43" s="809">
        <f>BK5*IF(BK$3,VLOOKUP(BK$3,Inputs!$F$202:$G$206,2,1),0)%/100</f>
        <v>0</v>
      </c>
      <c r="BL43" s="809">
        <f>BL5*IF(BL$3,VLOOKUP(BL$3,Inputs!$F$202:$G$206,2,1),0)%/100</f>
        <v>0</v>
      </c>
      <c r="BM43" s="809">
        <f>BM5*IF(BM$3,VLOOKUP(BM$3,Inputs!$F$202:$G$206,2,1),0)%/100</f>
        <v>0</v>
      </c>
      <c r="BN43" s="809">
        <f>BN5*IF(BN$3,VLOOKUP(BN$3,Inputs!$F$202:$G$206,2,1),0)%/100</f>
        <v>0</v>
      </c>
      <c r="BO43" s="809">
        <f>BO5*IF(BO$3,VLOOKUP(BO$3,Inputs!$F$202:$G$206,2,1),0)%/100</f>
        <v>0</v>
      </c>
      <c r="BP43" s="809"/>
      <c r="BQ43" s="809"/>
      <c r="BR43" s="809"/>
      <c r="BS43" s="809"/>
      <c r="BT43" s="809"/>
      <c r="BU43" s="809"/>
      <c r="BV43" s="809"/>
      <c r="BW43" s="809"/>
      <c r="BX43" s="809"/>
      <c r="BY43" s="809"/>
      <c r="BZ43" s="809"/>
      <c r="CA43" s="809"/>
      <c r="CB43" s="809"/>
      <c r="CC43" s="809"/>
      <c r="CD43" s="809"/>
      <c r="CE43" s="809"/>
      <c r="CF43" s="809"/>
      <c r="CG43" s="809"/>
      <c r="CH43" s="809"/>
      <c r="CI43" s="809"/>
      <c r="CJ43" s="809"/>
      <c r="CK43" s="809"/>
      <c r="CL43" s="809"/>
      <c r="CM43" s="809"/>
      <c r="CN43" s="809"/>
      <c r="CO43" s="809"/>
      <c r="CP43" s="809"/>
      <c r="CQ43" s="809"/>
      <c r="CR43" s="809"/>
      <c r="CS43" s="809"/>
      <c r="CT43" s="809"/>
      <c r="CU43" s="809"/>
      <c r="CV43" s="809"/>
      <c r="CW43" s="809"/>
      <c r="CX43" s="809"/>
      <c r="CY43" s="809"/>
      <c r="CZ43" s="809"/>
      <c r="DA43" s="809"/>
      <c r="DB43" s="809"/>
      <c r="DC43" s="809"/>
      <c r="DD43" s="809"/>
      <c r="DE43" s="809"/>
      <c r="DF43" s="809"/>
      <c r="DG43" s="809"/>
      <c r="DH43" s="809"/>
      <c r="DI43" s="809"/>
      <c r="DJ43" s="809"/>
      <c r="DK43" s="809"/>
      <c r="DL43" s="809"/>
      <c r="DM43" s="809"/>
      <c r="DN43" s="809"/>
      <c r="DO43" s="809"/>
      <c r="DP43" s="809"/>
      <c r="DQ43" s="809"/>
      <c r="DR43" s="809"/>
      <c r="DS43" s="809"/>
      <c r="DT43" s="809"/>
      <c r="DU43" s="809"/>
      <c r="DV43" s="809"/>
      <c r="DW43" s="809"/>
    </row>
    <row r="44" spans="1:127">
      <c r="A44" s="373" t="s">
        <v>395</v>
      </c>
      <c r="B44" s="304"/>
      <c r="C44" s="708"/>
      <c r="D44" s="633">
        <f>AVERAGEIF(G44:DW44,"&gt;0")</f>
        <v>5.8384057142857139E-2</v>
      </c>
      <c r="E44" s="637"/>
      <c r="F44" s="637"/>
      <c r="G44" s="632">
        <f>SUM(G41,G43)</f>
        <v>0</v>
      </c>
      <c r="H44" s="632">
        <f>SUM(H41,H43)</f>
        <v>5.95136E-2</v>
      </c>
      <c r="I44" s="632">
        <f t="shared" ref="I44:BO44" si="76">SUM(I41,I43)</f>
        <v>5.95136E-2</v>
      </c>
      <c r="J44" s="632">
        <f t="shared" si="76"/>
        <v>5.8383199999999996E-2</v>
      </c>
      <c r="K44" s="632">
        <f t="shared" si="76"/>
        <v>5.8383199999999996E-2</v>
      </c>
      <c r="L44" s="632">
        <f t="shared" si="76"/>
        <v>5.7939199999999996E-2</v>
      </c>
      <c r="M44" s="632">
        <f t="shared" si="76"/>
        <v>5.7939199999999996E-2</v>
      </c>
      <c r="N44" s="632">
        <f t="shared" si="76"/>
        <v>5.7840799999999998E-2</v>
      </c>
      <c r="O44" s="632">
        <f t="shared" si="76"/>
        <v>5.7840799999999998E-2</v>
      </c>
      <c r="P44" s="632">
        <f t="shared" si="76"/>
        <v>5.7900800000000002E-2</v>
      </c>
      <c r="Q44" s="632">
        <f t="shared" si="76"/>
        <v>5.7900800000000002E-2</v>
      </c>
      <c r="R44" s="632">
        <f t="shared" si="76"/>
        <v>5.8032799999999995E-2</v>
      </c>
      <c r="S44" s="632">
        <f t="shared" si="76"/>
        <v>5.8032799999999995E-2</v>
      </c>
      <c r="T44" s="632">
        <f t="shared" si="76"/>
        <v>5.8193599999999998E-2</v>
      </c>
      <c r="U44" s="632">
        <f t="shared" si="76"/>
        <v>5.8193599999999998E-2</v>
      </c>
      <c r="V44" s="632">
        <f t="shared" si="76"/>
        <v>5.8340000000000003E-2</v>
      </c>
      <c r="W44" s="632">
        <f t="shared" si="76"/>
        <v>5.8340000000000003E-2</v>
      </c>
      <c r="X44" s="632">
        <f t="shared" si="76"/>
        <v>5.8462399999999998E-2</v>
      </c>
      <c r="Y44" s="632">
        <f t="shared" si="76"/>
        <v>5.8462399999999998E-2</v>
      </c>
      <c r="Z44" s="632">
        <f t="shared" si="76"/>
        <v>5.8565599999999995E-2</v>
      </c>
      <c r="AA44" s="632">
        <f t="shared" si="76"/>
        <v>5.8565599999999995E-2</v>
      </c>
      <c r="AB44" s="632">
        <f t="shared" si="76"/>
        <v>5.8628E-2</v>
      </c>
      <c r="AC44" s="632">
        <f t="shared" si="76"/>
        <v>5.8628E-2</v>
      </c>
      <c r="AD44" s="632">
        <f t="shared" si="76"/>
        <v>5.8620800000000001E-2</v>
      </c>
      <c r="AE44" s="632">
        <f t="shared" si="76"/>
        <v>5.8620800000000001E-2</v>
      </c>
      <c r="AF44" s="632">
        <f t="shared" si="76"/>
        <v>5.8548799999999998E-2</v>
      </c>
      <c r="AG44" s="632">
        <f t="shared" si="76"/>
        <v>5.8548799999999998E-2</v>
      </c>
      <c r="AH44" s="632">
        <f t="shared" si="76"/>
        <v>5.8407199999999992E-2</v>
      </c>
      <c r="AI44" s="632">
        <f t="shared" si="76"/>
        <v>5.8407199999999992E-2</v>
      </c>
      <c r="AJ44" s="632">
        <f t="shared" si="76"/>
        <v>0</v>
      </c>
      <c r="AK44" s="632">
        <f t="shared" si="76"/>
        <v>0</v>
      </c>
      <c r="AL44" s="632">
        <f t="shared" si="76"/>
        <v>0</v>
      </c>
      <c r="AM44" s="632">
        <f t="shared" si="76"/>
        <v>0</v>
      </c>
      <c r="AN44" s="632">
        <f t="shared" si="76"/>
        <v>0</v>
      </c>
      <c r="AO44" s="632">
        <f t="shared" si="76"/>
        <v>0</v>
      </c>
      <c r="AP44" s="632">
        <f t="shared" si="76"/>
        <v>0</v>
      </c>
      <c r="AQ44" s="632">
        <f t="shared" si="76"/>
        <v>0</v>
      </c>
      <c r="AR44" s="632">
        <f t="shared" si="76"/>
        <v>0</v>
      </c>
      <c r="AS44" s="632">
        <f t="shared" si="76"/>
        <v>0</v>
      </c>
      <c r="AT44" s="632">
        <f t="shared" si="76"/>
        <v>0</v>
      </c>
      <c r="AU44" s="632">
        <f t="shared" si="76"/>
        <v>0</v>
      </c>
      <c r="AV44" s="632">
        <f t="shared" si="76"/>
        <v>0</v>
      </c>
      <c r="AW44" s="632">
        <f t="shared" si="76"/>
        <v>0</v>
      </c>
      <c r="AX44" s="632">
        <f t="shared" si="76"/>
        <v>0</v>
      </c>
      <c r="AY44" s="632">
        <f t="shared" si="76"/>
        <v>0</v>
      </c>
      <c r="AZ44" s="632">
        <f t="shared" si="76"/>
        <v>0</v>
      </c>
      <c r="BA44" s="632">
        <f t="shared" si="76"/>
        <v>0</v>
      </c>
      <c r="BB44" s="632">
        <f t="shared" si="76"/>
        <v>0</v>
      </c>
      <c r="BC44" s="632">
        <f t="shared" si="76"/>
        <v>0</v>
      </c>
      <c r="BD44" s="632">
        <f t="shared" si="76"/>
        <v>0</v>
      </c>
      <c r="BE44" s="632">
        <f t="shared" si="76"/>
        <v>0</v>
      </c>
      <c r="BF44" s="632">
        <f t="shared" si="76"/>
        <v>0</v>
      </c>
      <c r="BG44" s="632">
        <f t="shared" si="76"/>
        <v>0</v>
      </c>
      <c r="BH44" s="632">
        <f t="shared" si="76"/>
        <v>0</v>
      </c>
      <c r="BI44" s="632">
        <f t="shared" si="76"/>
        <v>0</v>
      </c>
      <c r="BJ44" s="632">
        <f t="shared" si="76"/>
        <v>0</v>
      </c>
      <c r="BK44" s="632">
        <f t="shared" si="76"/>
        <v>0</v>
      </c>
      <c r="BL44" s="632">
        <f t="shared" si="76"/>
        <v>0</v>
      </c>
      <c r="BM44" s="632">
        <f t="shared" si="76"/>
        <v>0</v>
      </c>
      <c r="BN44" s="632">
        <f t="shared" si="76"/>
        <v>0</v>
      </c>
      <c r="BO44" s="632">
        <f t="shared" si="76"/>
        <v>0</v>
      </c>
      <c r="BP44" s="632"/>
      <c r="BQ44" s="632"/>
      <c r="BR44" s="632"/>
      <c r="BS44" s="632"/>
      <c r="BT44" s="632"/>
      <c r="BU44" s="632"/>
      <c r="BV44" s="632"/>
      <c r="BW44" s="632"/>
      <c r="BX44" s="632"/>
      <c r="BY44" s="632"/>
      <c r="BZ44" s="632"/>
      <c r="CA44" s="632"/>
      <c r="CB44" s="632"/>
      <c r="CC44" s="632"/>
      <c r="CD44" s="632"/>
      <c r="CE44" s="632"/>
      <c r="CF44" s="632"/>
      <c r="CG44" s="632"/>
      <c r="CH44" s="632"/>
      <c r="CI44" s="632"/>
      <c r="CJ44" s="632"/>
      <c r="CK44" s="632"/>
      <c r="CL44" s="632"/>
      <c r="CM44" s="632"/>
      <c r="CN44" s="632"/>
      <c r="CO44" s="632"/>
      <c r="CP44" s="632"/>
      <c r="CQ44" s="632"/>
      <c r="CR44" s="632"/>
      <c r="CS44" s="632"/>
      <c r="CT44" s="632"/>
      <c r="CU44" s="632"/>
      <c r="CV44" s="632"/>
      <c r="CW44" s="632"/>
      <c r="CX44" s="632"/>
      <c r="CY44" s="632"/>
      <c r="CZ44" s="632"/>
      <c r="DA44" s="632"/>
      <c r="DB44" s="632"/>
      <c r="DC44" s="632"/>
      <c r="DD44" s="632"/>
      <c r="DE44" s="632"/>
      <c r="DF44" s="632"/>
      <c r="DG44" s="632"/>
      <c r="DH44" s="632"/>
      <c r="DI44" s="632"/>
      <c r="DJ44" s="632"/>
      <c r="DK44" s="632"/>
      <c r="DL44" s="632"/>
      <c r="DM44" s="632"/>
      <c r="DN44" s="632"/>
      <c r="DO44" s="632"/>
      <c r="DP44" s="632"/>
      <c r="DQ44" s="632"/>
      <c r="DR44" s="632"/>
      <c r="DS44" s="632"/>
      <c r="DT44" s="632"/>
      <c r="DU44" s="632"/>
      <c r="DV44" s="632"/>
      <c r="DW44" s="632"/>
    </row>
    <row r="45" spans="1:127">
      <c r="A45" s="373"/>
      <c r="B45" s="708"/>
      <c r="C45" s="708"/>
      <c r="D45" s="568"/>
      <c r="E45" s="637"/>
      <c r="F45" s="637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32"/>
      <c r="AB45" s="632"/>
      <c r="AC45" s="632"/>
      <c r="AD45" s="632"/>
      <c r="AE45" s="632"/>
      <c r="AF45" s="632"/>
      <c r="AG45" s="632"/>
      <c r="AH45" s="632"/>
      <c r="AI45" s="632"/>
      <c r="AJ45" s="632"/>
      <c r="AK45" s="632"/>
      <c r="AL45" s="632"/>
      <c r="AM45" s="632"/>
      <c r="AN45" s="632"/>
      <c r="AO45" s="632"/>
      <c r="AP45" s="632"/>
      <c r="AQ45" s="632"/>
      <c r="AR45" s="632"/>
      <c r="AS45" s="632"/>
      <c r="AT45" s="632"/>
      <c r="AU45" s="632"/>
      <c r="AV45" s="632"/>
      <c r="AW45" s="632"/>
      <c r="AX45" s="632"/>
      <c r="AY45" s="632"/>
      <c r="AZ45" s="632"/>
      <c r="BA45" s="632"/>
      <c r="BB45" s="632"/>
      <c r="BC45" s="632"/>
      <c r="BD45" s="632"/>
      <c r="BE45" s="632"/>
      <c r="BF45" s="632"/>
      <c r="BG45" s="632"/>
      <c r="BH45" s="632"/>
      <c r="BI45" s="632"/>
      <c r="BJ45" s="632"/>
      <c r="BK45" s="632"/>
      <c r="BL45" s="632"/>
      <c r="BM45" s="632"/>
      <c r="BN45" s="632"/>
      <c r="BO45" s="632"/>
      <c r="BP45" s="632"/>
      <c r="BQ45" s="632"/>
      <c r="BR45" s="632"/>
      <c r="BS45" s="632"/>
      <c r="BT45" s="632"/>
      <c r="BU45" s="632"/>
      <c r="BV45" s="632"/>
      <c r="BW45" s="632"/>
      <c r="BX45" s="632"/>
      <c r="BY45" s="632"/>
      <c r="BZ45" s="632"/>
      <c r="CA45" s="632"/>
      <c r="CB45" s="632"/>
      <c r="CC45" s="632"/>
      <c r="CD45" s="632"/>
      <c r="CE45" s="632"/>
      <c r="CF45" s="632"/>
      <c r="CG45" s="632"/>
      <c r="CH45" s="632"/>
      <c r="CI45" s="632"/>
      <c r="CJ45" s="632"/>
      <c r="CK45" s="632"/>
      <c r="CL45" s="632"/>
      <c r="CM45" s="632"/>
      <c r="CN45" s="632"/>
      <c r="CO45" s="632"/>
      <c r="CP45" s="632"/>
      <c r="CQ45" s="632"/>
      <c r="CR45" s="632"/>
      <c r="CS45" s="632"/>
      <c r="CT45" s="632"/>
      <c r="CU45" s="632"/>
      <c r="CV45" s="632"/>
      <c r="CW45" s="632"/>
      <c r="CX45" s="632"/>
      <c r="CY45" s="632"/>
      <c r="CZ45" s="632"/>
      <c r="DA45" s="632"/>
      <c r="DB45" s="632"/>
      <c r="DC45" s="632"/>
      <c r="DD45" s="632"/>
      <c r="DE45" s="632"/>
      <c r="DF45" s="632"/>
      <c r="DG45" s="632"/>
      <c r="DH45" s="632"/>
      <c r="DI45" s="632"/>
      <c r="DJ45" s="632"/>
      <c r="DK45" s="632"/>
      <c r="DL45" s="632"/>
      <c r="DM45" s="632"/>
      <c r="DN45" s="632"/>
      <c r="DO45" s="632"/>
      <c r="DP45" s="632"/>
      <c r="DQ45" s="632"/>
      <c r="DR45" s="632"/>
      <c r="DS45" s="632"/>
      <c r="DT45" s="632"/>
      <c r="DU45" s="632"/>
      <c r="DV45" s="632"/>
      <c r="DW45" s="632"/>
    </row>
    <row r="46" spans="1:127">
      <c r="A46" s="373" t="s">
        <v>1237</v>
      </c>
      <c r="B46" s="708"/>
      <c r="C46" s="708"/>
      <c r="D46" s="568"/>
      <c r="E46" s="637"/>
      <c r="F46" s="637"/>
      <c r="G46" s="459">
        <f t="shared" ref="G46:AL46" si="77">G23*G5</f>
        <v>0</v>
      </c>
      <c r="H46" s="459">
        <f t="shared" ca="1" si="77"/>
        <v>2239.1334128543558</v>
      </c>
      <c r="I46" s="459">
        <f t="shared" ca="1" si="77"/>
        <v>2202.625802862166</v>
      </c>
      <c r="J46" s="459">
        <f t="shared" ca="1" si="77"/>
        <v>2240.5250185589962</v>
      </c>
      <c r="K46" s="459">
        <f t="shared" ca="1" si="77"/>
        <v>2270.2770402981473</v>
      </c>
      <c r="L46" s="459">
        <f t="shared" ca="1" si="77"/>
        <v>2293.6960774485656</v>
      </c>
      <c r="M46" s="459">
        <f t="shared" ca="1" si="77"/>
        <v>2303.3654774105221</v>
      </c>
      <c r="N46" s="459">
        <f t="shared" ca="1" si="77"/>
        <v>2328.2175227953076</v>
      </c>
      <c r="O46" s="459">
        <f t="shared" ca="1" si="77"/>
        <v>2318.6903995538428</v>
      </c>
      <c r="P46" s="459">
        <f t="shared" ca="1" si="77"/>
        <v>2363.2553266446221</v>
      </c>
      <c r="Q46" s="459">
        <f t="shared" ca="1" si="77"/>
        <v>2333.9419124221117</v>
      </c>
      <c r="R46" s="459">
        <f t="shared" ca="1" si="77"/>
        <v>2392.2627629476492</v>
      </c>
      <c r="S46" s="459">
        <f t="shared" ca="1" si="77"/>
        <v>2355.8766562156934</v>
      </c>
      <c r="T46" s="459">
        <f t="shared" ca="1" si="77"/>
        <v>2434.9097864936957</v>
      </c>
      <c r="U46" s="459">
        <f t="shared" ca="1" si="77"/>
        <v>2362.9086260010927</v>
      </c>
      <c r="V46" s="459">
        <f t="shared" ca="1" si="77"/>
        <v>2471.5415886716596</v>
      </c>
      <c r="W46" s="459">
        <f t="shared" ca="1" si="77"/>
        <v>2376.2030087397643</v>
      </c>
      <c r="X46" s="459">
        <f t="shared" ca="1" si="77"/>
        <v>2508.7200443667057</v>
      </c>
      <c r="Y46" s="459">
        <f t="shared" ca="1" si="77"/>
        <v>2388.5662941292467</v>
      </c>
      <c r="Z46" s="459">
        <f t="shared" ca="1" si="77"/>
        <v>2539.4954686994829</v>
      </c>
      <c r="AA46" s="459">
        <f t="shared" ca="1" si="77"/>
        <v>2407.3009021250778</v>
      </c>
      <c r="AB46" s="459">
        <f t="shared" ca="1" si="77"/>
        <v>2414.7457437252533</v>
      </c>
      <c r="AC46" s="459">
        <f t="shared" ca="1" si="77"/>
        <v>2277.1918272348348</v>
      </c>
      <c r="AD46" s="459">
        <f t="shared" ca="1" si="77"/>
        <v>2453.6116150291564</v>
      </c>
      <c r="AE46" s="459">
        <f t="shared" ca="1" si="77"/>
        <v>2287.9726377316488</v>
      </c>
      <c r="AF46" s="459">
        <f t="shared" ca="1" si="77"/>
        <v>1688.7311752822109</v>
      </c>
      <c r="AG46" s="459">
        <f t="shared" ca="1" si="77"/>
        <v>1558.4026903790832</v>
      </c>
      <c r="AH46" s="459">
        <f t="shared" ca="1" si="77"/>
        <v>1665.7503274515079</v>
      </c>
      <c r="AI46" s="459">
        <f t="shared" ca="1" si="77"/>
        <v>1507.4389068089738</v>
      </c>
      <c r="AJ46" s="459">
        <f t="shared" ca="1" si="77"/>
        <v>0</v>
      </c>
      <c r="AK46" s="459">
        <f t="shared" ca="1" si="77"/>
        <v>0</v>
      </c>
      <c r="AL46" s="459">
        <f t="shared" ca="1" si="77"/>
        <v>0</v>
      </c>
      <c r="AM46" s="459">
        <f t="shared" ref="AM46:BO46" ca="1" si="78">AM23*AM5</f>
        <v>0</v>
      </c>
      <c r="AN46" s="459">
        <f t="shared" ca="1" si="78"/>
        <v>0</v>
      </c>
      <c r="AO46" s="459">
        <f t="shared" ca="1" si="78"/>
        <v>0</v>
      </c>
      <c r="AP46" s="459">
        <f t="shared" ca="1" si="78"/>
        <v>0</v>
      </c>
      <c r="AQ46" s="459">
        <f t="shared" ca="1" si="78"/>
        <v>0</v>
      </c>
      <c r="AR46" s="459">
        <f t="shared" ca="1" si="78"/>
        <v>0</v>
      </c>
      <c r="AS46" s="459">
        <f t="shared" ca="1" si="78"/>
        <v>0</v>
      </c>
      <c r="AT46" s="459">
        <f t="shared" ca="1" si="78"/>
        <v>0</v>
      </c>
      <c r="AU46" s="459">
        <f t="shared" ca="1" si="78"/>
        <v>0</v>
      </c>
      <c r="AV46" s="459">
        <f t="shared" ca="1" si="78"/>
        <v>0</v>
      </c>
      <c r="AW46" s="459">
        <f t="shared" ca="1" si="78"/>
        <v>0</v>
      </c>
      <c r="AX46" s="459">
        <f t="shared" ca="1" si="78"/>
        <v>0</v>
      </c>
      <c r="AY46" s="459">
        <f t="shared" ca="1" si="78"/>
        <v>0</v>
      </c>
      <c r="AZ46" s="459">
        <f t="shared" ca="1" si="78"/>
        <v>0</v>
      </c>
      <c r="BA46" s="459">
        <f t="shared" ca="1" si="78"/>
        <v>0</v>
      </c>
      <c r="BB46" s="459">
        <f t="shared" ca="1" si="78"/>
        <v>0</v>
      </c>
      <c r="BC46" s="459">
        <f t="shared" ca="1" si="78"/>
        <v>0</v>
      </c>
      <c r="BD46" s="459">
        <f t="shared" ca="1" si="78"/>
        <v>0</v>
      </c>
      <c r="BE46" s="459">
        <f t="shared" ca="1" si="78"/>
        <v>0</v>
      </c>
      <c r="BF46" s="459">
        <f t="shared" ca="1" si="78"/>
        <v>0</v>
      </c>
      <c r="BG46" s="459">
        <f t="shared" ca="1" si="78"/>
        <v>0</v>
      </c>
      <c r="BH46" s="459">
        <f t="shared" ca="1" si="78"/>
        <v>0</v>
      </c>
      <c r="BI46" s="459">
        <f t="shared" ca="1" si="78"/>
        <v>0</v>
      </c>
      <c r="BJ46" s="459">
        <f t="shared" ca="1" si="78"/>
        <v>0</v>
      </c>
      <c r="BK46" s="459">
        <f t="shared" ca="1" si="78"/>
        <v>0</v>
      </c>
      <c r="BL46" s="459">
        <f t="shared" ca="1" si="78"/>
        <v>0</v>
      </c>
      <c r="BM46" s="459">
        <f t="shared" ca="1" si="78"/>
        <v>0</v>
      </c>
      <c r="BN46" s="459">
        <f t="shared" ca="1" si="78"/>
        <v>0</v>
      </c>
      <c r="BO46" s="459">
        <f t="shared" ca="1" si="78"/>
        <v>0</v>
      </c>
      <c r="BP46" s="459"/>
      <c r="BQ46" s="459"/>
      <c r="BR46" s="459"/>
      <c r="BS46" s="459"/>
      <c r="BT46" s="459"/>
      <c r="BU46" s="459"/>
      <c r="BV46" s="459"/>
      <c r="BW46" s="459"/>
      <c r="BX46" s="459"/>
      <c r="BY46" s="459"/>
      <c r="BZ46" s="459"/>
      <c r="CA46" s="459"/>
      <c r="CB46" s="459"/>
      <c r="CC46" s="459"/>
      <c r="CD46" s="459"/>
      <c r="CE46" s="459"/>
      <c r="CF46" s="459"/>
      <c r="CG46" s="459"/>
      <c r="CH46" s="459"/>
      <c r="CI46" s="459"/>
      <c r="CJ46" s="459"/>
      <c r="CK46" s="459"/>
      <c r="CL46" s="459"/>
      <c r="CM46" s="459"/>
      <c r="CN46" s="459"/>
      <c r="CO46" s="459"/>
      <c r="CP46" s="459"/>
      <c r="CQ46" s="459"/>
      <c r="CR46" s="459"/>
      <c r="CS46" s="459"/>
      <c r="CT46" s="459"/>
      <c r="CU46" s="459"/>
      <c r="CV46" s="459"/>
      <c r="CW46" s="459"/>
      <c r="CX46" s="459"/>
      <c r="CY46" s="459"/>
      <c r="CZ46" s="459"/>
      <c r="DA46" s="459"/>
      <c r="DB46" s="459"/>
      <c r="DC46" s="459"/>
      <c r="DD46" s="459"/>
      <c r="DE46" s="459"/>
      <c r="DF46" s="459"/>
      <c r="DG46" s="459"/>
      <c r="DH46" s="459"/>
      <c r="DI46" s="459"/>
      <c r="DJ46" s="459"/>
      <c r="DK46" s="459"/>
      <c r="DL46" s="459"/>
      <c r="DM46" s="459"/>
      <c r="DN46" s="459"/>
      <c r="DO46" s="459"/>
      <c r="DP46" s="459"/>
      <c r="DQ46" s="459"/>
      <c r="DR46" s="459"/>
      <c r="DS46" s="459"/>
      <c r="DT46" s="459"/>
      <c r="DU46" s="459"/>
      <c r="DV46" s="459"/>
      <c r="DW46" s="459"/>
    </row>
    <row r="47" spans="1:127">
      <c r="A47" s="874" t="s">
        <v>1238</v>
      </c>
      <c r="D47" s="510">
        <f ca="1">MAX($G$47:$DW$47)</f>
        <v>42852.278762562994</v>
      </c>
      <c r="E47" s="637"/>
      <c r="F47" s="637"/>
      <c r="G47" s="459">
        <f t="shared" ref="G47:AL47" ca="1" si="79">SUM(IF(NOT(G7),(G46+H47)/(1+G44*(1+$B54/(1-$B$54))*G$6),0),G82)</f>
        <v>42852.278762562994</v>
      </c>
      <c r="H47" s="459">
        <f t="shared" ca="1" si="79"/>
        <v>42852.278762562994</v>
      </c>
      <c r="I47" s="459">
        <f t="shared" ca="1" si="79"/>
        <v>41916.628631472297</v>
      </c>
      <c r="J47" s="459">
        <f t="shared" ca="1" si="79"/>
        <v>40968.23703422035</v>
      </c>
      <c r="K47" s="459">
        <f t="shared" ca="1" si="79"/>
        <v>39950.216590274125</v>
      </c>
      <c r="L47" s="459">
        <f t="shared" ca="1" si="79"/>
        <v>38859.108189732811</v>
      </c>
      <c r="M47" s="459">
        <f t="shared" ca="1" si="79"/>
        <v>37716.161217800051</v>
      </c>
      <c r="N47" s="459">
        <f t="shared" ca="1" si="79"/>
        <v>36511.48796720479</v>
      </c>
      <c r="O47" s="459">
        <f t="shared" ca="1" si="79"/>
        <v>35262.662321829717</v>
      </c>
      <c r="P47" s="459">
        <f t="shared" ca="1" si="79"/>
        <v>33969.447834462633</v>
      </c>
      <c r="Q47" s="459">
        <f t="shared" ca="1" si="79"/>
        <v>32611.475590462331</v>
      </c>
      <c r="R47" s="459">
        <f t="shared" ca="1" si="79"/>
        <v>31226.894025768423</v>
      </c>
      <c r="S47" s="459">
        <f t="shared" ca="1" si="79"/>
        <v>29760.858689470286</v>
      </c>
      <c r="T47" s="459">
        <f t="shared" ca="1" si="79"/>
        <v>28278.130046443708</v>
      </c>
      <c r="U47" s="459">
        <f t="shared" ca="1" si="79"/>
        <v>26684.307867492826</v>
      </c>
      <c r="V47" s="459">
        <f t="shared" ca="1" si="79"/>
        <v>25102.140699368148</v>
      </c>
      <c r="W47" s="459">
        <f t="shared" ca="1" si="79"/>
        <v>23379.100320323741</v>
      </c>
      <c r="X47" s="459">
        <f t="shared" ca="1" si="79"/>
        <v>21688.654381018619</v>
      </c>
      <c r="Y47" s="459">
        <f t="shared" ca="1" si="79"/>
        <v>19828.008294904175</v>
      </c>
      <c r="Z47" s="459">
        <f t="shared" ca="1" si="79"/>
        <v>18022.258457267544</v>
      </c>
      <c r="AA47" s="459">
        <f t="shared" ca="1" si="79"/>
        <v>16022.232782741703</v>
      </c>
      <c r="AB47" s="459">
        <f t="shared" ca="1" si="79"/>
        <v>14089.320783615209</v>
      </c>
      <c r="AC47" s="459">
        <f t="shared" ca="1" si="79"/>
        <v>12096.767485995319</v>
      </c>
      <c r="AD47" s="459">
        <f t="shared" ca="1" si="79"/>
        <v>10176.15032663431</v>
      </c>
      <c r="AE47" s="459">
        <f t="shared" ca="1" si="79"/>
        <v>8027.4339045063543</v>
      </c>
      <c r="AF47" s="459">
        <f t="shared" ca="1" si="79"/>
        <v>5976.0557171488745</v>
      </c>
      <c r="AG47" s="459">
        <f t="shared" ca="1" si="79"/>
        <v>4466.1576639191253</v>
      </c>
      <c r="AH47" s="459">
        <f t="shared" ca="1" si="79"/>
        <v>3039.2254154895459</v>
      </c>
      <c r="AI47" s="459">
        <f t="shared" ca="1" si="79"/>
        <v>1464.2037741228014</v>
      </c>
      <c r="AJ47" s="459">
        <f t="shared" ca="1" si="79"/>
        <v>0</v>
      </c>
      <c r="AK47" s="459">
        <f t="shared" ca="1" si="79"/>
        <v>0</v>
      </c>
      <c r="AL47" s="459">
        <f t="shared" ca="1" si="79"/>
        <v>0</v>
      </c>
      <c r="AM47" s="459">
        <f t="shared" ref="AM47:BO47" ca="1" si="80">SUM(IF(NOT(AM7),(AM46+AN47)/(1+AM44*(1+$B54/(1-$B$54))*AM$6),0),AM82)</f>
        <v>0</v>
      </c>
      <c r="AN47" s="459">
        <f t="shared" ca="1" si="80"/>
        <v>0</v>
      </c>
      <c r="AO47" s="459">
        <f t="shared" ca="1" si="80"/>
        <v>0</v>
      </c>
      <c r="AP47" s="459">
        <f t="shared" ca="1" si="80"/>
        <v>0</v>
      </c>
      <c r="AQ47" s="459">
        <f t="shared" ca="1" si="80"/>
        <v>0</v>
      </c>
      <c r="AR47" s="459">
        <f t="shared" ca="1" si="80"/>
        <v>0</v>
      </c>
      <c r="AS47" s="459">
        <f t="shared" ca="1" si="80"/>
        <v>0</v>
      </c>
      <c r="AT47" s="459">
        <f t="shared" ca="1" si="80"/>
        <v>0</v>
      </c>
      <c r="AU47" s="459">
        <f t="shared" ca="1" si="80"/>
        <v>0</v>
      </c>
      <c r="AV47" s="459">
        <f t="shared" ca="1" si="80"/>
        <v>0</v>
      </c>
      <c r="AW47" s="459">
        <f t="shared" ca="1" si="80"/>
        <v>0</v>
      </c>
      <c r="AX47" s="459">
        <f t="shared" ca="1" si="80"/>
        <v>0</v>
      </c>
      <c r="AY47" s="459">
        <f t="shared" ca="1" si="80"/>
        <v>0</v>
      </c>
      <c r="AZ47" s="459">
        <f t="shared" ca="1" si="80"/>
        <v>0</v>
      </c>
      <c r="BA47" s="459">
        <f t="shared" ca="1" si="80"/>
        <v>0</v>
      </c>
      <c r="BB47" s="459">
        <f t="shared" ca="1" si="80"/>
        <v>0</v>
      </c>
      <c r="BC47" s="459">
        <f t="shared" ca="1" si="80"/>
        <v>0</v>
      </c>
      <c r="BD47" s="459">
        <f t="shared" ca="1" si="80"/>
        <v>0</v>
      </c>
      <c r="BE47" s="459">
        <f t="shared" ca="1" si="80"/>
        <v>0</v>
      </c>
      <c r="BF47" s="459">
        <f t="shared" ca="1" si="80"/>
        <v>0</v>
      </c>
      <c r="BG47" s="459">
        <f t="shared" ca="1" si="80"/>
        <v>0</v>
      </c>
      <c r="BH47" s="459">
        <f t="shared" ca="1" si="80"/>
        <v>0</v>
      </c>
      <c r="BI47" s="459">
        <f t="shared" ca="1" si="80"/>
        <v>0</v>
      </c>
      <c r="BJ47" s="459">
        <f t="shared" ca="1" si="80"/>
        <v>0</v>
      </c>
      <c r="BK47" s="459">
        <f t="shared" ca="1" si="80"/>
        <v>0</v>
      </c>
      <c r="BL47" s="459">
        <f t="shared" ca="1" si="80"/>
        <v>0</v>
      </c>
      <c r="BM47" s="459">
        <f t="shared" ca="1" si="80"/>
        <v>0</v>
      </c>
      <c r="BN47" s="459">
        <f t="shared" ca="1" si="80"/>
        <v>0</v>
      </c>
      <c r="BO47" s="459">
        <f t="shared" ca="1" si="80"/>
        <v>0</v>
      </c>
      <c r="BP47" s="459"/>
      <c r="BQ47" s="459"/>
      <c r="BR47" s="459"/>
      <c r="BS47" s="459"/>
      <c r="BT47" s="459"/>
      <c r="BU47" s="459"/>
      <c r="BV47" s="459"/>
      <c r="BW47" s="459"/>
      <c r="BX47" s="459"/>
      <c r="BY47" s="459"/>
      <c r="BZ47" s="459"/>
      <c r="CA47" s="459"/>
      <c r="CB47" s="459"/>
      <c r="CC47" s="459"/>
      <c r="CD47" s="459"/>
      <c r="CE47" s="459"/>
      <c r="CF47" s="459"/>
      <c r="CG47" s="459"/>
      <c r="CH47" s="459"/>
      <c r="CI47" s="459"/>
      <c r="CJ47" s="459"/>
      <c r="CK47" s="459"/>
      <c r="CL47" s="459"/>
      <c r="CM47" s="459"/>
      <c r="CN47" s="459"/>
      <c r="CO47" s="459"/>
      <c r="CP47" s="459"/>
      <c r="CQ47" s="459"/>
      <c r="CR47" s="459"/>
      <c r="CS47" s="459"/>
      <c r="CT47" s="459"/>
      <c r="CU47" s="459"/>
      <c r="CV47" s="459"/>
      <c r="CW47" s="459"/>
      <c r="CX47" s="459"/>
      <c r="CY47" s="459"/>
      <c r="CZ47" s="459"/>
      <c r="DA47" s="459"/>
      <c r="DB47" s="459"/>
      <c r="DC47" s="459"/>
      <c r="DD47" s="459"/>
      <c r="DE47" s="459"/>
      <c r="DF47" s="459"/>
      <c r="DG47" s="459"/>
      <c r="DH47" s="459"/>
      <c r="DI47" s="459"/>
      <c r="DJ47" s="459"/>
      <c r="DK47" s="459"/>
      <c r="DL47" s="459"/>
      <c r="DM47" s="459"/>
      <c r="DN47" s="459"/>
      <c r="DO47" s="459"/>
      <c r="DP47" s="459"/>
      <c r="DQ47" s="459"/>
      <c r="DR47" s="459"/>
      <c r="DS47" s="459"/>
      <c r="DT47" s="459"/>
      <c r="DU47" s="459"/>
      <c r="DV47" s="459"/>
      <c r="DW47" s="459"/>
    </row>
    <row r="48" spans="1:127">
      <c r="A48" s="373"/>
      <c r="B48" s="708"/>
      <c r="C48" s="708"/>
      <c r="D48" s="568"/>
      <c r="E48" s="637"/>
      <c r="F48" s="637"/>
      <c r="G48" s="632"/>
      <c r="H48" s="632"/>
      <c r="I48" s="632"/>
      <c r="J48" s="632"/>
      <c r="K48" s="632"/>
      <c r="L48" s="632"/>
      <c r="M48" s="632"/>
      <c r="N48" s="632"/>
      <c r="O48" s="632"/>
      <c r="P48" s="632"/>
      <c r="Q48" s="632"/>
      <c r="R48" s="632"/>
      <c r="S48" s="632"/>
      <c r="T48" s="632"/>
      <c r="U48" s="632"/>
      <c r="V48" s="632"/>
      <c r="W48" s="632"/>
      <c r="X48" s="632"/>
      <c r="Y48" s="632"/>
      <c r="Z48" s="632"/>
      <c r="AA48" s="632"/>
      <c r="AB48" s="632"/>
      <c r="AC48" s="632"/>
      <c r="AD48" s="632"/>
      <c r="AE48" s="632"/>
      <c r="AF48" s="632"/>
      <c r="AG48" s="632"/>
      <c r="AH48" s="632"/>
      <c r="AI48" s="632"/>
      <c r="AJ48" s="632"/>
      <c r="AK48" s="632"/>
      <c r="AL48" s="632"/>
      <c r="AM48" s="632"/>
      <c r="AN48" s="632"/>
      <c r="AO48" s="632"/>
      <c r="AP48" s="632"/>
      <c r="AQ48" s="632"/>
      <c r="AR48" s="632"/>
      <c r="AS48" s="632"/>
      <c r="AT48" s="632"/>
      <c r="AU48" s="632"/>
      <c r="AV48" s="632"/>
      <c r="AW48" s="632"/>
      <c r="AX48" s="632"/>
      <c r="AY48" s="632"/>
      <c r="AZ48" s="632"/>
      <c r="BA48" s="632"/>
      <c r="BB48" s="632"/>
      <c r="BC48" s="632"/>
      <c r="BD48" s="632"/>
      <c r="BE48" s="632"/>
      <c r="BF48" s="632"/>
      <c r="BG48" s="632"/>
      <c r="BH48" s="632"/>
      <c r="BI48" s="632"/>
      <c r="BJ48" s="632"/>
      <c r="BK48" s="632"/>
      <c r="BL48" s="632"/>
      <c r="BM48" s="632"/>
      <c r="BN48" s="632"/>
      <c r="BO48" s="632"/>
      <c r="BP48" s="632"/>
      <c r="BQ48" s="632"/>
      <c r="BR48" s="632"/>
      <c r="BS48" s="632"/>
      <c r="BT48" s="632"/>
      <c r="BU48" s="632"/>
      <c r="BV48" s="632"/>
      <c r="BW48" s="632"/>
      <c r="BX48" s="632"/>
      <c r="BY48" s="632"/>
      <c r="BZ48" s="632"/>
      <c r="CA48" s="632"/>
      <c r="CB48" s="632"/>
      <c r="CC48" s="632"/>
      <c r="CD48" s="632"/>
      <c r="CE48" s="632"/>
      <c r="CF48" s="632"/>
      <c r="CG48" s="632"/>
      <c r="CH48" s="632"/>
      <c r="CI48" s="632"/>
      <c r="CJ48" s="632"/>
      <c r="CK48" s="632"/>
      <c r="CL48" s="632"/>
      <c r="CM48" s="632"/>
      <c r="CN48" s="632"/>
      <c r="CO48" s="632"/>
      <c r="CP48" s="632"/>
      <c r="CQ48" s="632"/>
      <c r="CR48" s="632"/>
      <c r="CS48" s="632"/>
      <c r="CT48" s="632"/>
      <c r="CU48" s="632"/>
      <c r="CV48" s="632"/>
      <c r="CW48" s="632"/>
      <c r="CX48" s="632"/>
      <c r="CY48" s="632"/>
      <c r="CZ48" s="632"/>
      <c r="DA48" s="632"/>
      <c r="DB48" s="632"/>
      <c r="DC48" s="632"/>
      <c r="DD48" s="632"/>
      <c r="DE48" s="632"/>
      <c r="DF48" s="632"/>
      <c r="DG48" s="632"/>
      <c r="DH48" s="632"/>
      <c r="DI48" s="632"/>
      <c r="DJ48" s="632"/>
      <c r="DK48" s="632"/>
      <c r="DL48" s="632"/>
      <c r="DM48" s="632"/>
      <c r="DN48" s="632"/>
      <c r="DO48" s="632"/>
      <c r="DP48" s="632"/>
      <c r="DQ48" s="632"/>
      <c r="DR48" s="632"/>
      <c r="DS48" s="632"/>
      <c r="DT48" s="632"/>
      <c r="DU48" s="632"/>
      <c r="DV48" s="632"/>
      <c r="DW48" s="632"/>
    </row>
    <row r="49" spans="1:127">
      <c r="A49" s="612" t="s">
        <v>218</v>
      </c>
      <c r="B49" s="708"/>
      <c r="C49" s="708"/>
      <c r="D49" s="568"/>
      <c r="E49" s="637"/>
      <c r="F49" s="637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32"/>
      <c r="AB49" s="632"/>
      <c r="AC49" s="632"/>
      <c r="AD49" s="632"/>
      <c r="AE49" s="632"/>
      <c r="AF49" s="632"/>
      <c r="AG49" s="632"/>
      <c r="AH49" s="632"/>
      <c r="AI49" s="632"/>
      <c r="AJ49" s="632"/>
      <c r="AK49" s="632"/>
      <c r="AL49" s="632"/>
      <c r="AM49" s="632"/>
      <c r="AN49" s="632"/>
      <c r="AO49" s="632"/>
      <c r="AP49" s="632"/>
      <c r="AQ49" s="632"/>
      <c r="AR49" s="632"/>
      <c r="AS49" s="632"/>
      <c r="AT49" s="632"/>
      <c r="AU49" s="632"/>
      <c r="AV49" s="632"/>
      <c r="AW49" s="632"/>
      <c r="AX49" s="632"/>
      <c r="AY49" s="632"/>
      <c r="AZ49" s="632"/>
      <c r="BA49" s="632"/>
      <c r="BB49" s="632"/>
      <c r="BC49" s="632"/>
      <c r="BD49" s="632"/>
      <c r="BE49" s="632"/>
      <c r="BF49" s="632"/>
      <c r="BG49" s="632"/>
      <c r="BH49" s="632"/>
      <c r="BI49" s="632"/>
      <c r="BJ49" s="632"/>
      <c r="BK49" s="632"/>
      <c r="BL49" s="632"/>
      <c r="BM49" s="632"/>
      <c r="BN49" s="632"/>
      <c r="BO49" s="632"/>
      <c r="BP49" s="632"/>
      <c r="BQ49" s="632"/>
      <c r="BR49" s="632"/>
      <c r="BS49" s="632"/>
      <c r="BT49" s="632"/>
      <c r="BU49" s="632"/>
      <c r="BV49" s="632"/>
      <c r="BW49" s="632"/>
      <c r="BX49" s="632"/>
      <c r="BY49" s="632"/>
      <c r="BZ49" s="632"/>
      <c r="CA49" s="632"/>
      <c r="CB49" s="632"/>
      <c r="CC49" s="632"/>
      <c r="CD49" s="632"/>
      <c r="CE49" s="632"/>
      <c r="CF49" s="632"/>
      <c r="CG49" s="632"/>
      <c r="CH49" s="632"/>
      <c r="CI49" s="632"/>
      <c r="CJ49" s="632"/>
      <c r="CK49" s="632"/>
      <c r="CL49" s="632"/>
      <c r="CM49" s="632"/>
      <c r="CN49" s="632"/>
      <c r="CO49" s="632"/>
      <c r="CP49" s="632"/>
      <c r="CQ49" s="632"/>
      <c r="CR49" s="632"/>
      <c r="CS49" s="632"/>
      <c r="CT49" s="632"/>
      <c r="CU49" s="632"/>
      <c r="CV49" s="632"/>
      <c r="CW49" s="632"/>
      <c r="CX49" s="632"/>
      <c r="CY49" s="632"/>
      <c r="CZ49" s="632"/>
      <c r="DA49" s="632"/>
      <c r="DB49" s="632"/>
      <c r="DC49" s="632"/>
      <c r="DD49" s="632"/>
      <c r="DE49" s="632"/>
      <c r="DF49" s="632"/>
      <c r="DG49" s="632"/>
      <c r="DH49" s="632"/>
      <c r="DI49" s="632"/>
      <c r="DJ49" s="632"/>
      <c r="DK49" s="632"/>
      <c r="DL49" s="632"/>
      <c r="DM49" s="632"/>
      <c r="DN49" s="632"/>
      <c r="DO49" s="632"/>
      <c r="DP49" s="632"/>
      <c r="DQ49" s="632"/>
      <c r="DR49" s="632"/>
      <c r="DS49" s="632"/>
      <c r="DT49" s="632"/>
      <c r="DU49" s="632"/>
      <c r="DV49" s="632"/>
      <c r="DW49" s="632"/>
    </row>
    <row r="50" spans="1:127">
      <c r="A50" s="874" t="s">
        <v>1231</v>
      </c>
      <c r="B50" s="708"/>
      <c r="C50" s="708"/>
      <c r="D50" s="568"/>
      <c r="E50" s="637"/>
      <c r="F50" s="637"/>
      <c r="G50" s="459">
        <f t="shared" ref="G50:G56" si="81">G61+G71</f>
        <v>0</v>
      </c>
      <c r="H50" s="459">
        <f t="shared" ref="H50:H56" ca="1" si="82">H61+H71</f>
        <v>42852.278762562994</v>
      </c>
      <c r="I50" s="459">
        <f t="shared" ref="I50:BO50" ca="1" si="83">I61+I71</f>
        <v>41916.628631472289</v>
      </c>
      <c r="J50" s="459">
        <f t="shared" ca="1" si="83"/>
        <v>40968.237034220343</v>
      </c>
      <c r="K50" s="459">
        <f t="shared" ca="1" si="83"/>
        <v>39950.216590274118</v>
      </c>
      <c r="L50" s="459">
        <f t="shared" ca="1" si="83"/>
        <v>38859.108189732804</v>
      </c>
      <c r="M50" s="459">
        <f t="shared" ca="1" si="83"/>
        <v>37716.161217800036</v>
      </c>
      <c r="N50" s="459">
        <f t="shared" ca="1" si="83"/>
        <v>36511.487967204775</v>
      </c>
      <c r="O50" s="459">
        <f t="shared" ca="1" si="83"/>
        <v>35262.662321829703</v>
      </c>
      <c r="P50" s="459">
        <f t="shared" ca="1" si="83"/>
        <v>33969.447834462619</v>
      </c>
      <c r="Q50" s="459">
        <f t="shared" ca="1" si="83"/>
        <v>32611.475590462309</v>
      </c>
      <c r="R50" s="459">
        <f t="shared" ca="1" si="83"/>
        <v>31226.894025768397</v>
      </c>
      <c r="S50" s="459">
        <f t="shared" ca="1" si="83"/>
        <v>29760.85868947026</v>
      </c>
      <c r="T50" s="459">
        <f t="shared" ca="1" si="83"/>
        <v>28278.130046443679</v>
      </c>
      <c r="U50" s="459">
        <f t="shared" ca="1" si="83"/>
        <v>26684.307867492797</v>
      </c>
      <c r="V50" s="459">
        <f t="shared" ca="1" si="83"/>
        <v>25102.140699368116</v>
      </c>
      <c r="W50" s="459">
        <f t="shared" ca="1" si="83"/>
        <v>23379.100320323705</v>
      </c>
      <c r="X50" s="459">
        <f t="shared" ca="1" si="83"/>
        <v>21688.654381018583</v>
      </c>
      <c r="Y50" s="459">
        <f t="shared" ca="1" si="83"/>
        <v>19828.008294904139</v>
      </c>
      <c r="Z50" s="459">
        <f t="shared" ca="1" si="83"/>
        <v>18022.258457267504</v>
      </c>
      <c r="AA50" s="459">
        <f t="shared" ca="1" si="83"/>
        <v>16022.232782741659</v>
      </c>
      <c r="AB50" s="459">
        <f t="shared" ca="1" si="83"/>
        <v>14089.320783615165</v>
      </c>
      <c r="AC50" s="459">
        <f t="shared" ca="1" si="83"/>
        <v>12096.767485995271</v>
      </c>
      <c r="AD50" s="459">
        <f t="shared" ca="1" si="83"/>
        <v>10176.150326634261</v>
      </c>
      <c r="AE50" s="459">
        <f t="shared" ca="1" si="83"/>
        <v>8027.4339045063025</v>
      </c>
      <c r="AF50" s="459">
        <f t="shared" ca="1" si="83"/>
        <v>5976.0557171488208</v>
      </c>
      <c r="AG50" s="459">
        <f t="shared" ca="1" si="83"/>
        <v>4466.1576639190689</v>
      </c>
      <c r="AH50" s="459">
        <f t="shared" ca="1" si="83"/>
        <v>3039.2254154894881</v>
      </c>
      <c r="AI50" s="459">
        <f t="shared" ca="1" si="83"/>
        <v>1464.2037741227421</v>
      </c>
      <c r="AJ50" s="459">
        <f t="shared" ca="1" si="83"/>
        <v>0</v>
      </c>
      <c r="AK50" s="459">
        <f t="shared" ca="1" si="83"/>
        <v>0</v>
      </c>
      <c r="AL50" s="459">
        <f t="shared" ca="1" si="83"/>
        <v>0</v>
      </c>
      <c r="AM50" s="459">
        <f t="shared" ca="1" si="83"/>
        <v>0</v>
      </c>
      <c r="AN50" s="459">
        <f t="shared" ca="1" si="83"/>
        <v>0</v>
      </c>
      <c r="AO50" s="459">
        <f t="shared" ca="1" si="83"/>
        <v>0</v>
      </c>
      <c r="AP50" s="459">
        <f t="shared" ca="1" si="83"/>
        <v>0</v>
      </c>
      <c r="AQ50" s="459">
        <f t="shared" ca="1" si="83"/>
        <v>0</v>
      </c>
      <c r="AR50" s="459">
        <f t="shared" ca="1" si="83"/>
        <v>0</v>
      </c>
      <c r="AS50" s="459">
        <f t="shared" ca="1" si="83"/>
        <v>0</v>
      </c>
      <c r="AT50" s="459">
        <f t="shared" ca="1" si="83"/>
        <v>0</v>
      </c>
      <c r="AU50" s="459">
        <f t="shared" ca="1" si="83"/>
        <v>0</v>
      </c>
      <c r="AV50" s="459">
        <f t="shared" ca="1" si="83"/>
        <v>0</v>
      </c>
      <c r="AW50" s="459">
        <f t="shared" ca="1" si="83"/>
        <v>0</v>
      </c>
      <c r="AX50" s="459">
        <f t="shared" ca="1" si="83"/>
        <v>0</v>
      </c>
      <c r="AY50" s="459">
        <f t="shared" ca="1" si="83"/>
        <v>0</v>
      </c>
      <c r="AZ50" s="459">
        <f t="shared" ca="1" si="83"/>
        <v>0</v>
      </c>
      <c r="BA50" s="459">
        <f t="shared" ca="1" si="83"/>
        <v>0</v>
      </c>
      <c r="BB50" s="459">
        <f t="shared" ca="1" si="83"/>
        <v>0</v>
      </c>
      <c r="BC50" s="459">
        <f t="shared" ca="1" si="83"/>
        <v>0</v>
      </c>
      <c r="BD50" s="459">
        <f t="shared" ca="1" si="83"/>
        <v>0</v>
      </c>
      <c r="BE50" s="459">
        <f t="shared" ca="1" si="83"/>
        <v>0</v>
      </c>
      <c r="BF50" s="459">
        <f t="shared" ca="1" si="83"/>
        <v>0</v>
      </c>
      <c r="BG50" s="459">
        <f t="shared" ca="1" si="83"/>
        <v>0</v>
      </c>
      <c r="BH50" s="459">
        <f t="shared" ca="1" si="83"/>
        <v>0</v>
      </c>
      <c r="BI50" s="459">
        <f t="shared" ca="1" si="83"/>
        <v>0</v>
      </c>
      <c r="BJ50" s="459">
        <f t="shared" ca="1" si="83"/>
        <v>0</v>
      </c>
      <c r="BK50" s="459">
        <f t="shared" ca="1" si="83"/>
        <v>0</v>
      </c>
      <c r="BL50" s="459">
        <f t="shared" ca="1" si="83"/>
        <v>0</v>
      </c>
      <c r="BM50" s="459">
        <f t="shared" ca="1" si="83"/>
        <v>0</v>
      </c>
      <c r="BN50" s="459">
        <f t="shared" ca="1" si="83"/>
        <v>0</v>
      </c>
      <c r="BO50" s="459">
        <f t="shared" ca="1" si="83"/>
        <v>0</v>
      </c>
      <c r="BP50" s="459"/>
      <c r="BQ50" s="459"/>
      <c r="BR50" s="459"/>
      <c r="BS50" s="459"/>
      <c r="BT50" s="459"/>
      <c r="BU50" s="459"/>
      <c r="BV50" s="459"/>
      <c r="BW50" s="459"/>
      <c r="BX50" s="459"/>
      <c r="BY50" s="459"/>
      <c r="BZ50" s="459"/>
      <c r="CA50" s="459"/>
      <c r="CB50" s="459"/>
      <c r="CC50" s="459"/>
      <c r="CD50" s="459"/>
      <c r="CE50" s="459"/>
      <c r="CF50" s="459"/>
      <c r="CG50" s="459"/>
      <c r="CH50" s="459"/>
      <c r="CI50" s="459"/>
      <c r="CJ50" s="459"/>
      <c r="CK50" s="459"/>
      <c r="CL50" s="459"/>
      <c r="CM50" s="459"/>
      <c r="CN50" s="459"/>
      <c r="CO50" s="459"/>
      <c r="CP50" s="459"/>
      <c r="CQ50" s="459"/>
      <c r="CR50" s="459"/>
      <c r="CS50" s="459"/>
      <c r="CT50" s="459"/>
      <c r="CU50" s="459"/>
      <c r="CV50" s="459"/>
      <c r="CW50" s="459"/>
      <c r="CX50" s="459"/>
      <c r="CY50" s="459"/>
      <c r="CZ50" s="459"/>
      <c r="DA50" s="459"/>
      <c r="DB50" s="459"/>
      <c r="DC50" s="459"/>
      <c r="DD50" s="459"/>
      <c r="DE50" s="459"/>
      <c r="DF50" s="459"/>
      <c r="DG50" s="459"/>
      <c r="DH50" s="459"/>
      <c r="DI50" s="459"/>
      <c r="DJ50" s="459"/>
      <c r="DK50" s="459"/>
      <c r="DL50" s="459"/>
      <c r="DM50" s="459"/>
      <c r="DN50" s="459"/>
      <c r="DO50" s="459"/>
      <c r="DP50" s="459"/>
      <c r="DQ50" s="459"/>
      <c r="DR50" s="459"/>
      <c r="DS50" s="459"/>
      <c r="DT50" s="459"/>
      <c r="DU50" s="459"/>
      <c r="DV50" s="459"/>
      <c r="DW50" s="459"/>
    </row>
    <row r="51" spans="1:127">
      <c r="A51" s="881" t="s">
        <v>1152</v>
      </c>
      <c r="B51" s="708"/>
      <c r="C51" s="708"/>
      <c r="D51" s="510">
        <f ca="1">SUM(G51:DW51)</f>
        <v>42852.278762562994</v>
      </c>
      <c r="E51" s="637"/>
      <c r="F51" s="637"/>
      <c r="G51" s="459">
        <f t="shared" ca="1" si="81"/>
        <v>42852.278762562994</v>
      </c>
      <c r="H51" s="459">
        <f t="shared" ref="H51" ca="1" si="84">H62+H72</f>
        <v>0</v>
      </c>
      <c r="I51" s="459">
        <f t="shared" ref="I51:BO51" ca="1" si="85">I62+I72</f>
        <v>0</v>
      </c>
      <c r="J51" s="459">
        <f t="shared" ca="1" si="85"/>
        <v>0</v>
      </c>
      <c r="K51" s="459">
        <f t="shared" ca="1" si="85"/>
        <v>0</v>
      </c>
      <c r="L51" s="459">
        <f t="shared" ca="1" si="85"/>
        <v>0</v>
      </c>
      <c r="M51" s="459">
        <f t="shared" ca="1" si="85"/>
        <v>0</v>
      </c>
      <c r="N51" s="459">
        <f t="shared" ca="1" si="85"/>
        <v>0</v>
      </c>
      <c r="O51" s="459">
        <f t="shared" ca="1" si="85"/>
        <v>0</v>
      </c>
      <c r="P51" s="459">
        <f t="shared" ca="1" si="85"/>
        <v>0</v>
      </c>
      <c r="Q51" s="459">
        <f t="shared" ca="1" si="85"/>
        <v>0</v>
      </c>
      <c r="R51" s="459">
        <f t="shared" ca="1" si="85"/>
        <v>0</v>
      </c>
      <c r="S51" s="459">
        <f t="shared" ca="1" si="85"/>
        <v>0</v>
      </c>
      <c r="T51" s="459">
        <f t="shared" ca="1" si="85"/>
        <v>0</v>
      </c>
      <c r="U51" s="459">
        <f t="shared" ca="1" si="85"/>
        <v>0</v>
      </c>
      <c r="V51" s="459">
        <f t="shared" ca="1" si="85"/>
        <v>0</v>
      </c>
      <c r="W51" s="459">
        <f t="shared" ca="1" si="85"/>
        <v>0</v>
      </c>
      <c r="X51" s="459">
        <f t="shared" ca="1" si="85"/>
        <v>0</v>
      </c>
      <c r="Y51" s="459">
        <f t="shared" ca="1" si="85"/>
        <v>0</v>
      </c>
      <c r="Z51" s="459">
        <f t="shared" ca="1" si="85"/>
        <v>0</v>
      </c>
      <c r="AA51" s="459">
        <f t="shared" ca="1" si="85"/>
        <v>0</v>
      </c>
      <c r="AB51" s="459">
        <f t="shared" ca="1" si="85"/>
        <v>0</v>
      </c>
      <c r="AC51" s="459">
        <f t="shared" ca="1" si="85"/>
        <v>0</v>
      </c>
      <c r="AD51" s="459">
        <f t="shared" ca="1" si="85"/>
        <v>0</v>
      </c>
      <c r="AE51" s="459">
        <f t="shared" ca="1" si="85"/>
        <v>0</v>
      </c>
      <c r="AF51" s="459">
        <f t="shared" ca="1" si="85"/>
        <v>0</v>
      </c>
      <c r="AG51" s="459">
        <f t="shared" ca="1" si="85"/>
        <v>0</v>
      </c>
      <c r="AH51" s="459">
        <f t="shared" ca="1" si="85"/>
        <v>0</v>
      </c>
      <c r="AI51" s="459">
        <f t="shared" ca="1" si="85"/>
        <v>0</v>
      </c>
      <c r="AJ51" s="459">
        <f t="shared" ca="1" si="85"/>
        <v>0</v>
      </c>
      <c r="AK51" s="459">
        <f t="shared" ca="1" si="85"/>
        <v>0</v>
      </c>
      <c r="AL51" s="459">
        <f t="shared" ca="1" si="85"/>
        <v>0</v>
      </c>
      <c r="AM51" s="459">
        <f t="shared" ca="1" si="85"/>
        <v>0</v>
      </c>
      <c r="AN51" s="459">
        <f t="shared" ca="1" si="85"/>
        <v>0</v>
      </c>
      <c r="AO51" s="459">
        <f t="shared" ca="1" si="85"/>
        <v>0</v>
      </c>
      <c r="AP51" s="459">
        <f t="shared" ca="1" si="85"/>
        <v>0</v>
      </c>
      <c r="AQ51" s="459">
        <f t="shared" ca="1" si="85"/>
        <v>0</v>
      </c>
      <c r="AR51" s="459">
        <f t="shared" ca="1" si="85"/>
        <v>0</v>
      </c>
      <c r="AS51" s="459">
        <f t="shared" ca="1" si="85"/>
        <v>0</v>
      </c>
      <c r="AT51" s="459">
        <f t="shared" ca="1" si="85"/>
        <v>0</v>
      </c>
      <c r="AU51" s="459">
        <f t="shared" ca="1" si="85"/>
        <v>0</v>
      </c>
      <c r="AV51" s="459">
        <f t="shared" ca="1" si="85"/>
        <v>0</v>
      </c>
      <c r="AW51" s="459">
        <f t="shared" ca="1" si="85"/>
        <v>0</v>
      </c>
      <c r="AX51" s="459">
        <f t="shared" ca="1" si="85"/>
        <v>0</v>
      </c>
      <c r="AY51" s="459">
        <f t="shared" ca="1" si="85"/>
        <v>0</v>
      </c>
      <c r="AZ51" s="459">
        <f t="shared" ca="1" si="85"/>
        <v>0</v>
      </c>
      <c r="BA51" s="459">
        <f t="shared" ca="1" si="85"/>
        <v>0</v>
      </c>
      <c r="BB51" s="459">
        <f t="shared" ca="1" si="85"/>
        <v>0</v>
      </c>
      <c r="BC51" s="459">
        <f t="shared" ca="1" si="85"/>
        <v>0</v>
      </c>
      <c r="BD51" s="459">
        <f t="shared" ca="1" si="85"/>
        <v>0</v>
      </c>
      <c r="BE51" s="459">
        <f t="shared" ca="1" si="85"/>
        <v>0</v>
      </c>
      <c r="BF51" s="459">
        <f t="shared" ca="1" si="85"/>
        <v>0</v>
      </c>
      <c r="BG51" s="459">
        <f t="shared" ca="1" si="85"/>
        <v>0</v>
      </c>
      <c r="BH51" s="459">
        <f t="shared" ca="1" si="85"/>
        <v>0</v>
      </c>
      <c r="BI51" s="459">
        <f t="shared" ca="1" si="85"/>
        <v>0</v>
      </c>
      <c r="BJ51" s="459">
        <f t="shared" ca="1" si="85"/>
        <v>0</v>
      </c>
      <c r="BK51" s="459">
        <f t="shared" ca="1" si="85"/>
        <v>0</v>
      </c>
      <c r="BL51" s="459">
        <f t="shared" ca="1" si="85"/>
        <v>0</v>
      </c>
      <c r="BM51" s="459">
        <f t="shared" ca="1" si="85"/>
        <v>0</v>
      </c>
      <c r="BN51" s="459">
        <f t="shared" ca="1" si="85"/>
        <v>0</v>
      </c>
      <c r="BO51" s="459">
        <f t="shared" ca="1" si="85"/>
        <v>0</v>
      </c>
      <c r="BP51" s="459"/>
      <c r="BQ51" s="459"/>
      <c r="BR51" s="459"/>
      <c r="BS51" s="459"/>
      <c r="BT51" s="459"/>
      <c r="BU51" s="459"/>
      <c r="BV51" s="459"/>
      <c r="BW51" s="459"/>
      <c r="BX51" s="459"/>
      <c r="BY51" s="459"/>
      <c r="BZ51" s="459"/>
      <c r="CA51" s="459"/>
      <c r="CB51" s="459"/>
      <c r="CC51" s="459"/>
      <c r="CD51" s="459"/>
      <c r="CE51" s="459"/>
      <c r="CF51" s="459"/>
      <c r="CG51" s="459"/>
      <c r="CH51" s="459"/>
      <c r="CI51" s="459"/>
      <c r="CJ51" s="459"/>
      <c r="CK51" s="459"/>
      <c r="CL51" s="459"/>
      <c r="CM51" s="459"/>
      <c r="CN51" s="459"/>
      <c r="CO51" s="459"/>
      <c r="CP51" s="459"/>
      <c r="CQ51" s="459"/>
      <c r="CR51" s="459"/>
      <c r="CS51" s="459"/>
      <c r="CT51" s="459"/>
      <c r="CU51" s="459"/>
      <c r="CV51" s="459"/>
      <c r="CW51" s="459"/>
      <c r="CX51" s="459"/>
      <c r="CY51" s="459"/>
      <c r="CZ51" s="459"/>
      <c r="DA51" s="459"/>
      <c r="DB51" s="459"/>
      <c r="DC51" s="459"/>
      <c r="DD51" s="459"/>
      <c r="DE51" s="459"/>
      <c r="DF51" s="459"/>
      <c r="DG51" s="459"/>
      <c r="DH51" s="459"/>
      <c r="DI51" s="459"/>
      <c r="DJ51" s="459"/>
      <c r="DK51" s="459"/>
      <c r="DL51" s="459"/>
      <c r="DM51" s="459"/>
      <c r="DN51" s="459"/>
      <c r="DO51" s="459"/>
      <c r="DP51" s="459"/>
      <c r="DQ51" s="459"/>
      <c r="DR51" s="459"/>
      <c r="DS51" s="459"/>
      <c r="DT51" s="459"/>
      <c r="DU51" s="459"/>
      <c r="DV51" s="459"/>
      <c r="DW51" s="459"/>
    </row>
    <row r="52" spans="1:127">
      <c r="A52" s="881" t="s">
        <v>227</v>
      </c>
      <c r="B52" s="708"/>
      <c r="C52" s="708"/>
      <c r="D52" s="510">
        <f ca="1">SUM(G52:DW52)</f>
        <v>42852.278762562979</v>
      </c>
      <c r="E52" s="637"/>
      <c r="F52" s="637"/>
      <c r="G52" s="459">
        <f t="shared" si="81"/>
        <v>0</v>
      </c>
      <c r="H52" s="459">
        <f t="shared" ca="1" si="82"/>
        <v>935.65013109070287</v>
      </c>
      <c r="I52" s="459">
        <f t="shared" ref="I52:BO52" ca="1" si="86">I63+I73</f>
        <v>948.39159725194372</v>
      </c>
      <c r="J52" s="459">
        <f t="shared" ca="1" si="86"/>
        <v>1018.0204439462243</v>
      </c>
      <c r="K52" s="459">
        <f t="shared" ca="1" si="86"/>
        <v>1091.1084005413165</v>
      </c>
      <c r="L52" s="459">
        <f t="shared" ca="1" si="86"/>
        <v>1142.9469719327649</v>
      </c>
      <c r="M52" s="459">
        <f t="shared" ca="1" si="86"/>
        <v>1204.6732505952577</v>
      </c>
      <c r="N52" s="459">
        <f t="shared" ca="1" si="86"/>
        <v>1248.8256453750753</v>
      </c>
      <c r="O52" s="459">
        <f t="shared" ca="1" si="86"/>
        <v>1293.2144873670866</v>
      </c>
      <c r="P52" s="459">
        <f t="shared" ca="1" si="86"/>
        <v>1357.9722440003106</v>
      </c>
      <c r="Q52" s="459">
        <f t="shared" ca="1" si="86"/>
        <v>1384.5815646939132</v>
      </c>
      <c r="R52" s="459">
        <f t="shared" ca="1" si="86"/>
        <v>1466.0353362981364</v>
      </c>
      <c r="S52" s="459">
        <f t="shared" ca="1" si="86"/>
        <v>1482.7286430265804</v>
      </c>
      <c r="T52" s="459">
        <f t="shared" ca="1" si="86"/>
        <v>1593.8221789508809</v>
      </c>
      <c r="U52" s="459">
        <f t="shared" ca="1" si="86"/>
        <v>1582.1671681246789</v>
      </c>
      <c r="V52" s="459">
        <f t="shared" ca="1" si="86"/>
        <v>1723.0403790444125</v>
      </c>
      <c r="W52" s="459">
        <f t="shared" ca="1" si="86"/>
        <v>1690.4459393051227</v>
      </c>
      <c r="X52" s="459">
        <f t="shared" ca="1" si="86"/>
        <v>1860.6460861144435</v>
      </c>
      <c r="Y52" s="459">
        <f t="shared" ca="1" si="86"/>
        <v>1805.7498376366339</v>
      </c>
      <c r="Z52" s="459">
        <f t="shared" ca="1" si="86"/>
        <v>2000.0256745258439</v>
      </c>
      <c r="AA52" s="459">
        <f t="shared" ca="1" si="86"/>
        <v>1932.911999126494</v>
      </c>
      <c r="AB52" s="459">
        <f t="shared" ca="1" si="86"/>
        <v>1992.553297619894</v>
      </c>
      <c r="AC52" s="459">
        <f ca="1">AC63+AC73</f>
        <v>1920.6171593610113</v>
      </c>
      <c r="AD52" s="459">
        <f t="shared" ca="1" si="86"/>
        <v>2148.7164221279581</v>
      </c>
      <c r="AE52" s="459">
        <f t="shared" ca="1" si="86"/>
        <v>2051.3781873574817</v>
      </c>
      <c r="AF52" s="459">
        <f t="shared" ca="1" si="86"/>
        <v>1509.8980532297517</v>
      </c>
      <c r="AG52" s="459">
        <f t="shared" ca="1" si="86"/>
        <v>1426.9322484295806</v>
      </c>
      <c r="AH52" s="459">
        <f t="shared" ca="1" si="86"/>
        <v>1575.0216413667461</v>
      </c>
      <c r="AI52" s="459">
        <f t="shared" ca="1" si="86"/>
        <v>1464.2037741227421</v>
      </c>
      <c r="AJ52" s="459">
        <f t="shared" ca="1" si="86"/>
        <v>0</v>
      </c>
      <c r="AK52" s="459">
        <f t="shared" ca="1" si="86"/>
        <v>0</v>
      </c>
      <c r="AL52" s="459">
        <f t="shared" ca="1" si="86"/>
        <v>0</v>
      </c>
      <c r="AM52" s="459">
        <f t="shared" ca="1" si="86"/>
        <v>0</v>
      </c>
      <c r="AN52" s="459">
        <f t="shared" ca="1" si="86"/>
        <v>0</v>
      </c>
      <c r="AO52" s="459">
        <f t="shared" ca="1" si="86"/>
        <v>0</v>
      </c>
      <c r="AP52" s="459">
        <f t="shared" ca="1" si="86"/>
        <v>0</v>
      </c>
      <c r="AQ52" s="459">
        <f t="shared" ca="1" si="86"/>
        <v>0</v>
      </c>
      <c r="AR52" s="459">
        <f t="shared" ca="1" si="86"/>
        <v>0</v>
      </c>
      <c r="AS52" s="459">
        <f t="shared" ca="1" si="86"/>
        <v>0</v>
      </c>
      <c r="AT52" s="459">
        <f t="shared" ca="1" si="86"/>
        <v>0</v>
      </c>
      <c r="AU52" s="459">
        <f t="shared" ca="1" si="86"/>
        <v>0</v>
      </c>
      <c r="AV52" s="459">
        <f t="shared" ca="1" si="86"/>
        <v>0</v>
      </c>
      <c r="AW52" s="459">
        <f t="shared" ca="1" si="86"/>
        <v>0</v>
      </c>
      <c r="AX52" s="459">
        <f t="shared" ca="1" si="86"/>
        <v>0</v>
      </c>
      <c r="AY52" s="459">
        <f t="shared" ca="1" si="86"/>
        <v>0</v>
      </c>
      <c r="AZ52" s="459">
        <f t="shared" ca="1" si="86"/>
        <v>0</v>
      </c>
      <c r="BA52" s="459">
        <f t="shared" ca="1" si="86"/>
        <v>0</v>
      </c>
      <c r="BB52" s="459">
        <f t="shared" ca="1" si="86"/>
        <v>0</v>
      </c>
      <c r="BC52" s="459">
        <f t="shared" ca="1" si="86"/>
        <v>0</v>
      </c>
      <c r="BD52" s="459">
        <f t="shared" ca="1" si="86"/>
        <v>0</v>
      </c>
      <c r="BE52" s="459">
        <f t="shared" ca="1" si="86"/>
        <v>0</v>
      </c>
      <c r="BF52" s="459">
        <f t="shared" ca="1" si="86"/>
        <v>0</v>
      </c>
      <c r="BG52" s="459">
        <f t="shared" ca="1" si="86"/>
        <v>0</v>
      </c>
      <c r="BH52" s="459">
        <f t="shared" ca="1" si="86"/>
        <v>0</v>
      </c>
      <c r="BI52" s="459">
        <f t="shared" ca="1" si="86"/>
        <v>0</v>
      </c>
      <c r="BJ52" s="459">
        <f t="shared" ca="1" si="86"/>
        <v>0</v>
      </c>
      <c r="BK52" s="459">
        <f t="shared" ca="1" si="86"/>
        <v>0</v>
      </c>
      <c r="BL52" s="459">
        <f t="shared" ca="1" si="86"/>
        <v>0</v>
      </c>
      <c r="BM52" s="459">
        <f t="shared" ca="1" si="86"/>
        <v>0</v>
      </c>
      <c r="BN52" s="459">
        <f t="shared" ca="1" si="86"/>
        <v>0</v>
      </c>
      <c r="BO52" s="459">
        <f t="shared" ca="1" si="86"/>
        <v>0</v>
      </c>
      <c r="BP52" s="459"/>
      <c r="BQ52" s="459"/>
      <c r="BR52" s="459"/>
      <c r="BS52" s="459"/>
      <c r="BT52" s="459"/>
      <c r="BU52" s="459"/>
      <c r="BV52" s="459"/>
      <c r="BW52" s="459"/>
      <c r="BX52" s="459"/>
      <c r="BY52" s="459"/>
      <c r="BZ52" s="459"/>
      <c r="CA52" s="459"/>
      <c r="CB52" s="459"/>
      <c r="CC52" s="459"/>
      <c r="CD52" s="459"/>
      <c r="CE52" s="459"/>
      <c r="CF52" s="459"/>
      <c r="CG52" s="459"/>
      <c r="CH52" s="459"/>
      <c r="CI52" s="459"/>
      <c r="CJ52" s="459"/>
      <c r="CK52" s="459"/>
      <c r="CL52" s="459"/>
      <c r="CM52" s="459"/>
      <c r="CN52" s="459"/>
      <c r="CO52" s="459"/>
      <c r="CP52" s="459"/>
      <c r="CQ52" s="459"/>
      <c r="CR52" s="459"/>
      <c r="CS52" s="459"/>
      <c r="CT52" s="459"/>
      <c r="CU52" s="459"/>
      <c r="CV52" s="459"/>
      <c r="CW52" s="459"/>
      <c r="CX52" s="459"/>
      <c r="CY52" s="459"/>
      <c r="CZ52" s="459"/>
      <c r="DA52" s="459"/>
      <c r="DB52" s="459"/>
      <c r="DC52" s="459"/>
      <c r="DD52" s="459"/>
      <c r="DE52" s="459"/>
      <c r="DF52" s="459"/>
      <c r="DG52" s="459"/>
      <c r="DH52" s="459"/>
      <c r="DI52" s="459"/>
      <c r="DJ52" s="459"/>
      <c r="DK52" s="459"/>
      <c r="DL52" s="459"/>
      <c r="DM52" s="459"/>
      <c r="DN52" s="459"/>
      <c r="DO52" s="459"/>
      <c r="DP52" s="459"/>
      <c r="DQ52" s="459"/>
      <c r="DR52" s="459"/>
      <c r="DS52" s="459"/>
      <c r="DT52" s="459"/>
      <c r="DU52" s="459"/>
      <c r="DV52" s="459"/>
      <c r="DW52" s="459"/>
    </row>
    <row r="53" spans="1:127">
      <c r="A53" s="961" t="s">
        <v>1239</v>
      </c>
      <c r="B53" s="708"/>
      <c r="C53" s="708"/>
      <c r="D53" s="510">
        <f ca="1">SUM(G53:DW53)</f>
        <v>20133.079290318328</v>
      </c>
      <c r="E53" s="637"/>
      <c r="F53" s="637"/>
      <c r="G53" s="459">
        <f t="shared" si="81"/>
        <v>0</v>
      </c>
      <c r="H53" s="459">
        <f ca="1">H64+H74</f>
        <v>1303.4832817636529</v>
      </c>
      <c r="I53" s="459">
        <f t="shared" ref="I53:BO53" ca="1" si="87">I64+I74</f>
        <v>1254.2342056102223</v>
      </c>
      <c r="J53" s="459">
        <f t="shared" ca="1" si="87"/>
        <v>1222.5045746127719</v>
      </c>
      <c r="K53" s="459">
        <f t="shared" ca="1" si="87"/>
        <v>1179.1686397568308</v>
      </c>
      <c r="L53" s="459">
        <f t="shared" ca="1" si="87"/>
        <v>1150.7491055158007</v>
      </c>
      <c r="M53" s="459">
        <f t="shared" ca="1" si="87"/>
        <v>1098.6922268152643</v>
      </c>
      <c r="N53" s="459">
        <f t="shared" ca="1" si="87"/>
        <v>1079.3918774202323</v>
      </c>
      <c r="O53" s="459">
        <f t="shared" ca="1" si="87"/>
        <v>1025.4759121867562</v>
      </c>
      <c r="P53" s="459">
        <f t="shared" ca="1" si="87"/>
        <v>1005.2830826443115</v>
      </c>
      <c r="Q53" s="459">
        <f t="shared" ca="1" si="87"/>
        <v>949.36034772819858</v>
      </c>
      <c r="R53" s="459">
        <f t="shared" ca="1" si="87"/>
        <v>926.22742664951272</v>
      </c>
      <c r="S53" s="459">
        <f t="shared" ca="1" si="87"/>
        <v>873.14801318911304</v>
      </c>
      <c r="T53" s="459">
        <f t="shared" ca="1" si="87"/>
        <v>841.08760754281479</v>
      </c>
      <c r="U53" s="459">
        <f t="shared" ca="1" si="87"/>
        <v>780.74145787641362</v>
      </c>
      <c r="V53" s="459">
        <f t="shared" ca="1" si="87"/>
        <v>748.50120962724725</v>
      </c>
      <c r="W53" s="459">
        <f t="shared" ca="1" si="87"/>
        <v>685.75706943464161</v>
      </c>
      <c r="X53" s="459">
        <f t="shared" ca="1" si="87"/>
        <v>648.07395825226217</v>
      </c>
      <c r="Y53" s="459">
        <f t="shared" ca="1" si="87"/>
        <v>582.81645649261293</v>
      </c>
      <c r="Z53" s="459">
        <f t="shared" ca="1" si="87"/>
        <v>539.46979417363889</v>
      </c>
      <c r="AA53" s="459">
        <f t="shared" ca="1" si="87"/>
        <v>474.38890299858372</v>
      </c>
      <c r="AB53" s="459">
        <f t="shared" ca="1" si="87"/>
        <v>422.19244610535924</v>
      </c>
      <c r="AC53" s="459">
        <f t="shared" ca="1" si="87"/>
        <v>356.5746678738235</v>
      </c>
      <c r="AD53" s="459">
        <f t="shared" ca="1" si="87"/>
        <v>304.89519290119813</v>
      </c>
      <c r="AE53" s="459">
        <f t="shared" ca="1" si="87"/>
        <v>236.59445037416731</v>
      </c>
      <c r="AF53" s="459">
        <f t="shared" ca="1" si="87"/>
        <v>178.8331220524592</v>
      </c>
      <c r="AG53" s="459">
        <f t="shared" ca="1" si="87"/>
        <v>131.47044194950257</v>
      </c>
      <c r="AH53" s="459">
        <f t="shared" ca="1" si="87"/>
        <v>90.72868608476189</v>
      </c>
      <c r="AI53" s="459">
        <f t="shared" ca="1" si="87"/>
        <v>43.23513268617058</v>
      </c>
      <c r="AJ53" s="459">
        <f t="shared" ca="1" si="87"/>
        <v>0</v>
      </c>
      <c r="AK53" s="459">
        <f t="shared" ca="1" si="87"/>
        <v>0</v>
      </c>
      <c r="AL53" s="459">
        <f t="shared" ca="1" si="87"/>
        <v>0</v>
      </c>
      <c r="AM53" s="459">
        <f t="shared" ca="1" si="87"/>
        <v>0</v>
      </c>
      <c r="AN53" s="459">
        <f t="shared" ca="1" si="87"/>
        <v>0</v>
      </c>
      <c r="AO53" s="459">
        <f t="shared" ca="1" si="87"/>
        <v>0</v>
      </c>
      <c r="AP53" s="459">
        <f t="shared" ca="1" si="87"/>
        <v>0</v>
      </c>
      <c r="AQ53" s="459">
        <f t="shared" ca="1" si="87"/>
        <v>0</v>
      </c>
      <c r="AR53" s="459">
        <f t="shared" ca="1" si="87"/>
        <v>0</v>
      </c>
      <c r="AS53" s="459">
        <f t="shared" ca="1" si="87"/>
        <v>0</v>
      </c>
      <c r="AT53" s="459">
        <f t="shared" ca="1" si="87"/>
        <v>0</v>
      </c>
      <c r="AU53" s="459">
        <f t="shared" ca="1" si="87"/>
        <v>0</v>
      </c>
      <c r="AV53" s="459">
        <f t="shared" ca="1" si="87"/>
        <v>0</v>
      </c>
      <c r="AW53" s="459">
        <f t="shared" ca="1" si="87"/>
        <v>0</v>
      </c>
      <c r="AX53" s="459">
        <f t="shared" ca="1" si="87"/>
        <v>0</v>
      </c>
      <c r="AY53" s="459">
        <f t="shared" ca="1" si="87"/>
        <v>0</v>
      </c>
      <c r="AZ53" s="459">
        <f t="shared" ca="1" si="87"/>
        <v>0</v>
      </c>
      <c r="BA53" s="459">
        <f t="shared" ca="1" si="87"/>
        <v>0</v>
      </c>
      <c r="BB53" s="459">
        <f t="shared" ca="1" si="87"/>
        <v>0</v>
      </c>
      <c r="BC53" s="459">
        <f t="shared" ca="1" si="87"/>
        <v>0</v>
      </c>
      <c r="BD53" s="459">
        <f t="shared" ca="1" si="87"/>
        <v>0</v>
      </c>
      <c r="BE53" s="459">
        <f t="shared" ca="1" si="87"/>
        <v>0</v>
      </c>
      <c r="BF53" s="459">
        <f t="shared" ca="1" si="87"/>
        <v>0</v>
      </c>
      <c r="BG53" s="459">
        <f t="shared" ca="1" si="87"/>
        <v>0</v>
      </c>
      <c r="BH53" s="459">
        <f t="shared" ca="1" si="87"/>
        <v>0</v>
      </c>
      <c r="BI53" s="459">
        <f t="shared" ca="1" si="87"/>
        <v>0</v>
      </c>
      <c r="BJ53" s="459">
        <f t="shared" ca="1" si="87"/>
        <v>0</v>
      </c>
      <c r="BK53" s="459">
        <f t="shared" ca="1" si="87"/>
        <v>0</v>
      </c>
      <c r="BL53" s="459">
        <f t="shared" ca="1" si="87"/>
        <v>0</v>
      </c>
      <c r="BM53" s="459">
        <f t="shared" ca="1" si="87"/>
        <v>0</v>
      </c>
      <c r="BN53" s="459">
        <f t="shared" ca="1" si="87"/>
        <v>0</v>
      </c>
      <c r="BO53" s="459">
        <f t="shared" ca="1" si="87"/>
        <v>0</v>
      </c>
      <c r="BP53" s="459"/>
      <c r="BQ53" s="459"/>
      <c r="BR53" s="459"/>
      <c r="BS53" s="459"/>
      <c r="BT53" s="459"/>
      <c r="BU53" s="459"/>
      <c r="BV53" s="459"/>
      <c r="BW53" s="459"/>
      <c r="BX53" s="459"/>
      <c r="BY53" s="459"/>
      <c r="BZ53" s="459"/>
      <c r="CA53" s="459"/>
      <c r="CB53" s="459"/>
      <c r="CC53" s="459"/>
      <c r="CD53" s="459"/>
      <c r="CE53" s="459"/>
      <c r="CF53" s="459"/>
      <c r="CG53" s="459"/>
      <c r="CH53" s="459"/>
      <c r="CI53" s="459"/>
      <c r="CJ53" s="459"/>
      <c r="CK53" s="459"/>
      <c r="CL53" s="459"/>
      <c r="CM53" s="459"/>
      <c r="CN53" s="459"/>
      <c r="CO53" s="459"/>
      <c r="CP53" s="459"/>
      <c r="CQ53" s="459"/>
      <c r="CR53" s="459"/>
      <c r="CS53" s="459"/>
      <c r="CT53" s="459"/>
      <c r="CU53" s="459"/>
      <c r="CV53" s="459"/>
      <c r="CW53" s="459"/>
      <c r="CX53" s="459"/>
      <c r="CY53" s="459"/>
      <c r="CZ53" s="459"/>
      <c r="DA53" s="459"/>
      <c r="DB53" s="459"/>
      <c r="DC53" s="459"/>
      <c r="DD53" s="459"/>
      <c r="DE53" s="459"/>
      <c r="DF53" s="459"/>
      <c r="DG53" s="459"/>
      <c r="DH53" s="459"/>
      <c r="DI53" s="459"/>
      <c r="DJ53" s="459"/>
      <c r="DK53" s="459"/>
      <c r="DL53" s="459"/>
      <c r="DM53" s="459"/>
      <c r="DN53" s="459"/>
      <c r="DO53" s="459"/>
      <c r="DP53" s="459"/>
      <c r="DQ53" s="459"/>
      <c r="DR53" s="459"/>
      <c r="DS53" s="459"/>
      <c r="DT53" s="459"/>
      <c r="DU53" s="459"/>
      <c r="DV53" s="459"/>
      <c r="DW53" s="459"/>
    </row>
    <row r="54" spans="1:127">
      <c r="A54" s="961" t="s">
        <v>334</v>
      </c>
      <c r="B54" s="726">
        <f>Inputs!$D$422</f>
        <v>0</v>
      </c>
      <c r="C54" s="726"/>
      <c r="D54" s="510">
        <f ca="1">SUM(G54:DW54)</f>
        <v>0</v>
      </c>
      <c r="E54" s="637"/>
      <c r="F54" s="637"/>
      <c r="G54" s="459">
        <f t="shared" si="81"/>
        <v>0</v>
      </c>
      <c r="H54" s="459">
        <f t="shared" ca="1" si="82"/>
        <v>0</v>
      </c>
      <c r="I54" s="459">
        <f t="shared" ref="I54:BO54" ca="1" si="88">I65+I75</f>
        <v>0</v>
      </c>
      <c r="J54" s="459">
        <f t="shared" ca="1" si="88"/>
        <v>0</v>
      </c>
      <c r="K54" s="459">
        <f t="shared" ca="1" si="88"/>
        <v>0</v>
      </c>
      <c r="L54" s="459">
        <f t="shared" ca="1" si="88"/>
        <v>0</v>
      </c>
      <c r="M54" s="459">
        <f t="shared" ca="1" si="88"/>
        <v>0</v>
      </c>
      <c r="N54" s="459">
        <f t="shared" ca="1" si="88"/>
        <v>0</v>
      </c>
      <c r="O54" s="459">
        <f t="shared" ca="1" si="88"/>
        <v>0</v>
      </c>
      <c r="P54" s="459">
        <f t="shared" ca="1" si="88"/>
        <v>0</v>
      </c>
      <c r="Q54" s="459">
        <f t="shared" ca="1" si="88"/>
        <v>0</v>
      </c>
      <c r="R54" s="459">
        <f t="shared" ca="1" si="88"/>
        <v>0</v>
      </c>
      <c r="S54" s="459">
        <f t="shared" ca="1" si="88"/>
        <v>0</v>
      </c>
      <c r="T54" s="459">
        <f t="shared" ca="1" si="88"/>
        <v>0</v>
      </c>
      <c r="U54" s="459">
        <f t="shared" ca="1" si="88"/>
        <v>0</v>
      </c>
      <c r="V54" s="459">
        <f t="shared" ca="1" si="88"/>
        <v>0</v>
      </c>
      <c r="W54" s="459">
        <f t="shared" ca="1" si="88"/>
        <v>0</v>
      </c>
      <c r="X54" s="459">
        <f t="shared" ca="1" si="88"/>
        <v>0</v>
      </c>
      <c r="Y54" s="459">
        <f t="shared" ca="1" si="88"/>
        <v>0</v>
      </c>
      <c r="Z54" s="459">
        <f t="shared" ca="1" si="88"/>
        <v>0</v>
      </c>
      <c r="AA54" s="459">
        <f t="shared" ca="1" si="88"/>
        <v>0</v>
      </c>
      <c r="AB54" s="459">
        <f t="shared" ca="1" si="88"/>
        <v>0</v>
      </c>
      <c r="AC54" s="459">
        <f t="shared" ca="1" si="88"/>
        <v>0</v>
      </c>
      <c r="AD54" s="459">
        <f t="shared" ca="1" si="88"/>
        <v>0</v>
      </c>
      <c r="AE54" s="459">
        <f t="shared" ca="1" si="88"/>
        <v>0</v>
      </c>
      <c r="AF54" s="459">
        <f t="shared" ca="1" si="88"/>
        <v>0</v>
      </c>
      <c r="AG54" s="459">
        <f t="shared" ca="1" si="88"/>
        <v>0</v>
      </c>
      <c r="AH54" s="459">
        <f t="shared" ca="1" si="88"/>
        <v>0</v>
      </c>
      <c r="AI54" s="459">
        <f t="shared" ca="1" si="88"/>
        <v>0</v>
      </c>
      <c r="AJ54" s="459">
        <f t="shared" ca="1" si="88"/>
        <v>0</v>
      </c>
      <c r="AK54" s="459">
        <f t="shared" ca="1" si="88"/>
        <v>0</v>
      </c>
      <c r="AL54" s="459">
        <f t="shared" ca="1" si="88"/>
        <v>0</v>
      </c>
      <c r="AM54" s="459">
        <f t="shared" ca="1" si="88"/>
        <v>0</v>
      </c>
      <c r="AN54" s="459">
        <f t="shared" ca="1" si="88"/>
        <v>0</v>
      </c>
      <c r="AO54" s="459">
        <f t="shared" ca="1" si="88"/>
        <v>0</v>
      </c>
      <c r="AP54" s="459">
        <f t="shared" ca="1" si="88"/>
        <v>0</v>
      </c>
      <c r="AQ54" s="459">
        <f t="shared" ca="1" si="88"/>
        <v>0</v>
      </c>
      <c r="AR54" s="459">
        <f t="shared" ca="1" si="88"/>
        <v>0</v>
      </c>
      <c r="AS54" s="459">
        <f t="shared" ca="1" si="88"/>
        <v>0</v>
      </c>
      <c r="AT54" s="459">
        <f t="shared" ca="1" si="88"/>
        <v>0</v>
      </c>
      <c r="AU54" s="459">
        <f t="shared" ca="1" si="88"/>
        <v>0</v>
      </c>
      <c r="AV54" s="459">
        <f t="shared" ca="1" si="88"/>
        <v>0</v>
      </c>
      <c r="AW54" s="459">
        <f t="shared" ca="1" si="88"/>
        <v>0</v>
      </c>
      <c r="AX54" s="459">
        <f t="shared" ca="1" si="88"/>
        <v>0</v>
      </c>
      <c r="AY54" s="459">
        <f t="shared" ca="1" si="88"/>
        <v>0</v>
      </c>
      <c r="AZ54" s="459">
        <f t="shared" ca="1" si="88"/>
        <v>0</v>
      </c>
      <c r="BA54" s="459">
        <f t="shared" ca="1" si="88"/>
        <v>0</v>
      </c>
      <c r="BB54" s="459">
        <f t="shared" ca="1" si="88"/>
        <v>0</v>
      </c>
      <c r="BC54" s="459">
        <f t="shared" ca="1" si="88"/>
        <v>0</v>
      </c>
      <c r="BD54" s="459">
        <f t="shared" ca="1" si="88"/>
        <v>0</v>
      </c>
      <c r="BE54" s="459">
        <f t="shared" ca="1" si="88"/>
        <v>0</v>
      </c>
      <c r="BF54" s="459">
        <f t="shared" ca="1" si="88"/>
        <v>0</v>
      </c>
      <c r="BG54" s="459">
        <f t="shared" ca="1" si="88"/>
        <v>0</v>
      </c>
      <c r="BH54" s="459">
        <f t="shared" ca="1" si="88"/>
        <v>0</v>
      </c>
      <c r="BI54" s="459">
        <f t="shared" ca="1" si="88"/>
        <v>0</v>
      </c>
      <c r="BJ54" s="459">
        <f t="shared" ca="1" si="88"/>
        <v>0</v>
      </c>
      <c r="BK54" s="459">
        <f t="shared" ca="1" si="88"/>
        <v>0</v>
      </c>
      <c r="BL54" s="459">
        <f t="shared" ca="1" si="88"/>
        <v>0</v>
      </c>
      <c r="BM54" s="459">
        <f t="shared" ca="1" si="88"/>
        <v>0</v>
      </c>
      <c r="BN54" s="459">
        <f t="shared" ca="1" si="88"/>
        <v>0</v>
      </c>
      <c r="BO54" s="459">
        <f t="shared" ca="1" si="88"/>
        <v>0</v>
      </c>
      <c r="BP54" s="459"/>
      <c r="BQ54" s="459"/>
      <c r="BR54" s="459"/>
      <c r="BS54" s="459"/>
      <c r="BT54" s="459"/>
      <c r="BU54" s="459"/>
      <c r="BV54" s="459"/>
      <c r="BW54" s="459"/>
      <c r="BX54" s="459"/>
      <c r="BY54" s="459"/>
      <c r="BZ54" s="459"/>
      <c r="CA54" s="459"/>
      <c r="CB54" s="459"/>
      <c r="CC54" s="459"/>
      <c r="CD54" s="459"/>
      <c r="CE54" s="459"/>
      <c r="CF54" s="459"/>
      <c r="CG54" s="459"/>
      <c r="CH54" s="459"/>
      <c r="CI54" s="459"/>
      <c r="CJ54" s="459"/>
      <c r="CK54" s="459"/>
      <c r="CL54" s="459"/>
      <c r="CM54" s="459"/>
      <c r="CN54" s="459"/>
      <c r="CO54" s="459"/>
      <c r="CP54" s="459"/>
      <c r="CQ54" s="459"/>
      <c r="CR54" s="459"/>
      <c r="CS54" s="459"/>
      <c r="CT54" s="459"/>
      <c r="CU54" s="459"/>
      <c r="CV54" s="459"/>
      <c r="CW54" s="459"/>
      <c r="CX54" s="459"/>
      <c r="CY54" s="459"/>
      <c r="CZ54" s="459"/>
      <c r="DA54" s="459"/>
      <c r="DB54" s="459"/>
      <c r="DC54" s="459"/>
      <c r="DD54" s="459"/>
      <c r="DE54" s="459"/>
      <c r="DF54" s="459"/>
      <c r="DG54" s="459"/>
      <c r="DH54" s="459"/>
      <c r="DI54" s="459"/>
      <c r="DJ54" s="459"/>
      <c r="DK54" s="459"/>
      <c r="DL54" s="459"/>
      <c r="DM54" s="459"/>
      <c r="DN54" s="459"/>
      <c r="DO54" s="459"/>
      <c r="DP54" s="459"/>
      <c r="DQ54" s="459"/>
      <c r="DR54" s="459"/>
      <c r="DS54" s="459"/>
      <c r="DT54" s="459"/>
      <c r="DU54" s="459"/>
      <c r="DV54" s="459"/>
      <c r="DW54" s="459"/>
    </row>
    <row r="55" spans="1:127">
      <c r="A55" s="881" t="s">
        <v>1240</v>
      </c>
      <c r="B55" s="708"/>
      <c r="C55" s="708"/>
      <c r="D55" s="510">
        <f ca="1">SUM(G55:DW55)</f>
        <v>20133.079290318328</v>
      </c>
      <c r="E55" s="637"/>
      <c r="F55" s="637"/>
      <c r="G55" s="459">
        <f t="shared" si="81"/>
        <v>0</v>
      </c>
      <c r="H55" s="459">
        <f t="shared" ca="1" si="82"/>
        <v>1303.4832817636529</v>
      </c>
      <c r="I55" s="459">
        <f t="shared" ref="I55:BO55" ca="1" si="89">I66+I76</f>
        <v>1254.2342056102223</v>
      </c>
      <c r="J55" s="459">
        <f t="shared" ca="1" si="89"/>
        <v>1222.5045746127719</v>
      </c>
      <c r="K55" s="459">
        <f t="shared" ca="1" si="89"/>
        <v>1179.1686397568308</v>
      </c>
      <c r="L55" s="459">
        <f t="shared" ca="1" si="89"/>
        <v>1150.7491055158007</v>
      </c>
      <c r="M55" s="459">
        <f t="shared" ca="1" si="89"/>
        <v>1098.6922268152643</v>
      </c>
      <c r="N55" s="459">
        <f t="shared" ca="1" si="89"/>
        <v>1079.3918774202323</v>
      </c>
      <c r="O55" s="459">
        <f t="shared" ca="1" si="89"/>
        <v>1025.4759121867562</v>
      </c>
      <c r="P55" s="459">
        <f t="shared" ca="1" si="89"/>
        <v>1005.2830826443115</v>
      </c>
      <c r="Q55" s="459">
        <f t="shared" ca="1" si="89"/>
        <v>949.36034772819858</v>
      </c>
      <c r="R55" s="459">
        <f t="shared" ca="1" si="89"/>
        <v>926.22742664951272</v>
      </c>
      <c r="S55" s="459">
        <f t="shared" ca="1" si="89"/>
        <v>873.14801318911304</v>
      </c>
      <c r="T55" s="459">
        <f t="shared" ca="1" si="89"/>
        <v>841.08760754281479</v>
      </c>
      <c r="U55" s="459">
        <f t="shared" ca="1" si="89"/>
        <v>780.74145787641362</v>
      </c>
      <c r="V55" s="459">
        <f t="shared" ca="1" si="89"/>
        <v>748.50120962724725</v>
      </c>
      <c r="W55" s="459">
        <f t="shared" ca="1" si="89"/>
        <v>685.75706943464161</v>
      </c>
      <c r="X55" s="459">
        <f t="shared" ca="1" si="89"/>
        <v>648.07395825226217</v>
      </c>
      <c r="Y55" s="459">
        <f t="shared" ca="1" si="89"/>
        <v>582.81645649261293</v>
      </c>
      <c r="Z55" s="459">
        <f t="shared" ca="1" si="89"/>
        <v>539.46979417363889</v>
      </c>
      <c r="AA55" s="459">
        <f t="shared" ca="1" si="89"/>
        <v>474.38890299858372</v>
      </c>
      <c r="AB55" s="459">
        <f t="shared" ca="1" si="89"/>
        <v>422.19244610535924</v>
      </c>
      <c r="AC55" s="459">
        <f t="shared" ca="1" si="89"/>
        <v>356.5746678738235</v>
      </c>
      <c r="AD55" s="459">
        <f t="shared" ca="1" si="89"/>
        <v>304.89519290119813</v>
      </c>
      <c r="AE55" s="459">
        <f t="shared" ca="1" si="89"/>
        <v>236.59445037416731</v>
      </c>
      <c r="AF55" s="459">
        <f t="shared" ca="1" si="89"/>
        <v>178.8331220524592</v>
      </c>
      <c r="AG55" s="459">
        <f t="shared" ca="1" si="89"/>
        <v>131.47044194950257</v>
      </c>
      <c r="AH55" s="459">
        <f t="shared" ca="1" si="89"/>
        <v>90.72868608476189</v>
      </c>
      <c r="AI55" s="459">
        <f t="shared" ca="1" si="89"/>
        <v>43.23513268617058</v>
      </c>
      <c r="AJ55" s="459">
        <f t="shared" ca="1" si="89"/>
        <v>0</v>
      </c>
      <c r="AK55" s="459">
        <f t="shared" ca="1" si="89"/>
        <v>0</v>
      </c>
      <c r="AL55" s="459">
        <f t="shared" ca="1" si="89"/>
        <v>0</v>
      </c>
      <c r="AM55" s="459">
        <f t="shared" ca="1" si="89"/>
        <v>0</v>
      </c>
      <c r="AN55" s="459">
        <f t="shared" ca="1" si="89"/>
        <v>0</v>
      </c>
      <c r="AO55" s="459">
        <f t="shared" ca="1" si="89"/>
        <v>0</v>
      </c>
      <c r="AP55" s="459">
        <f t="shared" ca="1" si="89"/>
        <v>0</v>
      </c>
      <c r="AQ55" s="459">
        <f t="shared" ca="1" si="89"/>
        <v>0</v>
      </c>
      <c r="AR55" s="459">
        <f t="shared" ca="1" si="89"/>
        <v>0</v>
      </c>
      <c r="AS55" s="459">
        <f t="shared" ca="1" si="89"/>
        <v>0</v>
      </c>
      <c r="AT55" s="459">
        <f t="shared" ca="1" si="89"/>
        <v>0</v>
      </c>
      <c r="AU55" s="459">
        <f t="shared" ca="1" si="89"/>
        <v>0</v>
      </c>
      <c r="AV55" s="459">
        <f t="shared" ca="1" si="89"/>
        <v>0</v>
      </c>
      <c r="AW55" s="459">
        <f t="shared" ca="1" si="89"/>
        <v>0</v>
      </c>
      <c r="AX55" s="459">
        <f t="shared" ca="1" si="89"/>
        <v>0</v>
      </c>
      <c r="AY55" s="459">
        <f t="shared" ca="1" si="89"/>
        <v>0</v>
      </c>
      <c r="AZ55" s="459">
        <f t="shared" ca="1" si="89"/>
        <v>0</v>
      </c>
      <c r="BA55" s="459">
        <f t="shared" ca="1" si="89"/>
        <v>0</v>
      </c>
      <c r="BB55" s="459">
        <f t="shared" ca="1" si="89"/>
        <v>0</v>
      </c>
      <c r="BC55" s="459">
        <f t="shared" ca="1" si="89"/>
        <v>0</v>
      </c>
      <c r="BD55" s="459">
        <f t="shared" ca="1" si="89"/>
        <v>0</v>
      </c>
      <c r="BE55" s="459">
        <f t="shared" ca="1" si="89"/>
        <v>0</v>
      </c>
      <c r="BF55" s="459">
        <f t="shared" ca="1" si="89"/>
        <v>0</v>
      </c>
      <c r="BG55" s="459">
        <f t="shared" ca="1" si="89"/>
        <v>0</v>
      </c>
      <c r="BH55" s="459">
        <f t="shared" ca="1" si="89"/>
        <v>0</v>
      </c>
      <c r="BI55" s="459">
        <f t="shared" ca="1" si="89"/>
        <v>0</v>
      </c>
      <c r="BJ55" s="459">
        <f t="shared" ca="1" si="89"/>
        <v>0</v>
      </c>
      <c r="BK55" s="459">
        <f t="shared" ca="1" si="89"/>
        <v>0</v>
      </c>
      <c r="BL55" s="459">
        <f t="shared" ca="1" si="89"/>
        <v>0</v>
      </c>
      <c r="BM55" s="459">
        <f t="shared" ca="1" si="89"/>
        <v>0</v>
      </c>
      <c r="BN55" s="459">
        <f t="shared" ca="1" si="89"/>
        <v>0</v>
      </c>
      <c r="BO55" s="459">
        <f t="shared" ca="1" si="89"/>
        <v>0</v>
      </c>
      <c r="BP55" s="459"/>
      <c r="BQ55" s="459"/>
      <c r="BR55" s="459"/>
      <c r="BS55" s="459"/>
      <c r="BT55" s="459"/>
      <c r="BU55" s="459"/>
      <c r="BV55" s="459"/>
      <c r="BW55" s="459"/>
      <c r="BX55" s="459"/>
      <c r="BY55" s="459"/>
      <c r="BZ55" s="459"/>
      <c r="CA55" s="459"/>
      <c r="CB55" s="459"/>
      <c r="CC55" s="459"/>
      <c r="CD55" s="459"/>
      <c r="CE55" s="459"/>
      <c r="CF55" s="459"/>
      <c r="CG55" s="459"/>
      <c r="CH55" s="459"/>
      <c r="CI55" s="459"/>
      <c r="CJ55" s="459"/>
      <c r="CK55" s="459"/>
      <c r="CL55" s="459"/>
      <c r="CM55" s="459"/>
      <c r="CN55" s="459"/>
      <c r="CO55" s="459"/>
      <c r="CP55" s="459"/>
      <c r="CQ55" s="459"/>
      <c r="CR55" s="459"/>
      <c r="CS55" s="459"/>
      <c r="CT55" s="459"/>
      <c r="CU55" s="459"/>
      <c r="CV55" s="459"/>
      <c r="CW55" s="459"/>
      <c r="CX55" s="459"/>
      <c r="CY55" s="459"/>
      <c r="CZ55" s="459"/>
      <c r="DA55" s="459"/>
      <c r="DB55" s="459"/>
      <c r="DC55" s="459"/>
      <c r="DD55" s="459"/>
      <c r="DE55" s="459"/>
      <c r="DF55" s="459"/>
      <c r="DG55" s="459"/>
      <c r="DH55" s="459"/>
      <c r="DI55" s="459"/>
      <c r="DJ55" s="459"/>
      <c r="DK55" s="459"/>
      <c r="DL55" s="459"/>
      <c r="DM55" s="459"/>
      <c r="DN55" s="459"/>
      <c r="DO55" s="459"/>
      <c r="DP55" s="459"/>
      <c r="DQ55" s="459"/>
      <c r="DR55" s="459"/>
      <c r="DS55" s="459"/>
      <c r="DT55" s="459"/>
      <c r="DU55" s="459"/>
      <c r="DV55" s="459"/>
      <c r="DW55" s="459"/>
    </row>
    <row r="56" spans="1:127">
      <c r="A56" s="874" t="s">
        <v>1154</v>
      </c>
      <c r="B56" s="708"/>
      <c r="C56" s="708"/>
      <c r="D56" s="568"/>
      <c r="E56" s="637"/>
      <c r="F56" s="303"/>
      <c r="G56" s="459">
        <f t="shared" ca="1" si="81"/>
        <v>42852.278762562994</v>
      </c>
      <c r="H56" s="459">
        <f t="shared" ca="1" si="82"/>
        <v>41916.628631472289</v>
      </c>
      <c r="I56" s="459">
        <f t="shared" ref="I56:BO56" ca="1" si="90">I67+I77</f>
        <v>40968.237034220343</v>
      </c>
      <c r="J56" s="459">
        <f t="shared" ca="1" si="90"/>
        <v>39950.216590274118</v>
      </c>
      <c r="K56" s="459">
        <f t="shared" ca="1" si="90"/>
        <v>38859.108189732804</v>
      </c>
      <c r="L56" s="459">
        <f t="shared" ca="1" si="90"/>
        <v>37716.161217800036</v>
      </c>
      <c r="M56" s="459">
        <f t="shared" ca="1" si="90"/>
        <v>36511.487967204775</v>
      </c>
      <c r="N56" s="459">
        <f t="shared" ca="1" si="90"/>
        <v>35262.662321829703</v>
      </c>
      <c r="O56" s="459">
        <f t="shared" ca="1" si="90"/>
        <v>33969.447834462619</v>
      </c>
      <c r="P56" s="459">
        <f t="shared" ca="1" si="90"/>
        <v>32611.475590462309</v>
      </c>
      <c r="Q56" s="459">
        <f t="shared" ca="1" si="90"/>
        <v>31226.894025768397</v>
      </c>
      <c r="R56" s="459">
        <f t="shared" ca="1" si="90"/>
        <v>29760.85868947026</v>
      </c>
      <c r="S56" s="459">
        <f t="shared" ca="1" si="90"/>
        <v>28278.130046443679</v>
      </c>
      <c r="T56" s="459">
        <f t="shared" ca="1" si="90"/>
        <v>26684.307867492797</v>
      </c>
      <c r="U56" s="459">
        <f t="shared" ca="1" si="90"/>
        <v>25102.140699368116</v>
      </c>
      <c r="V56" s="459">
        <f t="shared" ca="1" si="90"/>
        <v>23379.100320323705</v>
      </c>
      <c r="W56" s="459">
        <f t="shared" ca="1" si="90"/>
        <v>21688.654381018583</v>
      </c>
      <c r="X56" s="459">
        <f t="shared" ca="1" si="90"/>
        <v>19828.008294904139</v>
      </c>
      <c r="Y56" s="459">
        <f t="shared" ca="1" si="90"/>
        <v>18022.258457267504</v>
      </c>
      <c r="Z56" s="459">
        <f t="shared" ca="1" si="90"/>
        <v>16022.232782741659</v>
      </c>
      <c r="AA56" s="459">
        <f t="shared" ca="1" si="90"/>
        <v>14089.320783615165</v>
      </c>
      <c r="AB56" s="459">
        <f t="shared" ca="1" si="90"/>
        <v>12096.767485995271</v>
      </c>
      <c r="AC56" s="459">
        <f t="shared" ca="1" si="90"/>
        <v>10176.150326634261</v>
      </c>
      <c r="AD56" s="459">
        <f t="shared" ca="1" si="90"/>
        <v>8027.4339045063025</v>
      </c>
      <c r="AE56" s="459">
        <f t="shared" ca="1" si="90"/>
        <v>5976.0557171488208</v>
      </c>
      <c r="AF56" s="459">
        <f t="shared" ca="1" si="90"/>
        <v>4466.1576639190689</v>
      </c>
      <c r="AG56" s="459">
        <f t="shared" ca="1" si="90"/>
        <v>3039.2254154894881</v>
      </c>
      <c r="AH56" s="459">
        <f t="shared" ca="1" si="90"/>
        <v>1464.2037741227421</v>
      </c>
      <c r="AI56" s="459">
        <f t="shared" ca="1" si="90"/>
        <v>0</v>
      </c>
      <c r="AJ56" s="459">
        <f t="shared" ca="1" si="90"/>
        <v>0</v>
      </c>
      <c r="AK56" s="459">
        <f t="shared" ca="1" si="90"/>
        <v>0</v>
      </c>
      <c r="AL56" s="459">
        <f t="shared" ca="1" si="90"/>
        <v>0</v>
      </c>
      <c r="AM56" s="459">
        <f t="shared" ca="1" si="90"/>
        <v>0</v>
      </c>
      <c r="AN56" s="459">
        <f t="shared" ca="1" si="90"/>
        <v>0</v>
      </c>
      <c r="AO56" s="459">
        <f t="shared" ca="1" si="90"/>
        <v>0</v>
      </c>
      <c r="AP56" s="459">
        <f t="shared" ca="1" si="90"/>
        <v>0</v>
      </c>
      <c r="AQ56" s="459">
        <f t="shared" ca="1" si="90"/>
        <v>0</v>
      </c>
      <c r="AR56" s="459">
        <f t="shared" ca="1" si="90"/>
        <v>0</v>
      </c>
      <c r="AS56" s="459">
        <f t="shared" ca="1" si="90"/>
        <v>0</v>
      </c>
      <c r="AT56" s="459">
        <f t="shared" ca="1" si="90"/>
        <v>0</v>
      </c>
      <c r="AU56" s="459">
        <f t="shared" ca="1" si="90"/>
        <v>0</v>
      </c>
      <c r="AV56" s="459">
        <f t="shared" ca="1" si="90"/>
        <v>0</v>
      </c>
      <c r="AW56" s="459">
        <f t="shared" ca="1" si="90"/>
        <v>0</v>
      </c>
      <c r="AX56" s="459">
        <f t="shared" ca="1" si="90"/>
        <v>0</v>
      </c>
      <c r="AY56" s="459">
        <f t="shared" ca="1" si="90"/>
        <v>0</v>
      </c>
      <c r="AZ56" s="459">
        <f t="shared" ca="1" si="90"/>
        <v>0</v>
      </c>
      <c r="BA56" s="459">
        <f t="shared" ca="1" si="90"/>
        <v>0</v>
      </c>
      <c r="BB56" s="459">
        <f t="shared" ca="1" si="90"/>
        <v>0</v>
      </c>
      <c r="BC56" s="459">
        <f t="shared" ca="1" si="90"/>
        <v>0</v>
      </c>
      <c r="BD56" s="459">
        <f t="shared" ca="1" si="90"/>
        <v>0</v>
      </c>
      <c r="BE56" s="459">
        <f t="shared" ca="1" si="90"/>
        <v>0</v>
      </c>
      <c r="BF56" s="459">
        <f t="shared" ca="1" si="90"/>
        <v>0</v>
      </c>
      <c r="BG56" s="459">
        <f t="shared" ca="1" si="90"/>
        <v>0</v>
      </c>
      <c r="BH56" s="459">
        <f t="shared" ca="1" si="90"/>
        <v>0</v>
      </c>
      <c r="BI56" s="459">
        <f t="shared" ca="1" si="90"/>
        <v>0</v>
      </c>
      <c r="BJ56" s="459">
        <f t="shared" ca="1" si="90"/>
        <v>0</v>
      </c>
      <c r="BK56" s="459">
        <f t="shared" ca="1" si="90"/>
        <v>0</v>
      </c>
      <c r="BL56" s="459">
        <f t="shared" ca="1" si="90"/>
        <v>0</v>
      </c>
      <c r="BM56" s="459">
        <f t="shared" ca="1" si="90"/>
        <v>0</v>
      </c>
      <c r="BN56" s="459">
        <f t="shared" ca="1" si="90"/>
        <v>0</v>
      </c>
      <c r="BO56" s="459">
        <f t="shared" ca="1" si="90"/>
        <v>0</v>
      </c>
      <c r="BP56" s="459"/>
      <c r="BQ56" s="459"/>
      <c r="BR56" s="459"/>
      <c r="BS56" s="459"/>
      <c r="BT56" s="459"/>
      <c r="BU56" s="459"/>
      <c r="BV56" s="459"/>
      <c r="BW56" s="459"/>
      <c r="BX56" s="459"/>
      <c r="BY56" s="459"/>
      <c r="BZ56" s="459"/>
      <c r="CA56" s="459"/>
      <c r="CB56" s="459"/>
      <c r="CC56" s="459"/>
      <c r="CD56" s="459"/>
      <c r="CE56" s="459"/>
      <c r="CF56" s="459"/>
      <c r="CG56" s="459"/>
      <c r="CH56" s="459"/>
      <c r="CI56" s="459"/>
      <c r="CJ56" s="459"/>
      <c r="CK56" s="459"/>
      <c r="CL56" s="459"/>
      <c r="CM56" s="459"/>
      <c r="CN56" s="459"/>
      <c r="CO56" s="459"/>
      <c r="CP56" s="459"/>
      <c r="CQ56" s="459"/>
      <c r="CR56" s="459"/>
      <c r="CS56" s="459"/>
      <c r="CT56" s="459"/>
      <c r="CU56" s="459"/>
      <c r="CV56" s="459"/>
      <c r="CW56" s="459"/>
      <c r="CX56" s="459"/>
      <c r="CY56" s="459"/>
      <c r="CZ56" s="459"/>
      <c r="DA56" s="459"/>
      <c r="DB56" s="459"/>
      <c r="DC56" s="459"/>
      <c r="DD56" s="459"/>
      <c r="DE56" s="459"/>
      <c r="DF56" s="459"/>
      <c r="DG56" s="459"/>
      <c r="DH56" s="459"/>
      <c r="DI56" s="459"/>
      <c r="DJ56" s="459"/>
      <c r="DK56" s="459"/>
      <c r="DL56" s="459"/>
      <c r="DM56" s="459"/>
      <c r="DN56" s="459"/>
      <c r="DO56" s="459"/>
      <c r="DP56" s="459"/>
      <c r="DQ56" s="459"/>
      <c r="DR56" s="459"/>
      <c r="DS56" s="459"/>
      <c r="DT56" s="459"/>
      <c r="DU56" s="459"/>
      <c r="DV56" s="459"/>
      <c r="DW56" s="459"/>
    </row>
    <row r="57" spans="1:127">
      <c r="A57" s="860" t="s">
        <v>218</v>
      </c>
      <c r="B57" s="708"/>
      <c r="C57" s="708"/>
      <c r="D57" s="568"/>
      <c r="E57" s="637"/>
      <c r="F57" s="303"/>
      <c r="G57" s="575">
        <f>SUM(G52:G53)</f>
        <v>0</v>
      </c>
      <c r="H57" s="575">
        <f t="shared" ref="H57" ca="1" si="91">SUM(H52:H53)</f>
        <v>2239.1334128543558</v>
      </c>
      <c r="I57" s="575">
        <f t="shared" ref="I57:BO57" ca="1" si="92">SUM(I52:I53)</f>
        <v>2202.625802862166</v>
      </c>
      <c r="J57" s="575">
        <f t="shared" ca="1" si="92"/>
        <v>2240.5250185589962</v>
      </c>
      <c r="K57" s="575">
        <f t="shared" ca="1" si="92"/>
        <v>2270.2770402981473</v>
      </c>
      <c r="L57" s="575">
        <f t="shared" ca="1" si="92"/>
        <v>2293.6960774485656</v>
      </c>
      <c r="M57" s="575">
        <f t="shared" ca="1" si="92"/>
        <v>2303.3654774105221</v>
      </c>
      <c r="N57" s="575">
        <f t="shared" ca="1" si="92"/>
        <v>2328.2175227953076</v>
      </c>
      <c r="O57" s="575">
        <f t="shared" ca="1" si="92"/>
        <v>2318.6903995538428</v>
      </c>
      <c r="P57" s="575">
        <f t="shared" ca="1" si="92"/>
        <v>2363.2553266446221</v>
      </c>
      <c r="Q57" s="575">
        <f t="shared" ca="1" si="92"/>
        <v>2333.9419124221117</v>
      </c>
      <c r="R57" s="575">
        <f t="shared" ca="1" si="92"/>
        <v>2392.2627629476492</v>
      </c>
      <c r="S57" s="575">
        <f t="shared" ca="1" si="92"/>
        <v>2355.8766562156934</v>
      </c>
      <c r="T57" s="575">
        <f t="shared" ca="1" si="92"/>
        <v>2434.9097864936957</v>
      </c>
      <c r="U57" s="575">
        <f t="shared" ca="1" si="92"/>
        <v>2362.9086260010927</v>
      </c>
      <c r="V57" s="575">
        <f t="shared" ca="1" si="92"/>
        <v>2471.5415886716596</v>
      </c>
      <c r="W57" s="575">
        <f t="shared" ca="1" si="92"/>
        <v>2376.2030087397643</v>
      </c>
      <c r="X57" s="575">
        <f t="shared" ca="1" si="92"/>
        <v>2508.7200443667057</v>
      </c>
      <c r="Y57" s="575">
        <f t="shared" ca="1" si="92"/>
        <v>2388.5662941292467</v>
      </c>
      <c r="Z57" s="575">
        <f t="shared" ca="1" si="92"/>
        <v>2539.4954686994829</v>
      </c>
      <c r="AA57" s="575">
        <f t="shared" ca="1" si="92"/>
        <v>2407.3009021250778</v>
      </c>
      <c r="AB57" s="575">
        <f t="shared" ca="1" si="92"/>
        <v>2414.7457437252533</v>
      </c>
      <c r="AC57" s="575">
        <f t="shared" ca="1" si="92"/>
        <v>2277.1918272348348</v>
      </c>
      <c r="AD57" s="575">
        <f t="shared" ca="1" si="92"/>
        <v>2453.6116150291564</v>
      </c>
      <c r="AE57" s="575">
        <f t="shared" ca="1" si="92"/>
        <v>2287.9726377316492</v>
      </c>
      <c r="AF57" s="575">
        <f t="shared" ca="1" si="92"/>
        <v>1688.7311752822109</v>
      </c>
      <c r="AG57" s="575">
        <f t="shared" ca="1" si="92"/>
        <v>1558.4026903790832</v>
      </c>
      <c r="AH57" s="575">
        <f t="shared" ca="1" si="92"/>
        <v>1665.7503274515079</v>
      </c>
      <c r="AI57" s="575">
        <f t="shared" ca="1" si="92"/>
        <v>1507.4389068089126</v>
      </c>
      <c r="AJ57" s="575">
        <f t="shared" ca="1" si="92"/>
        <v>0</v>
      </c>
      <c r="AK57" s="575">
        <f t="shared" ca="1" si="92"/>
        <v>0</v>
      </c>
      <c r="AL57" s="575">
        <f t="shared" ca="1" si="92"/>
        <v>0</v>
      </c>
      <c r="AM57" s="575">
        <f t="shared" ca="1" si="92"/>
        <v>0</v>
      </c>
      <c r="AN57" s="575">
        <f t="shared" ca="1" si="92"/>
        <v>0</v>
      </c>
      <c r="AO57" s="575">
        <f t="shared" ca="1" si="92"/>
        <v>0</v>
      </c>
      <c r="AP57" s="575">
        <f t="shared" ca="1" si="92"/>
        <v>0</v>
      </c>
      <c r="AQ57" s="575">
        <f t="shared" ca="1" si="92"/>
        <v>0</v>
      </c>
      <c r="AR57" s="575">
        <f t="shared" ca="1" si="92"/>
        <v>0</v>
      </c>
      <c r="AS57" s="575">
        <f t="shared" ca="1" si="92"/>
        <v>0</v>
      </c>
      <c r="AT57" s="575">
        <f t="shared" ca="1" si="92"/>
        <v>0</v>
      </c>
      <c r="AU57" s="575">
        <f t="shared" ca="1" si="92"/>
        <v>0</v>
      </c>
      <c r="AV57" s="575">
        <f t="shared" ca="1" si="92"/>
        <v>0</v>
      </c>
      <c r="AW57" s="575">
        <f t="shared" ca="1" si="92"/>
        <v>0</v>
      </c>
      <c r="AX57" s="575">
        <f t="shared" ca="1" si="92"/>
        <v>0</v>
      </c>
      <c r="AY57" s="575">
        <f t="shared" ca="1" si="92"/>
        <v>0</v>
      </c>
      <c r="AZ57" s="575">
        <f t="shared" ca="1" si="92"/>
        <v>0</v>
      </c>
      <c r="BA57" s="575">
        <f t="shared" ca="1" si="92"/>
        <v>0</v>
      </c>
      <c r="BB57" s="575">
        <f t="shared" ca="1" si="92"/>
        <v>0</v>
      </c>
      <c r="BC57" s="575">
        <f t="shared" ca="1" si="92"/>
        <v>0</v>
      </c>
      <c r="BD57" s="575">
        <f t="shared" ca="1" si="92"/>
        <v>0</v>
      </c>
      <c r="BE57" s="575">
        <f t="shared" ca="1" si="92"/>
        <v>0</v>
      </c>
      <c r="BF57" s="575">
        <f t="shared" ca="1" si="92"/>
        <v>0</v>
      </c>
      <c r="BG57" s="575">
        <f t="shared" ca="1" si="92"/>
        <v>0</v>
      </c>
      <c r="BH57" s="575">
        <f t="shared" ca="1" si="92"/>
        <v>0</v>
      </c>
      <c r="BI57" s="575">
        <f t="shared" ca="1" si="92"/>
        <v>0</v>
      </c>
      <c r="BJ57" s="575">
        <f t="shared" ca="1" si="92"/>
        <v>0</v>
      </c>
      <c r="BK57" s="575">
        <f t="shared" ca="1" si="92"/>
        <v>0</v>
      </c>
      <c r="BL57" s="575">
        <f t="shared" ca="1" si="92"/>
        <v>0</v>
      </c>
      <c r="BM57" s="575">
        <f t="shared" ca="1" si="92"/>
        <v>0</v>
      </c>
      <c r="BN57" s="575">
        <f t="shared" ca="1" si="92"/>
        <v>0</v>
      </c>
      <c r="BO57" s="575">
        <f t="shared" ca="1" si="92"/>
        <v>0</v>
      </c>
      <c r="BP57" s="575"/>
      <c r="BQ57" s="575"/>
      <c r="BR57" s="575"/>
      <c r="BS57" s="575"/>
      <c r="BT57" s="575"/>
      <c r="BU57" s="575"/>
      <c r="BV57" s="575"/>
      <c r="BW57" s="575"/>
      <c r="BX57" s="575"/>
      <c r="BY57" s="575"/>
      <c r="BZ57" s="575"/>
      <c r="CA57" s="575"/>
      <c r="CB57" s="575"/>
      <c r="CC57" s="575"/>
      <c r="CD57" s="575"/>
      <c r="CE57" s="575"/>
      <c r="CF57" s="575"/>
      <c r="CG57" s="575"/>
      <c r="CH57" s="575"/>
      <c r="CI57" s="575"/>
      <c r="CJ57" s="575"/>
      <c r="CK57" s="575"/>
      <c r="CL57" s="575"/>
      <c r="CM57" s="575"/>
      <c r="CN57" s="575"/>
      <c r="CO57" s="575"/>
      <c r="CP57" s="575"/>
      <c r="CQ57" s="575"/>
      <c r="CR57" s="575"/>
      <c r="CS57" s="575"/>
      <c r="CT57" s="575"/>
      <c r="CU57" s="575"/>
      <c r="CV57" s="575"/>
      <c r="CW57" s="575"/>
      <c r="CX57" s="575"/>
      <c r="CY57" s="575"/>
      <c r="CZ57" s="575"/>
      <c r="DA57" s="575"/>
      <c r="DB57" s="575"/>
      <c r="DC57" s="575"/>
      <c r="DD57" s="575"/>
      <c r="DE57" s="575"/>
      <c r="DF57" s="575"/>
      <c r="DG57" s="575"/>
      <c r="DH57" s="575"/>
      <c r="DI57" s="575"/>
      <c r="DJ57" s="575"/>
      <c r="DK57" s="575"/>
      <c r="DL57" s="575"/>
      <c r="DM57" s="575"/>
      <c r="DN57" s="575"/>
      <c r="DO57" s="575"/>
      <c r="DP57" s="575"/>
      <c r="DQ57" s="575"/>
      <c r="DR57" s="575"/>
      <c r="DS57" s="575"/>
      <c r="DT57" s="575"/>
      <c r="DU57" s="575"/>
      <c r="DV57" s="575"/>
      <c r="DW57" s="575"/>
    </row>
    <row r="58" spans="1:127">
      <c r="A58" s="613" t="s">
        <v>1233</v>
      </c>
      <c r="B58" s="708"/>
      <c r="C58" s="708"/>
      <c r="D58" s="568"/>
      <c r="E58" s="396">
        <f ca="1">ABS(MAX(G51:DW51)-D52-D87)</f>
        <v>1.4551915228366852E-11</v>
      </c>
      <c r="F58" s="637"/>
      <c r="G58" s="459"/>
      <c r="H58" s="459"/>
      <c r="I58" s="459"/>
      <c r="J58" s="459"/>
      <c r="K58" s="459"/>
      <c r="L58" s="459"/>
      <c r="M58" s="459"/>
      <c r="N58" s="459"/>
      <c r="O58" s="459"/>
      <c r="P58" s="459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59"/>
      <c r="AG58" s="459"/>
      <c r="AH58" s="459"/>
      <c r="AI58" s="459"/>
      <c r="AJ58" s="459"/>
      <c r="AK58" s="459"/>
      <c r="AL58" s="459"/>
      <c r="AM58" s="459"/>
      <c r="AN58" s="459"/>
      <c r="AO58" s="459"/>
      <c r="AP58" s="459"/>
      <c r="AQ58" s="459"/>
      <c r="AR58" s="459"/>
      <c r="AS58" s="459"/>
      <c r="AT58" s="459"/>
      <c r="AU58" s="459"/>
      <c r="AV58" s="459"/>
      <c r="AW58" s="459"/>
      <c r="AX58" s="459"/>
      <c r="AY58" s="459"/>
      <c r="AZ58" s="459"/>
      <c r="BA58" s="459"/>
      <c r="BB58" s="459"/>
      <c r="BC58" s="459"/>
      <c r="BD58" s="459"/>
      <c r="BE58" s="459"/>
      <c r="BF58" s="459"/>
      <c r="BG58" s="459"/>
      <c r="BH58" s="459"/>
      <c r="BI58" s="459"/>
      <c r="BJ58" s="459"/>
      <c r="BK58" s="459"/>
      <c r="BL58" s="459"/>
      <c r="BM58" s="459"/>
      <c r="BN58" s="459"/>
      <c r="BO58" s="459"/>
      <c r="BP58" s="459"/>
      <c r="BQ58" s="459"/>
      <c r="BR58" s="459"/>
      <c r="BS58" s="459"/>
      <c r="BT58" s="459"/>
      <c r="BU58" s="459"/>
      <c r="BV58" s="459"/>
      <c r="BW58" s="459"/>
      <c r="BX58" s="459"/>
      <c r="BY58" s="459"/>
      <c r="BZ58" s="459"/>
      <c r="CA58" s="459"/>
      <c r="CB58" s="459"/>
      <c r="CC58" s="459"/>
      <c r="CD58" s="459"/>
      <c r="CE58" s="459"/>
      <c r="CF58" s="459"/>
      <c r="CG58" s="459"/>
      <c r="CH58" s="459"/>
      <c r="CI58" s="459"/>
      <c r="CJ58" s="459"/>
      <c r="CK58" s="459"/>
      <c r="CL58" s="459"/>
      <c r="CM58" s="459"/>
      <c r="CN58" s="459"/>
      <c r="CO58" s="459"/>
      <c r="CP58" s="459"/>
      <c r="CQ58" s="459"/>
      <c r="CR58" s="459"/>
      <c r="CS58" s="459"/>
      <c r="CT58" s="459"/>
      <c r="CU58" s="459"/>
      <c r="CV58" s="459"/>
      <c r="CW58" s="459"/>
      <c r="CX58" s="459"/>
      <c r="CY58" s="459"/>
      <c r="CZ58" s="459"/>
      <c r="DA58" s="459"/>
      <c r="DB58" s="459"/>
      <c r="DC58" s="459"/>
      <c r="DD58" s="459"/>
      <c r="DE58" s="459"/>
      <c r="DF58" s="459"/>
      <c r="DG58" s="459"/>
      <c r="DH58" s="459"/>
      <c r="DI58" s="459"/>
      <c r="DJ58" s="459"/>
      <c r="DK58" s="459"/>
      <c r="DL58" s="459"/>
      <c r="DM58" s="459"/>
      <c r="DN58" s="459"/>
      <c r="DO58" s="459"/>
      <c r="DP58" s="459"/>
      <c r="DQ58" s="459"/>
      <c r="DR58" s="459"/>
      <c r="DS58" s="459"/>
      <c r="DT58" s="459"/>
      <c r="DU58" s="459"/>
      <c r="DV58" s="459"/>
      <c r="DW58" s="459"/>
    </row>
    <row r="59" spans="1:127">
      <c r="A59" s="613"/>
      <c r="B59" s="708"/>
      <c r="C59" s="708"/>
      <c r="D59" s="568"/>
      <c r="E59" s="396"/>
      <c r="F59" s="637"/>
      <c r="G59" s="459"/>
      <c r="H59" s="459"/>
      <c r="I59" s="459"/>
      <c r="J59" s="459"/>
      <c r="K59" s="459"/>
      <c r="L59" s="459"/>
      <c r="M59" s="459"/>
      <c r="N59" s="459"/>
      <c r="O59" s="459"/>
      <c r="P59" s="459"/>
      <c r="Q59" s="459"/>
      <c r="R59" s="459"/>
      <c r="S59" s="459"/>
      <c r="T59" s="459"/>
      <c r="U59" s="459"/>
      <c r="V59" s="459"/>
      <c r="W59" s="459"/>
      <c r="X59" s="459"/>
      <c r="Y59" s="459"/>
      <c r="Z59" s="459"/>
      <c r="AA59" s="459"/>
      <c r="AB59" s="459"/>
      <c r="AC59" s="459"/>
      <c r="AD59" s="459"/>
      <c r="AE59" s="459"/>
      <c r="AF59" s="459"/>
      <c r="AG59" s="459"/>
      <c r="AH59" s="459"/>
      <c r="AI59" s="459"/>
      <c r="AJ59" s="459"/>
      <c r="AK59" s="459"/>
      <c r="AL59" s="459"/>
      <c r="AM59" s="459"/>
      <c r="AN59" s="459"/>
      <c r="AO59" s="459"/>
      <c r="AP59" s="459"/>
      <c r="AQ59" s="459"/>
      <c r="AR59" s="459"/>
      <c r="AS59" s="459"/>
      <c r="AT59" s="459"/>
      <c r="AU59" s="459"/>
      <c r="AV59" s="459"/>
      <c r="AW59" s="459"/>
      <c r="AX59" s="459"/>
      <c r="AY59" s="459"/>
      <c r="AZ59" s="459"/>
      <c r="BA59" s="459"/>
      <c r="BB59" s="459"/>
      <c r="BC59" s="459"/>
      <c r="BD59" s="459"/>
      <c r="BE59" s="459"/>
      <c r="BF59" s="459"/>
      <c r="BG59" s="459"/>
      <c r="BH59" s="459"/>
      <c r="BI59" s="459"/>
      <c r="BJ59" s="459"/>
      <c r="BK59" s="459"/>
      <c r="BL59" s="459"/>
      <c r="BM59" s="459"/>
      <c r="BN59" s="459"/>
      <c r="BO59" s="459"/>
      <c r="BP59" s="459"/>
      <c r="BQ59" s="459"/>
      <c r="BR59" s="459"/>
      <c r="BS59" s="459"/>
      <c r="BT59" s="459"/>
      <c r="BU59" s="459"/>
      <c r="BV59" s="459"/>
      <c r="BW59" s="459"/>
      <c r="BX59" s="459"/>
      <c r="BY59" s="459"/>
      <c r="BZ59" s="459"/>
      <c r="CA59" s="459"/>
      <c r="CB59" s="459"/>
      <c r="CC59" s="459"/>
      <c r="CD59" s="459"/>
      <c r="CE59" s="459"/>
      <c r="CF59" s="459"/>
      <c r="CG59" s="459"/>
      <c r="CH59" s="459"/>
      <c r="CI59" s="459"/>
      <c r="CJ59" s="459"/>
      <c r="CK59" s="459"/>
      <c r="CL59" s="459"/>
      <c r="CM59" s="459"/>
      <c r="CN59" s="459"/>
      <c r="CO59" s="459"/>
      <c r="CP59" s="459"/>
      <c r="CQ59" s="459"/>
      <c r="CR59" s="459"/>
      <c r="CS59" s="459"/>
      <c r="CT59" s="459"/>
      <c r="CU59" s="459"/>
      <c r="CV59" s="459"/>
      <c r="CW59" s="459"/>
      <c r="CX59" s="459"/>
      <c r="CY59" s="459"/>
      <c r="CZ59" s="459"/>
      <c r="DA59" s="459"/>
      <c r="DB59" s="459"/>
      <c r="DC59" s="459"/>
      <c r="DD59" s="459"/>
      <c r="DE59" s="459"/>
      <c r="DF59" s="459"/>
      <c r="DG59" s="459"/>
      <c r="DH59" s="459"/>
      <c r="DI59" s="459"/>
      <c r="DJ59" s="459"/>
      <c r="DK59" s="459"/>
      <c r="DL59" s="459"/>
      <c r="DM59" s="459"/>
      <c r="DN59" s="459"/>
      <c r="DO59" s="459"/>
      <c r="DP59" s="459"/>
      <c r="DQ59" s="459"/>
      <c r="DR59" s="459"/>
      <c r="DS59" s="459"/>
      <c r="DT59" s="459"/>
      <c r="DU59" s="459"/>
      <c r="DV59" s="459"/>
      <c r="DW59" s="459"/>
    </row>
    <row r="60" spans="1:127">
      <c r="A60" s="344" t="str">
        <f>Inputs!A209</f>
        <v>Facility Bank 1</v>
      </c>
      <c r="B60" s="726">
        <f>Inputs!D209</f>
        <v>1</v>
      </c>
      <c r="C60" s="726"/>
      <c r="D60" s="568"/>
      <c r="E60" s="637"/>
      <c r="F60" s="637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59"/>
      <c r="R60" s="459"/>
      <c r="S60" s="459"/>
      <c r="T60" s="459"/>
      <c r="U60" s="459"/>
      <c r="V60" s="459"/>
      <c r="W60" s="459"/>
      <c r="X60" s="459"/>
      <c r="Y60" s="459"/>
      <c r="Z60" s="459"/>
      <c r="AA60" s="459"/>
      <c r="AB60" s="459"/>
      <c r="AC60" s="459"/>
      <c r="AD60" s="459"/>
      <c r="AE60" s="459"/>
      <c r="AF60" s="459"/>
      <c r="AG60" s="459"/>
      <c r="AH60" s="459"/>
      <c r="AI60" s="459"/>
      <c r="AJ60" s="459"/>
      <c r="AK60" s="459"/>
      <c r="AL60" s="459"/>
      <c r="AM60" s="459"/>
      <c r="AN60" s="459"/>
      <c r="AO60" s="459"/>
      <c r="AP60" s="459"/>
      <c r="AQ60" s="459"/>
      <c r="AR60" s="459"/>
      <c r="AS60" s="459"/>
      <c r="AT60" s="459"/>
      <c r="AU60" s="459"/>
      <c r="AV60" s="459"/>
      <c r="AW60" s="459"/>
      <c r="AX60" s="459"/>
      <c r="AY60" s="459"/>
      <c r="AZ60" s="459"/>
      <c r="BA60" s="459"/>
      <c r="BB60" s="459"/>
      <c r="BC60" s="459"/>
      <c r="BD60" s="459"/>
      <c r="BE60" s="459"/>
      <c r="BF60" s="459"/>
      <c r="BG60" s="459"/>
      <c r="BH60" s="459"/>
      <c r="BI60" s="459"/>
      <c r="BJ60" s="459"/>
      <c r="BK60" s="459"/>
      <c r="BL60" s="459"/>
      <c r="BM60" s="459"/>
      <c r="BN60" s="459"/>
      <c r="BO60" s="459"/>
      <c r="BP60" s="459"/>
      <c r="BQ60" s="459"/>
      <c r="BR60" s="459"/>
      <c r="BS60" s="459"/>
      <c r="BT60" s="459"/>
      <c r="BU60" s="459"/>
      <c r="BV60" s="459"/>
      <c r="BW60" s="459"/>
      <c r="BX60" s="459"/>
      <c r="BY60" s="459"/>
      <c r="BZ60" s="459"/>
      <c r="CA60" s="459"/>
      <c r="CB60" s="459"/>
      <c r="CC60" s="459"/>
      <c r="CD60" s="459"/>
      <c r="CE60" s="459"/>
      <c r="CF60" s="459"/>
      <c r="CG60" s="459"/>
      <c r="CH60" s="459"/>
      <c r="CI60" s="459"/>
      <c r="CJ60" s="459"/>
      <c r="CK60" s="459"/>
      <c r="CL60" s="459"/>
      <c r="CM60" s="459"/>
      <c r="CN60" s="459"/>
      <c r="CO60" s="459"/>
      <c r="CP60" s="459"/>
      <c r="CQ60" s="459"/>
      <c r="CR60" s="459"/>
      <c r="CS60" s="459"/>
      <c r="CT60" s="459"/>
      <c r="CU60" s="459"/>
      <c r="CV60" s="459"/>
      <c r="CW60" s="459"/>
      <c r="CX60" s="459"/>
      <c r="CY60" s="459"/>
      <c r="CZ60" s="459"/>
      <c r="DA60" s="459"/>
      <c r="DB60" s="459"/>
      <c r="DC60" s="459"/>
      <c r="DD60" s="459"/>
      <c r="DE60" s="459"/>
      <c r="DF60" s="459"/>
      <c r="DG60" s="459"/>
      <c r="DH60" s="459"/>
      <c r="DI60" s="459"/>
      <c r="DJ60" s="459"/>
      <c r="DK60" s="459"/>
      <c r="DL60" s="459"/>
      <c r="DM60" s="459"/>
      <c r="DN60" s="459"/>
      <c r="DO60" s="459"/>
      <c r="DP60" s="459"/>
      <c r="DQ60" s="459"/>
      <c r="DR60" s="459"/>
      <c r="DS60" s="459"/>
      <c r="DT60" s="459"/>
      <c r="DU60" s="459"/>
      <c r="DV60" s="459"/>
      <c r="DW60" s="459"/>
    </row>
    <row r="61" spans="1:127">
      <c r="A61" s="874" t="s">
        <v>1231</v>
      </c>
      <c r="B61" s="708"/>
      <c r="C61" s="708"/>
      <c r="D61" s="568"/>
      <c r="E61" s="637"/>
      <c r="F61" s="637"/>
      <c r="G61" s="459">
        <f>MAX(F67-G86,0)</f>
        <v>0</v>
      </c>
      <c r="H61" s="459">
        <f t="shared" ref="H61" ca="1" si="93">MAX(G67-H86,0)</f>
        <v>42852.278762562994</v>
      </c>
      <c r="I61" s="459">
        <f t="shared" ref="I61" ca="1" si="94">MAX(H67-I86,0)</f>
        <v>41916.628631472289</v>
      </c>
      <c r="J61" s="459">
        <f t="shared" ref="J61" ca="1" si="95">MAX(I67-J86,0)</f>
        <v>40968.237034220343</v>
      </c>
      <c r="K61" s="459">
        <f t="shared" ref="K61" ca="1" si="96">MAX(J67-K86,0)</f>
        <v>39950.216590274118</v>
      </c>
      <c r="L61" s="459">
        <f t="shared" ref="L61" ca="1" si="97">MAX(K67-L86,0)</f>
        <v>38859.108189732804</v>
      </c>
      <c r="M61" s="459">
        <f t="shared" ref="M61" ca="1" si="98">MAX(L67-M86,0)</f>
        <v>37716.161217800036</v>
      </c>
      <c r="N61" s="459">
        <f t="shared" ref="N61" ca="1" si="99">MAX(M67-N86,0)</f>
        <v>36511.487967204775</v>
      </c>
      <c r="O61" s="459">
        <f t="shared" ref="O61" ca="1" si="100">MAX(N67-O86,0)</f>
        <v>35262.662321829703</v>
      </c>
      <c r="P61" s="459">
        <f t="shared" ref="P61" ca="1" si="101">MAX(O67-P86,0)</f>
        <v>33969.447834462619</v>
      </c>
      <c r="Q61" s="459">
        <f t="shared" ref="Q61" ca="1" si="102">MAX(P67-Q86,0)</f>
        <v>32611.475590462309</v>
      </c>
      <c r="R61" s="459">
        <f t="shared" ref="R61" ca="1" si="103">MAX(Q67-R86,0)</f>
        <v>31226.894025768397</v>
      </c>
      <c r="S61" s="459">
        <f t="shared" ref="S61" ca="1" si="104">MAX(R67-S86,0)</f>
        <v>29760.85868947026</v>
      </c>
      <c r="T61" s="459">
        <f t="shared" ref="T61" ca="1" si="105">MAX(S67-T86,0)</f>
        <v>28278.130046443679</v>
      </c>
      <c r="U61" s="459">
        <f t="shared" ref="U61" ca="1" si="106">MAX(T67-U86,0)</f>
        <v>26684.307867492797</v>
      </c>
      <c r="V61" s="459">
        <f t="shared" ref="V61" ca="1" si="107">MAX(U67-V86,0)</f>
        <v>25102.140699368116</v>
      </c>
      <c r="W61" s="459">
        <f t="shared" ref="W61" ca="1" si="108">MAX(V67-W86,0)</f>
        <v>23379.100320323705</v>
      </c>
      <c r="X61" s="459">
        <f t="shared" ref="X61" ca="1" si="109">MAX(W67-X86,0)</f>
        <v>21688.654381018583</v>
      </c>
      <c r="Y61" s="459">
        <f t="shared" ref="Y61" ca="1" si="110">MAX(X67-Y86,0)</f>
        <v>19828.008294904139</v>
      </c>
      <c r="Z61" s="459">
        <f t="shared" ref="Z61" ca="1" si="111">MAX(Y67-Z86,0)</f>
        <v>18022.258457267504</v>
      </c>
      <c r="AA61" s="459">
        <f t="shared" ref="AA61" ca="1" si="112">MAX(Z67-AA86,0)</f>
        <v>16022.232782741659</v>
      </c>
      <c r="AB61" s="459">
        <f t="shared" ref="AB61" ca="1" si="113">MAX(AA67-AB86,0)</f>
        <v>14089.320783615165</v>
      </c>
      <c r="AC61" s="459">
        <f t="shared" ref="AC61" ca="1" si="114">MAX(AB67-AC86,0)</f>
        <v>12096.767485995271</v>
      </c>
      <c r="AD61" s="459">
        <f t="shared" ref="AD61" ca="1" si="115">MAX(AC67-AD86,0)</f>
        <v>10176.150326634261</v>
      </c>
      <c r="AE61" s="459">
        <f t="shared" ref="AE61" ca="1" si="116">MAX(AD67-AE86,0)</f>
        <v>8027.4339045063025</v>
      </c>
      <c r="AF61" s="459">
        <f t="shared" ref="AF61" ca="1" si="117">MAX(AE67-AF86,0)</f>
        <v>5976.0557171488208</v>
      </c>
      <c r="AG61" s="459">
        <f t="shared" ref="AG61" ca="1" si="118">MAX(AF67-AG86,0)</f>
        <v>4466.1576639190689</v>
      </c>
      <c r="AH61" s="459">
        <f t="shared" ref="AH61" ca="1" si="119">MAX(AG67-AH86,0)</f>
        <v>3039.2254154894881</v>
      </c>
      <c r="AI61" s="459">
        <f t="shared" ref="AI61" ca="1" si="120">MAX(AH67-AI86,0)</f>
        <v>1464.2037741227421</v>
      </c>
      <c r="AJ61" s="459">
        <f t="shared" ref="AJ61" ca="1" si="121">MAX(AI67-AJ86,0)</f>
        <v>0</v>
      </c>
      <c r="AK61" s="459">
        <f t="shared" ref="AK61" ca="1" si="122">MAX(AJ67-AK86,0)</f>
        <v>0</v>
      </c>
      <c r="AL61" s="459">
        <f t="shared" ref="AL61" ca="1" si="123">MAX(AK67-AL86,0)</f>
        <v>0</v>
      </c>
      <c r="AM61" s="459">
        <f t="shared" ref="AM61" ca="1" si="124">MAX(AL67-AM86,0)</f>
        <v>0</v>
      </c>
      <c r="AN61" s="459">
        <f t="shared" ref="AN61" ca="1" si="125">MAX(AM67-AN86,0)</f>
        <v>0</v>
      </c>
      <c r="AO61" s="459">
        <f t="shared" ref="AO61" ca="1" si="126">MAX(AN67-AO86,0)</f>
        <v>0</v>
      </c>
      <c r="AP61" s="459">
        <f t="shared" ref="AP61" ca="1" si="127">MAX(AO67-AP86,0)</f>
        <v>0</v>
      </c>
      <c r="AQ61" s="459">
        <f t="shared" ref="AQ61" ca="1" si="128">MAX(AP67-AQ86,0)</f>
        <v>0</v>
      </c>
      <c r="AR61" s="459">
        <f t="shared" ref="AR61" ca="1" si="129">MAX(AQ67-AR86,0)</f>
        <v>0</v>
      </c>
      <c r="AS61" s="459">
        <f t="shared" ref="AS61" ca="1" si="130">MAX(AR67-AS86,0)</f>
        <v>0</v>
      </c>
      <c r="AT61" s="459">
        <f t="shared" ref="AT61" ca="1" si="131">MAX(AS67-AT86,0)</f>
        <v>0</v>
      </c>
      <c r="AU61" s="459">
        <f t="shared" ref="AU61" ca="1" si="132">MAX(AT67-AU86,0)</f>
        <v>0</v>
      </c>
      <c r="AV61" s="459">
        <f t="shared" ref="AV61" ca="1" si="133">MAX(AU67-AV86,0)</f>
        <v>0</v>
      </c>
      <c r="AW61" s="459">
        <f t="shared" ref="AW61" ca="1" si="134">MAX(AV67-AW86,0)</f>
        <v>0</v>
      </c>
      <c r="AX61" s="459">
        <f t="shared" ref="AX61" ca="1" si="135">MAX(AW67-AX86,0)</f>
        <v>0</v>
      </c>
      <c r="AY61" s="459">
        <f t="shared" ref="AY61" ca="1" si="136">MAX(AX67-AY86,0)</f>
        <v>0</v>
      </c>
      <c r="AZ61" s="459">
        <f t="shared" ref="AZ61" ca="1" si="137">MAX(AY67-AZ86,0)</f>
        <v>0</v>
      </c>
      <c r="BA61" s="459">
        <f t="shared" ref="BA61" ca="1" si="138">MAX(AZ67-BA86,0)</f>
        <v>0</v>
      </c>
      <c r="BB61" s="459">
        <f t="shared" ref="BB61" ca="1" si="139">MAX(BA67-BB86,0)</f>
        <v>0</v>
      </c>
      <c r="BC61" s="459">
        <f t="shared" ref="BC61" ca="1" si="140">MAX(BB67-BC86,0)</f>
        <v>0</v>
      </c>
      <c r="BD61" s="459">
        <f t="shared" ref="BD61" ca="1" si="141">MAX(BC67-BD86,0)</f>
        <v>0</v>
      </c>
      <c r="BE61" s="459">
        <f t="shared" ref="BE61" ca="1" si="142">MAX(BD67-BE86,0)</f>
        <v>0</v>
      </c>
      <c r="BF61" s="459">
        <f t="shared" ref="BF61" ca="1" si="143">MAX(BE67-BF86,0)</f>
        <v>0</v>
      </c>
      <c r="BG61" s="459">
        <f t="shared" ref="BG61" ca="1" si="144">MAX(BF67-BG86,0)</f>
        <v>0</v>
      </c>
      <c r="BH61" s="459">
        <f t="shared" ref="BH61" ca="1" si="145">MAX(BG67-BH86,0)</f>
        <v>0</v>
      </c>
      <c r="BI61" s="459">
        <f t="shared" ref="BI61" ca="1" si="146">MAX(BH67-BI86,0)</f>
        <v>0</v>
      </c>
      <c r="BJ61" s="459">
        <f t="shared" ref="BJ61" ca="1" si="147">MAX(BI67-BJ86,0)</f>
        <v>0</v>
      </c>
      <c r="BK61" s="459">
        <f t="shared" ref="BK61" ca="1" si="148">MAX(BJ67-BK86,0)</f>
        <v>0</v>
      </c>
      <c r="BL61" s="459">
        <f t="shared" ref="BL61" ca="1" si="149">MAX(BK67-BL86,0)</f>
        <v>0</v>
      </c>
      <c r="BM61" s="459">
        <f t="shared" ref="BM61" ca="1" si="150">MAX(BL67-BM86,0)</f>
        <v>0</v>
      </c>
      <c r="BN61" s="459">
        <f t="shared" ref="BN61" ca="1" si="151">MAX(BM67-BN86,0)</f>
        <v>0</v>
      </c>
      <c r="BO61" s="459">
        <f t="shared" ref="BO61" ca="1" si="152">MAX(BN67-BO86,0)</f>
        <v>0</v>
      </c>
      <c r="BP61" s="459"/>
      <c r="BQ61" s="459"/>
      <c r="BR61" s="459"/>
      <c r="BS61" s="459"/>
      <c r="BT61" s="459"/>
      <c r="BU61" s="459"/>
      <c r="BV61" s="459"/>
      <c r="BW61" s="459"/>
      <c r="BX61" s="459"/>
      <c r="BY61" s="459"/>
      <c r="BZ61" s="459"/>
      <c r="CA61" s="459"/>
      <c r="CB61" s="459"/>
      <c r="CC61" s="459"/>
      <c r="CD61" s="459"/>
      <c r="CE61" s="459"/>
      <c r="CF61" s="459"/>
      <c r="CG61" s="459"/>
      <c r="CH61" s="459"/>
      <c r="CI61" s="459"/>
      <c r="CJ61" s="459"/>
      <c r="CK61" s="459"/>
      <c r="CL61" s="459"/>
      <c r="CM61" s="459"/>
      <c r="CN61" s="459"/>
      <c r="CO61" s="459"/>
      <c r="CP61" s="459"/>
      <c r="CQ61" s="459"/>
      <c r="CR61" s="459"/>
      <c r="CS61" s="459"/>
      <c r="CT61" s="459"/>
      <c r="CU61" s="459"/>
      <c r="CV61" s="459"/>
      <c r="CW61" s="459"/>
      <c r="CX61" s="459"/>
      <c r="CY61" s="459"/>
      <c r="CZ61" s="459"/>
      <c r="DA61" s="459"/>
      <c r="DB61" s="459"/>
      <c r="DC61" s="459"/>
      <c r="DD61" s="459"/>
      <c r="DE61" s="459"/>
      <c r="DF61" s="459"/>
      <c r="DG61" s="459"/>
      <c r="DH61" s="459"/>
      <c r="DI61" s="459"/>
      <c r="DJ61" s="459"/>
      <c r="DK61" s="459"/>
      <c r="DL61" s="459"/>
      <c r="DM61" s="459"/>
      <c r="DN61" s="459"/>
      <c r="DO61" s="459"/>
      <c r="DP61" s="459"/>
      <c r="DQ61" s="459"/>
      <c r="DR61" s="459"/>
      <c r="DS61" s="459"/>
      <c r="DT61" s="459"/>
      <c r="DU61" s="459"/>
      <c r="DV61" s="459"/>
      <c r="DW61" s="459"/>
    </row>
    <row r="62" spans="1:127">
      <c r="A62" s="881" t="s">
        <v>1152</v>
      </c>
      <c r="B62" s="810">
        <f ca="1">Inputs!$D$195*B60</f>
        <v>42852.278762562994</v>
      </c>
      <c r="C62" s="810"/>
      <c r="D62" s="568"/>
      <c r="E62" s="637"/>
      <c r="F62" s="637"/>
      <c r="G62" s="459">
        <f t="shared" ref="G62:AL62" ca="1" si="153">(G3=0)*$B$62</f>
        <v>42852.278762562994</v>
      </c>
      <c r="H62" s="459">
        <f t="shared" ca="1" si="153"/>
        <v>0</v>
      </c>
      <c r="I62" s="459">
        <f t="shared" ca="1" si="153"/>
        <v>0</v>
      </c>
      <c r="J62" s="459">
        <f t="shared" ca="1" si="153"/>
        <v>0</v>
      </c>
      <c r="K62" s="459">
        <f t="shared" ca="1" si="153"/>
        <v>0</v>
      </c>
      <c r="L62" s="459">
        <f t="shared" ca="1" si="153"/>
        <v>0</v>
      </c>
      <c r="M62" s="459">
        <f t="shared" ca="1" si="153"/>
        <v>0</v>
      </c>
      <c r="N62" s="459">
        <f t="shared" ca="1" si="153"/>
        <v>0</v>
      </c>
      <c r="O62" s="459">
        <f t="shared" ca="1" si="153"/>
        <v>0</v>
      </c>
      <c r="P62" s="459">
        <f t="shared" ca="1" si="153"/>
        <v>0</v>
      </c>
      <c r="Q62" s="459">
        <f t="shared" ca="1" si="153"/>
        <v>0</v>
      </c>
      <c r="R62" s="459">
        <f t="shared" ca="1" si="153"/>
        <v>0</v>
      </c>
      <c r="S62" s="459">
        <f t="shared" ca="1" si="153"/>
        <v>0</v>
      </c>
      <c r="T62" s="459">
        <f t="shared" ca="1" si="153"/>
        <v>0</v>
      </c>
      <c r="U62" s="459">
        <f t="shared" ca="1" si="153"/>
        <v>0</v>
      </c>
      <c r="V62" s="459">
        <f t="shared" ca="1" si="153"/>
        <v>0</v>
      </c>
      <c r="W62" s="459">
        <f t="shared" ca="1" si="153"/>
        <v>0</v>
      </c>
      <c r="X62" s="459">
        <f t="shared" ca="1" si="153"/>
        <v>0</v>
      </c>
      <c r="Y62" s="459">
        <f t="shared" ca="1" si="153"/>
        <v>0</v>
      </c>
      <c r="Z62" s="459">
        <f t="shared" ca="1" si="153"/>
        <v>0</v>
      </c>
      <c r="AA62" s="459">
        <f t="shared" ca="1" si="153"/>
        <v>0</v>
      </c>
      <c r="AB62" s="459">
        <f t="shared" ca="1" si="153"/>
        <v>0</v>
      </c>
      <c r="AC62" s="459">
        <f t="shared" ca="1" si="153"/>
        <v>0</v>
      </c>
      <c r="AD62" s="459">
        <f t="shared" ca="1" si="153"/>
        <v>0</v>
      </c>
      <c r="AE62" s="459">
        <f t="shared" ca="1" si="153"/>
        <v>0</v>
      </c>
      <c r="AF62" s="459">
        <f t="shared" ca="1" si="153"/>
        <v>0</v>
      </c>
      <c r="AG62" s="459">
        <f t="shared" ca="1" si="153"/>
        <v>0</v>
      </c>
      <c r="AH62" s="459">
        <f t="shared" ca="1" si="153"/>
        <v>0</v>
      </c>
      <c r="AI62" s="459">
        <f t="shared" ca="1" si="153"/>
        <v>0</v>
      </c>
      <c r="AJ62" s="459">
        <f t="shared" ca="1" si="153"/>
        <v>0</v>
      </c>
      <c r="AK62" s="459">
        <f t="shared" ca="1" si="153"/>
        <v>0</v>
      </c>
      <c r="AL62" s="459">
        <f t="shared" ca="1" si="153"/>
        <v>0</v>
      </c>
      <c r="AM62" s="459">
        <f t="shared" ref="AM62:BO62" ca="1" si="154">(AM3=0)*$B$62</f>
        <v>0</v>
      </c>
      <c r="AN62" s="459">
        <f t="shared" ca="1" si="154"/>
        <v>0</v>
      </c>
      <c r="AO62" s="459">
        <f t="shared" ca="1" si="154"/>
        <v>0</v>
      </c>
      <c r="AP62" s="459">
        <f t="shared" ca="1" si="154"/>
        <v>0</v>
      </c>
      <c r="AQ62" s="459">
        <f t="shared" ca="1" si="154"/>
        <v>0</v>
      </c>
      <c r="AR62" s="459">
        <f t="shared" ca="1" si="154"/>
        <v>0</v>
      </c>
      <c r="AS62" s="459">
        <f t="shared" ca="1" si="154"/>
        <v>0</v>
      </c>
      <c r="AT62" s="459">
        <f t="shared" ca="1" si="154"/>
        <v>0</v>
      </c>
      <c r="AU62" s="459">
        <f t="shared" ca="1" si="154"/>
        <v>0</v>
      </c>
      <c r="AV62" s="459">
        <f t="shared" ca="1" si="154"/>
        <v>0</v>
      </c>
      <c r="AW62" s="459">
        <f t="shared" ca="1" si="154"/>
        <v>0</v>
      </c>
      <c r="AX62" s="459">
        <f t="shared" ca="1" si="154"/>
        <v>0</v>
      </c>
      <c r="AY62" s="459">
        <f t="shared" ca="1" si="154"/>
        <v>0</v>
      </c>
      <c r="AZ62" s="459">
        <f t="shared" ca="1" si="154"/>
        <v>0</v>
      </c>
      <c r="BA62" s="459">
        <f t="shared" ca="1" si="154"/>
        <v>0</v>
      </c>
      <c r="BB62" s="459">
        <f t="shared" ca="1" si="154"/>
        <v>0</v>
      </c>
      <c r="BC62" s="459">
        <f t="shared" ca="1" si="154"/>
        <v>0</v>
      </c>
      <c r="BD62" s="459">
        <f t="shared" ca="1" si="154"/>
        <v>0</v>
      </c>
      <c r="BE62" s="459">
        <f t="shared" ca="1" si="154"/>
        <v>0</v>
      </c>
      <c r="BF62" s="459">
        <f t="shared" ca="1" si="154"/>
        <v>0</v>
      </c>
      <c r="BG62" s="459">
        <f t="shared" ca="1" si="154"/>
        <v>0</v>
      </c>
      <c r="BH62" s="459">
        <f t="shared" ca="1" si="154"/>
        <v>0</v>
      </c>
      <c r="BI62" s="459">
        <f t="shared" ca="1" si="154"/>
        <v>0</v>
      </c>
      <c r="BJ62" s="459">
        <f t="shared" ca="1" si="154"/>
        <v>0</v>
      </c>
      <c r="BK62" s="459">
        <f t="shared" ca="1" si="154"/>
        <v>0</v>
      </c>
      <c r="BL62" s="459">
        <f t="shared" ca="1" si="154"/>
        <v>0</v>
      </c>
      <c r="BM62" s="459">
        <f t="shared" ca="1" si="154"/>
        <v>0</v>
      </c>
      <c r="BN62" s="459">
        <f t="shared" ca="1" si="154"/>
        <v>0</v>
      </c>
      <c r="BO62" s="459">
        <f t="shared" ca="1" si="154"/>
        <v>0</v>
      </c>
      <c r="BP62" s="459"/>
      <c r="BQ62" s="459"/>
      <c r="BR62" s="459"/>
      <c r="BS62" s="459"/>
      <c r="BT62" s="459"/>
      <c r="BU62" s="459"/>
      <c r="BV62" s="459"/>
      <c r="BW62" s="459"/>
      <c r="BX62" s="459"/>
      <c r="BY62" s="459"/>
      <c r="BZ62" s="459"/>
      <c r="CA62" s="459"/>
      <c r="CB62" s="459"/>
      <c r="CC62" s="459"/>
      <c r="CD62" s="459"/>
      <c r="CE62" s="459"/>
      <c r="CF62" s="459"/>
      <c r="CG62" s="459"/>
      <c r="CH62" s="459"/>
      <c r="CI62" s="459"/>
      <c r="CJ62" s="459"/>
      <c r="CK62" s="459"/>
      <c r="CL62" s="459"/>
      <c r="CM62" s="459"/>
      <c r="CN62" s="459"/>
      <c r="CO62" s="459"/>
      <c r="CP62" s="459"/>
      <c r="CQ62" s="459"/>
      <c r="CR62" s="459"/>
      <c r="CS62" s="459"/>
      <c r="CT62" s="459"/>
      <c r="CU62" s="459"/>
      <c r="CV62" s="459"/>
      <c r="CW62" s="459"/>
      <c r="CX62" s="459"/>
      <c r="CY62" s="459"/>
      <c r="CZ62" s="459"/>
      <c r="DA62" s="459"/>
      <c r="DB62" s="459"/>
      <c r="DC62" s="459"/>
      <c r="DD62" s="459"/>
      <c r="DE62" s="459"/>
      <c r="DF62" s="459"/>
      <c r="DG62" s="459"/>
      <c r="DH62" s="459"/>
      <c r="DI62" s="459"/>
      <c r="DJ62" s="459"/>
      <c r="DK62" s="459"/>
      <c r="DL62" s="459"/>
      <c r="DM62" s="459"/>
      <c r="DN62" s="459"/>
      <c r="DO62" s="459"/>
      <c r="DP62" s="459"/>
      <c r="DQ62" s="459"/>
      <c r="DR62" s="459"/>
      <c r="DS62" s="459"/>
      <c r="DT62" s="459"/>
      <c r="DU62" s="459"/>
      <c r="DV62" s="459"/>
      <c r="DW62" s="459"/>
    </row>
    <row r="63" spans="1:127">
      <c r="A63" s="881" t="str">
        <f>A52</f>
        <v>Principal</v>
      </c>
      <c r="B63" s="708"/>
      <c r="C63" s="708"/>
      <c r="D63" s="568"/>
      <c r="E63" s="637"/>
      <c r="F63" s="637"/>
      <c r="G63" s="459">
        <f>MIN(G61,G$46*Inputs!$D$199*$B$60-G66)</f>
        <v>0</v>
      </c>
      <c r="H63" s="459">
        <f ca="1">MIN(H61,H$46*Inputs!$D$199*$B$60-H66)</f>
        <v>935.65013109070287</v>
      </c>
      <c r="I63" s="459">
        <f ca="1">MIN(I61,I$46*Inputs!$D$199*$B$60-I66)</f>
        <v>948.39159725194372</v>
      </c>
      <c r="J63" s="459">
        <f ca="1">MIN(J61,J$46*Inputs!$D$199*$B$60-J66)</f>
        <v>1018.0204439462243</v>
      </c>
      <c r="K63" s="459">
        <f ca="1">MIN(K61,K$46*Inputs!$D$199*$B$60-K66)</f>
        <v>1091.1084005413165</v>
      </c>
      <c r="L63" s="459">
        <f ca="1">MIN(L61,L$46*Inputs!$D$199*$B$60-L66)</f>
        <v>1142.9469719327649</v>
      </c>
      <c r="M63" s="459">
        <f ca="1">MIN(M61,M$46*Inputs!$D$199*$B$60-M66)</f>
        <v>1204.6732505952577</v>
      </c>
      <c r="N63" s="459">
        <f ca="1">MIN(N61,N$46*Inputs!$D$199*$B$60-N66)</f>
        <v>1248.8256453750753</v>
      </c>
      <c r="O63" s="459">
        <f ca="1">MIN(O61,O$46*Inputs!$D$199*$B$60-O66)</f>
        <v>1293.2144873670866</v>
      </c>
      <c r="P63" s="459">
        <f ca="1">MIN(P61,P$46*Inputs!$D$199*$B$60-P66)</f>
        <v>1357.9722440003106</v>
      </c>
      <c r="Q63" s="459">
        <f ca="1">MIN(Q61,Q$46*Inputs!$D$199*$B$60-Q66)</f>
        <v>1384.5815646939132</v>
      </c>
      <c r="R63" s="459">
        <f ca="1">MIN(R61,R$46*Inputs!$D$199*$B$60-R66)</f>
        <v>1466.0353362981364</v>
      </c>
      <c r="S63" s="459">
        <f ca="1">MIN(S61,S$46*Inputs!$D$199*$B$60-S66)</f>
        <v>1482.7286430265804</v>
      </c>
      <c r="T63" s="459">
        <f ca="1">MIN(T61,T$46*Inputs!$D$199*$B$60-T66)</f>
        <v>1593.8221789508809</v>
      </c>
      <c r="U63" s="459">
        <f ca="1">MIN(U61,U$46*Inputs!$D$199*$B$60-U66)</f>
        <v>1582.1671681246789</v>
      </c>
      <c r="V63" s="459">
        <f ca="1">MIN(V61,V$46*Inputs!$D$199*$B$60-V66)</f>
        <v>1723.0403790444125</v>
      </c>
      <c r="W63" s="459">
        <f ca="1">MIN(W61,W$46*Inputs!$D$199*$B$60-W66)</f>
        <v>1690.4459393051227</v>
      </c>
      <c r="X63" s="459">
        <f ca="1">MIN(X61,X$46*Inputs!$D$199*$B$60-X66)</f>
        <v>1860.6460861144435</v>
      </c>
      <c r="Y63" s="459">
        <f ca="1">MIN(Y61,Y$46*Inputs!$D$199*$B$60-Y66)</f>
        <v>1805.7498376366339</v>
      </c>
      <c r="Z63" s="459">
        <f ca="1">MIN(Z61,Z$46*Inputs!$D$199*$B$60-Z66)</f>
        <v>2000.0256745258439</v>
      </c>
      <c r="AA63" s="459">
        <f ca="1">MIN(AA61,AA$46*Inputs!$D$199*$B$60-AA66)</f>
        <v>1932.911999126494</v>
      </c>
      <c r="AB63" s="459">
        <f ca="1">MIN(AB61,AB$46*Inputs!$D$199*$B$60-AB66)</f>
        <v>1992.553297619894</v>
      </c>
      <c r="AC63" s="459">
        <f ca="1">MIN(AC61,AC$46*Inputs!$D$199*$B$60-AC66)</f>
        <v>1920.6171593610113</v>
      </c>
      <c r="AD63" s="459">
        <f ca="1">MIN(AD61,AD$46*Inputs!$D$199*$B$60-AD66)</f>
        <v>2148.7164221279581</v>
      </c>
      <c r="AE63" s="459">
        <f ca="1">MIN(AE61,AE$46*Inputs!$D$199*$B$60-AE66)</f>
        <v>2051.3781873574817</v>
      </c>
      <c r="AF63" s="459">
        <f ca="1">MIN(AF61,AF$46*Inputs!$D$199*$B$60-AF66)</f>
        <v>1509.8980532297517</v>
      </c>
      <c r="AG63" s="459">
        <f ca="1">MIN(AG61,AG$46*Inputs!$D$199*$B$60-AG66)</f>
        <v>1426.9322484295806</v>
      </c>
      <c r="AH63" s="459">
        <f ca="1">MIN(AH61,AH$46*Inputs!$D$199*$B$60-AH66)</f>
        <v>1575.0216413667461</v>
      </c>
      <c r="AI63" s="459">
        <f ca="1">MIN(AI61,AI$46*Inputs!$D$199*$B$60-AI66)</f>
        <v>1464.2037741227421</v>
      </c>
      <c r="AJ63" s="459">
        <f ca="1">MIN(AJ61,AJ$46*Inputs!$D$199*$B$60-AJ66)</f>
        <v>0</v>
      </c>
      <c r="AK63" s="459">
        <f ca="1">MIN(AK61,AK$46*Inputs!$D$199*$B$60-AK66)</f>
        <v>0</v>
      </c>
      <c r="AL63" s="459">
        <f ca="1">MIN(AL61,AL$46*Inputs!$D$199*$B$60-AL66)</f>
        <v>0</v>
      </c>
      <c r="AM63" s="459">
        <f ca="1">MIN(AM61,AM$46*Inputs!$D$199*$B$60-AM66)</f>
        <v>0</v>
      </c>
      <c r="AN63" s="459">
        <f ca="1">MIN(AN61,AN$46*Inputs!$D$199*$B$60-AN66)</f>
        <v>0</v>
      </c>
      <c r="AO63" s="459">
        <f ca="1">MIN(AO61,AO$46*Inputs!$D$199*$B$60-AO66)</f>
        <v>0</v>
      </c>
      <c r="AP63" s="459">
        <f ca="1">MIN(AP61,AP$46*Inputs!$D$199*$B$60-AP66)</f>
        <v>0</v>
      </c>
      <c r="AQ63" s="459">
        <f ca="1">MIN(AQ61,AQ$46*Inputs!$D$199*$B$60-AQ66)</f>
        <v>0</v>
      </c>
      <c r="AR63" s="459">
        <f ca="1">MIN(AR61,AR$46*Inputs!$D$199*$B$60-AR66)</f>
        <v>0</v>
      </c>
      <c r="AS63" s="459">
        <f ca="1">MIN(AS61,AS$46*Inputs!$D$199*$B$60-AS66)</f>
        <v>0</v>
      </c>
      <c r="AT63" s="459">
        <f ca="1">MIN(AT61,AT$46*Inputs!$D$199*$B$60-AT66)</f>
        <v>0</v>
      </c>
      <c r="AU63" s="459">
        <f ca="1">MIN(AU61,AU$46*Inputs!$D$199*$B$60-AU66)</f>
        <v>0</v>
      </c>
      <c r="AV63" s="459">
        <f ca="1">MIN(AV61,AV$46*Inputs!$D$199*$B$60-AV66)</f>
        <v>0</v>
      </c>
      <c r="AW63" s="459">
        <f ca="1">MIN(AW61,AW$46*Inputs!$D$199*$B$60-AW66)</f>
        <v>0</v>
      </c>
      <c r="AX63" s="459">
        <f ca="1">MIN(AX61,AX$46*Inputs!$D$199*$B$60-AX66)</f>
        <v>0</v>
      </c>
      <c r="AY63" s="459">
        <f ca="1">MIN(AY61,AY$46*Inputs!$D$199*$B$60-AY66)</f>
        <v>0</v>
      </c>
      <c r="AZ63" s="459">
        <f ca="1">MIN(AZ61,AZ$46*Inputs!$D$199*$B$60-AZ66)</f>
        <v>0</v>
      </c>
      <c r="BA63" s="459">
        <f ca="1">MIN(BA61,BA$46*Inputs!$D$199*$B$60-BA66)</f>
        <v>0</v>
      </c>
      <c r="BB63" s="459">
        <f ca="1">MIN(BB61,BB$46*Inputs!$D$199*$B$60-BB66)</f>
        <v>0</v>
      </c>
      <c r="BC63" s="459">
        <f ca="1">MIN(BC61,BC$46*Inputs!$D$199*$B$60-BC66)</f>
        <v>0</v>
      </c>
      <c r="BD63" s="459">
        <f ca="1">MIN(BD61,BD$46*Inputs!$D$199*$B$60-BD66)</f>
        <v>0</v>
      </c>
      <c r="BE63" s="459">
        <f ca="1">MIN(BE61,BE$46*Inputs!$D$199*$B$60-BE66)</f>
        <v>0</v>
      </c>
      <c r="BF63" s="459">
        <f ca="1">MIN(BF61,BF$46*Inputs!$D$199*$B$60-BF66)</f>
        <v>0</v>
      </c>
      <c r="BG63" s="459">
        <f ca="1">MIN(BG61,BG$46*Inputs!$D$199*$B$60-BG66)</f>
        <v>0</v>
      </c>
      <c r="BH63" s="459">
        <f ca="1">MIN(BH61,BH$46*Inputs!$D$199*$B$60-BH66)</f>
        <v>0</v>
      </c>
      <c r="BI63" s="459">
        <f ca="1">MIN(BI61,BI$46*Inputs!$D$199*$B$60-BI66)</f>
        <v>0</v>
      </c>
      <c r="BJ63" s="459">
        <f ca="1">MIN(BJ61,BJ$46*Inputs!$D$199*$B$60-BJ66)</f>
        <v>0</v>
      </c>
      <c r="BK63" s="459">
        <f ca="1">MIN(BK61,BK$46*Inputs!$D$199*$B$60-BK66)</f>
        <v>0</v>
      </c>
      <c r="BL63" s="459">
        <f ca="1">MIN(BL61,BL$46*Inputs!$D$199*$B$60-BL66)</f>
        <v>0</v>
      </c>
      <c r="BM63" s="459">
        <f ca="1">MIN(BM61,BM$46*Inputs!$D$199*$B$60-BM66)</f>
        <v>0</v>
      </c>
      <c r="BN63" s="459">
        <f ca="1">MIN(BN61,BN$46*Inputs!$D$199*$B$60-BN66)</f>
        <v>0</v>
      </c>
      <c r="BO63" s="459">
        <f ca="1">MIN(BO61,BO$46*Inputs!$D$199*$B$60-BO66)</f>
        <v>0</v>
      </c>
      <c r="BP63" s="459"/>
      <c r="BQ63" s="459"/>
      <c r="BR63" s="459"/>
      <c r="BS63" s="459"/>
      <c r="BT63" s="459"/>
      <c r="BU63" s="459"/>
      <c r="BV63" s="459"/>
      <c r="BW63" s="459"/>
      <c r="BX63" s="459"/>
      <c r="BY63" s="459"/>
      <c r="BZ63" s="459"/>
      <c r="CA63" s="459"/>
      <c r="CB63" s="459"/>
      <c r="CC63" s="459"/>
      <c r="CD63" s="459"/>
      <c r="CE63" s="459"/>
      <c r="CF63" s="459"/>
      <c r="CG63" s="459"/>
      <c r="CH63" s="459"/>
      <c r="CI63" s="459"/>
      <c r="CJ63" s="459"/>
      <c r="CK63" s="459"/>
      <c r="CL63" s="459"/>
      <c r="CM63" s="459"/>
      <c r="CN63" s="459"/>
      <c r="CO63" s="459"/>
      <c r="CP63" s="459"/>
      <c r="CQ63" s="459"/>
      <c r="CR63" s="459"/>
      <c r="CS63" s="459"/>
      <c r="CT63" s="459"/>
      <c r="CU63" s="459"/>
      <c r="CV63" s="459"/>
      <c r="CW63" s="459"/>
      <c r="CX63" s="459"/>
      <c r="CY63" s="459"/>
      <c r="CZ63" s="459"/>
      <c r="DA63" s="459"/>
      <c r="DB63" s="459"/>
      <c r="DC63" s="459"/>
      <c r="DD63" s="459"/>
      <c r="DE63" s="459"/>
      <c r="DF63" s="459"/>
      <c r="DG63" s="459"/>
      <c r="DH63" s="459"/>
      <c r="DI63" s="459"/>
      <c r="DJ63" s="459"/>
      <c r="DK63" s="459"/>
      <c r="DL63" s="459"/>
      <c r="DM63" s="459"/>
      <c r="DN63" s="459"/>
      <c r="DO63" s="459"/>
      <c r="DP63" s="459"/>
      <c r="DQ63" s="459"/>
      <c r="DR63" s="459"/>
      <c r="DS63" s="459"/>
      <c r="DT63" s="459"/>
      <c r="DU63" s="459"/>
      <c r="DV63" s="459"/>
      <c r="DW63" s="459"/>
    </row>
    <row r="64" spans="1:127">
      <c r="A64" s="961" t="s">
        <v>1239</v>
      </c>
      <c r="B64" s="708"/>
      <c r="C64" s="708"/>
      <c r="D64" s="568"/>
      <c r="E64" s="637"/>
      <c r="F64" s="637"/>
      <c r="G64" s="459">
        <f t="shared" ref="G64:AL64" si="155">G61*G44*G6*(G91=0)</f>
        <v>0</v>
      </c>
      <c r="H64" s="459">
        <f ca="1">H61*H44*H6*(H91=0)</f>
        <v>1303.4832817636529</v>
      </c>
      <c r="I64" s="459">
        <f t="shared" ca="1" si="155"/>
        <v>1254.2342056102223</v>
      </c>
      <c r="J64" s="459">
        <f t="shared" ca="1" si="155"/>
        <v>1222.5045746127719</v>
      </c>
      <c r="K64" s="459">
        <f t="shared" ca="1" si="155"/>
        <v>1179.1686397568308</v>
      </c>
      <c r="L64" s="459">
        <f t="shared" ca="1" si="155"/>
        <v>1150.7491055158007</v>
      </c>
      <c r="M64" s="459">
        <f t="shared" ca="1" si="155"/>
        <v>1098.6922268152643</v>
      </c>
      <c r="N64" s="459">
        <f t="shared" ca="1" si="155"/>
        <v>1079.3918774202323</v>
      </c>
      <c r="O64" s="459">
        <f t="shared" ca="1" si="155"/>
        <v>1025.4759121867562</v>
      </c>
      <c r="P64" s="459">
        <f t="shared" ca="1" si="155"/>
        <v>1005.2830826443115</v>
      </c>
      <c r="Q64" s="459">
        <f t="shared" ca="1" si="155"/>
        <v>949.36034772819858</v>
      </c>
      <c r="R64" s="459">
        <f t="shared" ca="1" si="155"/>
        <v>926.22742664951272</v>
      </c>
      <c r="S64" s="459">
        <f t="shared" ca="1" si="155"/>
        <v>873.14801318911304</v>
      </c>
      <c r="T64" s="459">
        <f t="shared" ca="1" si="155"/>
        <v>841.08760754281479</v>
      </c>
      <c r="U64" s="459">
        <f t="shared" ca="1" si="155"/>
        <v>780.74145787641362</v>
      </c>
      <c r="V64" s="459">
        <f t="shared" ca="1" si="155"/>
        <v>748.50120962724725</v>
      </c>
      <c r="W64" s="459">
        <f t="shared" ca="1" si="155"/>
        <v>685.75706943464161</v>
      </c>
      <c r="X64" s="459">
        <f t="shared" ca="1" si="155"/>
        <v>648.07395825226217</v>
      </c>
      <c r="Y64" s="459">
        <f t="shared" ca="1" si="155"/>
        <v>582.81645649261293</v>
      </c>
      <c r="Z64" s="459">
        <f t="shared" ca="1" si="155"/>
        <v>539.46979417363889</v>
      </c>
      <c r="AA64" s="459">
        <f t="shared" ca="1" si="155"/>
        <v>474.38890299858372</v>
      </c>
      <c r="AB64" s="459">
        <f t="shared" ca="1" si="155"/>
        <v>422.19244610535924</v>
      </c>
      <c r="AC64" s="459">
        <f t="shared" ca="1" si="155"/>
        <v>356.5746678738235</v>
      </c>
      <c r="AD64" s="459">
        <f t="shared" ca="1" si="155"/>
        <v>304.89519290119813</v>
      </c>
      <c r="AE64" s="459">
        <f t="shared" ca="1" si="155"/>
        <v>236.59445037416731</v>
      </c>
      <c r="AF64" s="459">
        <f t="shared" ca="1" si="155"/>
        <v>178.8331220524592</v>
      </c>
      <c r="AG64" s="459">
        <f t="shared" ca="1" si="155"/>
        <v>131.47044194950257</v>
      </c>
      <c r="AH64" s="459">
        <f t="shared" ca="1" si="155"/>
        <v>90.72868608476189</v>
      </c>
      <c r="AI64" s="459">
        <f t="shared" ca="1" si="155"/>
        <v>43.23513268617058</v>
      </c>
      <c r="AJ64" s="459">
        <f t="shared" ca="1" si="155"/>
        <v>0</v>
      </c>
      <c r="AK64" s="459">
        <f t="shared" ca="1" si="155"/>
        <v>0</v>
      </c>
      <c r="AL64" s="459">
        <f t="shared" ca="1" si="155"/>
        <v>0</v>
      </c>
      <c r="AM64" s="459">
        <f t="shared" ref="AM64:BO64" ca="1" si="156">AM61*AM44*AM6*(AM91=0)</f>
        <v>0</v>
      </c>
      <c r="AN64" s="459">
        <f t="shared" ca="1" si="156"/>
        <v>0</v>
      </c>
      <c r="AO64" s="459">
        <f t="shared" ca="1" si="156"/>
        <v>0</v>
      </c>
      <c r="AP64" s="459">
        <f t="shared" ca="1" si="156"/>
        <v>0</v>
      </c>
      <c r="AQ64" s="459">
        <f t="shared" ca="1" si="156"/>
        <v>0</v>
      </c>
      <c r="AR64" s="459">
        <f t="shared" ca="1" si="156"/>
        <v>0</v>
      </c>
      <c r="AS64" s="459">
        <f t="shared" ca="1" si="156"/>
        <v>0</v>
      </c>
      <c r="AT64" s="459">
        <f t="shared" ca="1" si="156"/>
        <v>0</v>
      </c>
      <c r="AU64" s="459">
        <f t="shared" ca="1" si="156"/>
        <v>0</v>
      </c>
      <c r="AV64" s="459">
        <f t="shared" ca="1" si="156"/>
        <v>0</v>
      </c>
      <c r="AW64" s="459">
        <f t="shared" ca="1" si="156"/>
        <v>0</v>
      </c>
      <c r="AX64" s="459">
        <f t="shared" ca="1" si="156"/>
        <v>0</v>
      </c>
      <c r="AY64" s="459">
        <f t="shared" ca="1" si="156"/>
        <v>0</v>
      </c>
      <c r="AZ64" s="459">
        <f t="shared" ca="1" si="156"/>
        <v>0</v>
      </c>
      <c r="BA64" s="459">
        <f t="shared" ca="1" si="156"/>
        <v>0</v>
      </c>
      <c r="BB64" s="459">
        <f t="shared" ca="1" si="156"/>
        <v>0</v>
      </c>
      <c r="BC64" s="459">
        <f t="shared" ca="1" si="156"/>
        <v>0</v>
      </c>
      <c r="BD64" s="459">
        <f t="shared" ca="1" si="156"/>
        <v>0</v>
      </c>
      <c r="BE64" s="459">
        <f t="shared" ca="1" si="156"/>
        <v>0</v>
      </c>
      <c r="BF64" s="459">
        <f t="shared" ca="1" si="156"/>
        <v>0</v>
      </c>
      <c r="BG64" s="459">
        <f t="shared" ca="1" si="156"/>
        <v>0</v>
      </c>
      <c r="BH64" s="459">
        <f t="shared" ca="1" si="156"/>
        <v>0</v>
      </c>
      <c r="BI64" s="459">
        <f t="shared" ca="1" si="156"/>
        <v>0</v>
      </c>
      <c r="BJ64" s="459">
        <f t="shared" ca="1" si="156"/>
        <v>0</v>
      </c>
      <c r="BK64" s="459">
        <f t="shared" ca="1" si="156"/>
        <v>0</v>
      </c>
      <c r="BL64" s="459">
        <f t="shared" ca="1" si="156"/>
        <v>0</v>
      </c>
      <c r="BM64" s="459">
        <f t="shared" ca="1" si="156"/>
        <v>0</v>
      </c>
      <c r="BN64" s="459">
        <f t="shared" ca="1" si="156"/>
        <v>0</v>
      </c>
      <c r="BO64" s="459">
        <f t="shared" ca="1" si="156"/>
        <v>0</v>
      </c>
      <c r="BP64" s="459"/>
      <c r="BQ64" s="459"/>
      <c r="BR64" s="459"/>
      <c r="BS64" s="459"/>
      <c r="BT64" s="459"/>
      <c r="BU64" s="459"/>
      <c r="BV64" s="459"/>
      <c r="BW64" s="459"/>
      <c r="BX64" s="459"/>
      <c r="BY64" s="459"/>
      <c r="BZ64" s="459"/>
      <c r="CA64" s="459"/>
      <c r="CB64" s="459"/>
      <c r="CC64" s="459"/>
      <c r="CD64" s="459"/>
      <c r="CE64" s="459"/>
      <c r="CF64" s="459"/>
      <c r="CG64" s="459"/>
      <c r="CH64" s="459"/>
      <c r="CI64" s="459"/>
      <c r="CJ64" s="459"/>
      <c r="CK64" s="459"/>
      <c r="CL64" s="459"/>
      <c r="CM64" s="459"/>
      <c r="CN64" s="459"/>
      <c r="CO64" s="459"/>
      <c r="CP64" s="459"/>
      <c r="CQ64" s="459"/>
      <c r="CR64" s="459"/>
      <c r="CS64" s="459"/>
      <c r="CT64" s="459"/>
      <c r="CU64" s="459"/>
      <c r="CV64" s="459"/>
      <c r="CW64" s="459"/>
      <c r="CX64" s="459"/>
      <c r="CY64" s="459"/>
      <c r="CZ64" s="459"/>
      <c r="DA64" s="459"/>
      <c r="DB64" s="459"/>
      <c r="DC64" s="459"/>
      <c r="DD64" s="459"/>
      <c r="DE64" s="459"/>
      <c r="DF64" s="459"/>
      <c r="DG64" s="459"/>
      <c r="DH64" s="459"/>
      <c r="DI64" s="459"/>
      <c r="DJ64" s="459"/>
      <c r="DK64" s="459"/>
      <c r="DL64" s="459"/>
      <c r="DM64" s="459"/>
      <c r="DN64" s="459"/>
      <c r="DO64" s="459"/>
      <c r="DP64" s="459"/>
      <c r="DQ64" s="459"/>
      <c r="DR64" s="459"/>
      <c r="DS64" s="459"/>
      <c r="DT64" s="459"/>
      <c r="DU64" s="459"/>
      <c r="DV64" s="459"/>
      <c r="DW64" s="459"/>
    </row>
    <row r="65" spans="1:127">
      <c r="A65" s="961" t="str">
        <f>A54</f>
        <v>Withholding Tax</v>
      </c>
      <c r="B65" s="708"/>
      <c r="C65" s="708"/>
      <c r="D65" s="568"/>
      <c r="E65" s="637"/>
      <c r="F65" s="637"/>
      <c r="G65" s="459">
        <f t="shared" ref="G65:AL65" si="157">G64*($B$54/(1-$B$54))</f>
        <v>0</v>
      </c>
      <c r="H65" s="459">
        <f t="shared" ca="1" si="157"/>
        <v>0</v>
      </c>
      <c r="I65" s="459">
        <f t="shared" ca="1" si="157"/>
        <v>0</v>
      </c>
      <c r="J65" s="459">
        <f t="shared" ca="1" si="157"/>
        <v>0</v>
      </c>
      <c r="K65" s="459">
        <f t="shared" ca="1" si="157"/>
        <v>0</v>
      </c>
      <c r="L65" s="459">
        <f t="shared" ca="1" si="157"/>
        <v>0</v>
      </c>
      <c r="M65" s="459">
        <f t="shared" ca="1" si="157"/>
        <v>0</v>
      </c>
      <c r="N65" s="459">
        <f t="shared" ca="1" si="157"/>
        <v>0</v>
      </c>
      <c r="O65" s="459">
        <f t="shared" ca="1" si="157"/>
        <v>0</v>
      </c>
      <c r="P65" s="459">
        <f t="shared" ca="1" si="157"/>
        <v>0</v>
      </c>
      <c r="Q65" s="459">
        <f t="shared" ca="1" si="157"/>
        <v>0</v>
      </c>
      <c r="R65" s="459">
        <f t="shared" ca="1" si="157"/>
        <v>0</v>
      </c>
      <c r="S65" s="459">
        <f t="shared" ca="1" si="157"/>
        <v>0</v>
      </c>
      <c r="T65" s="459">
        <f t="shared" ca="1" si="157"/>
        <v>0</v>
      </c>
      <c r="U65" s="459">
        <f t="shared" ca="1" si="157"/>
        <v>0</v>
      </c>
      <c r="V65" s="459">
        <f t="shared" ca="1" si="157"/>
        <v>0</v>
      </c>
      <c r="W65" s="459">
        <f t="shared" ca="1" si="157"/>
        <v>0</v>
      </c>
      <c r="X65" s="459">
        <f t="shared" ca="1" si="157"/>
        <v>0</v>
      </c>
      <c r="Y65" s="459">
        <f t="shared" ca="1" si="157"/>
        <v>0</v>
      </c>
      <c r="Z65" s="459">
        <f t="shared" ca="1" si="157"/>
        <v>0</v>
      </c>
      <c r="AA65" s="459">
        <f t="shared" ca="1" si="157"/>
        <v>0</v>
      </c>
      <c r="AB65" s="459">
        <f t="shared" ca="1" si="157"/>
        <v>0</v>
      </c>
      <c r="AC65" s="459">
        <f t="shared" ca="1" si="157"/>
        <v>0</v>
      </c>
      <c r="AD65" s="459">
        <f t="shared" ca="1" si="157"/>
        <v>0</v>
      </c>
      <c r="AE65" s="459">
        <f t="shared" ca="1" si="157"/>
        <v>0</v>
      </c>
      <c r="AF65" s="459">
        <f t="shared" ca="1" si="157"/>
        <v>0</v>
      </c>
      <c r="AG65" s="459">
        <f t="shared" ca="1" si="157"/>
        <v>0</v>
      </c>
      <c r="AH65" s="459">
        <f t="shared" ca="1" si="157"/>
        <v>0</v>
      </c>
      <c r="AI65" s="459">
        <f t="shared" ca="1" si="157"/>
        <v>0</v>
      </c>
      <c r="AJ65" s="459">
        <f t="shared" ca="1" si="157"/>
        <v>0</v>
      </c>
      <c r="AK65" s="459">
        <f t="shared" ca="1" si="157"/>
        <v>0</v>
      </c>
      <c r="AL65" s="459">
        <f t="shared" ca="1" si="157"/>
        <v>0</v>
      </c>
      <c r="AM65" s="459">
        <f t="shared" ref="AM65:BO65" ca="1" si="158">AM64*($B$54/(1-$B$54))</f>
        <v>0</v>
      </c>
      <c r="AN65" s="459">
        <f t="shared" ca="1" si="158"/>
        <v>0</v>
      </c>
      <c r="AO65" s="459">
        <f t="shared" ca="1" si="158"/>
        <v>0</v>
      </c>
      <c r="AP65" s="459">
        <f t="shared" ca="1" si="158"/>
        <v>0</v>
      </c>
      <c r="AQ65" s="459">
        <f t="shared" ca="1" si="158"/>
        <v>0</v>
      </c>
      <c r="AR65" s="459">
        <f t="shared" ca="1" si="158"/>
        <v>0</v>
      </c>
      <c r="AS65" s="459">
        <f t="shared" ca="1" si="158"/>
        <v>0</v>
      </c>
      <c r="AT65" s="459">
        <f t="shared" ca="1" si="158"/>
        <v>0</v>
      </c>
      <c r="AU65" s="459">
        <f t="shared" ca="1" si="158"/>
        <v>0</v>
      </c>
      <c r="AV65" s="459">
        <f t="shared" ca="1" si="158"/>
        <v>0</v>
      </c>
      <c r="AW65" s="459">
        <f t="shared" ca="1" si="158"/>
        <v>0</v>
      </c>
      <c r="AX65" s="459">
        <f t="shared" ca="1" si="158"/>
        <v>0</v>
      </c>
      <c r="AY65" s="459">
        <f t="shared" ca="1" si="158"/>
        <v>0</v>
      </c>
      <c r="AZ65" s="459">
        <f t="shared" ca="1" si="158"/>
        <v>0</v>
      </c>
      <c r="BA65" s="459">
        <f t="shared" ca="1" si="158"/>
        <v>0</v>
      </c>
      <c r="BB65" s="459">
        <f t="shared" ca="1" si="158"/>
        <v>0</v>
      </c>
      <c r="BC65" s="459">
        <f t="shared" ca="1" si="158"/>
        <v>0</v>
      </c>
      <c r="BD65" s="459">
        <f t="shared" ca="1" si="158"/>
        <v>0</v>
      </c>
      <c r="BE65" s="459">
        <f t="shared" ca="1" si="158"/>
        <v>0</v>
      </c>
      <c r="BF65" s="459">
        <f t="shared" ca="1" si="158"/>
        <v>0</v>
      </c>
      <c r="BG65" s="459">
        <f t="shared" ca="1" si="158"/>
        <v>0</v>
      </c>
      <c r="BH65" s="459">
        <f t="shared" ca="1" si="158"/>
        <v>0</v>
      </c>
      <c r="BI65" s="459">
        <f t="shared" ca="1" si="158"/>
        <v>0</v>
      </c>
      <c r="BJ65" s="459">
        <f t="shared" ca="1" si="158"/>
        <v>0</v>
      </c>
      <c r="BK65" s="459">
        <f t="shared" ca="1" si="158"/>
        <v>0</v>
      </c>
      <c r="BL65" s="459">
        <f t="shared" ca="1" si="158"/>
        <v>0</v>
      </c>
      <c r="BM65" s="459">
        <f t="shared" ca="1" si="158"/>
        <v>0</v>
      </c>
      <c r="BN65" s="459">
        <f t="shared" ca="1" si="158"/>
        <v>0</v>
      </c>
      <c r="BO65" s="459">
        <f t="shared" ca="1" si="158"/>
        <v>0</v>
      </c>
      <c r="BP65" s="459"/>
      <c r="BQ65" s="459"/>
      <c r="BR65" s="459"/>
      <c r="BS65" s="459"/>
      <c r="BT65" s="459"/>
      <c r="BU65" s="459"/>
      <c r="BV65" s="459"/>
      <c r="BW65" s="459"/>
      <c r="BX65" s="459"/>
      <c r="BY65" s="459"/>
      <c r="BZ65" s="459"/>
      <c r="CA65" s="459"/>
      <c r="CB65" s="459"/>
      <c r="CC65" s="459"/>
      <c r="CD65" s="459"/>
      <c r="CE65" s="459"/>
      <c r="CF65" s="459"/>
      <c r="CG65" s="459"/>
      <c r="CH65" s="459"/>
      <c r="CI65" s="459"/>
      <c r="CJ65" s="459"/>
      <c r="CK65" s="459"/>
      <c r="CL65" s="459"/>
      <c r="CM65" s="459"/>
      <c r="CN65" s="459"/>
      <c r="CO65" s="459"/>
      <c r="CP65" s="459"/>
      <c r="CQ65" s="459"/>
      <c r="CR65" s="459"/>
      <c r="CS65" s="459"/>
      <c r="CT65" s="459"/>
      <c r="CU65" s="459"/>
      <c r="CV65" s="459"/>
      <c r="CW65" s="459"/>
      <c r="CX65" s="459"/>
      <c r="CY65" s="459"/>
      <c r="CZ65" s="459"/>
      <c r="DA65" s="459"/>
      <c r="DB65" s="459"/>
      <c r="DC65" s="459"/>
      <c r="DD65" s="459"/>
      <c r="DE65" s="459"/>
      <c r="DF65" s="459"/>
      <c r="DG65" s="459"/>
      <c r="DH65" s="459"/>
      <c r="DI65" s="459"/>
      <c r="DJ65" s="459"/>
      <c r="DK65" s="459"/>
      <c r="DL65" s="459"/>
      <c r="DM65" s="459"/>
      <c r="DN65" s="459"/>
      <c r="DO65" s="459"/>
      <c r="DP65" s="459"/>
      <c r="DQ65" s="459"/>
      <c r="DR65" s="459"/>
      <c r="DS65" s="459"/>
      <c r="DT65" s="459"/>
      <c r="DU65" s="459"/>
      <c r="DV65" s="459"/>
      <c r="DW65" s="459"/>
    </row>
    <row r="66" spans="1:127">
      <c r="A66" s="881" t="s">
        <v>1240</v>
      </c>
      <c r="B66" s="708"/>
      <c r="C66" s="708"/>
      <c r="D66" s="568"/>
      <c r="E66" s="637"/>
      <c r="F66" s="637"/>
      <c r="G66" s="459">
        <f>SUM(G64:G65)</f>
        <v>0</v>
      </c>
      <c r="H66" s="459">
        <f t="shared" ref="H66" ca="1" si="159">SUM(H64:H65)</f>
        <v>1303.4832817636529</v>
      </c>
      <c r="I66" s="459">
        <f t="shared" ref="I66:BO66" ca="1" si="160">SUM(I64:I65)</f>
        <v>1254.2342056102223</v>
      </c>
      <c r="J66" s="459">
        <f t="shared" ca="1" si="160"/>
        <v>1222.5045746127719</v>
      </c>
      <c r="K66" s="459">
        <f t="shared" ca="1" si="160"/>
        <v>1179.1686397568308</v>
      </c>
      <c r="L66" s="459">
        <f t="shared" ca="1" si="160"/>
        <v>1150.7491055158007</v>
      </c>
      <c r="M66" s="459">
        <f t="shared" ca="1" si="160"/>
        <v>1098.6922268152643</v>
      </c>
      <c r="N66" s="459">
        <f t="shared" ca="1" si="160"/>
        <v>1079.3918774202323</v>
      </c>
      <c r="O66" s="459">
        <f t="shared" ca="1" si="160"/>
        <v>1025.4759121867562</v>
      </c>
      <c r="P66" s="459">
        <f t="shared" ca="1" si="160"/>
        <v>1005.2830826443115</v>
      </c>
      <c r="Q66" s="459">
        <f t="shared" ca="1" si="160"/>
        <v>949.36034772819858</v>
      </c>
      <c r="R66" s="459">
        <f t="shared" ca="1" si="160"/>
        <v>926.22742664951272</v>
      </c>
      <c r="S66" s="459">
        <f t="shared" ca="1" si="160"/>
        <v>873.14801318911304</v>
      </c>
      <c r="T66" s="459">
        <f t="shared" ca="1" si="160"/>
        <v>841.08760754281479</v>
      </c>
      <c r="U66" s="459">
        <f t="shared" ca="1" si="160"/>
        <v>780.74145787641362</v>
      </c>
      <c r="V66" s="459">
        <f t="shared" ca="1" si="160"/>
        <v>748.50120962724725</v>
      </c>
      <c r="W66" s="459">
        <f t="shared" ca="1" si="160"/>
        <v>685.75706943464161</v>
      </c>
      <c r="X66" s="459">
        <f t="shared" ca="1" si="160"/>
        <v>648.07395825226217</v>
      </c>
      <c r="Y66" s="459">
        <f t="shared" ca="1" si="160"/>
        <v>582.81645649261293</v>
      </c>
      <c r="Z66" s="459">
        <f t="shared" ca="1" si="160"/>
        <v>539.46979417363889</v>
      </c>
      <c r="AA66" s="459">
        <f t="shared" ca="1" si="160"/>
        <v>474.38890299858372</v>
      </c>
      <c r="AB66" s="459">
        <f t="shared" ca="1" si="160"/>
        <v>422.19244610535924</v>
      </c>
      <c r="AC66" s="459">
        <f t="shared" ca="1" si="160"/>
        <v>356.5746678738235</v>
      </c>
      <c r="AD66" s="459">
        <f t="shared" ca="1" si="160"/>
        <v>304.89519290119813</v>
      </c>
      <c r="AE66" s="459">
        <f t="shared" ca="1" si="160"/>
        <v>236.59445037416731</v>
      </c>
      <c r="AF66" s="459">
        <f t="shared" ca="1" si="160"/>
        <v>178.8331220524592</v>
      </c>
      <c r="AG66" s="459">
        <f t="shared" ca="1" si="160"/>
        <v>131.47044194950257</v>
      </c>
      <c r="AH66" s="459">
        <f t="shared" ca="1" si="160"/>
        <v>90.72868608476189</v>
      </c>
      <c r="AI66" s="459">
        <f t="shared" ca="1" si="160"/>
        <v>43.23513268617058</v>
      </c>
      <c r="AJ66" s="459">
        <f t="shared" ca="1" si="160"/>
        <v>0</v>
      </c>
      <c r="AK66" s="459">
        <f t="shared" ca="1" si="160"/>
        <v>0</v>
      </c>
      <c r="AL66" s="459">
        <f t="shared" ca="1" si="160"/>
        <v>0</v>
      </c>
      <c r="AM66" s="459">
        <f t="shared" ca="1" si="160"/>
        <v>0</v>
      </c>
      <c r="AN66" s="459">
        <f t="shared" ca="1" si="160"/>
        <v>0</v>
      </c>
      <c r="AO66" s="459">
        <f t="shared" ca="1" si="160"/>
        <v>0</v>
      </c>
      <c r="AP66" s="459">
        <f t="shared" ca="1" si="160"/>
        <v>0</v>
      </c>
      <c r="AQ66" s="459">
        <f t="shared" ca="1" si="160"/>
        <v>0</v>
      </c>
      <c r="AR66" s="459">
        <f t="shared" ca="1" si="160"/>
        <v>0</v>
      </c>
      <c r="AS66" s="459">
        <f t="shared" ca="1" si="160"/>
        <v>0</v>
      </c>
      <c r="AT66" s="459">
        <f t="shared" ca="1" si="160"/>
        <v>0</v>
      </c>
      <c r="AU66" s="459">
        <f t="shared" ca="1" si="160"/>
        <v>0</v>
      </c>
      <c r="AV66" s="459">
        <f t="shared" ca="1" si="160"/>
        <v>0</v>
      </c>
      <c r="AW66" s="459">
        <f t="shared" ca="1" si="160"/>
        <v>0</v>
      </c>
      <c r="AX66" s="459">
        <f t="shared" ca="1" si="160"/>
        <v>0</v>
      </c>
      <c r="AY66" s="459">
        <f t="shared" ca="1" si="160"/>
        <v>0</v>
      </c>
      <c r="AZ66" s="459">
        <f t="shared" ca="1" si="160"/>
        <v>0</v>
      </c>
      <c r="BA66" s="459">
        <f t="shared" ca="1" si="160"/>
        <v>0</v>
      </c>
      <c r="BB66" s="459">
        <f t="shared" ca="1" si="160"/>
        <v>0</v>
      </c>
      <c r="BC66" s="459">
        <f t="shared" ca="1" si="160"/>
        <v>0</v>
      </c>
      <c r="BD66" s="459">
        <f t="shared" ca="1" si="160"/>
        <v>0</v>
      </c>
      <c r="BE66" s="459">
        <f t="shared" ca="1" si="160"/>
        <v>0</v>
      </c>
      <c r="BF66" s="459">
        <f t="shared" ca="1" si="160"/>
        <v>0</v>
      </c>
      <c r="BG66" s="459">
        <f t="shared" ca="1" si="160"/>
        <v>0</v>
      </c>
      <c r="BH66" s="459">
        <f t="shared" ca="1" si="160"/>
        <v>0</v>
      </c>
      <c r="BI66" s="459">
        <f t="shared" ca="1" si="160"/>
        <v>0</v>
      </c>
      <c r="BJ66" s="459">
        <f t="shared" ca="1" si="160"/>
        <v>0</v>
      </c>
      <c r="BK66" s="459">
        <f t="shared" ca="1" si="160"/>
        <v>0</v>
      </c>
      <c r="BL66" s="459">
        <f t="shared" ca="1" si="160"/>
        <v>0</v>
      </c>
      <c r="BM66" s="459">
        <f t="shared" ca="1" si="160"/>
        <v>0</v>
      </c>
      <c r="BN66" s="459">
        <f t="shared" ca="1" si="160"/>
        <v>0</v>
      </c>
      <c r="BO66" s="459">
        <f t="shared" ca="1" si="160"/>
        <v>0</v>
      </c>
      <c r="BP66" s="459"/>
      <c r="BQ66" s="459"/>
      <c r="BR66" s="459"/>
      <c r="BS66" s="459"/>
      <c r="BT66" s="459"/>
      <c r="BU66" s="459"/>
      <c r="BV66" s="459"/>
      <c r="BW66" s="459"/>
      <c r="BX66" s="459"/>
      <c r="BY66" s="459"/>
      <c r="BZ66" s="459"/>
      <c r="CA66" s="459"/>
      <c r="CB66" s="459"/>
      <c r="CC66" s="459"/>
      <c r="CD66" s="459"/>
      <c r="CE66" s="459"/>
      <c r="CF66" s="459"/>
      <c r="CG66" s="459"/>
      <c r="CH66" s="459"/>
      <c r="CI66" s="459"/>
      <c r="CJ66" s="459"/>
      <c r="CK66" s="459"/>
      <c r="CL66" s="459"/>
      <c r="CM66" s="459"/>
      <c r="CN66" s="459"/>
      <c r="CO66" s="459"/>
      <c r="CP66" s="459"/>
      <c r="CQ66" s="459"/>
      <c r="CR66" s="459"/>
      <c r="CS66" s="459"/>
      <c r="CT66" s="459"/>
      <c r="CU66" s="459"/>
      <c r="CV66" s="459"/>
      <c r="CW66" s="459"/>
      <c r="CX66" s="459"/>
      <c r="CY66" s="459"/>
      <c r="CZ66" s="459"/>
      <c r="DA66" s="459"/>
      <c r="DB66" s="459"/>
      <c r="DC66" s="459"/>
      <c r="DD66" s="459"/>
      <c r="DE66" s="459"/>
      <c r="DF66" s="459"/>
      <c r="DG66" s="459"/>
      <c r="DH66" s="459"/>
      <c r="DI66" s="459"/>
      <c r="DJ66" s="459"/>
      <c r="DK66" s="459"/>
      <c r="DL66" s="459"/>
      <c r="DM66" s="459"/>
      <c r="DN66" s="459"/>
      <c r="DO66" s="459"/>
      <c r="DP66" s="459"/>
      <c r="DQ66" s="459"/>
      <c r="DR66" s="459"/>
      <c r="DS66" s="459"/>
      <c r="DT66" s="459"/>
      <c r="DU66" s="459"/>
      <c r="DV66" s="459"/>
      <c r="DW66" s="459"/>
    </row>
    <row r="67" spans="1:127">
      <c r="A67" s="874" t="s">
        <v>1154</v>
      </c>
      <c r="B67" s="708"/>
      <c r="C67" s="708"/>
      <c r="D67" s="568"/>
      <c r="E67" s="637"/>
      <c r="F67" s="303"/>
      <c r="G67" s="459">
        <f ca="1">G61+G62-G63</f>
        <v>42852.278762562994</v>
      </c>
      <c r="H67" s="459">
        <f t="shared" ref="H67" ca="1" si="161">H61+H62-H63</f>
        <v>41916.628631472289</v>
      </c>
      <c r="I67" s="459">
        <f t="shared" ref="I67:BO67" ca="1" si="162">I61+I62-I63</f>
        <v>40968.237034220343</v>
      </c>
      <c r="J67" s="459">
        <f t="shared" ca="1" si="162"/>
        <v>39950.216590274118</v>
      </c>
      <c r="K67" s="459">
        <f t="shared" ca="1" si="162"/>
        <v>38859.108189732804</v>
      </c>
      <c r="L67" s="459">
        <f t="shared" ca="1" si="162"/>
        <v>37716.161217800036</v>
      </c>
      <c r="M67" s="459">
        <f t="shared" ca="1" si="162"/>
        <v>36511.487967204775</v>
      </c>
      <c r="N67" s="459">
        <f t="shared" ca="1" si="162"/>
        <v>35262.662321829703</v>
      </c>
      <c r="O67" s="459">
        <f t="shared" ca="1" si="162"/>
        <v>33969.447834462619</v>
      </c>
      <c r="P67" s="459">
        <f t="shared" ca="1" si="162"/>
        <v>32611.475590462309</v>
      </c>
      <c r="Q67" s="459">
        <f t="shared" ca="1" si="162"/>
        <v>31226.894025768397</v>
      </c>
      <c r="R67" s="459">
        <f t="shared" ca="1" si="162"/>
        <v>29760.85868947026</v>
      </c>
      <c r="S67" s="459">
        <f t="shared" ca="1" si="162"/>
        <v>28278.130046443679</v>
      </c>
      <c r="T67" s="459">
        <f t="shared" ca="1" si="162"/>
        <v>26684.307867492797</v>
      </c>
      <c r="U67" s="459">
        <f t="shared" ca="1" si="162"/>
        <v>25102.140699368116</v>
      </c>
      <c r="V67" s="459">
        <f t="shared" ca="1" si="162"/>
        <v>23379.100320323705</v>
      </c>
      <c r="W67" s="459">
        <f t="shared" ca="1" si="162"/>
        <v>21688.654381018583</v>
      </c>
      <c r="X67" s="459">
        <f t="shared" ca="1" si="162"/>
        <v>19828.008294904139</v>
      </c>
      <c r="Y67" s="459">
        <f t="shared" ca="1" si="162"/>
        <v>18022.258457267504</v>
      </c>
      <c r="Z67" s="459">
        <f t="shared" ca="1" si="162"/>
        <v>16022.232782741659</v>
      </c>
      <c r="AA67" s="459">
        <f t="shared" ca="1" si="162"/>
        <v>14089.320783615165</v>
      </c>
      <c r="AB67" s="459">
        <f t="shared" ca="1" si="162"/>
        <v>12096.767485995271</v>
      </c>
      <c r="AC67" s="459">
        <f t="shared" ca="1" si="162"/>
        <v>10176.150326634261</v>
      </c>
      <c r="AD67" s="459">
        <f t="shared" ca="1" si="162"/>
        <v>8027.4339045063025</v>
      </c>
      <c r="AE67" s="459">
        <f t="shared" ca="1" si="162"/>
        <v>5976.0557171488208</v>
      </c>
      <c r="AF67" s="459">
        <f t="shared" ca="1" si="162"/>
        <v>4466.1576639190689</v>
      </c>
      <c r="AG67" s="459">
        <f t="shared" ca="1" si="162"/>
        <v>3039.2254154894881</v>
      </c>
      <c r="AH67" s="459">
        <f t="shared" ca="1" si="162"/>
        <v>1464.2037741227421</v>
      </c>
      <c r="AI67" s="459">
        <f t="shared" ca="1" si="162"/>
        <v>0</v>
      </c>
      <c r="AJ67" s="459">
        <f t="shared" ca="1" si="162"/>
        <v>0</v>
      </c>
      <c r="AK67" s="459">
        <f t="shared" ca="1" si="162"/>
        <v>0</v>
      </c>
      <c r="AL67" s="459">
        <f t="shared" ca="1" si="162"/>
        <v>0</v>
      </c>
      <c r="AM67" s="459">
        <f t="shared" ca="1" si="162"/>
        <v>0</v>
      </c>
      <c r="AN67" s="459">
        <f t="shared" ca="1" si="162"/>
        <v>0</v>
      </c>
      <c r="AO67" s="459">
        <f t="shared" ca="1" si="162"/>
        <v>0</v>
      </c>
      <c r="AP67" s="459">
        <f t="shared" ca="1" si="162"/>
        <v>0</v>
      </c>
      <c r="AQ67" s="459">
        <f t="shared" ca="1" si="162"/>
        <v>0</v>
      </c>
      <c r="AR67" s="459">
        <f t="shared" ca="1" si="162"/>
        <v>0</v>
      </c>
      <c r="AS67" s="459">
        <f t="shared" ca="1" si="162"/>
        <v>0</v>
      </c>
      <c r="AT67" s="459">
        <f t="shared" ca="1" si="162"/>
        <v>0</v>
      </c>
      <c r="AU67" s="459">
        <f t="shared" ca="1" si="162"/>
        <v>0</v>
      </c>
      <c r="AV67" s="459">
        <f t="shared" ca="1" si="162"/>
        <v>0</v>
      </c>
      <c r="AW67" s="459">
        <f t="shared" ca="1" si="162"/>
        <v>0</v>
      </c>
      <c r="AX67" s="459">
        <f t="shared" ca="1" si="162"/>
        <v>0</v>
      </c>
      <c r="AY67" s="459">
        <f t="shared" ca="1" si="162"/>
        <v>0</v>
      </c>
      <c r="AZ67" s="459">
        <f t="shared" ca="1" si="162"/>
        <v>0</v>
      </c>
      <c r="BA67" s="459">
        <f t="shared" ca="1" si="162"/>
        <v>0</v>
      </c>
      <c r="BB67" s="459">
        <f t="shared" ca="1" si="162"/>
        <v>0</v>
      </c>
      <c r="BC67" s="459">
        <f t="shared" ca="1" si="162"/>
        <v>0</v>
      </c>
      <c r="BD67" s="459">
        <f t="shared" ca="1" si="162"/>
        <v>0</v>
      </c>
      <c r="BE67" s="459">
        <f t="shared" ca="1" si="162"/>
        <v>0</v>
      </c>
      <c r="BF67" s="459">
        <f t="shared" ca="1" si="162"/>
        <v>0</v>
      </c>
      <c r="BG67" s="459">
        <f t="shared" ca="1" si="162"/>
        <v>0</v>
      </c>
      <c r="BH67" s="459">
        <f t="shared" ca="1" si="162"/>
        <v>0</v>
      </c>
      <c r="BI67" s="459">
        <f t="shared" ca="1" si="162"/>
        <v>0</v>
      </c>
      <c r="BJ67" s="459">
        <f t="shared" ca="1" si="162"/>
        <v>0</v>
      </c>
      <c r="BK67" s="459">
        <f t="shared" ca="1" si="162"/>
        <v>0</v>
      </c>
      <c r="BL67" s="459">
        <f t="shared" ca="1" si="162"/>
        <v>0</v>
      </c>
      <c r="BM67" s="459">
        <f t="shared" ca="1" si="162"/>
        <v>0</v>
      </c>
      <c r="BN67" s="459">
        <f t="shared" ca="1" si="162"/>
        <v>0</v>
      </c>
      <c r="BO67" s="459">
        <f t="shared" ca="1" si="162"/>
        <v>0</v>
      </c>
      <c r="BP67" s="459"/>
      <c r="BQ67" s="459"/>
      <c r="BR67" s="459"/>
      <c r="BS67" s="459"/>
      <c r="BT67" s="459"/>
      <c r="BU67" s="459"/>
      <c r="BV67" s="459"/>
      <c r="BW67" s="459"/>
      <c r="BX67" s="459"/>
      <c r="BY67" s="459"/>
      <c r="BZ67" s="459"/>
      <c r="CA67" s="459"/>
      <c r="CB67" s="459"/>
      <c r="CC67" s="459"/>
      <c r="CD67" s="459"/>
      <c r="CE67" s="459"/>
      <c r="CF67" s="459"/>
      <c r="CG67" s="459"/>
      <c r="CH67" s="459"/>
      <c r="CI67" s="459"/>
      <c r="CJ67" s="459"/>
      <c r="CK67" s="459"/>
      <c r="CL67" s="459"/>
      <c r="CM67" s="459"/>
      <c r="CN67" s="459"/>
      <c r="CO67" s="459"/>
      <c r="CP67" s="459"/>
      <c r="CQ67" s="459"/>
      <c r="CR67" s="459"/>
      <c r="CS67" s="459"/>
      <c r="CT67" s="459"/>
      <c r="CU67" s="459"/>
      <c r="CV67" s="459"/>
      <c r="CW67" s="459"/>
      <c r="CX67" s="459"/>
      <c r="CY67" s="459"/>
      <c r="CZ67" s="459"/>
      <c r="DA67" s="459"/>
      <c r="DB67" s="459"/>
      <c r="DC67" s="459"/>
      <c r="DD67" s="459"/>
      <c r="DE67" s="459"/>
      <c r="DF67" s="459"/>
      <c r="DG67" s="459"/>
      <c r="DH67" s="459"/>
      <c r="DI67" s="459"/>
      <c r="DJ67" s="459"/>
      <c r="DK67" s="459"/>
      <c r="DL67" s="459"/>
      <c r="DM67" s="459"/>
      <c r="DN67" s="459"/>
      <c r="DO67" s="459"/>
      <c r="DP67" s="459"/>
      <c r="DQ67" s="459"/>
      <c r="DR67" s="459"/>
      <c r="DS67" s="459"/>
      <c r="DT67" s="459"/>
      <c r="DU67" s="459"/>
      <c r="DV67" s="459"/>
      <c r="DW67" s="459"/>
    </row>
    <row r="68" spans="1:127">
      <c r="A68" s="860" t="str">
        <f>A60</f>
        <v>Facility Bank 1</v>
      </c>
      <c r="B68" s="708"/>
      <c r="C68" s="708"/>
      <c r="D68" s="568"/>
      <c r="E68" s="637"/>
      <c r="F68" s="637"/>
      <c r="G68" s="575">
        <f>SUM(G63:G64)</f>
        <v>0</v>
      </c>
      <c r="H68" s="575">
        <f t="shared" ref="H68:BO68" ca="1" si="163">SUM(H63:H64)</f>
        <v>2239.1334128543558</v>
      </c>
      <c r="I68" s="575">
        <f t="shared" ca="1" si="163"/>
        <v>2202.625802862166</v>
      </c>
      <c r="J68" s="575">
        <f t="shared" ca="1" si="163"/>
        <v>2240.5250185589962</v>
      </c>
      <c r="K68" s="575">
        <f t="shared" ca="1" si="163"/>
        <v>2270.2770402981473</v>
      </c>
      <c r="L68" s="575">
        <f t="shared" ca="1" si="163"/>
        <v>2293.6960774485656</v>
      </c>
      <c r="M68" s="575">
        <f t="shared" ca="1" si="163"/>
        <v>2303.3654774105221</v>
      </c>
      <c r="N68" s="575">
        <f t="shared" ca="1" si="163"/>
        <v>2328.2175227953076</v>
      </c>
      <c r="O68" s="575">
        <f t="shared" ca="1" si="163"/>
        <v>2318.6903995538428</v>
      </c>
      <c r="P68" s="575">
        <f t="shared" ca="1" si="163"/>
        <v>2363.2553266446221</v>
      </c>
      <c r="Q68" s="575">
        <f t="shared" ca="1" si="163"/>
        <v>2333.9419124221117</v>
      </c>
      <c r="R68" s="575">
        <f t="shared" ca="1" si="163"/>
        <v>2392.2627629476492</v>
      </c>
      <c r="S68" s="575">
        <f t="shared" ca="1" si="163"/>
        <v>2355.8766562156934</v>
      </c>
      <c r="T68" s="575">
        <f t="shared" ca="1" si="163"/>
        <v>2434.9097864936957</v>
      </c>
      <c r="U68" s="575">
        <f t="shared" ca="1" si="163"/>
        <v>2362.9086260010927</v>
      </c>
      <c r="V68" s="575">
        <f t="shared" ca="1" si="163"/>
        <v>2471.5415886716596</v>
      </c>
      <c r="W68" s="575">
        <f t="shared" ca="1" si="163"/>
        <v>2376.2030087397643</v>
      </c>
      <c r="X68" s="575">
        <f t="shared" ca="1" si="163"/>
        <v>2508.7200443667057</v>
      </c>
      <c r="Y68" s="575">
        <f t="shared" ca="1" si="163"/>
        <v>2388.5662941292467</v>
      </c>
      <c r="Z68" s="575">
        <f t="shared" ca="1" si="163"/>
        <v>2539.4954686994829</v>
      </c>
      <c r="AA68" s="575">
        <f t="shared" ca="1" si="163"/>
        <v>2407.3009021250778</v>
      </c>
      <c r="AB68" s="575">
        <f t="shared" ca="1" si="163"/>
        <v>2414.7457437252533</v>
      </c>
      <c r="AC68" s="575">
        <f t="shared" ca="1" si="163"/>
        <v>2277.1918272348348</v>
      </c>
      <c r="AD68" s="575">
        <f t="shared" ca="1" si="163"/>
        <v>2453.6116150291564</v>
      </c>
      <c r="AE68" s="575">
        <f t="shared" ca="1" si="163"/>
        <v>2287.9726377316492</v>
      </c>
      <c r="AF68" s="575">
        <f t="shared" ca="1" si="163"/>
        <v>1688.7311752822109</v>
      </c>
      <c r="AG68" s="575">
        <f t="shared" ca="1" si="163"/>
        <v>1558.4026903790832</v>
      </c>
      <c r="AH68" s="575">
        <f t="shared" ca="1" si="163"/>
        <v>1665.7503274515079</v>
      </c>
      <c r="AI68" s="575">
        <f t="shared" ca="1" si="163"/>
        <v>1507.4389068089126</v>
      </c>
      <c r="AJ68" s="575">
        <f t="shared" ca="1" si="163"/>
        <v>0</v>
      </c>
      <c r="AK68" s="575">
        <f t="shared" ca="1" si="163"/>
        <v>0</v>
      </c>
      <c r="AL68" s="575">
        <f t="shared" ca="1" si="163"/>
        <v>0</v>
      </c>
      <c r="AM68" s="575">
        <f t="shared" ca="1" si="163"/>
        <v>0</v>
      </c>
      <c r="AN68" s="575">
        <f t="shared" ca="1" si="163"/>
        <v>0</v>
      </c>
      <c r="AO68" s="575">
        <f t="shared" ca="1" si="163"/>
        <v>0</v>
      </c>
      <c r="AP68" s="575">
        <f t="shared" ca="1" si="163"/>
        <v>0</v>
      </c>
      <c r="AQ68" s="575">
        <f t="shared" ca="1" si="163"/>
        <v>0</v>
      </c>
      <c r="AR68" s="575">
        <f t="shared" ca="1" si="163"/>
        <v>0</v>
      </c>
      <c r="AS68" s="575">
        <f t="shared" ca="1" si="163"/>
        <v>0</v>
      </c>
      <c r="AT68" s="575">
        <f t="shared" ca="1" si="163"/>
        <v>0</v>
      </c>
      <c r="AU68" s="575">
        <f t="shared" ca="1" si="163"/>
        <v>0</v>
      </c>
      <c r="AV68" s="575">
        <f t="shared" ca="1" si="163"/>
        <v>0</v>
      </c>
      <c r="AW68" s="575">
        <f t="shared" ca="1" si="163"/>
        <v>0</v>
      </c>
      <c r="AX68" s="575">
        <f t="shared" ca="1" si="163"/>
        <v>0</v>
      </c>
      <c r="AY68" s="575">
        <f t="shared" ca="1" si="163"/>
        <v>0</v>
      </c>
      <c r="AZ68" s="575">
        <f t="shared" ca="1" si="163"/>
        <v>0</v>
      </c>
      <c r="BA68" s="575">
        <f t="shared" ca="1" si="163"/>
        <v>0</v>
      </c>
      <c r="BB68" s="575">
        <f t="shared" ca="1" si="163"/>
        <v>0</v>
      </c>
      <c r="BC68" s="575">
        <f t="shared" ca="1" si="163"/>
        <v>0</v>
      </c>
      <c r="BD68" s="575">
        <f t="shared" ca="1" si="163"/>
        <v>0</v>
      </c>
      <c r="BE68" s="575">
        <f t="shared" ca="1" si="163"/>
        <v>0</v>
      </c>
      <c r="BF68" s="575">
        <f t="shared" ca="1" si="163"/>
        <v>0</v>
      </c>
      <c r="BG68" s="575">
        <f t="shared" ca="1" si="163"/>
        <v>0</v>
      </c>
      <c r="BH68" s="575">
        <f t="shared" ca="1" si="163"/>
        <v>0</v>
      </c>
      <c r="BI68" s="575">
        <f t="shared" ca="1" si="163"/>
        <v>0</v>
      </c>
      <c r="BJ68" s="575">
        <f t="shared" ca="1" si="163"/>
        <v>0</v>
      </c>
      <c r="BK68" s="575">
        <f t="shared" ca="1" si="163"/>
        <v>0</v>
      </c>
      <c r="BL68" s="575">
        <f t="shared" ca="1" si="163"/>
        <v>0</v>
      </c>
      <c r="BM68" s="575">
        <f t="shared" ca="1" si="163"/>
        <v>0</v>
      </c>
      <c r="BN68" s="575">
        <f t="shared" ca="1" si="163"/>
        <v>0</v>
      </c>
      <c r="BO68" s="575">
        <f t="shared" ca="1" si="163"/>
        <v>0</v>
      </c>
      <c r="BP68" s="575"/>
      <c r="BQ68" s="575"/>
      <c r="BR68" s="575"/>
      <c r="BS68" s="575"/>
      <c r="BT68" s="575"/>
      <c r="BU68" s="575"/>
      <c r="BV68" s="575"/>
      <c r="BW68" s="575"/>
      <c r="BX68" s="575"/>
      <c r="BY68" s="575"/>
      <c r="BZ68" s="575"/>
      <c r="CA68" s="575"/>
      <c r="CB68" s="575"/>
      <c r="CC68" s="575"/>
      <c r="CD68" s="575"/>
      <c r="CE68" s="575"/>
      <c r="CF68" s="575"/>
      <c r="CG68" s="575"/>
      <c r="CH68" s="575"/>
      <c r="CI68" s="575"/>
      <c r="CJ68" s="575"/>
      <c r="CK68" s="575"/>
      <c r="CL68" s="575"/>
      <c r="CM68" s="575"/>
      <c r="CN68" s="575"/>
      <c r="CO68" s="575"/>
      <c r="CP68" s="575"/>
      <c r="CQ68" s="575"/>
      <c r="CR68" s="575"/>
      <c r="CS68" s="575"/>
      <c r="CT68" s="575"/>
      <c r="CU68" s="575"/>
      <c r="CV68" s="575"/>
      <c r="CW68" s="575"/>
      <c r="CX68" s="575"/>
      <c r="CY68" s="575"/>
      <c r="CZ68" s="575"/>
      <c r="DA68" s="575"/>
      <c r="DB68" s="575"/>
      <c r="DC68" s="575"/>
      <c r="DD68" s="575"/>
      <c r="DE68" s="575"/>
      <c r="DF68" s="575"/>
      <c r="DG68" s="575"/>
      <c r="DH68" s="575"/>
      <c r="DI68" s="575"/>
      <c r="DJ68" s="575"/>
      <c r="DK68" s="575"/>
      <c r="DL68" s="575"/>
      <c r="DM68" s="575"/>
      <c r="DN68" s="575"/>
      <c r="DO68" s="575"/>
      <c r="DP68" s="575"/>
      <c r="DQ68" s="575"/>
      <c r="DR68" s="575"/>
      <c r="DS68" s="575"/>
      <c r="DT68" s="575"/>
      <c r="DU68" s="575"/>
      <c r="DV68" s="575"/>
      <c r="DW68" s="575"/>
    </row>
    <row r="69" spans="1:127">
      <c r="B69" s="708"/>
      <c r="C69" s="708"/>
      <c r="D69" s="568"/>
      <c r="E69" s="637"/>
      <c r="F69" s="637"/>
      <c r="G69" s="459"/>
      <c r="H69" s="459"/>
      <c r="I69" s="459"/>
      <c r="J69" s="459"/>
      <c r="K69" s="459"/>
      <c r="L69" s="459"/>
      <c r="M69" s="459"/>
      <c r="N69" s="459"/>
      <c r="O69" s="459"/>
      <c r="P69" s="459"/>
      <c r="Q69" s="459"/>
      <c r="R69" s="459"/>
      <c r="S69" s="459"/>
      <c r="T69" s="459"/>
      <c r="U69" s="459"/>
      <c r="V69" s="459"/>
      <c r="W69" s="459"/>
      <c r="X69" s="459"/>
      <c r="Y69" s="459"/>
      <c r="Z69" s="459"/>
      <c r="AA69" s="459"/>
      <c r="AB69" s="459"/>
      <c r="AC69" s="459"/>
      <c r="AD69" s="459"/>
      <c r="AE69" s="459"/>
      <c r="AF69" s="459"/>
      <c r="AG69" s="459"/>
      <c r="AH69" s="459"/>
      <c r="AI69" s="459"/>
      <c r="AJ69" s="459"/>
      <c r="AK69" s="459"/>
      <c r="AL69" s="459"/>
      <c r="AM69" s="459"/>
      <c r="AN69" s="459"/>
      <c r="AO69" s="459"/>
      <c r="AP69" s="459"/>
      <c r="AQ69" s="459"/>
      <c r="AR69" s="459"/>
      <c r="AS69" s="459"/>
      <c r="AT69" s="459"/>
      <c r="AU69" s="459"/>
      <c r="AV69" s="459"/>
      <c r="AW69" s="459"/>
      <c r="AX69" s="459"/>
      <c r="AY69" s="459"/>
      <c r="AZ69" s="459"/>
      <c r="BA69" s="459"/>
      <c r="BB69" s="459"/>
      <c r="BC69" s="459"/>
      <c r="BD69" s="459"/>
      <c r="BE69" s="459"/>
      <c r="BF69" s="459"/>
      <c r="BG69" s="459"/>
      <c r="BH69" s="459"/>
      <c r="BI69" s="459"/>
      <c r="BJ69" s="459"/>
      <c r="BK69" s="459"/>
      <c r="BL69" s="459"/>
      <c r="BM69" s="459"/>
      <c r="BN69" s="459"/>
      <c r="BO69" s="459"/>
      <c r="BP69" s="459"/>
      <c r="BQ69" s="459"/>
      <c r="BR69" s="459"/>
      <c r="BS69" s="459"/>
      <c r="BT69" s="459"/>
      <c r="BU69" s="459"/>
      <c r="BV69" s="459"/>
      <c r="BW69" s="459"/>
      <c r="BX69" s="459"/>
      <c r="BY69" s="459"/>
      <c r="BZ69" s="459"/>
      <c r="CA69" s="459"/>
      <c r="CB69" s="459"/>
      <c r="CC69" s="459"/>
      <c r="CD69" s="459"/>
      <c r="CE69" s="459"/>
      <c r="CF69" s="459"/>
      <c r="CG69" s="459"/>
      <c r="CH69" s="459"/>
      <c r="CI69" s="459"/>
      <c r="CJ69" s="459"/>
      <c r="CK69" s="459"/>
      <c r="CL69" s="459"/>
      <c r="CM69" s="459"/>
      <c r="CN69" s="459"/>
      <c r="CO69" s="459"/>
      <c r="CP69" s="459"/>
      <c r="CQ69" s="459"/>
      <c r="CR69" s="459"/>
      <c r="CS69" s="459"/>
      <c r="CT69" s="459"/>
      <c r="CU69" s="459"/>
      <c r="CV69" s="459"/>
      <c r="CW69" s="459"/>
      <c r="CX69" s="459"/>
      <c r="CY69" s="459"/>
      <c r="CZ69" s="459"/>
      <c r="DA69" s="459"/>
      <c r="DB69" s="459"/>
      <c r="DC69" s="459"/>
      <c r="DD69" s="459"/>
      <c r="DE69" s="459"/>
      <c r="DF69" s="459"/>
      <c r="DG69" s="459"/>
      <c r="DH69" s="459"/>
      <c r="DI69" s="459"/>
      <c r="DJ69" s="459"/>
      <c r="DK69" s="459"/>
      <c r="DL69" s="459"/>
      <c r="DM69" s="459"/>
      <c r="DN69" s="459"/>
      <c r="DO69" s="459"/>
      <c r="DP69" s="459"/>
      <c r="DQ69" s="459"/>
      <c r="DR69" s="459"/>
      <c r="DS69" s="459"/>
      <c r="DT69" s="459"/>
      <c r="DU69" s="459"/>
      <c r="DV69" s="459"/>
      <c r="DW69" s="459"/>
    </row>
    <row r="70" spans="1:127">
      <c r="A70" s="860" t="str">
        <f>Inputs!A210</f>
        <v>Facility Bank 2</v>
      </c>
      <c r="B70" s="726">
        <f>Inputs!D210</f>
        <v>0</v>
      </c>
      <c r="C70" s="726"/>
      <c r="D70" s="568"/>
      <c r="E70" s="637"/>
      <c r="F70" s="637"/>
      <c r="G70" s="459"/>
      <c r="H70" s="459"/>
      <c r="I70" s="459"/>
      <c r="J70" s="459"/>
      <c r="K70" s="459"/>
      <c r="L70" s="459"/>
      <c r="M70" s="459"/>
      <c r="N70" s="459"/>
      <c r="O70" s="459"/>
      <c r="P70" s="459"/>
      <c r="Q70" s="459"/>
      <c r="R70" s="459"/>
      <c r="S70" s="459"/>
      <c r="T70" s="459"/>
      <c r="U70" s="459"/>
      <c r="V70" s="459"/>
      <c r="W70" s="459"/>
      <c r="X70" s="459"/>
      <c r="Y70" s="459"/>
      <c r="Z70" s="459"/>
      <c r="AA70" s="459"/>
      <c r="AB70" s="459"/>
      <c r="AC70" s="459"/>
      <c r="AD70" s="459"/>
      <c r="AE70" s="459"/>
      <c r="AF70" s="459"/>
      <c r="AG70" s="459"/>
      <c r="AH70" s="459"/>
      <c r="AI70" s="459"/>
      <c r="AJ70" s="459"/>
      <c r="AK70" s="459"/>
      <c r="AL70" s="459"/>
      <c r="AM70" s="459"/>
      <c r="AN70" s="459"/>
      <c r="AO70" s="459"/>
      <c r="AP70" s="459"/>
      <c r="AQ70" s="459"/>
      <c r="AR70" s="459"/>
      <c r="AS70" s="459"/>
      <c r="AT70" s="459"/>
      <c r="AU70" s="459"/>
      <c r="AV70" s="459"/>
      <c r="AW70" s="459"/>
      <c r="AX70" s="459"/>
      <c r="AY70" s="459"/>
      <c r="AZ70" s="459"/>
      <c r="BA70" s="459"/>
      <c r="BB70" s="459"/>
      <c r="BC70" s="459"/>
      <c r="BD70" s="459"/>
      <c r="BE70" s="459"/>
      <c r="BF70" s="459"/>
      <c r="BG70" s="459"/>
      <c r="BH70" s="459"/>
      <c r="BI70" s="459"/>
      <c r="BJ70" s="459"/>
      <c r="BK70" s="459"/>
      <c r="BL70" s="459"/>
      <c r="BM70" s="459"/>
      <c r="BN70" s="459"/>
      <c r="BO70" s="459"/>
      <c r="BP70" s="459"/>
      <c r="BQ70" s="459"/>
      <c r="BR70" s="459"/>
      <c r="BS70" s="459"/>
      <c r="BT70" s="459"/>
      <c r="BU70" s="459"/>
      <c r="BV70" s="459"/>
      <c r="BW70" s="459"/>
      <c r="BX70" s="459"/>
      <c r="BY70" s="459"/>
      <c r="BZ70" s="459"/>
      <c r="CA70" s="459"/>
      <c r="CB70" s="459"/>
      <c r="CC70" s="459"/>
      <c r="CD70" s="459"/>
      <c r="CE70" s="459"/>
      <c r="CF70" s="459"/>
      <c r="CG70" s="459"/>
      <c r="CH70" s="459"/>
      <c r="CI70" s="459"/>
      <c r="CJ70" s="459"/>
      <c r="CK70" s="459"/>
      <c r="CL70" s="459"/>
      <c r="CM70" s="459"/>
      <c r="CN70" s="459"/>
      <c r="CO70" s="459"/>
      <c r="CP70" s="459"/>
      <c r="CQ70" s="459"/>
      <c r="CR70" s="459"/>
      <c r="CS70" s="459"/>
      <c r="CT70" s="459"/>
      <c r="CU70" s="459"/>
      <c r="CV70" s="459"/>
      <c r="CW70" s="459"/>
      <c r="CX70" s="459"/>
      <c r="CY70" s="459"/>
      <c r="CZ70" s="459"/>
      <c r="DA70" s="459"/>
      <c r="DB70" s="459"/>
      <c r="DC70" s="459"/>
      <c r="DD70" s="459"/>
      <c r="DE70" s="459"/>
      <c r="DF70" s="459"/>
      <c r="DG70" s="459"/>
      <c r="DH70" s="459"/>
      <c r="DI70" s="459"/>
      <c r="DJ70" s="459"/>
      <c r="DK70" s="459"/>
      <c r="DL70" s="459"/>
      <c r="DM70" s="459"/>
      <c r="DN70" s="459"/>
      <c r="DO70" s="459"/>
      <c r="DP70" s="459"/>
      <c r="DQ70" s="459"/>
      <c r="DR70" s="459"/>
      <c r="DS70" s="459"/>
      <c r="DT70" s="459"/>
      <c r="DU70" s="459"/>
      <c r="DV70" s="459"/>
      <c r="DW70" s="459"/>
    </row>
    <row r="71" spans="1:127">
      <c r="A71" s="874" t="s">
        <v>1231</v>
      </c>
      <c r="B71" s="708"/>
      <c r="C71" s="708"/>
      <c r="D71" s="568"/>
      <c r="E71" s="637"/>
      <c r="F71" s="637"/>
      <c r="G71" s="459">
        <f>F77</f>
        <v>0</v>
      </c>
      <c r="H71" s="459">
        <f t="shared" ref="H71" ca="1" si="164">G77</f>
        <v>0</v>
      </c>
      <c r="I71" s="459">
        <f t="shared" ref="I71" ca="1" si="165">H77</f>
        <v>0</v>
      </c>
      <c r="J71" s="459">
        <f t="shared" ref="J71" ca="1" si="166">I77</f>
        <v>0</v>
      </c>
      <c r="K71" s="459">
        <f t="shared" ref="K71" ca="1" si="167">J77</f>
        <v>0</v>
      </c>
      <c r="L71" s="459">
        <f t="shared" ref="L71" ca="1" si="168">K77</f>
        <v>0</v>
      </c>
      <c r="M71" s="459">
        <f t="shared" ref="M71" ca="1" si="169">L77</f>
        <v>0</v>
      </c>
      <c r="N71" s="459">
        <f t="shared" ref="N71" ca="1" si="170">M77</f>
        <v>0</v>
      </c>
      <c r="O71" s="459">
        <f t="shared" ref="O71" ca="1" si="171">N77</f>
        <v>0</v>
      </c>
      <c r="P71" s="459">
        <f t="shared" ref="P71" ca="1" si="172">O77</f>
        <v>0</v>
      </c>
      <c r="Q71" s="459">
        <f t="shared" ref="Q71" ca="1" si="173">P77</f>
        <v>0</v>
      </c>
      <c r="R71" s="459">
        <f t="shared" ref="R71" ca="1" si="174">Q77</f>
        <v>0</v>
      </c>
      <c r="S71" s="459">
        <f t="shared" ref="S71" ca="1" si="175">R77</f>
        <v>0</v>
      </c>
      <c r="T71" s="459">
        <f t="shared" ref="T71" ca="1" si="176">S77</f>
        <v>0</v>
      </c>
      <c r="U71" s="459">
        <f t="shared" ref="U71" ca="1" si="177">T77</f>
        <v>0</v>
      </c>
      <c r="V71" s="459">
        <f t="shared" ref="V71" ca="1" si="178">U77</f>
        <v>0</v>
      </c>
      <c r="W71" s="459">
        <f t="shared" ref="W71" ca="1" si="179">V77</f>
        <v>0</v>
      </c>
      <c r="X71" s="459">
        <f t="shared" ref="X71" ca="1" si="180">W77</f>
        <v>0</v>
      </c>
      <c r="Y71" s="459">
        <f t="shared" ref="Y71" ca="1" si="181">X77</f>
        <v>0</v>
      </c>
      <c r="Z71" s="459">
        <f t="shared" ref="Z71" ca="1" si="182">Y77</f>
        <v>0</v>
      </c>
      <c r="AA71" s="459">
        <f t="shared" ref="AA71" ca="1" si="183">Z77</f>
        <v>0</v>
      </c>
      <c r="AB71" s="459">
        <f t="shared" ref="AB71" ca="1" si="184">AA77</f>
        <v>0</v>
      </c>
      <c r="AC71" s="459">
        <f t="shared" ref="AC71" ca="1" si="185">AB77</f>
        <v>0</v>
      </c>
      <c r="AD71" s="459">
        <f t="shared" ref="AD71" ca="1" si="186">AC77</f>
        <v>0</v>
      </c>
      <c r="AE71" s="459">
        <f t="shared" ref="AE71" ca="1" si="187">AD77</f>
        <v>0</v>
      </c>
      <c r="AF71" s="459">
        <f t="shared" ref="AF71" ca="1" si="188">AE77</f>
        <v>0</v>
      </c>
      <c r="AG71" s="459">
        <f t="shared" ref="AG71" ca="1" si="189">AF77</f>
        <v>0</v>
      </c>
      <c r="AH71" s="459">
        <f t="shared" ref="AH71" ca="1" si="190">AG77</f>
        <v>0</v>
      </c>
      <c r="AI71" s="459">
        <f t="shared" ref="AI71" ca="1" si="191">AH77</f>
        <v>0</v>
      </c>
      <c r="AJ71" s="459">
        <f t="shared" ref="AJ71" ca="1" si="192">AI77</f>
        <v>0</v>
      </c>
      <c r="AK71" s="459">
        <f t="shared" ref="AK71" ca="1" si="193">AJ77</f>
        <v>0</v>
      </c>
      <c r="AL71" s="459">
        <f t="shared" ref="AL71" ca="1" si="194">AK77</f>
        <v>0</v>
      </c>
      <c r="AM71" s="459">
        <f t="shared" ref="AM71" ca="1" si="195">AL77</f>
        <v>0</v>
      </c>
      <c r="AN71" s="459">
        <f t="shared" ref="AN71" ca="1" si="196">AM77</f>
        <v>0</v>
      </c>
      <c r="AO71" s="459">
        <f t="shared" ref="AO71" ca="1" si="197">AN77</f>
        <v>0</v>
      </c>
      <c r="AP71" s="459">
        <f t="shared" ref="AP71" ca="1" si="198">AO77</f>
        <v>0</v>
      </c>
      <c r="AQ71" s="459">
        <f t="shared" ref="AQ71" ca="1" si="199">AP77</f>
        <v>0</v>
      </c>
      <c r="AR71" s="459">
        <f t="shared" ref="AR71" ca="1" si="200">AQ77</f>
        <v>0</v>
      </c>
      <c r="AS71" s="459">
        <f t="shared" ref="AS71" ca="1" si="201">AR77</f>
        <v>0</v>
      </c>
      <c r="AT71" s="459">
        <f t="shared" ref="AT71" ca="1" si="202">AS77</f>
        <v>0</v>
      </c>
      <c r="AU71" s="459">
        <f t="shared" ref="AU71" ca="1" si="203">AT77</f>
        <v>0</v>
      </c>
      <c r="AV71" s="459">
        <f t="shared" ref="AV71" ca="1" si="204">AU77</f>
        <v>0</v>
      </c>
      <c r="AW71" s="459">
        <f t="shared" ref="AW71" ca="1" si="205">AV77</f>
        <v>0</v>
      </c>
      <c r="AX71" s="459">
        <f t="shared" ref="AX71" ca="1" si="206">AW77</f>
        <v>0</v>
      </c>
      <c r="AY71" s="459">
        <f t="shared" ref="AY71" ca="1" si="207">AX77</f>
        <v>0</v>
      </c>
      <c r="AZ71" s="459">
        <f t="shared" ref="AZ71" ca="1" si="208">AY77</f>
        <v>0</v>
      </c>
      <c r="BA71" s="459">
        <f t="shared" ref="BA71" ca="1" si="209">AZ77</f>
        <v>0</v>
      </c>
      <c r="BB71" s="459">
        <f t="shared" ref="BB71" ca="1" si="210">BA77</f>
        <v>0</v>
      </c>
      <c r="BC71" s="459">
        <f t="shared" ref="BC71" ca="1" si="211">BB77</f>
        <v>0</v>
      </c>
      <c r="BD71" s="459">
        <f t="shared" ref="BD71" ca="1" si="212">BC77</f>
        <v>0</v>
      </c>
      <c r="BE71" s="459">
        <f t="shared" ref="BE71" ca="1" si="213">BD77</f>
        <v>0</v>
      </c>
      <c r="BF71" s="459">
        <f t="shared" ref="BF71" ca="1" si="214">BE77</f>
        <v>0</v>
      </c>
      <c r="BG71" s="459">
        <f t="shared" ref="BG71" ca="1" si="215">BF77</f>
        <v>0</v>
      </c>
      <c r="BH71" s="459">
        <f t="shared" ref="BH71" ca="1" si="216">BG77</f>
        <v>0</v>
      </c>
      <c r="BI71" s="459">
        <f t="shared" ref="BI71" ca="1" si="217">BH77</f>
        <v>0</v>
      </c>
      <c r="BJ71" s="459">
        <f t="shared" ref="BJ71" ca="1" si="218">BI77</f>
        <v>0</v>
      </c>
      <c r="BK71" s="459">
        <f t="shared" ref="BK71" ca="1" si="219">BJ77</f>
        <v>0</v>
      </c>
      <c r="BL71" s="459">
        <f t="shared" ref="BL71" ca="1" si="220">BK77</f>
        <v>0</v>
      </c>
      <c r="BM71" s="459">
        <f t="shared" ref="BM71" ca="1" si="221">BL77</f>
        <v>0</v>
      </c>
      <c r="BN71" s="459">
        <f t="shared" ref="BN71" ca="1" si="222">BM77</f>
        <v>0</v>
      </c>
      <c r="BO71" s="459">
        <f t="shared" ref="BO71" ca="1" si="223">BN77</f>
        <v>0</v>
      </c>
      <c r="BP71" s="459"/>
      <c r="BQ71" s="459"/>
      <c r="BR71" s="459"/>
      <c r="BS71" s="459"/>
      <c r="BT71" s="459"/>
      <c r="BU71" s="459"/>
      <c r="BV71" s="459"/>
      <c r="BW71" s="459"/>
      <c r="BX71" s="459"/>
      <c r="BY71" s="459"/>
      <c r="BZ71" s="459"/>
      <c r="CA71" s="459"/>
      <c r="CB71" s="459"/>
      <c r="CC71" s="459"/>
      <c r="CD71" s="459"/>
      <c r="CE71" s="459"/>
      <c r="CF71" s="459"/>
      <c r="CG71" s="459"/>
      <c r="CH71" s="459"/>
      <c r="CI71" s="459"/>
      <c r="CJ71" s="459"/>
      <c r="CK71" s="459"/>
      <c r="CL71" s="459"/>
      <c r="CM71" s="459"/>
      <c r="CN71" s="459"/>
      <c r="CO71" s="459"/>
      <c r="CP71" s="459"/>
      <c r="CQ71" s="459"/>
      <c r="CR71" s="459"/>
      <c r="CS71" s="459"/>
      <c r="CT71" s="459"/>
      <c r="CU71" s="459"/>
      <c r="CV71" s="459"/>
      <c r="CW71" s="459"/>
      <c r="CX71" s="459"/>
      <c r="CY71" s="459"/>
      <c r="CZ71" s="459"/>
      <c r="DA71" s="459"/>
      <c r="DB71" s="459"/>
      <c r="DC71" s="459"/>
      <c r="DD71" s="459"/>
      <c r="DE71" s="459"/>
      <c r="DF71" s="459"/>
      <c r="DG71" s="459"/>
      <c r="DH71" s="459"/>
      <c r="DI71" s="459"/>
      <c r="DJ71" s="459"/>
      <c r="DK71" s="459"/>
      <c r="DL71" s="459"/>
      <c r="DM71" s="459"/>
      <c r="DN71" s="459"/>
      <c r="DO71" s="459"/>
      <c r="DP71" s="459"/>
      <c r="DQ71" s="459"/>
      <c r="DR71" s="459"/>
      <c r="DS71" s="459"/>
      <c r="DT71" s="459"/>
      <c r="DU71" s="459"/>
      <c r="DV71" s="459"/>
      <c r="DW71" s="459"/>
    </row>
    <row r="72" spans="1:127">
      <c r="A72" s="881" t="s">
        <v>1152</v>
      </c>
      <c r="B72" s="810">
        <f ca="1">Inputs!$D$195*B70</f>
        <v>0</v>
      </c>
      <c r="C72" s="810"/>
      <c r="D72" s="568"/>
      <c r="E72" s="637"/>
      <c r="F72" s="637"/>
      <c r="G72" s="459">
        <f ca="1">B72*(G3=0)</f>
        <v>0</v>
      </c>
      <c r="H72" s="459">
        <f t="shared" ref="H72:AM72" si="224">D72*(H3=0)</f>
        <v>0</v>
      </c>
      <c r="I72" s="459">
        <f t="shared" si="224"/>
        <v>0</v>
      </c>
      <c r="J72" s="459">
        <f t="shared" si="224"/>
        <v>0</v>
      </c>
      <c r="K72" s="459">
        <f t="shared" ca="1" si="224"/>
        <v>0</v>
      </c>
      <c r="L72" s="459">
        <f t="shared" si="224"/>
        <v>0</v>
      </c>
      <c r="M72" s="459">
        <f t="shared" si="224"/>
        <v>0</v>
      </c>
      <c r="N72" s="459">
        <f t="shared" si="224"/>
        <v>0</v>
      </c>
      <c r="O72" s="459">
        <f t="shared" ca="1" si="224"/>
        <v>0</v>
      </c>
      <c r="P72" s="459">
        <f t="shared" si="224"/>
        <v>0</v>
      </c>
      <c r="Q72" s="459">
        <f t="shared" si="224"/>
        <v>0</v>
      </c>
      <c r="R72" s="459">
        <f t="shared" si="224"/>
        <v>0</v>
      </c>
      <c r="S72" s="459">
        <f t="shared" ca="1" si="224"/>
        <v>0</v>
      </c>
      <c r="T72" s="459">
        <f t="shared" si="224"/>
        <v>0</v>
      </c>
      <c r="U72" s="459">
        <f t="shared" si="224"/>
        <v>0</v>
      </c>
      <c r="V72" s="459">
        <f t="shared" si="224"/>
        <v>0</v>
      </c>
      <c r="W72" s="459">
        <f t="shared" ca="1" si="224"/>
        <v>0</v>
      </c>
      <c r="X72" s="459">
        <f t="shared" si="224"/>
        <v>0</v>
      </c>
      <c r="Y72" s="459">
        <f t="shared" si="224"/>
        <v>0</v>
      </c>
      <c r="Z72" s="459">
        <f t="shared" si="224"/>
        <v>0</v>
      </c>
      <c r="AA72" s="459">
        <f t="shared" ca="1" si="224"/>
        <v>0</v>
      </c>
      <c r="AB72" s="459">
        <f t="shared" si="224"/>
        <v>0</v>
      </c>
      <c r="AC72" s="459">
        <f t="shared" si="224"/>
        <v>0</v>
      </c>
      <c r="AD72" s="459">
        <f t="shared" si="224"/>
        <v>0</v>
      </c>
      <c r="AE72" s="459">
        <f t="shared" ca="1" si="224"/>
        <v>0</v>
      </c>
      <c r="AF72" s="459">
        <f t="shared" si="224"/>
        <v>0</v>
      </c>
      <c r="AG72" s="459">
        <f t="shared" si="224"/>
        <v>0</v>
      </c>
      <c r="AH72" s="459">
        <f t="shared" si="224"/>
        <v>0</v>
      </c>
      <c r="AI72" s="459">
        <f t="shared" ca="1" si="224"/>
        <v>0</v>
      </c>
      <c r="AJ72" s="459">
        <f t="shared" si="224"/>
        <v>0</v>
      </c>
      <c r="AK72" s="459">
        <f t="shared" si="224"/>
        <v>0</v>
      </c>
      <c r="AL72" s="459">
        <f t="shared" si="224"/>
        <v>0</v>
      </c>
      <c r="AM72" s="459">
        <f t="shared" ca="1" si="224"/>
        <v>0</v>
      </c>
      <c r="AN72" s="459">
        <f t="shared" ref="AN72:BO72" si="225">AJ72*(AN3=0)</f>
        <v>0</v>
      </c>
      <c r="AO72" s="459">
        <f t="shared" si="225"/>
        <v>0</v>
      </c>
      <c r="AP72" s="459">
        <f t="shared" si="225"/>
        <v>0</v>
      </c>
      <c r="AQ72" s="459">
        <f t="shared" ca="1" si="225"/>
        <v>0</v>
      </c>
      <c r="AR72" s="459">
        <f t="shared" si="225"/>
        <v>0</v>
      </c>
      <c r="AS72" s="459">
        <f t="shared" si="225"/>
        <v>0</v>
      </c>
      <c r="AT72" s="459">
        <f t="shared" si="225"/>
        <v>0</v>
      </c>
      <c r="AU72" s="459">
        <f t="shared" ca="1" si="225"/>
        <v>0</v>
      </c>
      <c r="AV72" s="459">
        <f t="shared" si="225"/>
        <v>0</v>
      </c>
      <c r="AW72" s="459">
        <f t="shared" si="225"/>
        <v>0</v>
      </c>
      <c r="AX72" s="459">
        <f t="shared" si="225"/>
        <v>0</v>
      </c>
      <c r="AY72" s="459">
        <f t="shared" ca="1" si="225"/>
        <v>0</v>
      </c>
      <c r="AZ72" s="459">
        <f t="shared" si="225"/>
        <v>0</v>
      </c>
      <c r="BA72" s="459">
        <f t="shared" si="225"/>
        <v>0</v>
      </c>
      <c r="BB72" s="459">
        <f t="shared" si="225"/>
        <v>0</v>
      </c>
      <c r="BC72" s="459">
        <f t="shared" ca="1" si="225"/>
        <v>0</v>
      </c>
      <c r="BD72" s="459">
        <f t="shared" si="225"/>
        <v>0</v>
      </c>
      <c r="BE72" s="459">
        <f t="shared" si="225"/>
        <v>0</v>
      </c>
      <c r="BF72" s="459">
        <f t="shared" si="225"/>
        <v>0</v>
      </c>
      <c r="BG72" s="459">
        <f t="shared" ca="1" si="225"/>
        <v>0</v>
      </c>
      <c r="BH72" s="459">
        <f t="shared" si="225"/>
        <v>0</v>
      </c>
      <c r="BI72" s="459">
        <f t="shared" si="225"/>
        <v>0</v>
      </c>
      <c r="BJ72" s="459">
        <f t="shared" si="225"/>
        <v>0</v>
      </c>
      <c r="BK72" s="459">
        <f t="shared" ca="1" si="225"/>
        <v>0</v>
      </c>
      <c r="BL72" s="459">
        <f t="shared" si="225"/>
        <v>0</v>
      </c>
      <c r="BM72" s="459">
        <f t="shared" si="225"/>
        <v>0</v>
      </c>
      <c r="BN72" s="459">
        <f t="shared" si="225"/>
        <v>0</v>
      </c>
      <c r="BO72" s="459">
        <f t="shared" ca="1" si="225"/>
        <v>0</v>
      </c>
      <c r="BP72" s="459"/>
      <c r="BQ72" s="459"/>
      <c r="BR72" s="459"/>
      <c r="BS72" s="459"/>
      <c r="BT72" s="459"/>
      <c r="BU72" s="459"/>
      <c r="BV72" s="459"/>
      <c r="BW72" s="459"/>
      <c r="BX72" s="459"/>
      <c r="BY72" s="459"/>
      <c r="BZ72" s="459"/>
      <c r="CA72" s="459"/>
      <c r="CB72" s="459"/>
      <c r="CC72" s="459"/>
      <c r="CD72" s="459"/>
      <c r="CE72" s="459"/>
      <c r="CF72" s="459"/>
      <c r="CG72" s="459"/>
      <c r="CH72" s="459"/>
      <c r="CI72" s="459"/>
      <c r="CJ72" s="459"/>
      <c r="CK72" s="459"/>
      <c r="CL72" s="459"/>
      <c r="CM72" s="459"/>
      <c r="CN72" s="459"/>
      <c r="CO72" s="459"/>
      <c r="CP72" s="459"/>
      <c r="CQ72" s="459"/>
      <c r="CR72" s="459"/>
      <c r="CS72" s="459"/>
      <c r="CT72" s="459"/>
      <c r="CU72" s="459"/>
      <c r="CV72" s="459"/>
      <c r="CW72" s="459"/>
      <c r="CX72" s="459"/>
      <c r="CY72" s="459"/>
      <c r="CZ72" s="459"/>
      <c r="DA72" s="459"/>
      <c r="DB72" s="459"/>
      <c r="DC72" s="459"/>
      <c r="DD72" s="459"/>
      <c r="DE72" s="459"/>
      <c r="DF72" s="459"/>
      <c r="DG72" s="459"/>
      <c r="DH72" s="459"/>
      <c r="DI72" s="459"/>
      <c r="DJ72" s="459"/>
      <c r="DK72" s="459"/>
      <c r="DL72" s="459"/>
      <c r="DM72" s="459"/>
      <c r="DN72" s="459"/>
      <c r="DO72" s="459"/>
      <c r="DP72" s="459"/>
      <c r="DQ72" s="459"/>
      <c r="DR72" s="459"/>
      <c r="DS72" s="459"/>
      <c r="DT72" s="459"/>
      <c r="DU72" s="459"/>
      <c r="DV72" s="459"/>
      <c r="DW72" s="459"/>
    </row>
    <row r="73" spans="1:127">
      <c r="A73" s="881" t="str">
        <f>A52</f>
        <v>Principal</v>
      </c>
      <c r="B73" s="708"/>
      <c r="C73" s="708"/>
      <c r="D73" s="568"/>
      <c r="E73" s="637"/>
      <c r="F73" s="637"/>
      <c r="G73" s="459">
        <f>MIN(G$46*Inputs!$D$199*$B$70-G76,G71)</f>
        <v>0</v>
      </c>
      <c r="H73" s="459">
        <f ca="1">MIN(H$46*Inputs!$D$199*$B$70-H76,H71)</f>
        <v>0</v>
      </c>
      <c r="I73" s="459">
        <f ca="1">MIN(I$46*Inputs!$D$199*$B$70-I76,I71)</f>
        <v>0</v>
      </c>
      <c r="J73" s="459">
        <f ca="1">MIN(J$46*Inputs!$D$199*$B$70-J76,J71)</f>
        <v>0</v>
      </c>
      <c r="K73" s="459">
        <f ca="1">MIN(K$46*Inputs!$D$199*$B$70-K76,K71)</f>
        <v>0</v>
      </c>
      <c r="L73" s="459">
        <f ca="1">MIN(L$46*Inputs!$D$199*$B$70-L76,L71)</f>
        <v>0</v>
      </c>
      <c r="M73" s="459">
        <f ca="1">MIN(M$46*Inputs!$D$199*$B$70-M76,M71)</f>
        <v>0</v>
      </c>
      <c r="N73" s="459">
        <f ca="1">MIN(N$46*Inputs!$D$199*$B$70-N76,N71)</f>
        <v>0</v>
      </c>
      <c r="O73" s="459">
        <f ca="1">MIN(O$46*Inputs!$D$199*$B$70-O76,O71)</f>
        <v>0</v>
      </c>
      <c r="P73" s="459">
        <f ca="1">MIN(P$46*Inputs!$D$199*$B$70-P76,P71)</f>
        <v>0</v>
      </c>
      <c r="Q73" s="459">
        <f ca="1">MIN(Q$46*Inputs!$D$199*$B$70-Q76,Q71)</f>
        <v>0</v>
      </c>
      <c r="R73" s="459">
        <f ca="1">MIN(R$46*Inputs!$D$199*$B$70-R76,R71)</f>
        <v>0</v>
      </c>
      <c r="S73" s="459">
        <f ca="1">MIN(S$46*Inputs!$D$199*$B$70-S76,S71)</f>
        <v>0</v>
      </c>
      <c r="T73" s="459">
        <f ca="1">MIN(T$46*Inputs!$D$199*$B$70-T76,T71)</f>
        <v>0</v>
      </c>
      <c r="U73" s="459">
        <f ca="1">MIN(U$46*Inputs!$D$199*$B$70-U76,U71)</f>
        <v>0</v>
      </c>
      <c r="V73" s="459">
        <f ca="1">MIN(V$46*Inputs!$D$199*$B$70-V76,V71)</f>
        <v>0</v>
      </c>
      <c r="W73" s="459">
        <f ca="1">MIN(W$46*Inputs!$D$199*$B$70-W76,W71)</f>
        <v>0</v>
      </c>
      <c r="X73" s="459">
        <f ca="1">MIN(X$46*Inputs!$D$199*$B$70-X76,X71)</f>
        <v>0</v>
      </c>
      <c r="Y73" s="459">
        <f ca="1">MIN(Y$46*Inputs!$D$199*$B$70-Y76,Y71)</f>
        <v>0</v>
      </c>
      <c r="Z73" s="459">
        <f ca="1">MIN(Z$46*Inputs!$D$199*$B$70-Z76,Z71)</f>
        <v>0</v>
      </c>
      <c r="AA73" s="459">
        <f ca="1">MIN(AA$46*Inputs!$D$199*$B$70-AA76,AA71)</f>
        <v>0</v>
      </c>
      <c r="AB73" s="459">
        <f ca="1">MIN(AB$46*Inputs!$D$199*$B$70-AB76,AB71)</f>
        <v>0</v>
      </c>
      <c r="AC73" s="459">
        <f ca="1">MIN(AC$46*Inputs!$D$199*$B$70-AC76,AC71)</f>
        <v>0</v>
      </c>
      <c r="AD73" s="459">
        <f ca="1">MIN(AD$46*Inputs!$D$199*$B$70-AD76,AD71)</f>
        <v>0</v>
      </c>
      <c r="AE73" s="459">
        <f ca="1">MIN(AE$46*Inputs!$D$199*$B$70-AE76,AE71)</f>
        <v>0</v>
      </c>
      <c r="AF73" s="459">
        <f ca="1">MIN(AF$46*Inputs!$D$199*$B$70-AF76,AF71)</f>
        <v>0</v>
      </c>
      <c r="AG73" s="459">
        <f ca="1">MIN(AG$46*Inputs!$D$199*$B$70-AG76,AG71)</f>
        <v>0</v>
      </c>
      <c r="AH73" s="459">
        <f ca="1">MIN(AH$46*Inputs!$D$199*$B$70-AH76,AH71)</f>
        <v>0</v>
      </c>
      <c r="AI73" s="459">
        <f ca="1">MIN(AI$46*Inputs!$D$199*$B$70-AI76,AI71)</f>
        <v>0</v>
      </c>
      <c r="AJ73" s="459">
        <f ca="1">MIN(AJ$46*Inputs!$D$199*$B$70-AJ76,AJ71)</f>
        <v>0</v>
      </c>
      <c r="AK73" s="459">
        <f ca="1">MIN(AK$46*Inputs!$D$199*$B$70-AK76,AK71)</f>
        <v>0</v>
      </c>
      <c r="AL73" s="459">
        <f ca="1">MIN(AL$46*Inputs!$D$199*$B$70-AL76,AL71)</f>
        <v>0</v>
      </c>
      <c r="AM73" s="459">
        <f ca="1">MIN(AM$46*Inputs!$D$199*$B$70-AM76,AM71)</f>
        <v>0</v>
      </c>
      <c r="AN73" s="459">
        <f ca="1">MIN(AN$46*Inputs!$D$199*$B$70-AN76,AN71)</f>
        <v>0</v>
      </c>
      <c r="AO73" s="459">
        <f ca="1">MIN(AO$46*Inputs!$D$199*$B$70-AO76,AO71)</f>
        <v>0</v>
      </c>
      <c r="AP73" s="459">
        <f ca="1">MIN(AP$46*Inputs!$D$199*$B$70-AP76,AP71)</f>
        <v>0</v>
      </c>
      <c r="AQ73" s="459">
        <f ca="1">MIN(AQ$46*Inputs!$D$199*$B$70-AQ76,AQ71)</f>
        <v>0</v>
      </c>
      <c r="AR73" s="459">
        <f ca="1">MIN(AR$46*Inputs!$D$199*$B$70-AR76,AR71)</f>
        <v>0</v>
      </c>
      <c r="AS73" s="459">
        <f ca="1">MIN(AS$46*Inputs!$D$199*$B$70-AS76,AS71)</f>
        <v>0</v>
      </c>
      <c r="AT73" s="459">
        <f ca="1">MIN(AT$46*Inputs!$D$199*$B$70-AT76,AT71)</f>
        <v>0</v>
      </c>
      <c r="AU73" s="459">
        <f ca="1">MIN(AU$46*Inputs!$D$199*$B$70-AU76,AU71)</f>
        <v>0</v>
      </c>
      <c r="AV73" s="459">
        <f ca="1">MIN(AV$46*Inputs!$D$199*$B$70-AV76,AV71)</f>
        <v>0</v>
      </c>
      <c r="AW73" s="459">
        <f ca="1">MIN(AW$46*Inputs!$D$199*$B$70-AW76,AW71)</f>
        <v>0</v>
      </c>
      <c r="AX73" s="459">
        <f ca="1">MIN(AX$46*Inputs!$D$199*$B$70-AX76,AX71)</f>
        <v>0</v>
      </c>
      <c r="AY73" s="459">
        <f ca="1">MIN(AY$46*Inputs!$D$199*$B$70-AY76,AY71)</f>
        <v>0</v>
      </c>
      <c r="AZ73" s="459">
        <f ca="1">MIN(AZ$46*Inputs!$D$199*$B$70-AZ76,AZ71)</f>
        <v>0</v>
      </c>
      <c r="BA73" s="459">
        <f ca="1">MIN(BA$46*Inputs!$D$199*$B$70-BA76,BA71)</f>
        <v>0</v>
      </c>
      <c r="BB73" s="459">
        <f ca="1">MIN(BB$46*Inputs!$D$199*$B$70-BB76,BB71)</f>
        <v>0</v>
      </c>
      <c r="BC73" s="459">
        <f ca="1">MIN(BC$46*Inputs!$D$199*$B$70-BC76,BC71)</f>
        <v>0</v>
      </c>
      <c r="BD73" s="459">
        <f ca="1">MIN(BD$46*Inputs!$D$199*$B$70-BD76,BD71)</f>
        <v>0</v>
      </c>
      <c r="BE73" s="459">
        <f ca="1">MIN(BE$46*Inputs!$D$199*$B$70-BE76,BE71)</f>
        <v>0</v>
      </c>
      <c r="BF73" s="459">
        <f ca="1">MIN(BF$46*Inputs!$D$199*$B$70-BF76,BF71)</f>
        <v>0</v>
      </c>
      <c r="BG73" s="459">
        <f ca="1">MIN(BG$46*Inputs!$D$199*$B$70-BG76,BG71)</f>
        <v>0</v>
      </c>
      <c r="BH73" s="459">
        <f ca="1">MIN(BH$46*Inputs!$D$199*$B$70-BH76,BH71)</f>
        <v>0</v>
      </c>
      <c r="BI73" s="459">
        <f ca="1">MIN(BI$46*Inputs!$D$199*$B$70-BI76,BI71)</f>
        <v>0</v>
      </c>
      <c r="BJ73" s="459">
        <f ca="1">MIN(BJ$46*Inputs!$D$199*$B$70-BJ76,BJ71)</f>
        <v>0</v>
      </c>
      <c r="BK73" s="459">
        <f ca="1">MIN(BK$46*Inputs!$D$199*$B$70-BK76,BK71)</f>
        <v>0</v>
      </c>
      <c r="BL73" s="459">
        <f ca="1">MIN(BL$46*Inputs!$D$199*$B$70-BL76,BL71)</f>
        <v>0</v>
      </c>
      <c r="BM73" s="459">
        <f ca="1">MIN(BM$46*Inputs!$D$199*$B$70-BM76,BM71)</f>
        <v>0</v>
      </c>
      <c r="BN73" s="459">
        <f ca="1">MIN(BN$46*Inputs!$D$199*$B$70-BN76,BN71)</f>
        <v>0</v>
      </c>
      <c r="BO73" s="459">
        <f ca="1">MIN(BO$46*Inputs!$D$199*$B$70-BO76,BO71)</f>
        <v>0</v>
      </c>
      <c r="BP73" s="459"/>
      <c r="BQ73" s="459"/>
      <c r="BR73" s="459"/>
      <c r="BS73" s="459"/>
      <c r="BT73" s="459"/>
      <c r="BU73" s="459"/>
      <c r="BV73" s="459"/>
      <c r="BW73" s="459"/>
      <c r="BX73" s="459"/>
      <c r="BY73" s="459"/>
      <c r="BZ73" s="459"/>
      <c r="CA73" s="459"/>
      <c r="CB73" s="459"/>
      <c r="CC73" s="459"/>
      <c r="CD73" s="459"/>
      <c r="CE73" s="459"/>
      <c r="CF73" s="459"/>
      <c r="CG73" s="459"/>
      <c r="CH73" s="459"/>
      <c r="CI73" s="459"/>
      <c r="CJ73" s="459"/>
      <c r="CK73" s="459"/>
      <c r="CL73" s="459"/>
      <c r="CM73" s="459"/>
      <c r="CN73" s="459"/>
      <c r="CO73" s="459"/>
      <c r="CP73" s="459"/>
      <c r="CQ73" s="459"/>
      <c r="CR73" s="459"/>
      <c r="CS73" s="459"/>
      <c r="CT73" s="459"/>
      <c r="CU73" s="459"/>
      <c r="CV73" s="459"/>
      <c r="CW73" s="459"/>
      <c r="CX73" s="459"/>
      <c r="CY73" s="459"/>
      <c r="CZ73" s="459"/>
      <c r="DA73" s="459"/>
      <c r="DB73" s="459"/>
      <c r="DC73" s="459"/>
      <c r="DD73" s="459"/>
      <c r="DE73" s="459"/>
      <c r="DF73" s="459"/>
      <c r="DG73" s="459"/>
      <c r="DH73" s="459"/>
      <c r="DI73" s="459"/>
      <c r="DJ73" s="459"/>
      <c r="DK73" s="459"/>
      <c r="DL73" s="459"/>
      <c r="DM73" s="459"/>
      <c r="DN73" s="459"/>
      <c r="DO73" s="459"/>
      <c r="DP73" s="459"/>
      <c r="DQ73" s="459"/>
      <c r="DR73" s="459"/>
      <c r="DS73" s="459"/>
      <c r="DT73" s="459"/>
      <c r="DU73" s="459"/>
      <c r="DV73" s="459"/>
      <c r="DW73" s="459"/>
    </row>
    <row r="74" spans="1:127">
      <c r="A74" s="961" t="s">
        <v>1239</v>
      </c>
      <c r="B74" s="708"/>
      <c r="C74" s="708"/>
      <c r="D74" s="568"/>
      <c r="E74" s="637"/>
      <c r="F74" s="637"/>
      <c r="G74" s="459">
        <f t="shared" ref="G74:AL74" si="226">G71*G44*G6</f>
        <v>0</v>
      </c>
      <c r="H74" s="459">
        <f t="shared" ca="1" si="226"/>
        <v>0</v>
      </c>
      <c r="I74" s="459">
        <f t="shared" ca="1" si="226"/>
        <v>0</v>
      </c>
      <c r="J74" s="459">
        <f t="shared" ca="1" si="226"/>
        <v>0</v>
      </c>
      <c r="K74" s="459">
        <f t="shared" ca="1" si="226"/>
        <v>0</v>
      </c>
      <c r="L74" s="459">
        <f t="shared" ca="1" si="226"/>
        <v>0</v>
      </c>
      <c r="M74" s="459">
        <f t="shared" ca="1" si="226"/>
        <v>0</v>
      </c>
      <c r="N74" s="459">
        <f t="shared" ca="1" si="226"/>
        <v>0</v>
      </c>
      <c r="O74" s="459">
        <f t="shared" ca="1" si="226"/>
        <v>0</v>
      </c>
      <c r="P74" s="459">
        <f t="shared" ca="1" si="226"/>
        <v>0</v>
      </c>
      <c r="Q74" s="459">
        <f t="shared" ca="1" si="226"/>
        <v>0</v>
      </c>
      <c r="R74" s="459">
        <f t="shared" ca="1" si="226"/>
        <v>0</v>
      </c>
      <c r="S74" s="459">
        <f t="shared" ca="1" si="226"/>
        <v>0</v>
      </c>
      <c r="T74" s="459">
        <f t="shared" ca="1" si="226"/>
        <v>0</v>
      </c>
      <c r="U74" s="459">
        <f t="shared" ca="1" si="226"/>
        <v>0</v>
      </c>
      <c r="V74" s="459">
        <f t="shared" ca="1" si="226"/>
        <v>0</v>
      </c>
      <c r="W74" s="459">
        <f t="shared" ca="1" si="226"/>
        <v>0</v>
      </c>
      <c r="X74" s="459">
        <f t="shared" ca="1" si="226"/>
        <v>0</v>
      </c>
      <c r="Y74" s="459">
        <f t="shared" ca="1" si="226"/>
        <v>0</v>
      </c>
      <c r="Z74" s="459">
        <f t="shared" ca="1" si="226"/>
        <v>0</v>
      </c>
      <c r="AA74" s="459">
        <f t="shared" ca="1" si="226"/>
        <v>0</v>
      </c>
      <c r="AB74" s="459">
        <f t="shared" ca="1" si="226"/>
        <v>0</v>
      </c>
      <c r="AC74" s="459">
        <f t="shared" ca="1" si="226"/>
        <v>0</v>
      </c>
      <c r="AD74" s="459">
        <f t="shared" ca="1" si="226"/>
        <v>0</v>
      </c>
      <c r="AE74" s="459">
        <f t="shared" ca="1" si="226"/>
        <v>0</v>
      </c>
      <c r="AF74" s="459">
        <f t="shared" ca="1" si="226"/>
        <v>0</v>
      </c>
      <c r="AG74" s="459">
        <f t="shared" ca="1" si="226"/>
        <v>0</v>
      </c>
      <c r="AH74" s="459">
        <f t="shared" ca="1" si="226"/>
        <v>0</v>
      </c>
      <c r="AI74" s="459">
        <f t="shared" ca="1" si="226"/>
        <v>0</v>
      </c>
      <c r="AJ74" s="459">
        <f t="shared" ca="1" si="226"/>
        <v>0</v>
      </c>
      <c r="AK74" s="459">
        <f t="shared" ca="1" si="226"/>
        <v>0</v>
      </c>
      <c r="AL74" s="459">
        <f t="shared" ca="1" si="226"/>
        <v>0</v>
      </c>
      <c r="AM74" s="459">
        <f t="shared" ref="AM74:BO74" ca="1" si="227">AM71*AM44*AM6</f>
        <v>0</v>
      </c>
      <c r="AN74" s="459">
        <f t="shared" ca="1" si="227"/>
        <v>0</v>
      </c>
      <c r="AO74" s="459">
        <f t="shared" ca="1" si="227"/>
        <v>0</v>
      </c>
      <c r="AP74" s="459">
        <f t="shared" ca="1" si="227"/>
        <v>0</v>
      </c>
      <c r="AQ74" s="459">
        <f t="shared" ca="1" si="227"/>
        <v>0</v>
      </c>
      <c r="AR74" s="459">
        <f t="shared" ca="1" si="227"/>
        <v>0</v>
      </c>
      <c r="AS74" s="459">
        <f t="shared" ca="1" si="227"/>
        <v>0</v>
      </c>
      <c r="AT74" s="459">
        <f t="shared" ca="1" si="227"/>
        <v>0</v>
      </c>
      <c r="AU74" s="459">
        <f t="shared" ca="1" si="227"/>
        <v>0</v>
      </c>
      <c r="AV74" s="459">
        <f t="shared" ca="1" si="227"/>
        <v>0</v>
      </c>
      <c r="AW74" s="459">
        <f t="shared" ca="1" si="227"/>
        <v>0</v>
      </c>
      <c r="AX74" s="459">
        <f t="shared" ca="1" si="227"/>
        <v>0</v>
      </c>
      <c r="AY74" s="459">
        <f t="shared" ca="1" si="227"/>
        <v>0</v>
      </c>
      <c r="AZ74" s="459">
        <f t="shared" ca="1" si="227"/>
        <v>0</v>
      </c>
      <c r="BA74" s="459">
        <f t="shared" ca="1" si="227"/>
        <v>0</v>
      </c>
      <c r="BB74" s="459">
        <f t="shared" ca="1" si="227"/>
        <v>0</v>
      </c>
      <c r="BC74" s="459">
        <f t="shared" ca="1" si="227"/>
        <v>0</v>
      </c>
      <c r="BD74" s="459">
        <f t="shared" ca="1" si="227"/>
        <v>0</v>
      </c>
      <c r="BE74" s="459">
        <f t="shared" ca="1" si="227"/>
        <v>0</v>
      </c>
      <c r="BF74" s="459">
        <f t="shared" ca="1" si="227"/>
        <v>0</v>
      </c>
      <c r="BG74" s="459">
        <f t="shared" ca="1" si="227"/>
        <v>0</v>
      </c>
      <c r="BH74" s="459">
        <f t="shared" ca="1" si="227"/>
        <v>0</v>
      </c>
      <c r="BI74" s="459">
        <f t="shared" ca="1" si="227"/>
        <v>0</v>
      </c>
      <c r="BJ74" s="459">
        <f t="shared" ca="1" si="227"/>
        <v>0</v>
      </c>
      <c r="BK74" s="459">
        <f t="shared" ca="1" si="227"/>
        <v>0</v>
      </c>
      <c r="BL74" s="459">
        <f t="shared" ca="1" si="227"/>
        <v>0</v>
      </c>
      <c r="BM74" s="459">
        <f t="shared" ca="1" si="227"/>
        <v>0</v>
      </c>
      <c r="BN74" s="459">
        <f t="shared" ca="1" si="227"/>
        <v>0</v>
      </c>
      <c r="BO74" s="459">
        <f t="shared" ca="1" si="227"/>
        <v>0</v>
      </c>
      <c r="BP74" s="459"/>
      <c r="BQ74" s="459"/>
      <c r="BR74" s="459"/>
      <c r="BS74" s="459"/>
      <c r="BT74" s="459"/>
      <c r="BU74" s="459"/>
      <c r="BV74" s="459"/>
      <c r="BW74" s="459"/>
      <c r="BX74" s="459"/>
      <c r="BY74" s="459"/>
      <c r="BZ74" s="459"/>
      <c r="CA74" s="459"/>
      <c r="CB74" s="459"/>
      <c r="CC74" s="459"/>
      <c r="CD74" s="459"/>
      <c r="CE74" s="459"/>
      <c r="CF74" s="459"/>
      <c r="CG74" s="459"/>
      <c r="CH74" s="459"/>
      <c r="CI74" s="459"/>
      <c r="CJ74" s="459"/>
      <c r="CK74" s="459"/>
      <c r="CL74" s="459"/>
      <c r="CM74" s="459"/>
      <c r="CN74" s="459"/>
      <c r="CO74" s="459"/>
      <c r="CP74" s="459"/>
      <c r="CQ74" s="459"/>
      <c r="CR74" s="459"/>
      <c r="CS74" s="459"/>
      <c r="CT74" s="459"/>
      <c r="CU74" s="459"/>
      <c r="CV74" s="459"/>
      <c r="CW74" s="459"/>
      <c r="CX74" s="459"/>
      <c r="CY74" s="459"/>
      <c r="CZ74" s="459"/>
      <c r="DA74" s="459"/>
      <c r="DB74" s="459"/>
      <c r="DC74" s="459"/>
      <c r="DD74" s="459"/>
      <c r="DE74" s="459"/>
      <c r="DF74" s="459"/>
      <c r="DG74" s="459"/>
      <c r="DH74" s="459"/>
      <c r="DI74" s="459"/>
      <c r="DJ74" s="459"/>
      <c r="DK74" s="459"/>
      <c r="DL74" s="459"/>
      <c r="DM74" s="459"/>
      <c r="DN74" s="459"/>
      <c r="DO74" s="459"/>
      <c r="DP74" s="459"/>
      <c r="DQ74" s="459"/>
      <c r="DR74" s="459"/>
      <c r="DS74" s="459"/>
      <c r="DT74" s="459"/>
      <c r="DU74" s="459"/>
      <c r="DV74" s="459"/>
      <c r="DW74" s="459"/>
    </row>
    <row r="75" spans="1:127">
      <c r="A75" s="961" t="str">
        <f>A54</f>
        <v>Withholding Tax</v>
      </c>
      <c r="B75" s="708"/>
      <c r="C75" s="708"/>
      <c r="D75" s="568"/>
      <c r="E75" s="637"/>
      <c r="F75" s="637"/>
      <c r="G75" s="459">
        <f t="shared" ref="G75:AL75" si="228">G74*($B$54/(1-$B$54))</f>
        <v>0</v>
      </c>
      <c r="H75" s="459">
        <f t="shared" ca="1" si="228"/>
        <v>0</v>
      </c>
      <c r="I75" s="459">
        <f t="shared" ca="1" si="228"/>
        <v>0</v>
      </c>
      <c r="J75" s="459">
        <f t="shared" ca="1" si="228"/>
        <v>0</v>
      </c>
      <c r="K75" s="459">
        <f t="shared" ca="1" si="228"/>
        <v>0</v>
      </c>
      <c r="L75" s="459">
        <f t="shared" ca="1" si="228"/>
        <v>0</v>
      </c>
      <c r="M75" s="459">
        <f t="shared" ca="1" si="228"/>
        <v>0</v>
      </c>
      <c r="N75" s="459">
        <f t="shared" ca="1" si="228"/>
        <v>0</v>
      </c>
      <c r="O75" s="459">
        <f t="shared" ca="1" si="228"/>
        <v>0</v>
      </c>
      <c r="P75" s="459">
        <f t="shared" ca="1" si="228"/>
        <v>0</v>
      </c>
      <c r="Q75" s="459">
        <f t="shared" ca="1" si="228"/>
        <v>0</v>
      </c>
      <c r="R75" s="459">
        <f t="shared" ca="1" si="228"/>
        <v>0</v>
      </c>
      <c r="S75" s="459">
        <f t="shared" ca="1" si="228"/>
        <v>0</v>
      </c>
      <c r="T75" s="459">
        <f t="shared" ca="1" si="228"/>
        <v>0</v>
      </c>
      <c r="U75" s="459">
        <f t="shared" ca="1" si="228"/>
        <v>0</v>
      </c>
      <c r="V75" s="459">
        <f t="shared" ca="1" si="228"/>
        <v>0</v>
      </c>
      <c r="W75" s="459">
        <f t="shared" ca="1" si="228"/>
        <v>0</v>
      </c>
      <c r="X75" s="459">
        <f t="shared" ca="1" si="228"/>
        <v>0</v>
      </c>
      <c r="Y75" s="459">
        <f t="shared" ca="1" si="228"/>
        <v>0</v>
      </c>
      <c r="Z75" s="459">
        <f t="shared" ca="1" si="228"/>
        <v>0</v>
      </c>
      <c r="AA75" s="459">
        <f t="shared" ca="1" si="228"/>
        <v>0</v>
      </c>
      <c r="AB75" s="459">
        <f t="shared" ca="1" si="228"/>
        <v>0</v>
      </c>
      <c r="AC75" s="459">
        <f t="shared" ca="1" si="228"/>
        <v>0</v>
      </c>
      <c r="AD75" s="459">
        <f t="shared" ca="1" si="228"/>
        <v>0</v>
      </c>
      <c r="AE75" s="459">
        <f t="shared" ca="1" si="228"/>
        <v>0</v>
      </c>
      <c r="AF75" s="459">
        <f t="shared" ca="1" si="228"/>
        <v>0</v>
      </c>
      <c r="AG75" s="459">
        <f t="shared" ca="1" si="228"/>
        <v>0</v>
      </c>
      <c r="AH75" s="459">
        <f t="shared" ca="1" si="228"/>
        <v>0</v>
      </c>
      <c r="AI75" s="459">
        <f t="shared" ca="1" si="228"/>
        <v>0</v>
      </c>
      <c r="AJ75" s="459">
        <f t="shared" ca="1" si="228"/>
        <v>0</v>
      </c>
      <c r="AK75" s="459">
        <f t="shared" ca="1" si="228"/>
        <v>0</v>
      </c>
      <c r="AL75" s="459">
        <f t="shared" ca="1" si="228"/>
        <v>0</v>
      </c>
      <c r="AM75" s="459">
        <f t="shared" ref="AM75:BO75" ca="1" si="229">AM74*($B$54/(1-$B$54))</f>
        <v>0</v>
      </c>
      <c r="AN75" s="459">
        <f t="shared" ca="1" si="229"/>
        <v>0</v>
      </c>
      <c r="AO75" s="459">
        <f t="shared" ca="1" si="229"/>
        <v>0</v>
      </c>
      <c r="AP75" s="459">
        <f t="shared" ca="1" si="229"/>
        <v>0</v>
      </c>
      <c r="AQ75" s="459">
        <f t="shared" ca="1" si="229"/>
        <v>0</v>
      </c>
      <c r="AR75" s="459">
        <f t="shared" ca="1" si="229"/>
        <v>0</v>
      </c>
      <c r="AS75" s="459">
        <f t="shared" ca="1" si="229"/>
        <v>0</v>
      </c>
      <c r="AT75" s="459">
        <f t="shared" ca="1" si="229"/>
        <v>0</v>
      </c>
      <c r="AU75" s="459">
        <f t="shared" ca="1" si="229"/>
        <v>0</v>
      </c>
      <c r="AV75" s="459">
        <f t="shared" ca="1" si="229"/>
        <v>0</v>
      </c>
      <c r="AW75" s="459">
        <f t="shared" ca="1" si="229"/>
        <v>0</v>
      </c>
      <c r="AX75" s="459">
        <f t="shared" ca="1" si="229"/>
        <v>0</v>
      </c>
      <c r="AY75" s="459">
        <f t="shared" ca="1" si="229"/>
        <v>0</v>
      </c>
      <c r="AZ75" s="459">
        <f t="shared" ca="1" si="229"/>
        <v>0</v>
      </c>
      <c r="BA75" s="459">
        <f t="shared" ca="1" si="229"/>
        <v>0</v>
      </c>
      <c r="BB75" s="459">
        <f t="shared" ca="1" si="229"/>
        <v>0</v>
      </c>
      <c r="BC75" s="459">
        <f t="shared" ca="1" si="229"/>
        <v>0</v>
      </c>
      <c r="BD75" s="459">
        <f t="shared" ca="1" si="229"/>
        <v>0</v>
      </c>
      <c r="BE75" s="459">
        <f t="shared" ca="1" si="229"/>
        <v>0</v>
      </c>
      <c r="BF75" s="459">
        <f t="shared" ca="1" si="229"/>
        <v>0</v>
      </c>
      <c r="BG75" s="459">
        <f t="shared" ca="1" si="229"/>
        <v>0</v>
      </c>
      <c r="BH75" s="459">
        <f t="shared" ca="1" si="229"/>
        <v>0</v>
      </c>
      <c r="BI75" s="459">
        <f t="shared" ca="1" si="229"/>
        <v>0</v>
      </c>
      <c r="BJ75" s="459">
        <f t="shared" ca="1" si="229"/>
        <v>0</v>
      </c>
      <c r="BK75" s="459">
        <f t="shared" ca="1" si="229"/>
        <v>0</v>
      </c>
      <c r="BL75" s="459">
        <f t="shared" ca="1" si="229"/>
        <v>0</v>
      </c>
      <c r="BM75" s="459">
        <f t="shared" ca="1" si="229"/>
        <v>0</v>
      </c>
      <c r="BN75" s="459">
        <f t="shared" ca="1" si="229"/>
        <v>0</v>
      </c>
      <c r="BO75" s="459">
        <f t="shared" ca="1" si="229"/>
        <v>0</v>
      </c>
      <c r="BP75" s="459"/>
      <c r="BQ75" s="459"/>
      <c r="BR75" s="459"/>
      <c r="BS75" s="459"/>
      <c r="BT75" s="459"/>
      <c r="BU75" s="459"/>
      <c r="BV75" s="459"/>
      <c r="BW75" s="459"/>
      <c r="BX75" s="459"/>
      <c r="BY75" s="459"/>
      <c r="BZ75" s="459"/>
      <c r="CA75" s="459"/>
      <c r="CB75" s="459"/>
      <c r="CC75" s="459"/>
      <c r="CD75" s="459"/>
      <c r="CE75" s="459"/>
      <c r="CF75" s="459"/>
      <c r="CG75" s="459"/>
      <c r="CH75" s="459"/>
      <c r="CI75" s="459"/>
      <c r="CJ75" s="459"/>
      <c r="CK75" s="459"/>
      <c r="CL75" s="459"/>
      <c r="CM75" s="459"/>
      <c r="CN75" s="459"/>
      <c r="CO75" s="459"/>
      <c r="CP75" s="459"/>
      <c r="CQ75" s="459"/>
      <c r="CR75" s="459"/>
      <c r="CS75" s="459"/>
      <c r="CT75" s="459"/>
      <c r="CU75" s="459"/>
      <c r="CV75" s="459"/>
      <c r="CW75" s="459"/>
      <c r="CX75" s="459"/>
      <c r="CY75" s="459"/>
      <c r="CZ75" s="459"/>
      <c r="DA75" s="459"/>
      <c r="DB75" s="459"/>
      <c r="DC75" s="459"/>
      <c r="DD75" s="459"/>
      <c r="DE75" s="459"/>
      <c r="DF75" s="459"/>
      <c r="DG75" s="459"/>
      <c r="DH75" s="459"/>
      <c r="DI75" s="459"/>
      <c r="DJ75" s="459"/>
      <c r="DK75" s="459"/>
      <c r="DL75" s="459"/>
      <c r="DM75" s="459"/>
      <c r="DN75" s="459"/>
      <c r="DO75" s="459"/>
      <c r="DP75" s="459"/>
      <c r="DQ75" s="459"/>
      <c r="DR75" s="459"/>
      <c r="DS75" s="459"/>
      <c r="DT75" s="459"/>
      <c r="DU75" s="459"/>
      <c r="DV75" s="459"/>
      <c r="DW75" s="459"/>
    </row>
    <row r="76" spans="1:127">
      <c r="A76" s="881" t="s">
        <v>1240</v>
      </c>
      <c r="B76" s="708"/>
      <c r="C76" s="708"/>
      <c r="D76" s="568"/>
      <c r="E76" s="637"/>
      <c r="F76" s="637"/>
      <c r="G76" s="459">
        <f>SUM(G74:G75)</f>
        <v>0</v>
      </c>
      <c r="H76" s="459">
        <f t="shared" ref="H76" ca="1" si="230">SUM(H74:H75)</f>
        <v>0</v>
      </c>
      <c r="I76" s="459">
        <f t="shared" ref="I76:BO76" ca="1" si="231">SUM(I74:I75)</f>
        <v>0</v>
      </c>
      <c r="J76" s="459">
        <f t="shared" ca="1" si="231"/>
        <v>0</v>
      </c>
      <c r="K76" s="459">
        <f t="shared" ca="1" si="231"/>
        <v>0</v>
      </c>
      <c r="L76" s="459">
        <f t="shared" ca="1" si="231"/>
        <v>0</v>
      </c>
      <c r="M76" s="459">
        <f t="shared" ca="1" si="231"/>
        <v>0</v>
      </c>
      <c r="N76" s="459">
        <f t="shared" ca="1" si="231"/>
        <v>0</v>
      </c>
      <c r="O76" s="459">
        <f t="shared" ca="1" si="231"/>
        <v>0</v>
      </c>
      <c r="P76" s="459">
        <f t="shared" ca="1" si="231"/>
        <v>0</v>
      </c>
      <c r="Q76" s="459">
        <f t="shared" ca="1" si="231"/>
        <v>0</v>
      </c>
      <c r="R76" s="459">
        <f t="shared" ca="1" si="231"/>
        <v>0</v>
      </c>
      <c r="S76" s="459">
        <f t="shared" ca="1" si="231"/>
        <v>0</v>
      </c>
      <c r="T76" s="459">
        <f t="shared" ca="1" si="231"/>
        <v>0</v>
      </c>
      <c r="U76" s="459">
        <f t="shared" ca="1" si="231"/>
        <v>0</v>
      </c>
      <c r="V76" s="459">
        <f t="shared" ca="1" si="231"/>
        <v>0</v>
      </c>
      <c r="W76" s="459">
        <f t="shared" ca="1" si="231"/>
        <v>0</v>
      </c>
      <c r="X76" s="459">
        <f t="shared" ca="1" si="231"/>
        <v>0</v>
      </c>
      <c r="Y76" s="459">
        <f t="shared" ca="1" si="231"/>
        <v>0</v>
      </c>
      <c r="Z76" s="459">
        <f t="shared" ca="1" si="231"/>
        <v>0</v>
      </c>
      <c r="AA76" s="459">
        <f t="shared" ca="1" si="231"/>
        <v>0</v>
      </c>
      <c r="AB76" s="459">
        <f t="shared" ca="1" si="231"/>
        <v>0</v>
      </c>
      <c r="AC76" s="459">
        <f t="shared" ca="1" si="231"/>
        <v>0</v>
      </c>
      <c r="AD76" s="459">
        <f t="shared" ca="1" si="231"/>
        <v>0</v>
      </c>
      <c r="AE76" s="459">
        <f t="shared" ca="1" si="231"/>
        <v>0</v>
      </c>
      <c r="AF76" s="459">
        <f t="shared" ca="1" si="231"/>
        <v>0</v>
      </c>
      <c r="AG76" s="459">
        <f t="shared" ca="1" si="231"/>
        <v>0</v>
      </c>
      <c r="AH76" s="459">
        <f t="shared" ca="1" si="231"/>
        <v>0</v>
      </c>
      <c r="AI76" s="459">
        <f t="shared" ca="1" si="231"/>
        <v>0</v>
      </c>
      <c r="AJ76" s="459">
        <f t="shared" ca="1" si="231"/>
        <v>0</v>
      </c>
      <c r="AK76" s="459">
        <f t="shared" ca="1" si="231"/>
        <v>0</v>
      </c>
      <c r="AL76" s="459">
        <f t="shared" ca="1" si="231"/>
        <v>0</v>
      </c>
      <c r="AM76" s="459">
        <f t="shared" ca="1" si="231"/>
        <v>0</v>
      </c>
      <c r="AN76" s="459">
        <f t="shared" ca="1" si="231"/>
        <v>0</v>
      </c>
      <c r="AO76" s="459">
        <f t="shared" ca="1" si="231"/>
        <v>0</v>
      </c>
      <c r="AP76" s="459">
        <f t="shared" ca="1" si="231"/>
        <v>0</v>
      </c>
      <c r="AQ76" s="459">
        <f t="shared" ca="1" si="231"/>
        <v>0</v>
      </c>
      <c r="AR76" s="459">
        <f t="shared" ca="1" si="231"/>
        <v>0</v>
      </c>
      <c r="AS76" s="459">
        <f t="shared" ca="1" si="231"/>
        <v>0</v>
      </c>
      <c r="AT76" s="459">
        <f t="shared" ca="1" si="231"/>
        <v>0</v>
      </c>
      <c r="AU76" s="459">
        <f t="shared" ca="1" si="231"/>
        <v>0</v>
      </c>
      <c r="AV76" s="459">
        <f t="shared" ca="1" si="231"/>
        <v>0</v>
      </c>
      <c r="AW76" s="459">
        <f t="shared" ca="1" si="231"/>
        <v>0</v>
      </c>
      <c r="AX76" s="459">
        <f t="shared" ca="1" si="231"/>
        <v>0</v>
      </c>
      <c r="AY76" s="459">
        <f t="shared" ca="1" si="231"/>
        <v>0</v>
      </c>
      <c r="AZ76" s="459">
        <f t="shared" ca="1" si="231"/>
        <v>0</v>
      </c>
      <c r="BA76" s="459">
        <f t="shared" ca="1" si="231"/>
        <v>0</v>
      </c>
      <c r="BB76" s="459">
        <f t="shared" ca="1" si="231"/>
        <v>0</v>
      </c>
      <c r="BC76" s="459">
        <f t="shared" ca="1" si="231"/>
        <v>0</v>
      </c>
      <c r="BD76" s="459">
        <f t="shared" ca="1" si="231"/>
        <v>0</v>
      </c>
      <c r="BE76" s="459">
        <f t="shared" ca="1" si="231"/>
        <v>0</v>
      </c>
      <c r="BF76" s="459">
        <f t="shared" ca="1" si="231"/>
        <v>0</v>
      </c>
      <c r="BG76" s="459">
        <f t="shared" ca="1" si="231"/>
        <v>0</v>
      </c>
      <c r="BH76" s="459">
        <f t="shared" ca="1" si="231"/>
        <v>0</v>
      </c>
      <c r="BI76" s="459">
        <f t="shared" ca="1" si="231"/>
        <v>0</v>
      </c>
      <c r="BJ76" s="459">
        <f t="shared" ca="1" si="231"/>
        <v>0</v>
      </c>
      <c r="BK76" s="459">
        <f t="shared" ca="1" si="231"/>
        <v>0</v>
      </c>
      <c r="BL76" s="459">
        <f t="shared" ca="1" si="231"/>
        <v>0</v>
      </c>
      <c r="BM76" s="459">
        <f t="shared" ca="1" si="231"/>
        <v>0</v>
      </c>
      <c r="BN76" s="459">
        <f t="shared" ca="1" si="231"/>
        <v>0</v>
      </c>
      <c r="BO76" s="459">
        <f t="shared" ca="1" si="231"/>
        <v>0</v>
      </c>
      <c r="BP76" s="459"/>
      <c r="BQ76" s="459"/>
      <c r="BR76" s="459"/>
      <c r="BS76" s="459"/>
      <c r="BT76" s="459"/>
      <c r="BU76" s="459"/>
      <c r="BV76" s="459"/>
      <c r="BW76" s="459"/>
      <c r="BX76" s="459"/>
      <c r="BY76" s="459"/>
      <c r="BZ76" s="459"/>
      <c r="CA76" s="459"/>
      <c r="CB76" s="459"/>
      <c r="CC76" s="459"/>
      <c r="CD76" s="459"/>
      <c r="CE76" s="459"/>
      <c r="CF76" s="459"/>
      <c r="CG76" s="459"/>
      <c r="CH76" s="459"/>
      <c r="CI76" s="459"/>
      <c r="CJ76" s="459"/>
      <c r="CK76" s="459"/>
      <c r="CL76" s="459"/>
      <c r="CM76" s="459"/>
      <c r="CN76" s="459"/>
      <c r="CO76" s="459"/>
      <c r="CP76" s="459"/>
      <c r="CQ76" s="459"/>
      <c r="CR76" s="459"/>
      <c r="CS76" s="459"/>
      <c r="CT76" s="459"/>
      <c r="CU76" s="459"/>
      <c r="CV76" s="459"/>
      <c r="CW76" s="459"/>
      <c r="CX76" s="459"/>
      <c r="CY76" s="459"/>
      <c r="CZ76" s="459"/>
      <c r="DA76" s="459"/>
      <c r="DB76" s="459"/>
      <c r="DC76" s="459"/>
      <c r="DD76" s="459"/>
      <c r="DE76" s="459"/>
      <c r="DF76" s="459"/>
      <c r="DG76" s="459"/>
      <c r="DH76" s="459"/>
      <c r="DI76" s="459"/>
      <c r="DJ76" s="459"/>
      <c r="DK76" s="459"/>
      <c r="DL76" s="459"/>
      <c r="DM76" s="459"/>
      <c r="DN76" s="459"/>
      <c r="DO76" s="459"/>
      <c r="DP76" s="459"/>
      <c r="DQ76" s="459"/>
      <c r="DR76" s="459"/>
      <c r="DS76" s="459"/>
      <c r="DT76" s="459"/>
      <c r="DU76" s="459"/>
      <c r="DV76" s="459"/>
      <c r="DW76" s="459"/>
    </row>
    <row r="77" spans="1:127">
      <c r="A77" s="874" t="s">
        <v>1154</v>
      </c>
      <c r="B77" s="708"/>
      <c r="C77" s="708"/>
      <c r="D77" s="568"/>
      <c r="E77" s="637"/>
      <c r="F77" s="303"/>
      <c r="G77" s="459">
        <f ca="1">G71+G72-G73</f>
        <v>0</v>
      </c>
      <c r="H77" s="459">
        <f t="shared" ref="H77" ca="1" si="232">H71+H72-H73</f>
        <v>0</v>
      </c>
      <c r="I77" s="459">
        <f t="shared" ref="I77:BO77" ca="1" si="233">I71+I72-I73</f>
        <v>0</v>
      </c>
      <c r="J77" s="459">
        <f t="shared" ca="1" si="233"/>
        <v>0</v>
      </c>
      <c r="K77" s="459">
        <f t="shared" ca="1" si="233"/>
        <v>0</v>
      </c>
      <c r="L77" s="459">
        <f t="shared" ca="1" si="233"/>
        <v>0</v>
      </c>
      <c r="M77" s="459">
        <f t="shared" ca="1" si="233"/>
        <v>0</v>
      </c>
      <c r="N77" s="459">
        <f t="shared" ca="1" si="233"/>
        <v>0</v>
      </c>
      <c r="O77" s="459">
        <f t="shared" ca="1" si="233"/>
        <v>0</v>
      </c>
      <c r="P77" s="459">
        <f t="shared" ca="1" si="233"/>
        <v>0</v>
      </c>
      <c r="Q77" s="459">
        <f t="shared" ca="1" si="233"/>
        <v>0</v>
      </c>
      <c r="R77" s="459">
        <f t="shared" ca="1" si="233"/>
        <v>0</v>
      </c>
      <c r="S77" s="459">
        <f t="shared" ca="1" si="233"/>
        <v>0</v>
      </c>
      <c r="T77" s="459">
        <f t="shared" ca="1" si="233"/>
        <v>0</v>
      </c>
      <c r="U77" s="459">
        <f t="shared" ca="1" si="233"/>
        <v>0</v>
      </c>
      <c r="V77" s="459">
        <f t="shared" ca="1" si="233"/>
        <v>0</v>
      </c>
      <c r="W77" s="459">
        <f t="shared" ca="1" si="233"/>
        <v>0</v>
      </c>
      <c r="X77" s="459">
        <f t="shared" ca="1" si="233"/>
        <v>0</v>
      </c>
      <c r="Y77" s="459">
        <f t="shared" ca="1" si="233"/>
        <v>0</v>
      </c>
      <c r="Z77" s="459">
        <f t="shared" ca="1" si="233"/>
        <v>0</v>
      </c>
      <c r="AA77" s="459">
        <f t="shared" ca="1" si="233"/>
        <v>0</v>
      </c>
      <c r="AB77" s="459">
        <f t="shared" ca="1" si="233"/>
        <v>0</v>
      </c>
      <c r="AC77" s="459">
        <f t="shared" ca="1" si="233"/>
        <v>0</v>
      </c>
      <c r="AD77" s="459">
        <f t="shared" ca="1" si="233"/>
        <v>0</v>
      </c>
      <c r="AE77" s="459">
        <f t="shared" ca="1" si="233"/>
        <v>0</v>
      </c>
      <c r="AF77" s="459">
        <f t="shared" ca="1" si="233"/>
        <v>0</v>
      </c>
      <c r="AG77" s="459">
        <f t="shared" ca="1" si="233"/>
        <v>0</v>
      </c>
      <c r="AH77" s="459">
        <f t="shared" ca="1" si="233"/>
        <v>0</v>
      </c>
      <c r="AI77" s="459">
        <f t="shared" ca="1" si="233"/>
        <v>0</v>
      </c>
      <c r="AJ77" s="459">
        <f t="shared" ca="1" si="233"/>
        <v>0</v>
      </c>
      <c r="AK77" s="459">
        <f t="shared" ca="1" si="233"/>
        <v>0</v>
      </c>
      <c r="AL77" s="459">
        <f t="shared" ca="1" si="233"/>
        <v>0</v>
      </c>
      <c r="AM77" s="459">
        <f t="shared" ca="1" si="233"/>
        <v>0</v>
      </c>
      <c r="AN77" s="459">
        <f t="shared" ca="1" si="233"/>
        <v>0</v>
      </c>
      <c r="AO77" s="459">
        <f t="shared" ca="1" si="233"/>
        <v>0</v>
      </c>
      <c r="AP77" s="459">
        <f t="shared" ca="1" si="233"/>
        <v>0</v>
      </c>
      <c r="AQ77" s="459">
        <f t="shared" ca="1" si="233"/>
        <v>0</v>
      </c>
      <c r="AR77" s="459">
        <f t="shared" ca="1" si="233"/>
        <v>0</v>
      </c>
      <c r="AS77" s="459">
        <f t="shared" ca="1" si="233"/>
        <v>0</v>
      </c>
      <c r="AT77" s="459">
        <f t="shared" ca="1" si="233"/>
        <v>0</v>
      </c>
      <c r="AU77" s="459">
        <f t="shared" ca="1" si="233"/>
        <v>0</v>
      </c>
      <c r="AV77" s="459">
        <f t="shared" ca="1" si="233"/>
        <v>0</v>
      </c>
      <c r="AW77" s="459">
        <f t="shared" ca="1" si="233"/>
        <v>0</v>
      </c>
      <c r="AX77" s="459">
        <f t="shared" ca="1" si="233"/>
        <v>0</v>
      </c>
      <c r="AY77" s="459">
        <f t="shared" ca="1" si="233"/>
        <v>0</v>
      </c>
      <c r="AZ77" s="459">
        <f t="shared" ca="1" si="233"/>
        <v>0</v>
      </c>
      <c r="BA77" s="459">
        <f t="shared" ca="1" si="233"/>
        <v>0</v>
      </c>
      <c r="BB77" s="459">
        <f t="shared" ca="1" si="233"/>
        <v>0</v>
      </c>
      <c r="BC77" s="459">
        <f t="shared" ca="1" si="233"/>
        <v>0</v>
      </c>
      <c r="BD77" s="459">
        <f t="shared" ca="1" si="233"/>
        <v>0</v>
      </c>
      <c r="BE77" s="459">
        <f t="shared" ca="1" si="233"/>
        <v>0</v>
      </c>
      <c r="BF77" s="459">
        <f t="shared" ca="1" si="233"/>
        <v>0</v>
      </c>
      <c r="BG77" s="459">
        <f t="shared" ca="1" si="233"/>
        <v>0</v>
      </c>
      <c r="BH77" s="459">
        <f t="shared" ca="1" si="233"/>
        <v>0</v>
      </c>
      <c r="BI77" s="459">
        <f t="shared" ca="1" si="233"/>
        <v>0</v>
      </c>
      <c r="BJ77" s="459">
        <f t="shared" ca="1" si="233"/>
        <v>0</v>
      </c>
      <c r="BK77" s="459">
        <f t="shared" ca="1" si="233"/>
        <v>0</v>
      </c>
      <c r="BL77" s="459">
        <f t="shared" ca="1" si="233"/>
        <v>0</v>
      </c>
      <c r="BM77" s="459">
        <f t="shared" ca="1" si="233"/>
        <v>0</v>
      </c>
      <c r="BN77" s="459">
        <f t="shared" ca="1" si="233"/>
        <v>0</v>
      </c>
      <c r="BO77" s="459">
        <f t="shared" ca="1" si="233"/>
        <v>0</v>
      </c>
      <c r="BP77" s="459"/>
      <c r="BQ77" s="459"/>
      <c r="BR77" s="459"/>
      <c r="BS77" s="459"/>
      <c r="BT77" s="459"/>
      <c r="BU77" s="459"/>
      <c r="BV77" s="459"/>
      <c r="BW77" s="459"/>
      <c r="BX77" s="459"/>
      <c r="BY77" s="459"/>
      <c r="BZ77" s="459"/>
      <c r="CA77" s="459"/>
      <c r="CB77" s="459"/>
      <c r="CC77" s="459"/>
      <c r="CD77" s="459"/>
      <c r="CE77" s="459"/>
      <c r="CF77" s="459"/>
      <c r="CG77" s="459"/>
      <c r="CH77" s="459"/>
      <c r="CI77" s="459"/>
      <c r="CJ77" s="459"/>
      <c r="CK77" s="459"/>
      <c r="CL77" s="459"/>
      <c r="CM77" s="459"/>
      <c r="CN77" s="459"/>
      <c r="CO77" s="459"/>
      <c r="CP77" s="459"/>
      <c r="CQ77" s="459"/>
      <c r="CR77" s="459"/>
      <c r="CS77" s="459"/>
      <c r="CT77" s="459"/>
      <c r="CU77" s="459"/>
      <c r="CV77" s="459"/>
      <c r="CW77" s="459"/>
      <c r="CX77" s="459"/>
      <c r="CY77" s="459"/>
      <c r="CZ77" s="459"/>
      <c r="DA77" s="459"/>
      <c r="DB77" s="459"/>
      <c r="DC77" s="459"/>
      <c r="DD77" s="459"/>
      <c r="DE77" s="459"/>
      <c r="DF77" s="459"/>
      <c r="DG77" s="459"/>
      <c r="DH77" s="459"/>
      <c r="DI77" s="459"/>
      <c r="DJ77" s="459"/>
      <c r="DK77" s="459"/>
      <c r="DL77" s="459"/>
      <c r="DM77" s="459"/>
      <c r="DN77" s="459"/>
      <c r="DO77" s="459"/>
      <c r="DP77" s="459"/>
      <c r="DQ77" s="459"/>
      <c r="DR77" s="459"/>
      <c r="DS77" s="459"/>
      <c r="DT77" s="459"/>
      <c r="DU77" s="459"/>
      <c r="DV77" s="459"/>
      <c r="DW77" s="459"/>
    </row>
    <row r="78" spans="1:127">
      <c r="A78" s="860" t="str">
        <f>A70</f>
        <v>Facility Bank 2</v>
      </c>
      <c r="B78" s="708"/>
      <c r="C78" s="708"/>
      <c r="D78" s="568"/>
      <c r="E78" s="637"/>
      <c r="F78" s="637"/>
      <c r="G78" s="575">
        <f>SUM(G73:G74)</f>
        <v>0</v>
      </c>
      <c r="H78" s="575">
        <f t="shared" ref="H78:BO78" ca="1" si="234">SUM(H73:H74)</f>
        <v>0</v>
      </c>
      <c r="I78" s="575">
        <f t="shared" ca="1" si="234"/>
        <v>0</v>
      </c>
      <c r="J78" s="575">
        <f t="shared" ca="1" si="234"/>
        <v>0</v>
      </c>
      <c r="K78" s="575">
        <f t="shared" ca="1" si="234"/>
        <v>0</v>
      </c>
      <c r="L78" s="575">
        <f t="shared" ca="1" si="234"/>
        <v>0</v>
      </c>
      <c r="M78" s="575">
        <f t="shared" ca="1" si="234"/>
        <v>0</v>
      </c>
      <c r="N78" s="575">
        <f t="shared" ca="1" si="234"/>
        <v>0</v>
      </c>
      <c r="O78" s="575">
        <f t="shared" ca="1" si="234"/>
        <v>0</v>
      </c>
      <c r="P78" s="575">
        <f t="shared" ca="1" si="234"/>
        <v>0</v>
      </c>
      <c r="Q78" s="575">
        <f t="shared" ca="1" si="234"/>
        <v>0</v>
      </c>
      <c r="R78" s="575">
        <f t="shared" ca="1" si="234"/>
        <v>0</v>
      </c>
      <c r="S78" s="575">
        <f t="shared" ca="1" si="234"/>
        <v>0</v>
      </c>
      <c r="T78" s="575">
        <f t="shared" ca="1" si="234"/>
        <v>0</v>
      </c>
      <c r="U78" s="575">
        <f t="shared" ca="1" si="234"/>
        <v>0</v>
      </c>
      <c r="V78" s="575">
        <f t="shared" ca="1" si="234"/>
        <v>0</v>
      </c>
      <c r="W78" s="575">
        <f t="shared" ca="1" si="234"/>
        <v>0</v>
      </c>
      <c r="X78" s="575">
        <f t="shared" ca="1" si="234"/>
        <v>0</v>
      </c>
      <c r="Y78" s="575">
        <f t="shared" ca="1" si="234"/>
        <v>0</v>
      </c>
      <c r="Z78" s="575">
        <f t="shared" ca="1" si="234"/>
        <v>0</v>
      </c>
      <c r="AA78" s="575">
        <f t="shared" ca="1" si="234"/>
        <v>0</v>
      </c>
      <c r="AB78" s="575">
        <f t="shared" ca="1" si="234"/>
        <v>0</v>
      </c>
      <c r="AC78" s="575">
        <f t="shared" ca="1" si="234"/>
        <v>0</v>
      </c>
      <c r="AD78" s="575">
        <f t="shared" ca="1" si="234"/>
        <v>0</v>
      </c>
      <c r="AE78" s="575">
        <f t="shared" ca="1" si="234"/>
        <v>0</v>
      </c>
      <c r="AF78" s="575">
        <f t="shared" ca="1" si="234"/>
        <v>0</v>
      </c>
      <c r="AG78" s="575">
        <f t="shared" ca="1" si="234"/>
        <v>0</v>
      </c>
      <c r="AH78" s="575">
        <f t="shared" ca="1" si="234"/>
        <v>0</v>
      </c>
      <c r="AI78" s="575">
        <f t="shared" ca="1" si="234"/>
        <v>0</v>
      </c>
      <c r="AJ78" s="575">
        <f t="shared" ca="1" si="234"/>
        <v>0</v>
      </c>
      <c r="AK78" s="575">
        <f t="shared" ca="1" si="234"/>
        <v>0</v>
      </c>
      <c r="AL78" s="575">
        <f t="shared" ca="1" si="234"/>
        <v>0</v>
      </c>
      <c r="AM78" s="575">
        <f t="shared" ca="1" si="234"/>
        <v>0</v>
      </c>
      <c r="AN78" s="575">
        <f t="shared" ca="1" si="234"/>
        <v>0</v>
      </c>
      <c r="AO78" s="575">
        <f t="shared" ca="1" si="234"/>
        <v>0</v>
      </c>
      <c r="AP78" s="575">
        <f t="shared" ca="1" si="234"/>
        <v>0</v>
      </c>
      <c r="AQ78" s="575">
        <f t="shared" ca="1" si="234"/>
        <v>0</v>
      </c>
      <c r="AR78" s="575">
        <f t="shared" ca="1" si="234"/>
        <v>0</v>
      </c>
      <c r="AS78" s="575">
        <f t="shared" ca="1" si="234"/>
        <v>0</v>
      </c>
      <c r="AT78" s="575">
        <f t="shared" ca="1" si="234"/>
        <v>0</v>
      </c>
      <c r="AU78" s="575">
        <f t="shared" ca="1" si="234"/>
        <v>0</v>
      </c>
      <c r="AV78" s="575">
        <f t="shared" ca="1" si="234"/>
        <v>0</v>
      </c>
      <c r="AW78" s="575">
        <f t="shared" ca="1" si="234"/>
        <v>0</v>
      </c>
      <c r="AX78" s="575">
        <f t="shared" ca="1" si="234"/>
        <v>0</v>
      </c>
      <c r="AY78" s="575">
        <f t="shared" ca="1" si="234"/>
        <v>0</v>
      </c>
      <c r="AZ78" s="575">
        <f t="shared" ca="1" si="234"/>
        <v>0</v>
      </c>
      <c r="BA78" s="575">
        <f t="shared" ca="1" si="234"/>
        <v>0</v>
      </c>
      <c r="BB78" s="575">
        <f t="shared" ca="1" si="234"/>
        <v>0</v>
      </c>
      <c r="BC78" s="575">
        <f t="shared" ca="1" si="234"/>
        <v>0</v>
      </c>
      <c r="BD78" s="575">
        <f t="shared" ca="1" si="234"/>
        <v>0</v>
      </c>
      <c r="BE78" s="575">
        <f t="shared" ca="1" si="234"/>
        <v>0</v>
      </c>
      <c r="BF78" s="575">
        <f t="shared" ca="1" si="234"/>
        <v>0</v>
      </c>
      <c r="BG78" s="575">
        <f t="shared" ca="1" si="234"/>
        <v>0</v>
      </c>
      <c r="BH78" s="575">
        <f t="shared" ca="1" si="234"/>
        <v>0</v>
      </c>
      <c r="BI78" s="575">
        <f t="shared" ca="1" si="234"/>
        <v>0</v>
      </c>
      <c r="BJ78" s="575">
        <f t="shared" ca="1" si="234"/>
        <v>0</v>
      </c>
      <c r="BK78" s="575">
        <f t="shared" ca="1" si="234"/>
        <v>0</v>
      </c>
      <c r="BL78" s="575">
        <f t="shared" ca="1" si="234"/>
        <v>0</v>
      </c>
      <c r="BM78" s="575">
        <f t="shared" ca="1" si="234"/>
        <v>0</v>
      </c>
      <c r="BN78" s="575">
        <f t="shared" ca="1" si="234"/>
        <v>0</v>
      </c>
      <c r="BO78" s="575">
        <f t="shared" ca="1" si="234"/>
        <v>0</v>
      </c>
      <c r="BP78" s="575"/>
      <c r="BQ78" s="575"/>
      <c r="BR78" s="575"/>
      <c r="BS78" s="575"/>
      <c r="BT78" s="575"/>
      <c r="BU78" s="575"/>
      <c r="BV78" s="575"/>
      <c r="BW78" s="575"/>
      <c r="BX78" s="575"/>
      <c r="BY78" s="575"/>
      <c r="BZ78" s="575"/>
      <c r="CA78" s="575"/>
      <c r="CB78" s="575"/>
      <c r="CC78" s="575"/>
      <c r="CD78" s="575"/>
      <c r="CE78" s="575"/>
      <c r="CF78" s="575"/>
      <c r="CG78" s="575"/>
      <c r="CH78" s="575"/>
      <c r="CI78" s="575"/>
      <c r="CJ78" s="575"/>
      <c r="CK78" s="575"/>
      <c r="CL78" s="575"/>
      <c r="CM78" s="575"/>
      <c r="CN78" s="575"/>
      <c r="CO78" s="575"/>
      <c r="CP78" s="575"/>
      <c r="CQ78" s="575"/>
      <c r="CR78" s="575"/>
      <c r="CS78" s="575"/>
      <c r="CT78" s="575"/>
      <c r="CU78" s="575"/>
      <c r="CV78" s="575"/>
      <c r="CW78" s="575"/>
      <c r="CX78" s="575"/>
      <c r="CY78" s="575"/>
      <c r="CZ78" s="575"/>
      <c r="DA78" s="575"/>
      <c r="DB78" s="575"/>
      <c r="DC78" s="575"/>
      <c r="DD78" s="575"/>
      <c r="DE78" s="575"/>
      <c r="DF78" s="575"/>
      <c r="DG78" s="575"/>
      <c r="DH78" s="575"/>
      <c r="DI78" s="575"/>
      <c r="DJ78" s="575"/>
      <c r="DK78" s="575"/>
      <c r="DL78" s="575"/>
      <c r="DM78" s="575"/>
      <c r="DN78" s="575"/>
      <c r="DO78" s="575"/>
      <c r="DP78" s="575"/>
      <c r="DQ78" s="575"/>
      <c r="DR78" s="575"/>
      <c r="DS78" s="575"/>
      <c r="DT78" s="575"/>
      <c r="DU78" s="575"/>
      <c r="DV78" s="575"/>
      <c r="DW78" s="575"/>
    </row>
    <row r="79" spans="1:127">
      <c r="A79" s="373"/>
      <c r="B79" s="708"/>
      <c r="C79" s="708"/>
      <c r="D79" s="568"/>
      <c r="E79" s="637"/>
      <c r="F79" s="637"/>
      <c r="G79" s="459"/>
      <c r="H79" s="459"/>
      <c r="I79" s="459"/>
      <c r="J79" s="459"/>
      <c r="K79" s="459"/>
      <c r="L79" s="459"/>
      <c r="M79" s="459"/>
      <c r="N79" s="459"/>
      <c r="O79" s="459"/>
      <c r="P79" s="459"/>
      <c r="Q79" s="459"/>
      <c r="R79" s="459"/>
      <c r="S79" s="459"/>
      <c r="T79" s="459"/>
      <c r="U79" s="459"/>
      <c r="V79" s="459"/>
      <c r="W79" s="459"/>
      <c r="X79" s="459"/>
      <c r="Y79" s="459"/>
      <c r="Z79" s="459"/>
      <c r="AA79" s="459"/>
      <c r="AB79" s="459"/>
      <c r="AC79" s="459"/>
      <c r="AD79" s="459"/>
      <c r="AE79" s="459"/>
      <c r="AF79" s="459"/>
      <c r="AG79" s="459"/>
      <c r="AH79" s="459"/>
      <c r="AI79" s="459"/>
      <c r="AJ79" s="459"/>
      <c r="AK79" s="459"/>
      <c r="AL79" s="459"/>
      <c r="AM79" s="459"/>
      <c r="AN79" s="459"/>
      <c r="AO79" s="459"/>
      <c r="AP79" s="459"/>
      <c r="AQ79" s="459"/>
      <c r="AR79" s="459"/>
      <c r="AS79" s="459"/>
      <c r="AT79" s="459"/>
      <c r="AU79" s="459"/>
      <c r="AV79" s="459"/>
      <c r="AW79" s="459"/>
      <c r="AX79" s="459"/>
      <c r="AY79" s="459"/>
      <c r="AZ79" s="459"/>
      <c r="BA79" s="459"/>
      <c r="BB79" s="459"/>
      <c r="BC79" s="459"/>
      <c r="BD79" s="459"/>
      <c r="BE79" s="459"/>
      <c r="BF79" s="459"/>
      <c r="BG79" s="459"/>
      <c r="BH79" s="459"/>
      <c r="BI79" s="459"/>
      <c r="BJ79" s="459"/>
      <c r="BK79" s="459"/>
      <c r="BL79" s="459"/>
      <c r="BM79" s="459"/>
      <c r="BN79" s="459"/>
      <c r="BO79" s="459"/>
      <c r="BP79" s="459"/>
      <c r="BQ79" s="459"/>
      <c r="BR79" s="459"/>
      <c r="BS79" s="459"/>
      <c r="BT79" s="459"/>
      <c r="BU79" s="459"/>
      <c r="BV79" s="459"/>
      <c r="BW79" s="459"/>
      <c r="BX79" s="459"/>
      <c r="BY79" s="459"/>
      <c r="BZ79" s="459"/>
      <c r="CA79" s="459"/>
      <c r="CB79" s="459"/>
      <c r="CC79" s="459"/>
      <c r="CD79" s="459"/>
      <c r="CE79" s="459"/>
      <c r="CF79" s="459"/>
      <c r="CG79" s="459"/>
      <c r="CH79" s="459"/>
      <c r="CI79" s="459"/>
      <c r="CJ79" s="459"/>
      <c r="CK79" s="459"/>
      <c r="CL79" s="459"/>
      <c r="CM79" s="459"/>
      <c r="CN79" s="459"/>
      <c r="CO79" s="459"/>
      <c r="CP79" s="459"/>
      <c r="CQ79" s="459"/>
      <c r="CR79" s="459"/>
      <c r="CS79" s="459"/>
      <c r="CT79" s="459"/>
      <c r="CU79" s="459"/>
      <c r="CV79" s="459"/>
      <c r="CW79" s="459"/>
      <c r="CX79" s="459"/>
      <c r="CY79" s="459"/>
      <c r="CZ79" s="459"/>
      <c r="DA79" s="459"/>
      <c r="DB79" s="459"/>
      <c r="DC79" s="459"/>
      <c r="DD79" s="459"/>
      <c r="DE79" s="459"/>
      <c r="DF79" s="459"/>
      <c r="DG79" s="459"/>
      <c r="DH79" s="459"/>
      <c r="DI79" s="459"/>
      <c r="DJ79" s="459"/>
      <c r="DK79" s="459"/>
      <c r="DL79" s="459"/>
      <c r="DM79" s="459"/>
      <c r="DN79" s="459"/>
      <c r="DO79" s="459"/>
      <c r="DP79" s="459"/>
      <c r="DQ79" s="459"/>
      <c r="DR79" s="459"/>
      <c r="DS79" s="459"/>
      <c r="DT79" s="459"/>
      <c r="DU79" s="459"/>
      <c r="DV79" s="459"/>
      <c r="DW79" s="459"/>
    </row>
    <row r="80" spans="1:127">
      <c r="A80" s="861" t="s">
        <v>1241</v>
      </c>
      <c r="B80" s="862"/>
      <c r="C80" s="862"/>
      <c r="D80" s="963"/>
      <c r="E80" s="864"/>
      <c r="F80" s="863"/>
      <c r="G80" s="923"/>
      <c r="H80" s="924"/>
      <c r="I80" s="924"/>
      <c r="J80" s="924"/>
      <c r="K80" s="924"/>
      <c r="L80" s="924"/>
      <c r="M80" s="924"/>
      <c r="N80" s="924"/>
      <c r="O80" s="924"/>
      <c r="P80" s="924"/>
      <c r="Q80" s="924"/>
      <c r="R80" s="924"/>
      <c r="S80" s="924"/>
      <c r="T80" s="924"/>
      <c r="U80" s="924"/>
      <c r="V80" s="924"/>
      <c r="W80" s="924"/>
      <c r="X80" s="924"/>
      <c r="Y80" s="924"/>
      <c r="Z80" s="924"/>
      <c r="AA80" s="924"/>
      <c r="AB80" s="924"/>
      <c r="AC80" s="924"/>
      <c r="AD80" s="924"/>
      <c r="AE80" s="924"/>
      <c r="AF80" s="924"/>
      <c r="AG80" s="924"/>
      <c r="AH80" s="924"/>
      <c r="AI80" s="924"/>
      <c r="AJ80" s="924"/>
      <c r="AK80" s="924"/>
      <c r="AL80" s="924"/>
      <c r="AM80" s="924"/>
      <c r="AN80" s="924"/>
      <c r="AO80" s="924"/>
      <c r="AP80" s="924"/>
      <c r="AQ80" s="924"/>
      <c r="AR80" s="924"/>
      <c r="AS80" s="924"/>
      <c r="AT80" s="924"/>
      <c r="AU80" s="924"/>
      <c r="AV80" s="924"/>
      <c r="AW80" s="924"/>
      <c r="AX80" s="924"/>
      <c r="AY80" s="924"/>
      <c r="AZ80" s="924"/>
      <c r="BA80" s="924"/>
      <c r="BB80" s="924"/>
      <c r="BC80" s="924"/>
      <c r="BD80" s="924"/>
      <c r="BE80" s="924"/>
      <c r="BF80" s="924"/>
      <c r="BG80" s="924"/>
      <c r="BH80" s="924"/>
      <c r="BI80" s="924"/>
      <c r="BJ80" s="924"/>
      <c r="BK80" s="924"/>
      <c r="BL80" s="924"/>
      <c r="BM80" s="924"/>
      <c r="BN80" s="924"/>
      <c r="BO80" s="924"/>
      <c r="BP80" s="924"/>
      <c r="BQ80" s="924"/>
      <c r="BR80" s="924"/>
      <c r="BS80" s="924"/>
      <c r="BT80" s="924"/>
      <c r="BU80" s="924"/>
      <c r="BV80" s="924"/>
      <c r="BW80" s="924"/>
      <c r="BX80" s="924"/>
      <c r="BY80" s="924"/>
      <c r="BZ80" s="924"/>
      <c r="CA80" s="924"/>
      <c r="CB80" s="924"/>
      <c r="CC80" s="924"/>
      <c r="CD80" s="924"/>
      <c r="CE80" s="924"/>
      <c r="CF80" s="924"/>
      <c r="CG80" s="924"/>
      <c r="CH80" s="924"/>
      <c r="CI80" s="924"/>
      <c r="CJ80" s="924"/>
      <c r="CK80" s="924"/>
      <c r="CL80" s="924"/>
      <c r="CM80" s="924"/>
      <c r="CN80" s="924"/>
      <c r="CO80" s="924"/>
      <c r="CP80" s="924"/>
      <c r="CQ80" s="924"/>
      <c r="CR80" s="924"/>
      <c r="CS80" s="924"/>
      <c r="CT80" s="924"/>
      <c r="CU80" s="924"/>
      <c r="CV80" s="924"/>
      <c r="CW80" s="924"/>
      <c r="CX80" s="924"/>
      <c r="CY80" s="924"/>
      <c r="CZ80" s="924"/>
      <c r="DA80" s="924"/>
      <c r="DB80" s="924"/>
      <c r="DC80" s="924"/>
      <c r="DD80" s="924"/>
      <c r="DE80" s="924"/>
      <c r="DF80" s="924"/>
      <c r="DG80" s="924"/>
      <c r="DH80" s="924"/>
      <c r="DI80" s="924"/>
      <c r="DJ80" s="924"/>
      <c r="DK80" s="924"/>
      <c r="DL80" s="924"/>
      <c r="DM80" s="924"/>
      <c r="DN80" s="924"/>
      <c r="DO80" s="924"/>
      <c r="DP80" s="924"/>
      <c r="DQ80" s="924"/>
      <c r="DR80" s="924"/>
      <c r="DS80" s="924"/>
      <c r="DT80" s="924"/>
      <c r="DU80" s="924"/>
      <c r="DV80" s="924"/>
      <c r="DW80" s="924"/>
    </row>
    <row r="81" spans="1:127">
      <c r="A81" s="637"/>
      <c r="B81" s="708"/>
      <c r="C81" s="708"/>
      <c r="D81" s="568"/>
      <c r="E81" s="637"/>
      <c r="F81" s="637"/>
      <c r="G81" s="502"/>
      <c r="H81" s="512"/>
      <c r="I81" s="512"/>
      <c r="J81" s="512"/>
      <c r="K81" s="512"/>
      <c r="L81" s="512"/>
      <c r="M81" s="512"/>
      <c r="N81" s="512"/>
      <c r="O81" s="512"/>
      <c r="P81" s="512"/>
      <c r="Q81" s="512"/>
      <c r="R81" s="512"/>
      <c r="S81" s="512"/>
      <c r="T81" s="512"/>
      <c r="U81" s="512"/>
      <c r="V81" s="512"/>
      <c r="W81" s="512"/>
      <c r="X81" s="512"/>
      <c r="Y81" s="512"/>
      <c r="Z81" s="512"/>
      <c r="AA81" s="512"/>
      <c r="AB81" s="512"/>
      <c r="AC81" s="512"/>
      <c r="AD81" s="512"/>
      <c r="AE81" s="512"/>
      <c r="AF81" s="512"/>
      <c r="AG81" s="512"/>
      <c r="AH81" s="512"/>
      <c r="AI81" s="512"/>
      <c r="AJ81" s="512"/>
      <c r="AK81" s="512"/>
      <c r="AL81" s="512"/>
      <c r="AM81" s="512"/>
      <c r="AN81" s="512"/>
      <c r="AO81" s="512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</row>
    <row r="82" spans="1:127">
      <c r="A82" s="373" t="s">
        <v>1242</v>
      </c>
      <c r="D82" s="568">
        <f ca="1">MAX(G82:DW82)</f>
        <v>0</v>
      </c>
      <c r="E82" s="637"/>
      <c r="F82" s="637"/>
      <c r="G82" s="459">
        <f t="shared" ref="G82:AL82" ca="1" si="235">(G46+H82)/(1+$B88*(1+($B89/(1-$B$89)))*G6)*G7</f>
        <v>0</v>
      </c>
      <c r="H82" s="459">
        <f t="shared" ca="1" si="235"/>
        <v>0</v>
      </c>
      <c r="I82" s="459">
        <f t="shared" ca="1" si="235"/>
        <v>0</v>
      </c>
      <c r="J82" s="459">
        <f t="shared" ca="1" si="235"/>
        <v>0</v>
      </c>
      <c r="K82" s="459">
        <f t="shared" ca="1" si="235"/>
        <v>0</v>
      </c>
      <c r="L82" s="459">
        <f t="shared" ca="1" si="235"/>
        <v>0</v>
      </c>
      <c r="M82" s="459">
        <f t="shared" ca="1" si="235"/>
        <v>0</v>
      </c>
      <c r="N82" s="459">
        <f t="shared" ca="1" si="235"/>
        <v>0</v>
      </c>
      <c r="O82" s="459">
        <f t="shared" ca="1" si="235"/>
        <v>0</v>
      </c>
      <c r="P82" s="459">
        <f t="shared" ca="1" si="235"/>
        <v>0</v>
      </c>
      <c r="Q82" s="459">
        <f t="shared" ca="1" si="235"/>
        <v>0</v>
      </c>
      <c r="R82" s="459">
        <f t="shared" ca="1" si="235"/>
        <v>0</v>
      </c>
      <c r="S82" s="459">
        <f t="shared" ca="1" si="235"/>
        <v>0</v>
      </c>
      <c r="T82" s="459">
        <f t="shared" ca="1" si="235"/>
        <v>0</v>
      </c>
      <c r="U82" s="459">
        <f t="shared" ca="1" si="235"/>
        <v>0</v>
      </c>
      <c r="V82" s="459">
        <f t="shared" ca="1" si="235"/>
        <v>0</v>
      </c>
      <c r="W82" s="459">
        <f t="shared" ca="1" si="235"/>
        <v>0</v>
      </c>
      <c r="X82" s="459">
        <f t="shared" ca="1" si="235"/>
        <v>0</v>
      </c>
      <c r="Y82" s="459">
        <f t="shared" ca="1" si="235"/>
        <v>0</v>
      </c>
      <c r="Z82" s="459">
        <f t="shared" ca="1" si="235"/>
        <v>0</v>
      </c>
      <c r="AA82" s="459">
        <f t="shared" ca="1" si="235"/>
        <v>0</v>
      </c>
      <c r="AB82" s="459">
        <f t="shared" ca="1" si="235"/>
        <v>0</v>
      </c>
      <c r="AC82" s="459">
        <f t="shared" ca="1" si="235"/>
        <v>0</v>
      </c>
      <c r="AD82" s="459">
        <f t="shared" ca="1" si="235"/>
        <v>0</v>
      </c>
      <c r="AE82" s="459">
        <f t="shared" ca="1" si="235"/>
        <v>0</v>
      </c>
      <c r="AF82" s="459">
        <f t="shared" ca="1" si="235"/>
        <v>0</v>
      </c>
      <c r="AG82" s="459">
        <f t="shared" ca="1" si="235"/>
        <v>0</v>
      </c>
      <c r="AH82" s="459">
        <f t="shared" ca="1" si="235"/>
        <v>0</v>
      </c>
      <c r="AI82" s="459">
        <f t="shared" ca="1" si="235"/>
        <v>0</v>
      </c>
      <c r="AJ82" s="459">
        <f t="shared" ca="1" si="235"/>
        <v>0</v>
      </c>
      <c r="AK82" s="459">
        <f t="shared" ca="1" si="235"/>
        <v>0</v>
      </c>
      <c r="AL82" s="459">
        <f t="shared" ca="1" si="235"/>
        <v>0</v>
      </c>
      <c r="AM82" s="459">
        <f t="shared" ref="AM82:BO82" ca="1" si="236">(AM46+AN82)/(1+$B88*(1+($B89/(1-$B$89)))*AM6)*AM7</f>
        <v>0</v>
      </c>
      <c r="AN82" s="459">
        <f t="shared" ca="1" si="236"/>
        <v>0</v>
      </c>
      <c r="AO82" s="459">
        <f t="shared" ca="1" si="236"/>
        <v>0</v>
      </c>
      <c r="AP82" s="459">
        <f t="shared" ca="1" si="236"/>
        <v>0</v>
      </c>
      <c r="AQ82" s="459">
        <f t="shared" ca="1" si="236"/>
        <v>0</v>
      </c>
      <c r="AR82" s="459">
        <f t="shared" ca="1" si="236"/>
        <v>0</v>
      </c>
      <c r="AS82" s="459">
        <f t="shared" ca="1" si="236"/>
        <v>0</v>
      </c>
      <c r="AT82" s="459">
        <f t="shared" ca="1" si="236"/>
        <v>0</v>
      </c>
      <c r="AU82" s="459">
        <f t="shared" ca="1" si="236"/>
        <v>0</v>
      </c>
      <c r="AV82" s="459">
        <f t="shared" ca="1" si="236"/>
        <v>0</v>
      </c>
      <c r="AW82" s="459">
        <f t="shared" ca="1" si="236"/>
        <v>0</v>
      </c>
      <c r="AX82" s="459">
        <f t="shared" ca="1" si="236"/>
        <v>0</v>
      </c>
      <c r="AY82" s="459">
        <f t="shared" ca="1" si="236"/>
        <v>0</v>
      </c>
      <c r="AZ82" s="459">
        <f t="shared" ca="1" si="236"/>
        <v>0</v>
      </c>
      <c r="BA82" s="459">
        <f t="shared" ca="1" si="236"/>
        <v>0</v>
      </c>
      <c r="BB82" s="459">
        <f t="shared" ca="1" si="236"/>
        <v>0</v>
      </c>
      <c r="BC82" s="459">
        <f t="shared" ca="1" si="236"/>
        <v>0</v>
      </c>
      <c r="BD82" s="459">
        <f t="shared" ca="1" si="236"/>
        <v>0</v>
      </c>
      <c r="BE82" s="459">
        <f t="shared" ca="1" si="236"/>
        <v>0</v>
      </c>
      <c r="BF82" s="459">
        <f t="shared" ca="1" si="236"/>
        <v>0</v>
      </c>
      <c r="BG82" s="459">
        <f t="shared" ca="1" si="236"/>
        <v>0</v>
      </c>
      <c r="BH82" s="459">
        <f t="shared" ca="1" si="236"/>
        <v>0</v>
      </c>
      <c r="BI82" s="459">
        <f t="shared" ca="1" si="236"/>
        <v>0</v>
      </c>
      <c r="BJ82" s="459">
        <f t="shared" ca="1" si="236"/>
        <v>0</v>
      </c>
      <c r="BK82" s="459">
        <f t="shared" ca="1" si="236"/>
        <v>0</v>
      </c>
      <c r="BL82" s="459">
        <f t="shared" ca="1" si="236"/>
        <v>0</v>
      </c>
      <c r="BM82" s="459">
        <f t="shared" ca="1" si="236"/>
        <v>0</v>
      </c>
      <c r="BN82" s="459">
        <f t="shared" ca="1" si="236"/>
        <v>0</v>
      </c>
      <c r="BO82" s="459">
        <f t="shared" ca="1" si="236"/>
        <v>0</v>
      </c>
      <c r="BP82" s="459"/>
      <c r="BQ82" s="459"/>
      <c r="BR82" s="459"/>
      <c r="BS82" s="459"/>
      <c r="BT82" s="459"/>
      <c r="BU82" s="459"/>
      <c r="BV82" s="459"/>
      <c r="BW82" s="459"/>
      <c r="BX82" s="459"/>
      <c r="BY82" s="459"/>
      <c r="BZ82" s="459"/>
      <c r="CA82" s="459"/>
      <c r="CB82" s="459"/>
      <c r="CC82" s="459"/>
      <c r="CD82" s="459"/>
      <c r="CE82" s="459"/>
      <c r="CF82" s="459"/>
      <c r="CG82" s="459"/>
      <c r="CH82" s="459"/>
      <c r="CI82" s="459"/>
      <c r="CJ82" s="459"/>
      <c r="CK82" s="459"/>
      <c r="CL82" s="459"/>
      <c r="CM82" s="459"/>
      <c r="CN82" s="459"/>
      <c r="CO82" s="459"/>
      <c r="CP82" s="459"/>
      <c r="CQ82" s="459"/>
      <c r="CR82" s="459"/>
      <c r="CS82" s="459"/>
      <c r="CT82" s="459"/>
      <c r="CU82" s="459"/>
      <c r="CV82" s="459"/>
      <c r="CW82" s="459"/>
      <c r="CX82" s="459"/>
      <c r="CY82" s="459"/>
      <c r="CZ82" s="459"/>
      <c r="DA82" s="459"/>
      <c r="DB82" s="459"/>
      <c r="DC82" s="459"/>
      <c r="DD82" s="459"/>
      <c r="DE82" s="459"/>
      <c r="DF82" s="459"/>
      <c r="DG82" s="459"/>
      <c r="DH82" s="459"/>
      <c r="DI82" s="459"/>
      <c r="DJ82" s="459"/>
      <c r="DK82" s="459"/>
      <c r="DL82" s="459"/>
      <c r="DM82" s="459"/>
      <c r="DN82" s="459"/>
      <c r="DO82" s="459"/>
      <c r="DP82" s="459"/>
      <c r="DQ82" s="459"/>
      <c r="DR82" s="459"/>
      <c r="DS82" s="459"/>
      <c r="DT82" s="459"/>
      <c r="DU82" s="459"/>
      <c r="DV82" s="459"/>
      <c r="DW82" s="459"/>
    </row>
    <row r="83" spans="1:127">
      <c r="A83" s="373"/>
      <c r="D83" s="568"/>
      <c r="E83" s="637"/>
      <c r="F83" s="637"/>
      <c r="G83" s="459"/>
      <c r="H83" s="459"/>
      <c r="I83" s="459"/>
      <c r="J83" s="459"/>
      <c r="K83" s="459"/>
      <c r="L83" s="459"/>
      <c r="M83" s="459"/>
      <c r="N83" s="459"/>
      <c r="O83" s="459"/>
      <c r="P83" s="459"/>
      <c r="Q83" s="459"/>
      <c r="R83" s="459"/>
      <c r="S83" s="459"/>
      <c r="T83" s="459"/>
      <c r="U83" s="459"/>
      <c r="V83" s="459"/>
      <c r="W83" s="459"/>
      <c r="X83" s="459"/>
      <c r="Y83" s="459"/>
      <c r="Z83" s="459"/>
      <c r="AA83" s="459"/>
      <c r="AB83" s="459"/>
      <c r="AC83" s="459"/>
      <c r="AD83" s="459"/>
      <c r="AE83" s="459"/>
      <c r="AF83" s="459"/>
      <c r="AG83" s="459"/>
      <c r="AH83" s="459"/>
      <c r="AI83" s="459"/>
      <c r="AJ83" s="459"/>
      <c r="AK83" s="459"/>
      <c r="AL83" s="459"/>
      <c r="AM83" s="459"/>
      <c r="AN83" s="459"/>
      <c r="AO83" s="459"/>
      <c r="AP83" s="459"/>
      <c r="AQ83" s="459"/>
      <c r="AR83" s="459"/>
      <c r="AS83" s="459"/>
      <c r="AT83" s="459"/>
      <c r="AU83" s="459"/>
      <c r="AV83" s="459"/>
      <c r="AW83" s="459"/>
      <c r="AX83" s="459"/>
      <c r="AY83" s="459"/>
      <c r="AZ83" s="459"/>
      <c r="BA83" s="459"/>
      <c r="BB83" s="459"/>
      <c r="BC83" s="459"/>
      <c r="BD83" s="459"/>
      <c r="BE83" s="459"/>
      <c r="BF83" s="459"/>
      <c r="BG83" s="459"/>
      <c r="BH83" s="459"/>
      <c r="BI83" s="459"/>
      <c r="BJ83" s="459"/>
      <c r="BK83" s="459"/>
      <c r="BL83" s="459"/>
      <c r="BM83" s="459"/>
      <c r="BN83" s="459"/>
      <c r="BO83" s="459"/>
      <c r="BP83" s="459"/>
      <c r="BQ83" s="459"/>
      <c r="BR83" s="459"/>
      <c r="BS83" s="459"/>
      <c r="BT83" s="459"/>
      <c r="BU83" s="459"/>
      <c r="BV83" s="459"/>
      <c r="BW83" s="459"/>
      <c r="BX83" s="459"/>
      <c r="BY83" s="459"/>
      <c r="BZ83" s="459"/>
      <c r="CA83" s="459"/>
      <c r="CB83" s="459"/>
      <c r="CC83" s="459"/>
      <c r="CD83" s="459"/>
      <c r="CE83" s="459"/>
      <c r="CF83" s="459"/>
      <c r="CG83" s="459"/>
      <c r="CH83" s="459"/>
      <c r="CI83" s="459"/>
      <c r="CJ83" s="459"/>
      <c r="CK83" s="459"/>
      <c r="CL83" s="459"/>
      <c r="CM83" s="459"/>
      <c r="CN83" s="459"/>
      <c r="CO83" s="459"/>
      <c r="CP83" s="459"/>
      <c r="CQ83" s="459"/>
      <c r="CR83" s="459"/>
      <c r="CS83" s="459"/>
      <c r="CT83" s="459"/>
      <c r="CU83" s="459"/>
      <c r="CV83" s="459"/>
      <c r="CW83" s="459"/>
      <c r="CX83" s="459"/>
      <c r="CY83" s="459"/>
      <c r="CZ83" s="459"/>
      <c r="DA83" s="459"/>
      <c r="DB83" s="459"/>
      <c r="DC83" s="459"/>
      <c r="DD83" s="459"/>
      <c r="DE83" s="459"/>
      <c r="DF83" s="459"/>
      <c r="DG83" s="459"/>
      <c r="DH83" s="459"/>
      <c r="DI83" s="459"/>
      <c r="DJ83" s="459"/>
      <c r="DK83" s="459"/>
      <c r="DL83" s="459"/>
      <c r="DM83" s="459"/>
      <c r="DN83" s="459"/>
      <c r="DO83" s="459"/>
      <c r="DP83" s="459"/>
      <c r="DQ83" s="459"/>
      <c r="DR83" s="459"/>
      <c r="DS83" s="459"/>
      <c r="DT83" s="459"/>
      <c r="DU83" s="459"/>
      <c r="DV83" s="459"/>
      <c r="DW83" s="459"/>
    </row>
    <row r="84" spans="1:127">
      <c r="A84" s="612" t="s">
        <v>1243</v>
      </c>
      <c r="B84" s="708"/>
      <c r="C84" s="708"/>
      <c r="D84" s="568"/>
      <c r="E84" s="637"/>
      <c r="F84" s="637"/>
      <c r="G84" s="502"/>
      <c r="H84" s="502"/>
      <c r="I84" s="502"/>
      <c r="J84" s="502"/>
      <c r="K84" s="502"/>
      <c r="L84" s="502"/>
      <c r="M84" s="502"/>
      <c r="N84" s="502"/>
      <c r="O84" s="502"/>
      <c r="P84" s="502"/>
      <c r="Q84" s="502"/>
      <c r="R84" s="502"/>
      <c r="S84" s="502"/>
      <c r="T84" s="502"/>
      <c r="U84" s="502"/>
      <c r="V84" s="502"/>
      <c r="W84" s="502"/>
      <c r="X84" s="502"/>
      <c r="Y84" s="502"/>
      <c r="Z84" s="502"/>
      <c r="AA84" s="502"/>
      <c r="AB84" s="502"/>
      <c r="AC84" s="502"/>
      <c r="AD84" s="502"/>
      <c r="AE84" s="502"/>
      <c r="AF84" s="502"/>
      <c r="AG84" s="502"/>
      <c r="AH84" s="502"/>
      <c r="AI84" s="502"/>
      <c r="AJ84" s="502"/>
      <c r="AK84" s="502"/>
      <c r="AL84" s="502"/>
      <c r="AM84" s="502"/>
      <c r="AN84" s="502"/>
      <c r="AO84" s="502"/>
      <c r="AP84" s="502"/>
      <c r="AQ84" s="502"/>
      <c r="AR84" s="502"/>
      <c r="AS84" s="502"/>
      <c r="AT84" s="502"/>
      <c r="AU84" s="502"/>
      <c r="AV84" s="502"/>
      <c r="AW84" s="502"/>
      <c r="AX84" s="502"/>
      <c r="AY84" s="502"/>
      <c r="AZ84" s="502"/>
      <c r="BA84" s="502"/>
      <c r="BB84" s="502"/>
      <c r="BC84" s="502"/>
      <c r="BD84" s="502"/>
      <c r="BE84" s="502"/>
      <c r="BF84" s="502"/>
      <c r="BG84" s="502"/>
      <c r="BH84" s="502"/>
      <c r="BI84" s="502"/>
      <c r="BJ84" s="502"/>
      <c r="BK84" s="502"/>
      <c r="BL84" s="502"/>
      <c r="BM84" s="502"/>
      <c r="BN84" s="502"/>
      <c r="BO84" s="502"/>
      <c r="BP84" s="502"/>
      <c r="BQ84" s="502"/>
      <c r="BR84" s="502"/>
      <c r="BS84" s="502"/>
      <c r="BT84" s="502"/>
      <c r="BU84" s="502"/>
      <c r="BV84" s="502"/>
      <c r="BW84" s="502"/>
      <c r="BX84" s="502"/>
      <c r="BY84" s="502"/>
      <c r="BZ84" s="502"/>
      <c r="CA84" s="502"/>
      <c r="CB84" s="502"/>
      <c r="CC84" s="502"/>
      <c r="CD84" s="502"/>
      <c r="CE84" s="502"/>
      <c r="CF84" s="502"/>
      <c r="CG84" s="502"/>
      <c r="CH84" s="502"/>
      <c r="CI84" s="502"/>
      <c r="CJ84" s="502"/>
      <c r="CK84" s="502"/>
      <c r="CL84" s="502"/>
      <c r="CM84" s="502"/>
      <c r="CN84" s="502"/>
      <c r="CO84" s="502"/>
      <c r="CP84" s="502"/>
      <c r="CQ84" s="502"/>
      <c r="CR84" s="502"/>
      <c r="CS84" s="502"/>
      <c r="CT84" s="502"/>
      <c r="CU84" s="502"/>
      <c r="CV84" s="502"/>
      <c r="CW84" s="502"/>
      <c r="CX84" s="502"/>
      <c r="CY84" s="502"/>
      <c r="CZ84" s="502"/>
      <c r="DA84" s="502"/>
      <c r="DB84" s="502"/>
      <c r="DC84" s="502"/>
      <c r="DD84" s="502"/>
      <c r="DE84" s="502"/>
      <c r="DF84" s="502"/>
      <c r="DG84" s="502"/>
      <c r="DH84" s="502"/>
      <c r="DI84" s="502"/>
      <c r="DJ84" s="502"/>
      <c r="DK84" s="502"/>
      <c r="DL84" s="502"/>
      <c r="DM84" s="502"/>
      <c r="DN84" s="502"/>
      <c r="DO84" s="502"/>
      <c r="DP84" s="502"/>
      <c r="DQ84" s="502"/>
      <c r="DR84" s="502"/>
      <c r="DS84" s="502"/>
      <c r="DT84" s="502"/>
      <c r="DU84" s="502"/>
      <c r="DV84" s="502"/>
      <c r="DW84" s="502"/>
    </row>
    <row r="85" spans="1:127">
      <c r="A85" s="874" t="s">
        <v>1231</v>
      </c>
      <c r="B85" s="708"/>
      <c r="C85" s="708"/>
      <c r="D85" s="568"/>
      <c r="E85" s="637"/>
      <c r="F85" s="637"/>
      <c r="G85" s="459">
        <f>F91</f>
        <v>0</v>
      </c>
      <c r="H85" s="459">
        <f t="shared" ref="H85" si="237">G91</f>
        <v>0</v>
      </c>
      <c r="I85" s="459">
        <f t="shared" ref="I85" ca="1" si="238">H91</f>
        <v>0</v>
      </c>
      <c r="J85" s="459">
        <f t="shared" ref="J85" ca="1" si="239">I91</f>
        <v>0</v>
      </c>
      <c r="K85" s="459">
        <f t="shared" ref="K85" ca="1" si="240">J91</f>
        <v>0</v>
      </c>
      <c r="L85" s="459">
        <f t="shared" ref="L85" ca="1" si="241">K91</f>
        <v>0</v>
      </c>
      <c r="M85" s="459">
        <f t="shared" ref="M85" ca="1" si="242">L91</f>
        <v>0</v>
      </c>
      <c r="N85" s="459">
        <f t="shared" ref="N85" ca="1" si="243">M91</f>
        <v>0</v>
      </c>
      <c r="O85" s="459">
        <f t="shared" ref="O85" ca="1" si="244">N91</f>
        <v>0</v>
      </c>
      <c r="P85" s="459">
        <f t="shared" ref="P85" ca="1" si="245">O91</f>
        <v>0</v>
      </c>
      <c r="Q85" s="459">
        <f t="shared" ref="Q85" ca="1" si="246">P91</f>
        <v>0</v>
      </c>
      <c r="R85" s="459">
        <f t="shared" ref="R85" ca="1" si="247">Q91</f>
        <v>0</v>
      </c>
      <c r="S85" s="459">
        <f t="shared" ref="S85" ca="1" si="248">R91</f>
        <v>0</v>
      </c>
      <c r="T85" s="459">
        <f t="shared" ref="T85" ca="1" si="249">S91</f>
        <v>0</v>
      </c>
      <c r="U85" s="459">
        <f t="shared" ref="U85" ca="1" si="250">T91</f>
        <v>0</v>
      </c>
      <c r="V85" s="459">
        <f t="shared" ref="V85" ca="1" si="251">U91</f>
        <v>0</v>
      </c>
      <c r="W85" s="459">
        <f t="shared" ref="W85" ca="1" si="252">V91</f>
        <v>0</v>
      </c>
      <c r="X85" s="459">
        <f t="shared" ref="X85" ca="1" si="253">W91</f>
        <v>0</v>
      </c>
      <c r="Y85" s="459">
        <f t="shared" ref="Y85" ca="1" si="254">X91</f>
        <v>0</v>
      </c>
      <c r="Z85" s="459">
        <f t="shared" ref="Z85" ca="1" si="255">Y91</f>
        <v>0</v>
      </c>
      <c r="AA85" s="459">
        <f t="shared" ref="AA85" ca="1" si="256">Z91</f>
        <v>0</v>
      </c>
      <c r="AB85" s="459">
        <f t="shared" ref="AB85" ca="1" si="257">AA91</f>
        <v>0</v>
      </c>
      <c r="AC85" s="459">
        <f t="shared" ref="AC85" ca="1" si="258">AB91</f>
        <v>0</v>
      </c>
      <c r="AD85" s="459">
        <f t="shared" ref="AD85" ca="1" si="259">AC91</f>
        <v>0</v>
      </c>
      <c r="AE85" s="459">
        <f t="shared" ref="AE85" ca="1" si="260">AD91</f>
        <v>0</v>
      </c>
      <c r="AF85" s="459">
        <f t="shared" ref="AF85" ca="1" si="261">AE91</f>
        <v>0</v>
      </c>
      <c r="AG85" s="459">
        <f t="shared" ref="AG85" ca="1" si="262">AF91</f>
        <v>0</v>
      </c>
      <c r="AH85" s="459">
        <f t="shared" ref="AH85" ca="1" si="263">AG91</f>
        <v>0</v>
      </c>
      <c r="AI85" s="459">
        <f t="shared" ref="AI85" ca="1" si="264">AH91</f>
        <v>0</v>
      </c>
      <c r="AJ85" s="459">
        <f t="shared" ref="AJ85" ca="1" si="265">AI91</f>
        <v>0</v>
      </c>
      <c r="AK85" s="459">
        <f t="shared" ref="AK85" ca="1" si="266">AJ91</f>
        <v>0</v>
      </c>
      <c r="AL85" s="459">
        <f t="shared" ref="AL85" ca="1" si="267">AK91</f>
        <v>0</v>
      </c>
      <c r="AM85" s="459">
        <f t="shared" ref="AM85" ca="1" si="268">AL91</f>
        <v>0</v>
      </c>
      <c r="AN85" s="459">
        <f t="shared" ref="AN85" ca="1" si="269">AM91</f>
        <v>0</v>
      </c>
      <c r="AO85" s="459">
        <f t="shared" ref="AO85" ca="1" si="270">AN91</f>
        <v>0</v>
      </c>
      <c r="AP85" s="459">
        <f t="shared" ref="AP85" ca="1" si="271">AO91</f>
        <v>0</v>
      </c>
      <c r="AQ85" s="459">
        <f t="shared" ref="AQ85" ca="1" si="272">AP91</f>
        <v>0</v>
      </c>
      <c r="AR85" s="459">
        <f t="shared" ref="AR85" ca="1" si="273">AQ91</f>
        <v>0</v>
      </c>
      <c r="AS85" s="459">
        <f t="shared" ref="AS85" ca="1" si="274">AR91</f>
        <v>0</v>
      </c>
      <c r="AT85" s="459">
        <f t="shared" ref="AT85" ca="1" si="275">AS91</f>
        <v>0</v>
      </c>
      <c r="AU85" s="459">
        <f t="shared" ref="AU85" ca="1" si="276">AT91</f>
        <v>0</v>
      </c>
      <c r="AV85" s="459">
        <f t="shared" ref="AV85" ca="1" si="277">AU91</f>
        <v>0</v>
      </c>
      <c r="AW85" s="459">
        <f t="shared" ref="AW85" ca="1" si="278">AV91</f>
        <v>0</v>
      </c>
      <c r="AX85" s="459">
        <f t="shared" ref="AX85" ca="1" si="279">AW91</f>
        <v>0</v>
      </c>
      <c r="AY85" s="459">
        <f t="shared" ref="AY85" ca="1" si="280">AX91</f>
        <v>0</v>
      </c>
      <c r="AZ85" s="459">
        <f t="shared" ref="AZ85" ca="1" si="281">AY91</f>
        <v>0</v>
      </c>
      <c r="BA85" s="459">
        <f t="shared" ref="BA85" ca="1" si="282">AZ91</f>
        <v>0</v>
      </c>
      <c r="BB85" s="459">
        <f t="shared" ref="BB85" ca="1" si="283">BA91</f>
        <v>0</v>
      </c>
      <c r="BC85" s="459">
        <f t="shared" ref="BC85" ca="1" si="284">BB91</f>
        <v>0</v>
      </c>
      <c r="BD85" s="459">
        <f t="shared" ref="BD85" ca="1" si="285">BC91</f>
        <v>0</v>
      </c>
      <c r="BE85" s="459">
        <f t="shared" ref="BE85" ca="1" si="286">BD91</f>
        <v>0</v>
      </c>
      <c r="BF85" s="459">
        <f t="shared" ref="BF85" ca="1" si="287">BE91</f>
        <v>0</v>
      </c>
      <c r="BG85" s="459">
        <f t="shared" ref="BG85" ca="1" si="288">BF91</f>
        <v>0</v>
      </c>
      <c r="BH85" s="459">
        <f t="shared" ref="BH85" ca="1" si="289">BG91</f>
        <v>0</v>
      </c>
      <c r="BI85" s="459">
        <f t="shared" ref="BI85" ca="1" si="290">BH91</f>
        <v>0</v>
      </c>
      <c r="BJ85" s="459">
        <f t="shared" ref="BJ85" ca="1" si="291">BI91</f>
        <v>0</v>
      </c>
      <c r="BK85" s="459">
        <f t="shared" ref="BK85" ca="1" si="292">BJ91</f>
        <v>0</v>
      </c>
      <c r="BL85" s="459">
        <f t="shared" ref="BL85" ca="1" si="293">BK91</f>
        <v>0</v>
      </c>
      <c r="BM85" s="459">
        <f t="shared" ref="BM85" ca="1" si="294">BL91</f>
        <v>0</v>
      </c>
      <c r="BN85" s="459">
        <f t="shared" ref="BN85" ca="1" si="295">BM91</f>
        <v>0</v>
      </c>
      <c r="BO85" s="459">
        <f t="shared" ref="BO85" ca="1" si="296">BN91</f>
        <v>0</v>
      </c>
      <c r="BP85" s="459"/>
      <c r="BQ85" s="459"/>
      <c r="BR85" s="459"/>
      <c r="BS85" s="459"/>
      <c r="BT85" s="459"/>
      <c r="BU85" s="459"/>
      <c r="BV85" s="459"/>
      <c r="BW85" s="459"/>
      <c r="BX85" s="459"/>
      <c r="BY85" s="459"/>
      <c r="BZ85" s="459"/>
      <c r="CA85" s="459"/>
      <c r="CB85" s="459"/>
      <c r="CC85" s="459"/>
      <c r="CD85" s="459"/>
      <c r="CE85" s="459"/>
      <c r="CF85" s="459"/>
      <c r="CG85" s="459"/>
      <c r="CH85" s="459"/>
      <c r="CI85" s="459"/>
      <c r="CJ85" s="459"/>
      <c r="CK85" s="459"/>
      <c r="CL85" s="459"/>
      <c r="CM85" s="459"/>
      <c r="CN85" s="459"/>
      <c r="CO85" s="459"/>
      <c r="CP85" s="459"/>
      <c r="CQ85" s="459"/>
      <c r="CR85" s="459"/>
      <c r="CS85" s="459"/>
      <c r="CT85" s="459"/>
      <c r="CU85" s="459"/>
      <c r="CV85" s="459"/>
      <c r="CW85" s="459"/>
      <c r="CX85" s="459"/>
      <c r="CY85" s="459"/>
      <c r="CZ85" s="459"/>
      <c r="DA85" s="459"/>
      <c r="DB85" s="459"/>
      <c r="DC85" s="459"/>
      <c r="DD85" s="459"/>
      <c r="DE85" s="459"/>
      <c r="DF85" s="459"/>
      <c r="DG85" s="459"/>
      <c r="DH85" s="459"/>
      <c r="DI85" s="459"/>
      <c r="DJ85" s="459"/>
      <c r="DK85" s="459"/>
      <c r="DL85" s="459"/>
      <c r="DM85" s="459"/>
      <c r="DN85" s="459"/>
      <c r="DO85" s="459"/>
      <c r="DP85" s="459"/>
      <c r="DQ85" s="459"/>
      <c r="DR85" s="459"/>
      <c r="DS85" s="459"/>
      <c r="DT85" s="459"/>
      <c r="DU85" s="459"/>
      <c r="DV85" s="459"/>
      <c r="DW85" s="459"/>
    </row>
    <row r="86" spans="1:127">
      <c r="A86" s="881" t="s">
        <v>1152</v>
      </c>
      <c r="B86" s="810">
        <f ca="1">Inputs!D238</f>
        <v>0</v>
      </c>
      <c r="C86" s="810"/>
      <c r="D86" s="510">
        <f ca="1">SUM(G86:DW86)</f>
        <v>0</v>
      </c>
      <c r="E86" s="637"/>
      <c r="F86" s="637"/>
      <c r="G86" s="459">
        <f t="shared" ref="G86:AL86" si="297">IF(G7,F56,0)</f>
        <v>0</v>
      </c>
      <c r="H86" s="459">
        <f t="shared" ca="1" si="297"/>
        <v>0</v>
      </c>
      <c r="I86" s="459">
        <f t="shared" ca="1" si="297"/>
        <v>0</v>
      </c>
      <c r="J86" s="459">
        <f t="shared" ca="1" si="297"/>
        <v>0</v>
      </c>
      <c r="K86" s="459">
        <f t="shared" ca="1" si="297"/>
        <v>0</v>
      </c>
      <c r="L86" s="459">
        <f t="shared" ca="1" si="297"/>
        <v>0</v>
      </c>
      <c r="M86" s="459">
        <f t="shared" ca="1" si="297"/>
        <v>0</v>
      </c>
      <c r="N86" s="459">
        <f t="shared" ca="1" si="297"/>
        <v>0</v>
      </c>
      <c r="O86" s="459">
        <f t="shared" ca="1" si="297"/>
        <v>0</v>
      </c>
      <c r="P86" s="459">
        <f t="shared" ca="1" si="297"/>
        <v>0</v>
      </c>
      <c r="Q86" s="459">
        <f t="shared" ca="1" si="297"/>
        <v>0</v>
      </c>
      <c r="R86" s="459">
        <f t="shared" ca="1" si="297"/>
        <v>0</v>
      </c>
      <c r="S86" s="459">
        <f t="shared" ca="1" si="297"/>
        <v>0</v>
      </c>
      <c r="T86" s="459">
        <f t="shared" ca="1" si="297"/>
        <v>0</v>
      </c>
      <c r="U86" s="459">
        <f t="shared" ca="1" si="297"/>
        <v>0</v>
      </c>
      <c r="V86" s="459">
        <f t="shared" ca="1" si="297"/>
        <v>0</v>
      </c>
      <c r="W86" s="459">
        <f t="shared" ca="1" si="297"/>
        <v>0</v>
      </c>
      <c r="X86" s="459">
        <f t="shared" ca="1" si="297"/>
        <v>0</v>
      </c>
      <c r="Y86" s="459">
        <f t="shared" ca="1" si="297"/>
        <v>0</v>
      </c>
      <c r="Z86" s="459">
        <f t="shared" ca="1" si="297"/>
        <v>0</v>
      </c>
      <c r="AA86" s="459">
        <f t="shared" ca="1" si="297"/>
        <v>0</v>
      </c>
      <c r="AB86" s="459">
        <f t="shared" ca="1" si="297"/>
        <v>0</v>
      </c>
      <c r="AC86" s="459">
        <f t="shared" ca="1" si="297"/>
        <v>0</v>
      </c>
      <c r="AD86" s="459">
        <f t="shared" ca="1" si="297"/>
        <v>0</v>
      </c>
      <c r="AE86" s="459">
        <f t="shared" ca="1" si="297"/>
        <v>0</v>
      </c>
      <c r="AF86" s="459">
        <f t="shared" ca="1" si="297"/>
        <v>0</v>
      </c>
      <c r="AG86" s="459">
        <f t="shared" ca="1" si="297"/>
        <v>0</v>
      </c>
      <c r="AH86" s="459">
        <f t="shared" ca="1" si="297"/>
        <v>0</v>
      </c>
      <c r="AI86" s="459">
        <f t="shared" ca="1" si="297"/>
        <v>0</v>
      </c>
      <c r="AJ86" s="459">
        <f t="shared" ca="1" si="297"/>
        <v>0</v>
      </c>
      <c r="AK86" s="459">
        <f t="shared" ca="1" si="297"/>
        <v>0</v>
      </c>
      <c r="AL86" s="459">
        <f t="shared" ca="1" si="297"/>
        <v>0</v>
      </c>
      <c r="AM86" s="459">
        <f t="shared" ref="AM86:BO86" ca="1" si="298">IF(AM7,AL56,0)</f>
        <v>0</v>
      </c>
      <c r="AN86" s="459">
        <f t="shared" ca="1" si="298"/>
        <v>0</v>
      </c>
      <c r="AO86" s="459">
        <f t="shared" ca="1" si="298"/>
        <v>0</v>
      </c>
      <c r="AP86" s="459">
        <f t="shared" ca="1" si="298"/>
        <v>0</v>
      </c>
      <c r="AQ86" s="459">
        <f t="shared" ca="1" si="298"/>
        <v>0</v>
      </c>
      <c r="AR86" s="459">
        <f t="shared" ca="1" si="298"/>
        <v>0</v>
      </c>
      <c r="AS86" s="459">
        <f t="shared" ca="1" si="298"/>
        <v>0</v>
      </c>
      <c r="AT86" s="459">
        <f t="shared" ca="1" si="298"/>
        <v>0</v>
      </c>
      <c r="AU86" s="459">
        <f t="shared" ca="1" si="298"/>
        <v>0</v>
      </c>
      <c r="AV86" s="459">
        <f t="shared" ca="1" si="298"/>
        <v>0</v>
      </c>
      <c r="AW86" s="459">
        <f t="shared" ca="1" si="298"/>
        <v>0</v>
      </c>
      <c r="AX86" s="459">
        <f t="shared" ca="1" si="298"/>
        <v>0</v>
      </c>
      <c r="AY86" s="459">
        <f t="shared" ca="1" si="298"/>
        <v>0</v>
      </c>
      <c r="AZ86" s="459">
        <f t="shared" ca="1" si="298"/>
        <v>0</v>
      </c>
      <c r="BA86" s="459">
        <f t="shared" ca="1" si="298"/>
        <v>0</v>
      </c>
      <c r="BB86" s="459">
        <f t="shared" ca="1" si="298"/>
        <v>0</v>
      </c>
      <c r="BC86" s="459">
        <f t="shared" ca="1" si="298"/>
        <v>0</v>
      </c>
      <c r="BD86" s="459">
        <f t="shared" ca="1" si="298"/>
        <v>0</v>
      </c>
      <c r="BE86" s="459">
        <f t="shared" ca="1" si="298"/>
        <v>0</v>
      </c>
      <c r="BF86" s="459">
        <f t="shared" ca="1" si="298"/>
        <v>0</v>
      </c>
      <c r="BG86" s="459">
        <f t="shared" ca="1" si="298"/>
        <v>0</v>
      </c>
      <c r="BH86" s="459">
        <f t="shared" ca="1" si="298"/>
        <v>0</v>
      </c>
      <c r="BI86" s="459">
        <f t="shared" ca="1" si="298"/>
        <v>0</v>
      </c>
      <c r="BJ86" s="459">
        <f t="shared" ca="1" si="298"/>
        <v>0</v>
      </c>
      <c r="BK86" s="459">
        <f t="shared" ca="1" si="298"/>
        <v>0</v>
      </c>
      <c r="BL86" s="459">
        <f t="shared" ca="1" si="298"/>
        <v>0</v>
      </c>
      <c r="BM86" s="459">
        <f t="shared" ca="1" si="298"/>
        <v>0</v>
      </c>
      <c r="BN86" s="459">
        <f t="shared" ca="1" si="298"/>
        <v>0</v>
      </c>
      <c r="BO86" s="459">
        <f t="shared" ca="1" si="298"/>
        <v>0</v>
      </c>
      <c r="BP86" s="459"/>
      <c r="BQ86" s="459"/>
      <c r="BR86" s="459"/>
      <c r="BS86" s="459"/>
      <c r="BT86" s="459"/>
      <c r="BU86" s="459"/>
      <c r="BV86" s="459"/>
      <c r="BW86" s="459"/>
      <c r="BX86" s="459"/>
      <c r="BY86" s="459"/>
      <c r="BZ86" s="459"/>
      <c r="CA86" s="459"/>
      <c r="CB86" s="459"/>
      <c r="CC86" s="459"/>
      <c r="CD86" s="459"/>
      <c r="CE86" s="459"/>
      <c r="CF86" s="459"/>
      <c r="CG86" s="459"/>
      <c r="CH86" s="459"/>
      <c r="CI86" s="459"/>
      <c r="CJ86" s="459"/>
      <c r="CK86" s="459"/>
      <c r="CL86" s="459"/>
      <c r="CM86" s="459"/>
      <c r="CN86" s="459"/>
      <c r="CO86" s="459"/>
      <c r="CP86" s="459"/>
      <c r="CQ86" s="459"/>
      <c r="CR86" s="459"/>
      <c r="CS86" s="459"/>
      <c r="CT86" s="459"/>
      <c r="CU86" s="459"/>
      <c r="CV86" s="459"/>
      <c r="CW86" s="459"/>
      <c r="CX86" s="459"/>
      <c r="CY86" s="459"/>
      <c r="CZ86" s="459"/>
      <c r="DA86" s="459"/>
      <c r="DB86" s="459"/>
      <c r="DC86" s="459"/>
      <c r="DD86" s="459"/>
      <c r="DE86" s="459"/>
      <c r="DF86" s="459"/>
      <c r="DG86" s="459"/>
      <c r="DH86" s="459"/>
      <c r="DI86" s="459"/>
      <c r="DJ86" s="459"/>
      <c r="DK86" s="459"/>
      <c r="DL86" s="459"/>
      <c r="DM86" s="459"/>
      <c r="DN86" s="459"/>
      <c r="DO86" s="459"/>
      <c r="DP86" s="459"/>
      <c r="DQ86" s="459"/>
      <c r="DR86" s="459"/>
      <c r="DS86" s="459"/>
      <c r="DT86" s="459"/>
      <c r="DU86" s="459"/>
      <c r="DV86" s="459"/>
      <c r="DW86" s="459"/>
    </row>
    <row r="87" spans="1:127">
      <c r="A87" s="881" t="s">
        <v>227</v>
      </c>
      <c r="B87" s="708"/>
      <c r="C87" s="708"/>
      <c r="D87" s="510">
        <f ca="1">SUM(G87:DW87)</f>
        <v>0</v>
      </c>
      <c r="E87" s="637"/>
      <c r="F87" s="637"/>
      <c r="G87" s="459">
        <f t="shared" ref="G87:H87" si="299">MIN(SUM(G85:G86),G46-G90)</f>
        <v>0</v>
      </c>
      <c r="H87" s="459">
        <f t="shared" ca="1" si="299"/>
        <v>0</v>
      </c>
      <c r="I87" s="459">
        <f t="shared" ref="I87:BO87" ca="1" si="300">MIN(SUM(I85:I86),I46-I90)</f>
        <v>0</v>
      </c>
      <c r="J87" s="459">
        <f t="shared" ca="1" si="300"/>
        <v>0</v>
      </c>
      <c r="K87" s="459">
        <f t="shared" ca="1" si="300"/>
        <v>0</v>
      </c>
      <c r="L87" s="459">
        <f t="shared" ca="1" si="300"/>
        <v>0</v>
      </c>
      <c r="M87" s="459">
        <f t="shared" ca="1" si="300"/>
        <v>0</v>
      </c>
      <c r="N87" s="459">
        <f t="shared" ca="1" si="300"/>
        <v>0</v>
      </c>
      <c r="O87" s="459">
        <f t="shared" ca="1" si="300"/>
        <v>0</v>
      </c>
      <c r="P87" s="459">
        <f t="shared" ca="1" si="300"/>
        <v>0</v>
      </c>
      <c r="Q87" s="459">
        <f t="shared" ca="1" si="300"/>
        <v>0</v>
      </c>
      <c r="R87" s="459">
        <f t="shared" ca="1" si="300"/>
        <v>0</v>
      </c>
      <c r="S87" s="459">
        <f t="shared" ca="1" si="300"/>
        <v>0</v>
      </c>
      <c r="T87" s="459">
        <f t="shared" ca="1" si="300"/>
        <v>0</v>
      </c>
      <c r="U87" s="459">
        <f t="shared" ca="1" si="300"/>
        <v>0</v>
      </c>
      <c r="V87" s="459">
        <f t="shared" ca="1" si="300"/>
        <v>0</v>
      </c>
      <c r="W87" s="459">
        <f t="shared" ca="1" si="300"/>
        <v>0</v>
      </c>
      <c r="X87" s="459">
        <f t="shared" ca="1" si="300"/>
        <v>0</v>
      </c>
      <c r="Y87" s="459">
        <f t="shared" ca="1" si="300"/>
        <v>0</v>
      </c>
      <c r="Z87" s="459">
        <f t="shared" ca="1" si="300"/>
        <v>0</v>
      </c>
      <c r="AA87" s="459">
        <f t="shared" ca="1" si="300"/>
        <v>0</v>
      </c>
      <c r="AB87" s="459">
        <f t="shared" ca="1" si="300"/>
        <v>0</v>
      </c>
      <c r="AC87" s="459">
        <f t="shared" ca="1" si="300"/>
        <v>0</v>
      </c>
      <c r="AD87" s="459">
        <f t="shared" ca="1" si="300"/>
        <v>0</v>
      </c>
      <c r="AE87" s="459">
        <f t="shared" ca="1" si="300"/>
        <v>0</v>
      </c>
      <c r="AF87" s="459">
        <f t="shared" ca="1" si="300"/>
        <v>0</v>
      </c>
      <c r="AG87" s="459">
        <f t="shared" ca="1" si="300"/>
        <v>0</v>
      </c>
      <c r="AH87" s="459">
        <f t="shared" ca="1" si="300"/>
        <v>0</v>
      </c>
      <c r="AI87" s="459">
        <f t="shared" ca="1" si="300"/>
        <v>0</v>
      </c>
      <c r="AJ87" s="459">
        <f t="shared" ca="1" si="300"/>
        <v>0</v>
      </c>
      <c r="AK87" s="459">
        <f t="shared" ca="1" si="300"/>
        <v>0</v>
      </c>
      <c r="AL87" s="459">
        <f t="shared" ca="1" si="300"/>
        <v>0</v>
      </c>
      <c r="AM87" s="459">
        <f t="shared" ca="1" si="300"/>
        <v>0</v>
      </c>
      <c r="AN87" s="459">
        <f t="shared" ca="1" si="300"/>
        <v>0</v>
      </c>
      <c r="AO87" s="459">
        <f t="shared" ca="1" si="300"/>
        <v>0</v>
      </c>
      <c r="AP87" s="459">
        <f t="shared" ca="1" si="300"/>
        <v>0</v>
      </c>
      <c r="AQ87" s="459">
        <f t="shared" ca="1" si="300"/>
        <v>0</v>
      </c>
      <c r="AR87" s="459">
        <f t="shared" ca="1" si="300"/>
        <v>0</v>
      </c>
      <c r="AS87" s="459">
        <f t="shared" ca="1" si="300"/>
        <v>0</v>
      </c>
      <c r="AT87" s="459">
        <f t="shared" ca="1" si="300"/>
        <v>0</v>
      </c>
      <c r="AU87" s="459">
        <f t="shared" ca="1" si="300"/>
        <v>0</v>
      </c>
      <c r="AV87" s="459">
        <f t="shared" ca="1" si="300"/>
        <v>0</v>
      </c>
      <c r="AW87" s="459">
        <f t="shared" ca="1" si="300"/>
        <v>0</v>
      </c>
      <c r="AX87" s="459">
        <f t="shared" ca="1" si="300"/>
        <v>0</v>
      </c>
      <c r="AY87" s="459">
        <f t="shared" ca="1" si="300"/>
        <v>0</v>
      </c>
      <c r="AZ87" s="459">
        <f t="shared" ca="1" si="300"/>
        <v>0</v>
      </c>
      <c r="BA87" s="459">
        <f t="shared" ca="1" si="300"/>
        <v>0</v>
      </c>
      <c r="BB87" s="459">
        <f t="shared" ca="1" si="300"/>
        <v>0</v>
      </c>
      <c r="BC87" s="459">
        <f t="shared" ca="1" si="300"/>
        <v>0</v>
      </c>
      <c r="BD87" s="459">
        <f t="shared" ca="1" si="300"/>
        <v>0</v>
      </c>
      <c r="BE87" s="459">
        <f t="shared" ca="1" si="300"/>
        <v>0</v>
      </c>
      <c r="BF87" s="459">
        <f t="shared" ca="1" si="300"/>
        <v>0</v>
      </c>
      <c r="BG87" s="459">
        <f t="shared" ca="1" si="300"/>
        <v>0</v>
      </c>
      <c r="BH87" s="459">
        <f t="shared" ca="1" si="300"/>
        <v>0</v>
      </c>
      <c r="BI87" s="459">
        <f t="shared" ca="1" si="300"/>
        <v>0</v>
      </c>
      <c r="BJ87" s="459">
        <f t="shared" ca="1" si="300"/>
        <v>0</v>
      </c>
      <c r="BK87" s="459">
        <f t="shared" ca="1" si="300"/>
        <v>0</v>
      </c>
      <c r="BL87" s="459">
        <f t="shared" ca="1" si="300"/>
        <v>0</v>
      </c>
      <c r="BM87" s="459">
        <f t="shared" ca="1" si="300"/>
        <v>0</v>
      </c>
      <c r="BN87" s="459">
        <f t="shared" ca="1" si="300"/>
        <v>0</v>
      </c>
      <c r="BO87" s="459">
        <f t="shared" ca="1" si="300"/>
        <v>0</v>
      </c>
      <c r="BP87" s="459"/>
      <c r="BQ87" s="459"/>
      <c r="BR87" s="459"/>
      <c r="BS87" s="459"/>
      <c r="BT87" s="459"/>
      <c r="BU87" s="459"/>
      <c r="BV87" s="459"/>
      <c r="BW87" s="459"/>
      <c r="BX87" s="459"/>
      <c r="BY87" s="459"/>
      <c r="BZ87" s="459"/>
      <c r="CA87" s="459"/>
      <c r="CB87" s="459"/>
      <c r="CC87" s="459"/>
      <c r="CD87" s="459"/>
      <c r="CE87" s="459"/>
      <c r="CF87" s="459"/>
      <c r="CG87" s="459"/>
      <c r="CH87" s="459"/>
      <c r="CI87" s="459"/>
      <c r="CJ87" s="459"/>
      <c r="CK87" s="459"/>
      <c r="CL87" s="459"/>
      <c r="CM87" s="459"/>
      <c r="CN87" s="459"/>
      <c r="CO87" s="459"/>
      <c r="CP87" s="459"/>
      <c r="CQ87" s="459"/>
      <c r="CR87" s="459"/>
      <c r="CS87" s="459"/>
      <c r="CT87" s="459"/>
      <c r="CU87" s="459"/>
      <c r="CV87" s="459"/>
      <c r="CW87" s="459"/>
      <c r="CX87" s="459"/>
      <c r="CY87" s="459"/>
      <c r="CZ87" s="459"/>
      <c r="DA87" s="459"/>
      <c r="DB87" s="459"/>
      <c r="DC87" s="459"/>
      <c r="DD87" s="459"/>
      <c r="DE87" s="459"/>
      <c r="DF87" s="459"/>
      <c r="DG87" s="459"/>
      <c r="DH87" s="459"/>
      <c r="DI87" s="459"/>
      <c r="DJ87" s="459"/>
      <c r="DK87" s="459"/>
      <c r="DL87" s="459"/>
      <c r="DM87" s="459"/>
      <c r="DN87" s="459"/>
      <c r="DO87" s="459"/>
      <c r="DP87" s="459"/>
      <c r="DQ87" s="459"/>
      <c r="DR87" s="459"/>
      <c r="DS87" s="459"/>
      <c r="DT87" s="459"/>
      <c r="DU87" s="459"/>
      <c r="DV87" s="459"/>
      <c r="DW87" s="459"/>
    </row>
    <row r="88" spans="1:127">
      <c r="A88" s="961" t="s">
        <v>1239</v>
      </c>
      <c r="B88" s="970">
        <f>Inputs!D243</f>
        <v>8.6999999999999994E-2</v>
      </c>
      <c r="C88" s="970"/>
      <c r="D88" s="510">
        <f ca="1">SUM(G88:DW88)</f>
        <v>0</v>
      </c>
      <c r="E88" s="637"/>
      <c r="F88" s="637"/>
      <c r="G88" s="459">
        <f t="shared" ref="G88:AL88" si="301">SUM(G85:G86)*$B$88*G6</f>
        <v>0</v>
      </c>
      <c r="H88" s="459">
        <f t="shared" ca="1" si="301"/>
        <v>0</v>
      </c>
      <c r="I88" s="459">
        <f t="shared" ca="1" si="301"/>
        <v>0</v>
      </c>
      <c r="J88" s="459">
        <f t="shared" ca="1" si="301"/>
        <v>0</v>
      </c>
      <c r="K88" s="459">
        <f t="shared" ca="1" si="301"/>
        <v>0</v>
      </c>
      <c r="L88" s="459">
        <f t="shared" ca="1" si="301"/>
        <v>0</v>
      </c>
      <c r="M88" s="459">
        <f t="shared" ca="1" si="301"/>
        <v>0</v>
      </c>
      <c r="N88" s="459">
        <f t="shared" ca="1" si="301"/>
        <v>0</v>
      </c>
      <c r="O88" s="459">
        <f t="shared" ca="1" si="301"/>
        <v>0</v>
      </c>
      <c r="P88" s="459">
        <f t="shared" ca="1" si="301"/>
        <v>0</v>
      </c>
      <c r="Q88" s="459">
        <f t="shared" ca="1" si="301"/>
        <v>0</v>
      </c>
      <c r="R88" s="459">
        <f t="shared" ca="1" si="301"/>
        <v>0</v>
      </c>
      <c r="S88" s="459">
        <f t="shared" ca="1" si="301"/>
        <v>0</v>
      </c>
      <c r="T88" s="459">
        <f t="shared" ca="1" si="301"/>
        <v>0</v>
      </c>
      <c r="U88" s="459">
        <f t="shared" ca="1" si="301"/>
        <v>0</v>
      </c>
      <c r="V88" s="459">
        <f t="shared" ca="1" si="301"/>
        <v>0</v>
      </c>
      <c r="W88" s="459">
        <f t="shared" ca="1" si="301"/>
        <v>0</v>
      </c>
      <c r="X88" s="459">
        <f t="shared" ca="1" si="301"/>
        <v>0</v>
      </c>
      <c r="Y88" s="459">
        <f t="shared" ca="1" si="301"/>
        <v>0</v>
      </c>
      <c r="Z88" s="459">
        <f t="shared" ca="1" si="301"/>
        <v>0</v>
      </c>
      <c r="AA88" s="459">
        <f t="shared" ca="1" si="301"/>
        <v>0</v>
      </c>
      <c r="AB88" s="459">
        <f t="shared" ca="1" si="301"/>
        <v>0</v>
      </c>
      <c r="AC88" s="459">
        <f t="shared" ca="1" si="301"/>
        <v>0</v>
      </c>
      <c r="AD88" s="459">
        <f t="shared" ca="1" si="301"/>
        <v>0</v>
      </c>
      <c r="AE88" s="459">
        <f t="shared" ca="1" si="301"/>
        <v>0</v>
      </c>
      <c r="AF88" s="459">
        <f t="shared" ca="1" si="301"/>
        <v>0</v>
      </c>
      <c r="AG88" s="459">
        <f t="shared" ca="1" si="301"/>
        <v>0</v>
      </c>
      <c r="AH88" s="459">
        <f t="shared" ca="1" si="301"/>
        <v>0</v>
      </c>
      <c r="AI88" s="459">
        <f t="shared" ca="1" si="301"/>
        <v>0</v>
      </c>
      <c r="AJ88" s="459">
        <f t="shared" ca="1" si="301"/>
        <v>0</v>
      </c>
      <c r="AK88" s="459">
        <f t="shared" ca="1" si="301"/>
        <v>0</v>
      </c>
      <c r="AL88" s="459">
        <f t="shared" ca="1" si="301"/>
        <v>0</v>
      </c>
      <c r="AM88" s="459">
        <f t="shared" ref="AM88:BO88" ca="1" si="302">SUM(AM85:AM86)*$B$88*AM6</f>
        <v>0</v>
      </c>
      <c r="AN88" s="459">
        <f t="shared" ca="1" si="302"/>
        <v>0</v>
      </c>
      <c r="AO88" s="459">
        <f t="shared" ca="1" si="302"/>
        <v>0</v>
      </c>
      <c r="AP88" s="459">
        <f t="shared" ca="1" si="302"/>
        <v>0</v>
      </c>
      <c r="AQ88" s="459">
        <f t="shared" ca="1" si="302"/>
        <v>0</v>
      </c>
      <c r="AR88" s="459">
        <f t="shared" ca="1" si="302"/>
        <v>0</v>
      </c>
      <c r="AS88" s="459">
        <f t="shared" ca="1" si="302"/>
        <v>0</v>
      </c>
      <c r="AT88" s="459">
        <f t="shared" ca="1" si="302"/>
        <v>0</v>
      </c>
      <c r="AU88" s="459">
        <f t="shared" ca="1" si="302"/>
        <v>0</v>
      </c>
      <c r="AV88" s="459">
        <f t="shared" ca="1" si="302"/>
        <v>0</v>
      </c>
      <c r="AW88" s="459">
        <f t="shared" ca="1" si="302"/>
        <v>0</v>
      </c>
      <c r="AX88" s="459">
        <f t="shared" ca="1" si="302"/>
        <v>0</v>
      </c>
      <c r="AY88" s="459">
        <f t="shared" ca="1" si="302"/>
        <v>0</v>
      </c>
      <c r="AZ88" s="459">
        <f t="shared" ca="1" si="302"/>
        <v>0</v>
      </c>
      <c r="BA88" s="459">
        <f t="shared" ca="1" si="302"/>
        <v>0</v>
      </c>
      <c r="BB88" s="459">
        <f t="shared" ca="1" si="302"/>
        <v>0</v>
      </c>
      <c r="BC88" s="459">
        <f t="shared" ca="1" si="302"/>
        <v>0</v>
      </c>
      <c r="BD88" s="459">
        <f t="shared" ca="1" si="302"/>
        <v>0</v>
      </c>
      <c r="BE88" s="459">
        <f t="shared" ca="1" si="302"/>
        <v>0</v>
      </c>
      <c r="BF88" s="459">
        <f t="shared" ca="1" si="302"/>
        <v>0</v>
      </c>
      <c r="BG88" s="459">
        <f t="shared" ca="1" si="302"/>
        <v>0</v>
      </c>
      <c r="BH88" s="459">
        <f t="shared" ca="1" si="302"/>
        <v>0</v>
      </c>
      <c r="BI88" s="459">
        <f t="shared" ca="1" si="302"/>
        <v>0</v>
      </c>
      <c r="BJ88" s="459">
        <f t="shared" ca="1" si="302"/>
        <v>0</v>
      </c>
      <c r="BK88" s="459">
        <f t="shared" ca="1" si="302"/>
        <v>0</v>
      </c>
      <c r="BL88" s="459">
        <f t="shared" ca="1" si="302"/>
        <v>0</v>
      </c>
      <c r="BM88" s="459">
        <f t="shared" ca="1" si="302"/>
        <v>0</v>
      </c>
      <c r="BN88" s="459">
        <f t="shared" ca="1" si="302"/>
        <v>0</v>
      </c>
      <c r="BO88" s="459">
        <f t="shared" ca="1" si="302"/>
        <v>0</v>
      </c>
      <c r="BP88" s="459"/>
      <c r="BQ88" s="459"/>
      <c r="BR88" s="459"/>
      <c r="BS88" s="459"/>
      <c r="BT88" s="459"/>
      <c r="BU88" s="459"/>
      <c r="BV88" s="459"/>
      <c r="BW88" s="459"/>
      <c r="BX88" s="459"/>
      <c r="BY88" s="459"/>
      <c r="BZ88" s="459"/>
      <c r="CA88" s="459"/>
      <c r="CB88" s="459"/>
      <c r="CC88" s="459"/>
      <c r="CD88" s="459"/>
      <c r="CE88" s="459"/>
      <c r="CF88" s="459"/>
      <c r="CG88" s="459"/>
      <c r="CH88" s="459"/>
      <c r="CI88" s="459"/>
      <c r="CJ88" s="459"/>
      <c r="CK88" s="459"/>
      <c r="CL88" s="459"/>
      <c r="CM88" s="459"/>
      <c r="CN88" s="459"/>
      <c r="CO88" s="459"/>
      <c r="CP88" s="459"/>
      <c r="CQ88" s="459"/>
      <c r="CR88" s="459"/>
      <c r="CS88" s="459"/>
      <c r="CT88" s="459"/>
      <c r="CU88" s="459"/>
      <c r="CV88" s="459"/>
      <c r="CW88" s="459"/>
      <c r="CX88" s="459"/>
      <c r="CY88" s="459"/>
      <c r="CZ88" s="459"/>
      <c r="DA88" s="459"/>
      <c r="DB88" s="459"/>
      <c r="DC88" s="459"/>
      <c r="DD88" s="459"/>
      <c r="DE88" s="459"/>
      <c r="DF88" s="459"/>
      <c r="DG88" s="459"/>
      <c r="DH88" s="459"/>
      <c r="DI88" s="459"/>
      <c r="DJ88" s="459"/>
      <c r="DK88" s="459"/>
      <c r="DL88" s="459"/>
      <c r="DM88" s="459"/>
      <c r="DN88" s="459"/>
      <c r="DO88" s="459"/>
      <c r="DP88" s="459"/>
      <c r="DQ88" s="459"/>
      <c r="DR88" s="459"/>
      <c r="DS88" s="459"/>
      <c r="DT88" s="459"/>
      <c r="DU88" s="459"/>
      <c r="DV88" s="459"/>
      <c r="DW88" s="459"/>
    </row>
    <row r="89" spans="1:127">
      <c r="A89" s="961" t="s">
        <v>334</v>
      </c>
      <c r="B89" s="726">
        <f>Inputs!$D$432</f>
        <v>0</v>
      </c>
      <c r="C89" s="726"/>
      <c r="D89" s="568"/>
      <c r="E89" s="637"/>
      <c r="F89" s="637"/>
      <c r="G89" s="459">
        <f>G88*($B$89/(1-$B$89))</f>
        <v>0</v>
      </c>
      <c r="H89" s="459">
        <f t="shared" ref="H89:BO89" ca="1" si="303">H88*($B$89/(1-$B$89))</f>
        <v>0</v>
      </c>
      <c r="I89" s="459">
        <f t="shared" ca="1" si="303"/>
        <v>0</v>
      </c>
      <c r="J89" s="459">
        <f t="shared" ca="1" si="303"/>
        <v>0</v>
      </c>
      <c r="K89" s="459">
        <f t="shared" ca="1" si="303"/>
        <v>0</v>
      </c>
      <c r="L89" s="459">
        <f t="shared" ca="1" si="303"/>
        <v>0</v>
      </c>
      <c r="M89" s="459">
        <f t="shared" ca="1" si="303"/>
        <v>0</v>
      </c>
      <c r="N89" s="459">
        <f t="shared" ca="1" si="303"/>
        <v>0</v>
      </c>
      <c r="O89" s="459">
        <f t="shared" ca="1" si="303"/>
        <v>0</v>
      </c>
      <c r="P89" s="459">
        <f t="shared" ca="1" si="303"/>
        <v>0</v>
      </c>
      <c r="Q89" s="459">
        <f t="shared" ca="1" si="303"/>
        <v>0</v>
      </c>
      <c r="R89" s="459">
        <f t="shared" ca="1" si="303"/>
        <v>0</v>
      </c>
      <c r="S89" s="459">
        <f t="shared" ca="1" si="303"/>
        <v>0</v>
      </c>
      <c r="T89" s="459">
        <f t="shared" ca="1" si="303"/>
        <v>0</v>
      </c>
      <c r="U89" s="459">
        <f t="shared" ca="1" si="303"/>
        <v>0</v>
      </c>
      <c r="V89" s="459">
        <f t="shared" ca="1" si="303"/>
        <v>0</v>
      </c>
      <c r="W89" s="459">
        <f t="shared" ca="1" si="303"/>
        <v>0</v>
      </c>
      <c r="X89" s="459">
        <f t="shared" ca="1" si="303"/>
        <v>0</v>
      </c>
      <c r="Y89" s="459">
        <f t="shared" ca="1" si="303"/>
        <v>0</v>
      </c>
      <c r="Z89" s="459">
        <f t="shared" ca="1" si="303"/>
        <v>0</v>
      </c>
      <c r="AA89" s="459">
        <f t="shared" ca="1" si="303"/>
        <v>0</v>
      </c>
      <c r="AB89" s="459">
        <f t="shared" ca="1" si="303"/>
        <v>0</v>
      </c>
      <c r="AC89" s="459">
        <f t="shared" ca="1" si="303"/>
        <v>0</v>
      </c>
      <c r="AD89" s="459">
        <f t="shared" ca="1" si="303"/>
        <v>0</v>
      </c>
      <c r="AE89" s="459">
        <f t="shared" ca="1" si="303"/>
        <v>0</v>
      </c>
      <c r="AF89" s="459">
        <f t="shared" ca="1" si="303"/>
        <v>0</v>
      </c>
      <c r="AG89" s="459">
        <f t="shared" ca="1" si="303"/>
        <v>0</v>
      </c>
      <c r="AH89" s="459">
        <f t="shared" ca="1" si="303"/>
        <v>0</v>
      </c>
      <c r="AI89" s="459">
        <f t="shared" ca="1" si="303"/>
        <v>0</v>
      </c>
      <c r="AJ89" s="459">
        <f t="shared" ca="1" si="303"/>
        <v>0</v>
      </c>
      <c r="AK89" s="459">
        <f t="shared" ca="1" si="303"/>
        <v>0</v>
      </c>
      <c r="AL89" s="459">
        <f t="shared" ca="1" si="303"/>
        <v>0</v>
      </c>
      <c r="AM89" s="459">
        <f t="shared" ca="1" si="303"/>
        <v>0</v>
      </c>
      <c r="AN89" s="459">
        <f t="shared" ca="1" si="303"/>
        <v>0</v>
      </c>
      <c r="AO89" s="459">
        <f t="shared" ca="1" si="303"/>
        <v>0</v>
      </c>
      <c r="AP89" s="459">
        <f t="shared" ca="1" si="303"/>
        <v>0</v>
      </c>
      <c r="AQ89" s="459">
        <f t="shared" ca="1" si="303"/>
        <v>0</v>
      </c>
      <c r="AR89" s="459">
        <f t="shared" ca="1" si="303"/>
        <v>0</v>
      </c>
      <c r="AS89" s="459">
        <f t="shared" ca="1" si="303"/>
        <v>0</v>
      </c>
      <c r="AT89" s="459">
        <f t="shared" ca="1" si="303"/>
        <v>0</v>
      </c>
      <c r="AU89" s="459">
        <f t="shared" ca="1" si="303"/>
        <v>0</v>
      </c>
      <c r="AV89" s="459">
        <f t="shared" ca="1" si="303"/>
        <v>0</v>
      </c>
      <c r="AW89" s="459">
        <f t="shared" ca="1" si="303"/>
        <v>0</v>
      </c>
      <c r="AX89" s="459">
        <f t="shared" ca="1" si="303"/>
        <v>0</v>
      </c>
      <c r="AY89" s="459">
        <f t="shared" ca="1" si="303"/>
        <v>0</v>
      </c>
      <c r="AZ89" s="459">
        <f t="shared" ca="1" si="303"/>
        <v>0</v>
      </c>
      <c r="BA89" s="459">
        <f t="shared" ca="1" si="303"/>
        <v>0</v>
      </c>
      <c r="BB89" s="459">
        <f t="shared" ca="1" si="303"/>
        <v>0</v>
      </c>
      <c r="BC89" s="459">
        <f t="shared" ca="1" si="303"/>
        <v>0</v>
      </c>
      <c r="BD89" s="459">
        <f t="shared" ca="1" si="303"/>
        <v>0</v>
      </c>
      <c r="BE89" s="459">
        <f t="shared" ca="1" si="303"/>
        <v>0</v>
      </c>
      <c r="BF89" s="459">
        <f t="shared" ca="1" si="303"/>
        <v>0</v>
      </c>
      <c r="BG89" s="459">
        <f t="shared" ca="1" si="303"/>
        <v>0</v>
      </c>
      <c r="BH89" s="459">
        <f t="shared" ca="1" si="303"/>
        <v>0</v>
      </c>
      <c r="BI89" s="459">
        <f t="shared" ca="1" si="303"/>
        <v>0</v>
      </c>
      <c r="BJ89" s="459">
        <f t="shared" ca="1" si="303"/>
        <v>0</v>
      </c>
      <c r="BK89" s="459">
        <f t="shared" ca="1" si="303"/>
        <v>0</v>
      </c>
      <c r="BL89" s="459">
        <f t="shared" ca="1" si="303"/>
        <v>0</v>
      </c>
      <c r="BM89" s="459">
        <f t="shared" ca="1" si="303"/>
        <v>0</v>
      </c>
      <c r="BN89" s="459">
        <f t="shared" ca="1" si="303"/>
        <v>0</v>
      </c>
      <c r="BO89" s="459">
        <f t="shared" ca="1" si="303"/>
        <v>0</v>
      </c>
      <c r="BP89" s="459"/>
      <c r="BQ89" s="459"/>
      <c r="BR89" s="459"/>
      <c r="BS89" s="459"/>
      <c r="BT89" s="459"/>
      <c r="BU89" s="459"/>
      <c r="BV89" s="459"/>
      <c r="BW89" s="459"/>
      <c r="BX89" s="459"/>
      <c r="BY89" s="459"/>
      <c r="BZ89" s="459"/>
      <c r="CA89" s="459"/>
      <c r="CB89" s="459"/>
      <c r="CC89" s="459"/>
      <c r="CD89" s="459"/>
      <c r="CE89" s="459"/>
      <c r="CF89" s="459"/>
      <c r="CG89" s="459"/>
      <c r="CH89" s="459"/>
      <c r="CI89" s="459"/>
      <c r="CJ89" s="459"/>
      <c r="CK89" s="459"/>
      <c r="CL89" s="459"/>
      <c r="CM89" s="459"/>
      <c r="CN89" s="459"/>
      <c r="CO89" s="459"/>
      <c r="CP89" s="459"/>
      <c r="CQ89" s="459"/>
      <c r="CR89" s="459"/>
      <c r="CS89" s="459"/>
      <c r="CT89" s="459"/>
      <c r="CU89" s="459"/>
      <c r="CV89" s="459"/>
      <c r="CW89" s="459"/>
      <c r="CX89" s="459"/>
      <c r="CY89" s="459"/>
      <c r="CZ89" s="459"/>
      <c r="DA89" s="459"/>
      <c r="DB89" s="459"/>
      <c r="DC89" s="459"/>
      <c r="DD89" s="459"/>
      <c r="DE89" s="459"/>
      <c r="DF89" s="459"/>
      <c r="DG89" s="459"/>
      <c r="DH89" s="459"/>
      <c r="DI89" s="459"/>
      <c r="DJ89" s="459"/>
      <c r="DK89" s="459"/>
      <c r="DL89" s="459"/>
      <c r="DM89" s="459"/>
      <c r="DN89" s="459"/>
      <c r="DO89" s="459"/>
      <c r="DP89" s="459"/>
      <c r="DQ89" s="459"/>
      <c r="DR89" s="459"/>
      <c r="DS89" s="459"/>
      <c r="DT89" s="459"/>
      <c r="DU89" s="459"/>
      <c r="DV89" s="459"/>
      <c r="DW89" s="459"/>
    </row>
    <row r="90" spans="1:127">
      <c r="A90" s="881" t="s">
        <v>1240</v>
      </c>
      <c r="B90" s="708"/>
      <c r="C90" s="708"/>
      <c r="D90" s="568"/>
      <c r="E90" s="637"/>
      <c r="F90" s="637"/>
      <c r="G90" s="459">
        <f>SUM(G88:G89)</f>
        <v>0</v>
      </c>
      <c r="H90" s="459">
        <f t="shared" ref="H90" ca="1" si="304">SUM(H88:H89)</f>
        <v>0</v>
      </c>
      <c r="I90" s="459">
        <f t="shared" ref="I90:BO90" ca="1" si="305">SUM(I88:I89)</f>
        <v>0</v>
      </c>
      <c r="J90" s="459">
        <f t="shared" ca="1" si="305"/>
        <v>0</v>
      </c>
      <c r="K90" s="459">
        <f t="shared" ca="1" si="305"/>
        <v>0</v>
      </c>
      <c r="L90" s="459">
        <f t="shared" ca="1" si="305"/>
        <v>0</v>
      </c>
      <c r="M90" s="459">
        <f t="shared" ca="1" si="305"/>
        <v>0</v>
      </c>
      <c r="N90" s="459">
        <f t="shared" ca="1" si="305"/>
        <v>0</v>
      </c>
      <c r="O90" s="459">
        <f t="shared" ca="1" si="305"/>
        <v>0</v>
      </c>
      <c r="P90" s="459">
        <f t="shared" ca="1" si="305"/>
        <v>0</v>
      </c>
      <c r="Q90" s="459">
        <f t="shared" ca="1" si="305"/>
        <v>0</v>
      </c>
      <c r="R90" s="459">
        <f t="shared" ca="1" si="305"/>
        <v>0</v>
      </c>
      <c r="S90" s="459">
        <f t="shared" ca="1" si="305"/>
        <v>0</v>
      </c>
      <c r="T90" s="459">
        <f t="shared" ca="1" si="305"/>
        <v>0</v>
      </c>
      <c r="U90" s="459">
        <f t="shared" ca="1" si="305"/>
        <v>0</v>
      </c>
      <c r="V90" s="459">
        <f t="shared" ca="1" si="305"/>
        <v>0</v>
      </c>
      <c r="W90" s="459">
        <f t="shared" ca="1" si="305"/>
        <v>0</v>
      </c>
      <c r="X90" s="459">
        <f t="shared" ca="1" si="305"/>
        <v>0</v>
      </c>
      <c r="Y90" s="459">
        <f t="shared" ca="1" si="305"/>
        <v>0</v>
      </c>
      <c r="Z90" s="459">
        <f t="shared" ca="1" si="305"/>
        <v>0</v>
      </c>
      <c r="AA90" s="459">
        <f t="shared" ca="1" si="305"/>
        <v>0</v>
      </c>
      <c r="AB90" s="459">
        <f t="shared" ca="1" si="305"/>
        <v>0</v>
      </c>
      <c r="AC90" s="459">
        <f t="shared" ca="1" si="305"/>
        <v>0</v>
      </c>
      <c r="AD90" s="459">
        <f t="shared" ca="1" si="305"/>
        <v>0</v>
      </c>
      <c r="AE90" s="459">
        <f t="shared" ca="1" si="305"/>
        <v>0</v>
      </c>
      <c r="AF90" s="459">
        <f t="shared" ca="1" si="305"/>
        <v>0</v>
      </c>
      <c r="AG90" s="459">
        <f t="shared" ca="1" si="305"/>
        <v>0</v>
      </c>
      <c r="AH90" s="459">
        <f t="shared" ca="1" si="305"/>
        <v>0</v>
      </c>
      <c r="AI90" s="459">
        <f t="shared" ca="1" si="305"/>
        <v>0</v>
      </c>
      <c r="AJ90" s="459">
        <f t="shared" ca="1" si="305"/>
        <v>0</v>
      </c>
      <c r="AK90" s="459">
        <f t="shared" ca="1" si="305"/>
        <v>0</v>
      </c>
      <c r="AL90" s="459">
        <f t="shared" ca="1" si="305"/>
        <v>0</v>
      </c>
      <c r="AM90" s="459">
        <f t="shared" ca="1" si="305"/>
        <v>0</v>
      </c>
      <c r="AN90" s="459">
        <f t="shared" ca="1" si="305"/>
        <v>0</v>
      </c>
      <c r="AO90" s="459">
        <f t="shared" ca="1" si="305"/>
        <v>0</v>
      </c>
      <c r="AP90" s="459">
        <f t="shared" ca="1" si="305"/>
        <v>0</v>
      </c>
      <c r="AQ90" s="459">
        <f t="shared" ca="1" si="305"/>
        <v>0</v>
      </c>
      <c r="AR90" s="459">
        <f t="shared" ca="1" si="305"/>
        <v>0</v>
      </c>
      <c r="AS90" s="459">
        <f t="shared" ca="1" si="305"/>
        <v>0</v>
      </c>
      <c r="AT90" s="459">
        <f t="shared" ca="1" si="305"/>
        <v>0</v>
      </c>
      <c r="AU90" s="459">
        <f t="shared" ca="1" si="305"/>
        <v>0</v>
      </c>
      <c r="AV90" s="459">
        <f t="shared" ca="1" si="305"/>
        <v>0</v>
      </c>
      <c r="AW90" s="459">
        <f t="shared" ca="1" si="305"/>
        <v>0</v>
      </c>
      <c r="AX90" s="459">
        <f t="shared" ca="1" si="305"/>
        <v>0</v>
      </c>
      <c r="AY90" s="459">
        <f t="shared" ca="1" si="305"/>
        <v>0</v>
      </c>
      <c r="AZ90" s="459">
        <f t="shared" ca="1" si="305"/>
        <v>0</v>
      </c>
      <c r="BA90" s="459">
        <f t="shared" ca="1" si="305"/>
        <v>0</v>
      </c>
      <c r="BB90" s="459">
        <f t="shared" ca="1" si="305"/>
        <v>0</v>
      </c>
      <c r="BC90" s="459">
        <f t="shared" ca="1" si="305"/>
        <v>0</v>
      </c>
      <c r="BD90" s="459">
        <f t="shared" ca="1" si="305"/>
        <v>0</v>
      </c>
      <c r="BE90" s="459">
        <f t="shared" ca="1" si="305"/>
        <v>0</v>
      </c>
      <c r="BF90" s="459">
        <f t="shared" ca="1" si="305"/>
        <v>0</v>
      </c>
      <c r="BG90" s="459">
        <f t="shared" ca="1" si="305"/>
        <v>0</v>
      </c>
      <c r="BH90" s="459">
        <f t="shared" ca="1" si="305"/>
        <v>0</v>
      </c>
      <c r="BI90" s="459">
        <f t="shared" ca="1" si="305"/>
        <v>0</v>
      </c>
      <c r="BJ90" s="459">
        <f t="shared" ca="1" si="305"/>
        <v>0</v>
      </c>
      <c r="BK90" s="459">
        <f t="shared" ca="1" si="305"/>
        <v>0</v>
      </c>
      <c r="BL90" s="459">
        <f t="shared" ca="1" si="305"/>
        <v>0</v>
      </c>
      <c r="BM90" s="459">
        <f t="shared" ca="1" si="305"/>
        <v>0</v>
      </c>
      <c r="BN90" s="459">
        <f t="shared" ca="1" si="305"/>
        <v>0</v>
      </c>
      <c r="BO90" s="459">
        <f t="shared" ca="1" si="305"/>
        <v>0</v>
      </c>
      <c r="BP90" s="459"/>
      <c r="BQ90" s="459"/>
      <c r="BR90" s="459"/>
      <c r="BS90" s="459"/>
      <c r="BT90" s="459"/>
      <c r="BU90" s="459"/>
      <c r="BV90" s="459"/>
      <c r="BW90" s="459"/>
      <c r="BX90" s="459"/>
      <c r="BY90" s="459"/>
      <c r="BZ90" s="459"/>
      <c r="CA90" s="459"/>
      <c r="CB90" s="459"/>
      <c r="CC90" s="459"/>
      <c r="CD90" s="459"/>
      <c r="CE90" s="459"/>
      <c r="CF90" s="459"/>
      <c r="CG90" s="459"/>
      <c r="CH90" s="459"/>
      <c r="CI90" s="459"/>
      <c r="CJ90" s="459"/>
      <c r="CK90" s="459"/>
      <c r="CL90" s="459"/>
      <c r="CM90" s="459"/>
      <c r="CN90" s="459"/>
      <c r="CO90" s="459"/>
      <c r="CP90" s="459"/>
      <c r="CQ90" s="459"/>
      <c r="CR90" s="459"/>
      <c r="CS90" s="459"/>
      <c r="CT90" s="459"/>
      <c r="CU90" s="459"/>
      <c r="CV90" s="459"/>
      <c r="CW90" s="459"/>
      <c r="CX90" s="459"/>
      <c r="CY90" s="459"/>
      <c r="CZ90" s="459"/>
      <c r="DA90" s="459"/>
      <c r="DB90" s="459"/>
      <c r="DC90" s="459"/>
      <c r="DD90" s="459"/>
      <c r="DE90" s="459"/>
      <c r="DF90" s="459"/>
      <c r="DG90" s="459"/>
      <c r="DH90" s="459"/>
      <c r="DI90" s="459"/>
      <c r="DJ90" s="459"/>
      <c r="DK90" s="459"/>
      <c r="DL90" s="459"/>
      <c r="DM90" s="459"/>
      <c r="DN90" s="459"/>
      <c r="DO90" s="459"/>
      <c r="DP90" s="459"/>
      <c r="DQ90" s="459"/>
      <c r="DR90" s="459"/>
      <c r="DS90" s="459"/>
      <c r="DT90" s="459"/>
      <c r="DU90" s="459"/>
      <c r="DV90" s="459"/>
      <c r="DW90" s="459"/>
    </row>
    <row r="91" spans="1:127">
      <c r="A91" s="874" t="s">
        <v>1154</v>
      </c>
      <c r="B91" s="708"/>
      <c r="C91" s="708"/>
      <c r="D91" s="568"/>
      <c r="E91" s="637"/>
      <c r="F91" s="611"/>
      <c r="G91" s="459">
        <f>G85+G86-G87</f>
        <v>0</v>
      </c>
      <c r="H91" s="459">
        <f t="shared" ref="H91" ca="1" si="306">H85+H86-H87</f>
        <v>0</v>
      </c>
      <c r="I91" s="459">
        <f t="shared" ref="I91:BO91" ca="1" si="307">I85+I86-I87</f>
        <v>0</v>
      </c>
      <c r="J91" s="459">
        <f t="shared" ca="1" si="307"/>
        <v>0</v>
      </c>
      <c r="K91" s="459">
        <f t="shared" ca="1" si="307"/>
        <v>0</v>
      </c>
      <c r="L91" s="459">
        <f t="shared" ca="1" si="307"/>
        <v>0</v>
      </c>
      <c r="M91" s="459">
        <f t="shared" ca="1" si="307"/>
        <v>0</v>
      </c>
      <c r="N91" s="459">
        <f t="shared" ca="1" si="307"/>
        <v>0</v>
      </c>
      <c r="O91" s="459">
        <f t="shared" ca="1" si="307"/>
        <v>0</v>
      </c>
      <c r="P91" s="459">
        <f t="shared" ca="1" si="307"/>
        <v>0</v>
      </c>
      <c r="Q91" s="459">
        <f t="shared" ca="1" si="307"/>
        <v>0</v>
      </c>
      <c r="R91" s="459">
        <f t="shared" ca="1" si="307"/>
        <v>0</v>
      </c>
      <c r="S91" s="459">
        <f t="shared" ca="1" si="307"/>
        <v>0</v>
      </c>
      <c r="T91" s="459">
        <f t="shared" ca="1" si="307"/>
        <v>0</v>
      </c>
      <c r="U91" s="459">
        <f t="shared" ca="1" si="307"/>
        <v>0</v>
      </c>
      <c r="V91" s="459">
        <f t="shared" ca="1" si="307"/>
        <v>0</v>
      </c>
      <c r="W91" s="459">
        <f t="shared" ca="1" si="307"/>
        <v>0</v>
      </c>
      <c r="X91" s="459">
        <f t="shared" ca="1" si="307"/>
        <v>0</v>
      </c>
      <c r="Y91" s="459">
        <f t="shared" ca="1" si="307"/>
        <v>0</v>
      </c>
      <c r="Z91" s="459">
        <f t="shared" ca="1" si="307"/>
        <v>0</v>
      </c>
      <c r="AA91" s="459">
        <f t="shared" ca="1" si="307"/>
        <v>0</v>
      </c>
      <c r="AB91" s="459">
        <f t="shared" ca="1" si="307"/>
        <v>0</v>
      </c>
      <c r="AC91" s="459">
        <f t="shared" ca="1" si="307"/>
        <v>0</v>
      </c>
      <c r="AD91" s="459">
        <f t="shared" ca="1" si="307"/>
        <v>0</v>
      </c>
      <c r="AE91" s="459">
        <f t="shared" ca="1" si="307"/>
        <v>0</v>
      </c>
      <c r="AF91" s="459">
        <f t="shared" ca="1" si="307"/>
        <v>0</v>
      </c>
      <c r="AG91" s="459">
        <f t="shared" ca="1" si="307"/>
        <v>0</v>
      </c>
      <c r="AH91" s="459">
        <f t="shared" ca="1" si="307"/>
        <v>0</v>
      </c>
      <c r="AI91" s="459">
        <f t="shared" ca="1" si="307"/>
        <v>0</v>
      </c>
      <c r="AJ91" s="459">
        <f t="shared" ca="1" si="307"/>
        <v>0</v>
      </c>
      <c r="AK91" s="459">
        <f t="shared" ca="1" si="307"/>
        <v>0</v>
      </c>
      <c r="AL91" s="459">
        <f t="shared" ca="1" si="307"/>
        <v>0</v>
      </c>
      <c r="AM91" s="459">
        <f t="shared" ca="1" si="307"/>
        <v>0</v>
      </c>
      <c r="AN91" s="459">
        <f t="shared" ca="1" si="307"/>
        <v>0</v>
      </c>
      <c r="AO91" s="459">
        <f t="shared" ca="1" si="307"/>
        <v>0</v>
      </c>
      <c r="AP91" s="459">
        <f t="shared" ca="1" si="307"/>
        <v>0</v>
      </c>
      <c r="AQ91" s="459">
        <f t="shared" ca="1" si="307"/>
        <v>0</v>
      </c>
      <c r="AR91" s="459">
        <f t="shared" ca="1" si="307"/>
        <v>0</v>
      </c>
      <c r="AS91" s="459">
        <f t="shared" ca="1" si="307"/>
        <v>0</v>
      </c>
      <c r="AT91" s="459">
        <f t="shared" ca="1" si="307"/>
        <v>0</v>
      </c>
      <c r="AU91" s="459">
        <f t="shared" ca="1" si="307"/>
        <v>0</v>
      </c>
      <c r="AV91" s="459">
        <f t="shared" ca="1" si="307"/>
        <v>0</v>
      </c>
      <c r="AW91" s="459">
        <f t="shared" ca="1" si="307"/>
        <v>0</v>
      </c>
      <c r="AX91" s="459">
        <f t="shared" ca="1" si="307"/>
        <v>0</v>
      </c>
      <c r="AY91" s="459">
        <f t="shared" ca="1" si="307"/>
        <v>0</v>
      </c>
      <c r="AZ91" s="459">
        <f t="shared" ca="1" si="307"/>
        <v>0</v>
      </c>
      <c r="BA91" s="459">
        <f t="shared" ca="1" si="307"/>
        <v>0</v>
      </c>
      <c r="BB91" s="459">
        <f t="shared" ca="1" si="307"/>
        <v>0</v>
      </c>
      <c r="BC91" s="459">
        <f t="shared" ca="1" si="307"/>
        <v>0</v>
      </c>
      <c r="BD91" s="459">
        <f t="shared" ca="1" si="307"/>
        <v>0</v>
      </c>
      <c r="BE91" s="459">
        <f t="shared" ca="1" si="307"/>
        <v>0</v>
      </c>
      <c r="BF91" s="459">
        <f t="shared" ca="1" si="307"/>
        <v>0</v>
      </c>
      <c r="BG91" s="459">
        <f t="shared" ca="1" si="307"/>
        <v>0</v>
      </c>
      <c r="BH91" s="459">
        <f t="shared" ca="1" si="307"/>
        <v>0</v>
      </c>
      <c r="BI91" s="459">
        <f t="shared" ca="1" si="307"/>
        <v>0</v>
      </c>
      <c r="BJ91" s="459">
        <f t="shared" ca="1" si="307"/>
        <v>0</v>
      </c>
      <c r="BK91" s="459">
        <f t="shared" ca="1" si="307"/>
        <v>0</v>
      </c>
      <c r="BL91" s="459">
        <f t="shared" ca="1" si="307"/>
        <v>0</v>
      </c>
      <c r="BM91" s="459">
        <f t="shared" ca="1" si="307"/>
        <v>0</v>
      </c>
      <c r="BN91" s="459">
        <f t="shared" ca="1" si="307"/>
        <v>0</v>
      </c>
      <c r="BO91" s="459">
        <f t="shared" ca="1" si="307"/>
        <v>0</v>
      </c>
      <c r="BP91" s="459"/>
      <c r="BQ91" s="459"/>
      <c r="BR91" s="459"/>
      <c r="BS91" s="459"/>
      <c r="BT91" s="459"/>
      <c r="BU91" s="459"/>
      <c r="BV91" s="459"/>
      <c r="BW91" s="459"/>
      <c r="BX91" s="459"/>
      <c r="BY91" s="459"/>
      <c r="BZ91" s="459"/>
      <c r="CA91" s="459"/>
      <c r="CB91" s="459"/>
      <c r="CC91" s="459"/>
      <c r="CD91" s="459"/>
      <c r="CE91" s="459"/>
      <c r="CF91" s="459"/>
      <c r="CG91" s="459"/>
      <c r="CH91" s="459"/>
      <c r="CI91" s="459"/>
      <c r="CJ91" s="459"/>
      <c r="CK91" s="459"/>
      <c r="CL91" s="459"/>
      <c r="CM91" s="459"/>
      <c r="CN91" s="459"/>
      <c r="CO91" s="459"/>
      <c r="CP91" s="459"/>
      <c r="CQ91" s="459"/>
      <c r="CR91" s="459"/>
      <c r="CS91" s="459"/>
      <c r="CT91" s="459"/>
      <c r="CU91" s="459"/>
      <c r="CV91" s="459"/>
      <c r="CW91" s="459"/>
      <c r="CX91" s="459"/>
      <c r="CY91" s="459"/>
      <c r="CZ91" s="459"/>
      <c r="DA91" s="459"/>
      <c r="DB91" s="459"/>
      <c r="DC91" s="459"/>
      <c r="DD91" s="459"/>
      <c r="DE91" s="459"/>
      <c r="DF91" s="459"/>
      <c r="DG91" s="459"/>
      <c r="DH91" s="459"/>
      <c r="DI91" s="459"/>
      <c r="DJ91" s="459"/>
      <c r="DK91" s="459"/>
      <c r="DL91" s="459"/>
      <c r="DM91" s="459"/>
      <c r="DN91" s="459"/>
      <c r="DO91" s="459"/>
      <c r="DP91" s="459"/>
      <c r="DQ91" s="459"/>
      <c r="DR91" s="459"/>
      <c r="DS91" s="459"/>
      <c r="DT91" s="459"/>
      <c r="DU91" s="459"/>
      <c r="DV91" s="459"/>
      <c r="DW91" s="459"/>
    </row>
    <row r="92" spans="1:127">
      <c r="A92" s="612" t="s">
        <v>1243</v>
      </c>
      <c r="B92" s="708"/>
      <c r="C92" s="708"/>
      <c r="D92" s="568"/>
      <c r="E92" s="637"/>
      <c r="F92" s="637"/>
      <c r="G92" s="925">
        <f>SUM(G87:G89)</f>
        <v>0</v>
      </c>
      <c r="H92" s="925">
        <f ca="1">SUM(H87:H89)</f>
        <v>0</v>
      </c>
      <c r="I92" s="925">
        <f t="shared" ref="I92:BO92" ca="1" si="308">SUM(I87:I89)</f>
        <v>0</v>
      </c>
      <c r="J92" s="925">
        <f t="shared" ca="1" si="308"/>
        <v>0</v>
      </c>
      <c r="K92" s="925">
        <f t="shared" ca="1" si="308"/>
        <v>0</v>
      </c>
      <c r="L92" s="925">
        <f t="shared" ca="1" si="308"/>
        <v>0</v>
      </c>
      <c r="M92" s="925">
        <f t="shared" ca="1" si="308"/>
        <v>0</v>
      </c>
      <c r="N92" s="925">
        <f t="shared" ca="1" si="308"/>
        <v>0</v>
      </c>
      <c r="O92" s="925">
        <f t="shared" ca="1" si="308"/>
        <v>0</v>
      </c>
      <c r="P92" s="925">
        <f t="shared" ca="1" si="308"/>
        <v>0</v>
      </c>
      <c r="Q92" s="925">
        <f t="shared" ca="1" si="308"/>
        <v>0</v>
      </c>
      <c r="R92" s="925">
        <f t="shared" ca="1" si="308"/>
        <v>0</v>
      </c>
      <c r="S92" s="925">
        <f t="shared" ca="1" si="308"/>
        <v>0</v>
      </c>
      <c r="T92" s="925">
        <f t="shared" ca="1" si="308"/>
        <v>0</v>
      </c>
      <c r="U92" s="925">
        <f t="shared" ca="1" si="308"/>
        <v>0</v>
      </c>
      <c r="V92" s="925">
        <f t="shared" ca="1" si="308"/>
        <v>0</v>
      </c>
      <c r="W92" s="925">
        <f t="shared" ca="1" si="308"/>
        <v>0</v>
      </c>
      <c r="X92" s="925">
        <f t="shared" ca="1" si="308"/>
        <v>0</v>
      </c>
      <c r="Y92" s="925">
        <f t="shared" ca="1" si="308"/>
        <v>0</v>
      </c>
      <c r="Z92" s="925">
        <f t="shared" ca="1" si="308"/>
        <v>0</v>
      </c>
      <c r="AA92" s="925">
        <f t="shared" ca="1" si="308"/>
        <v>0</v>
      </c>
      <c r="AB92" s="925">
        <f t="shared" ca="1" si="308"/>
        <v>0</v>
      </c>
      <c r="AC92" s="925">
        <f t="shared" ca="1" si="308"/>
        <v>0</v>
      </c>
      <c r="AD92" s="925">
        <f t="shared" ca="1" si="308"/>
        <v>0</v>
      </c>
      <c r="AE92" s="925">
        <f t="shared" ca="1" si="308"/>
        <v>0</v>
      </c>
      <c r="AF92" s="925">
        <f t="shared" ca="1" si="308"/>
        <v>0</v>
      </c>
      <c r="AG92" s="925">
        <f t="shared" ca="1" si="308"/>
        <v>0</v>
      </c>
      <c r="AH92" s="925">
        <f t="shared" ca="1" si="308"/>
        <v>0</v>
      </c>
      <c r="AI92" s="925">
        <f t="shared" ca="1" si="308"/>
        <v>0</v>
      </c>
      <c r="AJ92" s="925">
        <f t="shared" ca="1" si="308"/>
        <v>0</v>
      </c>
      <c r="AK92" s="925">
        <f t="shared" ca="1" si="308"/>
        <v>0</v>
      </c>
      <c r="AL92" s="925">
        <f t="shared" ca="1" si="308"/>
        <v>0</v>
      </c>
      <c r="AM92" s="925">
        <f t="shared" ca="1" si="308"/>
        <v>0</v>
      </c>
      <c r="AN92" s="925">
        <f t="shared" ca="1" si="308"/>
        <v>0</v>
      </c>
      <c r="AO92" s="925">
        <f t="shared" ca="1" si="308"/>
        <v>0</v>
      </c>
      <c r="AP92" s="925">
        <f t="shared" ca="1" si="308"/>
        <v>0</v>
      </c>
      <c r="AQ92" s="925">
        <f t="shared" ca="1" si="308"/>
        <v>0</v>
      </c>
      <c r="AR92" s="925">
        <f t="shared" ca="1" si="308"/>
        <v>0</v>
      </c>
      <c r="AS92" s="925">
        <f t="shared" ca="1" si="308"/>
        <v>0</v>
      </c>
      <c r="AT92" s="925">
        <f t="shared" ca="1" si="308"/>
        <v>0</v>
      </c>
      <c r="AU92" s="925">
        <f t="shared" ca="1" si="308"/>
        <v>0</v>
      </c>
      <c r="AV92" s="925">
        <f t="shared" ca="1" si="308"/>
        <v>0</v>
      </c>
      <c r="AW92" s="925">
        <f t="shared" ca="1" si="308"/>
        <v>0</v>
      </c>
      <c r="AX92" s="925">
        <f t="shared" ca="1" si="308"/>
        <v>0</v>
      </c>
      <c r="AY92" s="925">
        <f t="shared" ca="1" si="308"/>
        <v>0</v>
      </c>
      <c r="AZ92" s="925">
        <f t="shared" ca="1" si="308"/>
        <v>0</v>
      </c>
      <c r="BA92" s="925">
        <f t="shared" ca="1" si="308"/>
        <v>0</v>
      </c>
      <c r="BB92" s="925">
        <f t="shared" ca="1" si="308"/>
        <v>0</v>
      </c>
      <c r="BC92" s="925">
        <f t="shared" ca="1" si="308"/>
        <v>0</v>
      </c>
      <c r="BD92" s="925">
        <f t="shared" ca="1" si="308"/>
        <v>0</v>
      </c>
      <c r="BE92" s="925">
        <f t="shared" ca="1" si="308"/>
        <v>0</v>
      </c>
      <c r="BF92" s="925">
        <f t="shared" ca="1" si="308"/>
        <v>0</v>
      </c>
      <c r="BG92" s="925">
        <f t="shared" ca="1" si="308"/>
        <v>0</v>
      </c>
      <c r="BH92" s="925">
        <f t="shared" ca="1" si="308"/>
        <v>0</v>
      </c>
      <c r="BI92" s="925">
        <f t="shared" ca="1" si="308"/>
        <v>0</v>
      </c>
      <c r="BJ92" s="925">
        <f t="shared" ca="1" si="308"/>
        <v>0</v>
      </c>
      <c r="BK92" s="925">
        <f t="shared" ca="1" si="308"/>
        <v>0</v>
      </c>
      <c r="BL92" s="925">
        <f t="shared" ca="1" si="308"/>
        <v>0</v>
      </c>
      <c r="BM92" s="925">
        <f t="shared" ca="1" si="308"/>
        <v>0</v>
      </c>
      <c r="BN92" s="925">
        <f t="shared" ca="1" si="308"/>
        <v>0</v>
      </c>
      <c r="BO92" s="925">
        <f t="shared" ca="1" si="308"/>
        <v>0</v>
      </c>
      <c r="BP92" s="925"/>
      <c r="BQ92" s="925"/>
      <c r="BR92" s="925"/>
      <c r="BS92" s="925"/>
      <c r="BT92" s="925"/>
      <c r="BU92" s="925"/>
      <c r="BV92" s="925"/>
      <c r="BW92" s="925"/>
      <c r="BX92" s="925"/>
      <c r="BY92" s="925"/>
      <c r="BZ92" s="925"/>
      <c r="CA92" s="925"/>
      <c r="CB92" s="925"/>
      <c r="CC92" s="925"/>
      <c r="CD92" s="925"/>
      <c r="CE92" s="925"/>
      <c r="CF92" s="925"/>
      <c r="CG92" s="925"/>
      <c r="CH92" s="925"/>
      <c r="CI92" s="925"/>
      <c r="CJ92" s="925"/>
      <c r="CK92" s="925"/>
      <c r="CL92" s="925"/>
      <c r="CM92" s="925"/>
      <c r="CN92" s="925"/>
      <c r="CO92" s="925"/>
      <c r="CP92" s="925"/>
      <c r="CQ92" s="925"/>
      <c r="CR92" s="925"/>
      <c r="CS92" s="925"/>
      <c r="CT92" s="925"/>
      <c r="CU92" s="925"/>
      <c r="CV92" s="925"/>
      <c r="CW92" s="925"/>
      <c r="CX92" s="925"/>
      <c r="CY92" s="925"/>
      <c r="CZ92" s="925"/>
      <c r="DA92" s="925"/>
      <c r="DB92" s="925"/>
      <c r="DC92" s="925"/>
      <c r="DD92" s="925"/>
      <c r="DE92" s="925"/>
      <c r="DF92" s="925"/>
      <c r="DG92" s="925"/>
      <c r="DH92" s="925"/>
      <c r="DI92" s="925"/>
      <c r="DJ92" s="925"/>
      <c r="DK92" s="925"/>
      <c r="DL92" s="925"/>
      <c r="DM92" s="925"/>
      <c r="DN92" s="925"/>
      <c r="DO92" s="925"/>
      <c r="DP92" s="925"/>
      <c r="DQ92" s="925"/>
      <c r="DR92" s="925"/>
      <c r="DS92" s="925"/>
      <c r="DT92" s="925"/>
      <c r="DU92" s="925"/>
      <c r="DV92" s="925"/>
      <c r="DW92" s="925"/>
    </row>
    <row r="93" spans="1:127">
      <c r="A93" s="613" t="s">
        <v>1233</v>
      </c>
      <c r="B93" s="708"/>
      <c r="C93" s="708"/>
      <c r="D93" s="568"/>
      <c r="E93" s="396">
        <f ca="1">ABS(D86-D87)</f>
        <v>0</v>
      </c>
      <c r="F93" s="637"/>
      <c r="G93" s="502"/>
      <c r="H93" s="512"/>
      <c r="I93" s="512"/>
      <c r="J93" s="512"/>
      <c r="K93" s="512"/>
      <c r="L93" s="512"/>
      <c r="M93" s="512"/>
      <c r="N93" s="512"/>
      <c r="O93" s="512"/>
      <c r="P93" s="512"/>
      <c r="Q93" s="512"/>
      <c r="R93" s="512"/>
      <c r="S93" s="512"/>
      <c r="T93" s="512"/>
      <c r="U93" s="512"/>
      <c r="V93" s="512"/>
      <c r="W93" s="512"/>
      <c r="X93" s="512"/>
      <c r="Y93" s="512"/>
      <c r="Z93" s="512"/>
      <c r="AA93" s="512"/>
      <c r="AB93" s="512"/>
      <c r="AC93" s="512"/>
      <c r="AD93" s="512"/>
      <c r="AE93" s="512"/>
      <c r="AF93" s="512"/>
      <c r="AG93" s="512"/>
      <c r="AH93" s="512"/>
      <c r="AI93" s="512"/>
      <c r="AJ93" s="512"/>
      <c r="AK93" s="512"/>
      <c r="AL93" s="512"/>
      <c r="AM93" s="512"/>
      <c r="AN93" s="512"/>
      <c r="AO93" s="512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</row>
    <row r="94" spans="1:127">
      <c r="A94" s="613"/>
      <c r="B94" s="708"/>
      <c r="C94" s="708"/>
      <c r="D94" s="568"/>
      <c r="E94" s="637"/>
      <c r="F94" s="637"/>
      <c r="G94" s="502"/>
      <c r="H94" s="512"/>
      <c r="I94" s="512"/>
      <c r="J94" s="512"/>
      <c r="K94" s="512"/>
      <c r="L94" s="512"/>
      <c r="M94" s="512"/>
      <c r="N94" s="512"/>
      <c r="O94" s="512"/>
      <c r="P94" s="512"/>
      <c r="Q94" s="512"/>
      <c r="R94" s="512"/>
      <c r="S94" s="512"/>
      <c r="T94" s="512"/>
      <c r="U94" s="512"/>
      <c r="V94" s="512"/>
      <c r="W94" s="512"/>
      <c r="X94" s="512"/>
      <c r="Y94" s="512"/>
      <c r="Z94" s="512"/>
      <c r="AA94" s="512"/>
      <c r="AB94" s="512"/>
      <c r="AC94" s="512"/>
      <c r="AD94" s="512"/>
      <c r="AE94" s="512"/>
      <c r="AF94" s="512"/>
      <c r="AG94" s="512"/>
      <c r="AH94" s="512"/>
      <c r="AI94" s="512"/>
      <c r="AJ94" s="512"/>
      <c r="AK94" s="512"/>
      <c r="AL94" s="512"/>
      <c r="AM94" s="512"/>
      <c r="AN94" s="512"/>
      <c r="AO94" s="512"/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</row>
    <row r="95" spans="1:127">
      <c r="A95" s="861" t="str">
        <f>Inputs!A167</f>
        <v>Akuo Carbon Fund</v>
      </c>
      <c r="B95" s="862"/>
      <c r="C95" s="862"/>
      <c r="D95" s="963"/>
      <c r="E95" s="864"/>
      <c r="F95" s="863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  <c r="AI95" s="607"/>
      <c r="AJ95" s="607"/>
      <c r="AK95" s="607"/>
      <c r="AL95" s="607"/>
      <c r="AM95" s="607"/>
      <c r="AN95" s="607"/>
      <c r="AO95" s="607"/>
      <c r="AP95" s="607"/>
      <c r="AQ95" s="607"/>
      <c r="AR95" s="607"/>
      <c r="AS95" s="607"/>
      <c r="AT95" s="607"/>
      <c r="AU95" s="607"/>
      <c r="AV95" s="607"/>
      <c r="AW95" s="607"/>
      <c r="AX95" s="607"/>
      <c r="AY95" s="607"/>
      <c r="AZ95" s="607"/>
      <c r="BA95" s="607"/>
      <c r="BB95" s="607"/>
      <c r="BC95" s="607"/>
      <c r="BD95" s="607"/>
      <c r="BE95" s="607"/>
      <c r="BF95" s="607"/>
      <c r="BG95" s="607"/>
      <c r="BH95" s="607"/>
      <c r="BI95" s="607"/>
      <c r="BJ95" s="607"/>
      <c r="BK95" s="607"/>
      <c r="BL95" s="607"/>
      <c r="BM95" s="607"/>
      <c r="BN95" s="607"/>
      <c r="BO95" s="607"/>
      <c r="BP95" s="607"/>
      <c r="BQ95" s="607"/>
      <c r="BR95" s="607"/>
      <c r="BS95" s="607"/>
      <c r="BT95" s="607"/>
      <c r="BU95" s="607"/>
      <c r="BV95" s="607"/>
      <c r="BW95" s="607"/>
      <c r="BX95" s="607"/>
      <c r="BY95" s="607"/>
      <c r="BZ95" s="607"/>
      <c r="CA95" s="607"/>
      <c r="CB95" s="607"/>
      <c r="CC95" s="607"/>
      <c r="CD95" s="607"/>
      <c r="CE95" s="607"/>
      <c r="CF95" s="607"/>
      <c r="CG95" s="607"/>
      <c r="CH95" s="607"/>
      <c r="CI95" s="607"/>
      <c r="CJ95" s="607"/>
      <c r="CK95" s="607"/>
      <c r="CL95" s="607"/>
      <c r="CM95" s="607"/>
      <c r="CN95" s="607"/>
      <c r="CO95" s="607"/>
      <c r="CP95" s="607"/>
      <c r="CQ95" s="607"/>
      <c r="CR95" s="607"/>
      <c r="CS95" s="607"/>
      <c r="CT95" s="607"/>
      <c r="CU95" s="607"/>
      <c r="CV95" s="607"/>
      <c r="CW95" s="607"/>
      <c r="CX95" s="607"/>
      <c r="CY95" s="607"/>
      <c r="CZ95" s="607"/>
      <c r="DA95" s="607"/>
      <c r="DB95" s="607"/>
      <c r="DC95" s="607"/>
      <c r="DD95" s="607"/>
      <c r="DE95" s="607"/>
      <c r="DF95" s="607"/>
      <c r="DG95" s="607"/>
      <c r="DH95" s="607"/>
      <c r="DI95" s="607"/>
      <c r="DJ95" s="607"/>
      <c r="DK95" s="607"/>
      <c r="DL95" s="607"/>
      <c r="DM95" s="607"/>
      <c r="DN95" s="607"/>
      <c r="DO95" s="607"/>
      <c r="DP95" s="607"/>
      <c r="DQ95" s="607"/>
      <c r="DR95" s="607"/>
      <c r="DS95" s="607"/>
      <c r="DT95" s="607"/>
      <c r="DU95" s="607"/>
      <c r="DV95" s="607"/>
      <c r="DW95" s="607"/>
    </row>
    <row r="96" spans="1:127">
      <c r="A96" s="619" t="s">
        <v>1234</v>
      </c>
      <c r="B96" s="726">
        <f>1-B97</f>
        <v>0.19999999999999996</v>
      </c>
      <c r="C96" s="726">
        <f>Inputs!$D$298</f>
        <v>0.2</v>
      </c>
      <c r="D96" s="396"/>
      <c r="E96" s="396"/>
      <c r="F96" s="373"/>
      <c r="G96" s="809">
        <f>IF(G10,HLOOKUP(G$3,Inputs!$A$304:$T$305,2,0),0)*(1+$C$96)</f>
        <v>0</v>
      </c>
      <c r="H96" s="809">
        <f>IF(H10,HLOOKUP(H$3,Inputs!$A$304:$T$305,2,0),0)*(1+$C$96)</f>
        <v>3.7067999999999997E-2</v>
      </c>
      <c r="I96" s="809">
        <f>IF(I10,HLOOKUP(I$3,Inputs!$A$304:$T$305,2,0),0)*(1+$C$96)</f>
        <v>3.7067999999999997E-2</v>
      </c>
      <c r="J96" s="809">
        <f>IF(J10,HLOOKUP(J$3,Inputs!$A$304:$T$305,2,0),0)*(1+$C$96)</f>
        <v>3.1415999999999999E-2</v>
      </c>
      <c r="K96" s="809">
        <f>IF(K10,HLOOKUP(K$3,Inputs!$A$304:$T$305,2,0),0)*(1+$C$96)</f>
        <v>3.1415999999999999E-2</v>
      </c>
      <c r="L96" s="809">
        <f>IF(L10,HLOOKUP(L$3,Inputs!$A$304:$T$305,2,0),0)*(1+$C$96)</f>
        <v>2.9195999999999996E-2</v>
      </c>
      <c r="M96" s="809">
        <f>IF(M10,HLOOKUP(M$3,Inputs!$A$304:$T$305,2,0),0)*(1+$C$96)</f>
        <v>2.9195999999999996E-2</v>
      </c>
      <c r="N96" s="809">
        <f>IF(N10,HLOOKUP(N$3,Inputs!$A$304:$T$305,2,0),0)*(1+$C$96)</f>
        <v>2.8704E-2</v>
      </c>
      <c r="O96" s="809">
        <f>IF(O10,HLOOKUP(O$3,Inputs!$A$304:$T$305,2,0),0)*(1+$C$96)</f>
        <v>2.8704E-2</v>
      </c>
      <c r="P96" s="809">
        <f>IF(P10,HLOOKUP(P$3,Inputs!$A$304:$T$305,2,0),0)*(1+$C$96)</f>
        <v>2.9003999999999995E-2</v>
      </c>
      <c r="Q96" s="809">
        <f>IF(Q10,HLOOKUP(Q$3,Inputs!$A$304:$T$305,2,0),0)*(1+$C$96)</f>
        <v>2.9003999999999995E-2</v>
      </c>
      <c r="R96" s="809">
        <f>IF(R10,HLOOKUP(R$3,Inputs!$A$304:$T$305,2,0),0)*(1+$C$96)</f>
        <v>2.9663999999999996E-2</v>
      </c>
      <c r="S96" s="809">
        <f>IF(S10,HLOOKUP(S$3,Inputs!$A$304:$T$305,2,0),0)*(1+$C$96)</f>
        <v>2.9663999999999996E-2</v>
      </c>
      <c r="T96" s="809">
        <f>IF(T10,HLOOKUP(T$3,Inputs!$A$304:$T$305,2,0),0)*(1+$C$96)</f>
        <v>3.0468000000000002E-2</v>
      </c>
      <c r="U96" s="809">
        <f>IF(U10,HLOOKUP(U$3,Inputs!$A$304:$T$305,2,0),0)*(1+$C$96)</f>
        <v>3.0468000000000002E-2</v>
      </c>
      <c r="V96" s="809">
        <f>IF(V10,HLOOKUP(V$3,Inputs!$A$304:$T$305,2,0),0)*(1+$C$96)</f>
        <v>0</v>
      </c>
      <c r="W96" s="809">
        <f>IF(W10,HLOOKUP(W$3,Inputs!$A$304:$T$305,2,0),0)*(1+$C$96)</f>
        <v>0</v>
      </c>
      <c r="X96" s="809">
        <f>IF(X10,HLOOKUP(X$3,Inputs!$A$304:$T$305,2,0),0)*(1+$C$96)</f>
        <v>0</v>
      </c>
      <c r="Y96" s="809">
        <f>IF(Y10,HLOOKUP(Y$3,Inputs!$A$304:$T$305,2,0),0)*(1+$C$96)</f>
        <v>0</v>
      </c>
      <c r="Z96" s="809">
        <f>IF(Z10,HLOOKUP(Z$3,Inputs!$A$304:$T$305,2,0),0)*(1+$C$96)</f>
        <v>0</v>
      </c>
      <c r="AA96" s="809">
        <f>IF(AA10,HLOOKUP(AA$3,Inputs!$A$304:$T$305,2,0),0)*(1+$C$96)</f>
        <v>0</v>
      </c>
      <c r="AB96" s="809">
        <f>IF(AB10,HLOOKUP(AB$3,Inputs!$A$304:$T$305,2,0),0)*(1+$C$96)</f>
        <v>0</v>
      </c>
      <c r="AC96" s="809">
        <f>IF(AC10,HLOOKUP(AC$3,Inputs!$A$304:$T$305,2,0),0)*(1+$C$96)</f>
        <v>0</v>
      </c>
      <c r="AD96" s="809">
        <f>IF(AD10,HLOOKUP(AD$3,Inputs!$A$304:$T$305,2,0),0)*(1+$C$96)</f>
        <v>0</v>
      </c>
      <c r="AE96" s="809">
        <f>IF(AE10,HLOOKUP(AE$3,Inputs!$A$304:$T$305,2,0),0)*(1+$C$96)</f>
        <v>0</v>
      </c>
      <c r="AF96" s="809">
        <f>IF(AF10,HLOOKUP(AF$3,Inputs!$A$304:$T$305,2,0),0)*(1+$C$96)</f>
        <v>0</v>
      </c>
      <c r="AG96" s="809">
        <f>IF(AG10,HLOOKUP(AG$3,Inputs!$A$304:$T$305,2,0),0)*(1+$C$96)</f>
        <v>0</v>
      </c>
      <c r="AH96" s="809">
        <f>IF(AH10,HLOOKUP(AH$3,Inputs!$A$304:$T$305,2,0),0)*(1+$C$96)</f>
        <v>0</v>
      </c>
      <c r="AI96" s="809">
        <f>IF(AI10,HLOOKUP(AI$3,Inputs!$A$304:$T$305,2,0),0)*(1+$C$96)</f>
        <v>0</v>
      </c>
      <c r="AJ96" s="809">
        <f>IF(AJ10,HLOOKUP(AJ$3,Inputs!$A$304:$T$305,2,0),0)*(1+$C$96)</f>
        <v>0</v>
      </c>
      <c r="AK96" s="809">
        <f>IF(AK10,HLOOKUP(AK$3,Inputs!$A$304:$T$305,2,0),0)*(1+$C$96)</f>
        <v>0</v>
      </c>
      <c r="AL96" s="809">
        <f>IF(AL10,HLOOKUP(AL$3,Inputs!$A$304:$T$305,2,0),0)*(1+$C$96)</f>
        <v>0</v>
      </c>
      <c r="AM96" s="809">
        <f>IF(AM10,HLOOKUP(AM$3,Inputs!$A$304:$T$305,2,0),0)*(1+$C$96)</f>
        <v>0</v>
      </c>
      <c r="AN96" s="809">
        <f>IF(AN10,HLOOKUP(AN$3,Inputs!$A$304:$T$305,2,0),0)*(1+$C$96)</f>
        <v>0</v>
      </c>
      <c r="AO96" s="809">
        <f>IF(AO10,HLOOKUP(AO$3,Inputs!$A$304:$T$305,2,0),0)*(1+$C$96)</f>
        <v>0</v>
      </c>
      <c r="AP96" s="809">
        <f>IF(AP10,HLOOKUP(AP$3,Inputs!$A$304:$T$305,2,0),0)*(1+$C$96)</f>
        <v>0</v>
      </c>
      <c r="AQ96" s="809">
        <f>IF(AQ10,HLOOKUP(AQ$3,Inputs!$A$304:$T$305,2,0),0)*(1+$C$96)</f>
        <v>0</v>
      </c>
      <c r="AR96" s="809">
        <f>IF(AR10,HLOOKUP(AR$3,Inputs!$A$304:$T$305,2,0),0)*(1+$C$96)</f>
        <v>0</v>
      </c>
      <c r="AS96" s="809">
        <f>IF(AS10,HLOOKUP(AS$3,Inputs!$A$304:$T$305,2,0),0)*(1+$C$96)</f>
        <v>0</v>
      </c>
      <c r="AT96" s="809">
        <f>IF(AT10,HLOOKUP(AT$3,Inputs!$A$304:$T$305,2,0),0)*(1+$C$96)</f>
        <v>0</v>
      </c>
      <c r="AU96" s="809">
        <f>IF(AU10,HLOOKUP(AU$3,Inputs!$A$304:$T$305,2,0),0)*(1+$C$96)</f>
        <v>0</v>
      </c>
      <c r="AV96" s="809">
        <f>IF(AV10,HLOOKUP(AV$3,Inputs!$A$304:$T$305,2,0),0)*(1+$C$96)</f>
        <v>0</v>
      </c>
      <c r="AW96" s="809">
        <f>IF(AW10,HLOOKUP(AW$3,Inputs!$A$304:$T$305,2,0),0)*(1+$C$96)</f>
        <v>0</v>
      </c>
      <c r="AX96" s="809">
        <f>IF(AX10,HLOOKUP(AX$3,Inputs!$A$304:$T$305,2,0),0)*(1+$C$96)</f>
        <v>0</v>
      </c>
      <c r="AY96" s="809">
        <f>IF(AY10,HLOOKUP(AY$3,Inputs!$A$304:$T$305,2,0),0)*(1+$C$96)</f>
        <v>0</v>
      </c>
      <c r="AZ96" s="809">
        <f>IF(AZ10,HLOOKUP(AZ$3,Inputs!$A$304:$T$305,2,0),0)*(1+$C$96)</f>
        <v>0</v>
      </c>
      <c r="BA96" s="809">
        <f>IF(BA10,HLOOKUP(BA$3,Inputs!$A$304:$T$305,2,0),0)*(1+$C$96)</f>
        <v>0</v>
      </c>
      <c r="BB96" s="809">
        <f>IF(BB10,HLOOKUP(BB$3,Inputs!$A$304:$T$305,2,0),0)*(1+$C$96)</f>
        <v>0</v>
      </c>
      <c r="BC96" s="809">
        <f>IF(BC10,HLOOKUP(BC$3,Inputs!$A$304:$T$305,2,0),0)*(1+$C$96)</f>
        <v>0</v>
      </c>
      <c r="BD96" s="809">
        <f>IF(BD10,HLOOKUP(BD$3,Inputs!$A$304:$T$305,2,0),0)*(1+$C$96)</f>
        <v>0</v>
      </c>
      <c r="BE96" s="809">
        <f>IF(BE10,HLOOKUP(BE$3,Inputs!$A$304:$T$305,2,0),0)*(1+$C$96)</f>
        <v>0</v>
      </c>
      <c r="BF96" s="809">
        <f>IF(BF10,HLOOKUP(BF$3,Inputs!$A$304:$T$305,2,0),0)*(1+$C$96)</f>
        <v>0</v>
      </c>
      <c r="BG96" s="809">
        <f>IF(BG10,HLOOKUP(BG$3,Inputs!$A$304:$T$305,2,0),0)*(1+$C$96)</f>
        <v>0</v>
      </c>
      <c r="BH96" s="809">
        <f>IF(BH10,HLOOKUP(BH$3,Inputs!$A$304:$T$305,2,0),0)*(1+$C$96)</f>
        <v>0</v>
      </c>
      <c r="BI96" s="809">
        <f>IF(BI10,HLOOKUP(BI$3,Inputs!$A$304:$T$305,2,0),0)*(1+$C$96)</f>
        <v>0</v>
      </c>
      <c r="BJ96" s="809">
        <f>IF(BJ10,HLOOKUP(BJ$3,Inputs!$A$304:$T$305,2,0),0)*(1+$C$96)</f>
        <v>0</v>
      </c>
      <c r="BK96" s="809">
        <f>IF(BK10,HLOOKUP(BK$3,Inputs!$A$304:$T$305,2,0),0)*(1+$C$96)</f>
        <v>0</v>
      </c>
      <c r="BL96" s="809">
        <f>IF(BL10,HLOOKUP(BL$3,Inputs!$A$304:$T$305,2,0),0)*(1+$C$96)</f>
        <v>0</v>
      </c>
      <c r="BM96" s="809">
        <f>IF(BM10,HLOOKUP(BM$3,Inputs!$A$304:$T$305,2,0),0)*(1+$C$96)</f>
        <v>0</v>
      </c>
      <c r="BN96" s="809">
        <f>IF(BN10,HLOOKUP(BN$3,Inputs!$A$304:$T$305,2,0),0)*(1+$C$96)</f>
        <v>0</v>
      </c>
      <c r="BO96" s="809">
        <f>IF(BO10,HLOOKUP(BO$3,Inputs!$A$304:$T$305,2,0),0)*(1+$C$96)</f>
        <v>0</v>
      </c>
      <c r="BP96" s="809"/>
      <c r="BQ96" s="809"/>
      <c r="BR96" s="809"/>
      <c r="BS96" s="809"/>
      <c r="BT96" s="809"/>
      <c r="BU96" s="809"/>
      <c r="BV96" s="809"/>
      <c r="BW96" s="809"/>
      <c r="BX96" s="809"/>
      <c r="BY96" s="809"/>
      <c r="BZ96" s="809"/>
      <c r="CA96" s="809"/>
      <c r="CB96" s="809"/>
      <c r="CC96" s="809"/>
      <c r="CD96" s="809"/>
      <c r="CE96" s="809"/>
      <c r="CF96" s="809"/>
      <c r="CG96" s="809"/>
      <c r="CH96" s="809"/>
      <c r="CI96" s="809"/>
      <c r="CJ96" s="809"/>
      <c r="CK96" s="809"/>
      <c r="CL96" s="809"/>
      <c r="CM96" s="809"/>
      <c r="CN96" s="809"/>
      <c r="CO96" s="809"/>
      <c r="CP96" s="809"/>
      <c r="CQ96" s="809"/>
      <c r="CR96" s="809"/>
      <c r="CS96" s="809"/>
      <c r="CT96" s="809"/>
      <c r="CU96" s="809"/>
      <c r="CV96" s="809"/>
      <c r="CW96" s="809"/>
      <c r="CX96" s="809"/>
      <c r="CY96" s="809"/>
      <c r="CZ96" s="809"/>
      <c r="DA96" s="809"/>
      <c r="DB96" s="809"/>
      <c r="DC96" s="809"/>
      <c r="DD96" s="809"/>
      <c r="DE96" s="809"/>
      <c r="DF96" s="809"/>
      <c r="DG96" s="809"/>
      <c r="DH96" s="809"/>
      <c r="DI96" s="809"/>
      <c r="DJ96" s="809"/>
      <c r="DK96" s="809"/>
      <c r="DL96" s="809"/>
      <c r="DM96" s="809"/>
      <c r="DN96" s="809"/>
      <c r="DO96" s="809"/>
      <c r="DP96" s="809"/>
      <c r="DQ96" s="809"/>
      <c r="DR96" s="809"/>
      <c r="DS96" s="809"/>
      <c r="DT96" s="809"/>
      <c r="DU96" s="809"/>
      <c r="DV96" s="809"/>
      <c r="DW96" s="809"/>
    </row>
    <row r="97" spans="1:127">
      <c r="A97" s="619" t="s">
        <v>1235</v>
      </c>
      <c r="B97" s="843">
        <f>Inputs!C270</f>
        <v>0.8</v>
      </c>
      <c r="C97" s="970">
        <f>Inputs!$D$257</f>
        <v>0</v>
      </c>
      <c r="D97" s="396"/>
      <c r="E97" s="396"/>
      <c r="F97" s="373"/>
      <c r="G97" s="808">
        <f t="shared" ref="G97:AL97" si="309">G$10*IF(G$3&lt;=$B$10,$C$97,G96)</f>
        <v>0</v>
      </c>
      <c r="H97" s="808">
        <f t="shared" si="309"/>
        <v>0</v>
      </c>
      <c r="I97" s="808">
        <f t="shared" si="309"/>
        <v>0</v>
      </c>
      <c r="J97" s="808">
        <f t="shared" si="309"/>
        <v>0</v>
      </c>
      <c r="K97" s="808">
        <f t="shared" si="309"/>
        <v>0</v>
      </c>
      <c r="L97" s="808">
        <f t="shared" si="309"/>
        <v>0</v>
      </c>
      <c r="M97" s="808">
        <f t="shared" si="309"/>
        <v>0</v>
      </c>
      <c r="N97" s="808">
        <f t="shared" si="309"/>
        <v>0</v>
      </c>
      <c r="O97" s="808">
        <f t="shared" si="309"/>
        <v>0</v>
      </c>
      <c r="P97" s="808">
        <f t="shared" si="309"/>
        <v>0</v>
      </c>
      <c r="Q97" s="808">
        <f t="shared" si="309"/>
        <v>0</v>
      </c>
      <c r="R97" s="808">
        <f t="shared" si="309"/>
        <v>0</v>
      </c>
      <c r="S97" s="808">
        <f t="shared" si="309"/>
        <v>0</v>
      </c>
      <c r="T97" s="808">
        <f t="shared" si="309"/>
        <v>0</v>
      </c>
      <c r="U97" s="808">
        <f t="shared" si="309"/>
        <v>0</v>
      </c>
      <c r="V97" s="808">
        <f t="shared" si="309"/>
        <v>0</v>
      </c>
      <c r="W97" s="808">
        <f t="shared" si="309"/>
        <v>0</v>
      </c>
      <c r="X97" s="808">
        <f t="shared" si="309"/>
        <v>0</v>
      </c>
      <c r="Y97" s="808">
        <f t="shared" si="309"/>
        <v>0</v>
      </c>
      <c r="Z97" s="808">
        <f t="shared" si="309"/>
        <v>0</v>
      </c>
      <c r="AA97" s="808">
        <f t="shared" si="309"/>
        <v>0</v>
      </c>
      <c r="AB97" s="808">
        <f t="shared" si="309"/>
        <v>0</v>
      </c>
      <c r="AC97" s="808">
        <f t="shared" si="309"/>
        <v>0</v>
      </c>
      <c r="AD97" s="808">
        <f t="shared" si="309"/>
        <v>0</v>
      </c>
      <c r="AE97" s="808">
        <f t="shared" si="309"/>
        <v>0</v>
      </c>
      <c r="AF97" s="808">
        <f t="shared" si="309"/>
        <v>0</v>
      </c>
      <c r="AG97" s="808">
        <f t="shared" si="309"/>
        <v>0</v>
      </c>
      <c r="AH97" s="808">
        <f t="shared" si="309"/>
        <v>0</v>
      </c>
      <c r="AI97" s="808">
        <f t="shared" si="309"/>
        <v>0</v>
      </c>
      <c r="AJ97" s="808">
        <f t="shared" si="309"/>
        <v>0</v>
      </c>
      <c r="AK97" s="808">
        <f t="shared" si="309"/>
        <v>0</v>
      </c>
      <c r="AL97" s="808">
        <f t="shared" si="309"/>
        <v>0</v>
      </c>
      <c r="AM97" s="808">
        <f t="shared" ref="AM97:BO97" si="310">AM$10*IF(AM$3&lt;=$B$10,$C$97,AM96)</f>
        <v>0</v>
      </c>
      <c r="AN97" s="808">
        <f t="shared" si="310"/>
        <v>0</v>
      </c>
      <c r="AO97" s="808">
        <f t="shared" si="310"/>
        <v>0</v>
      </c>
      <c r="AP97" s="808">
        <f t="shared" si="310"/>
        <v>0</v>
      </c>
      <c r="AQ97" s="808">
        <f t="shared" si="310"/>
        <v>0</v>
      </c>
      <c r="AR97" s="808">
        <f t="shared" si="310"/>
        <v>0</v>
      </c>
      <c r="AS97" s="808">
        <f t="shared" si="310"/>
        <v>0</v>
      </c>
      <c r="AT97" s="808">
        <f t="shared" si="310"/>
        <v>0</v>
      </c>
      <c r="AU97" s="808">
        <f t="shared" si="310"/>
        <v>0</v>
      </c>
      <c r="AV97" s="808">
        <f t="shared" si="310"/>
        <v>0</v>
      </c>
      <c r="AW97" s="808">
        <f t="shared" si="310"/>
        <v>0</v>
      </c>
      <c r="AX97" s="808">
        <f t="shared" si="310"/>
        <v>0</v>
      </c>
      <c r="AY97" s="808">
        <f t="shared" si="310"/>
        <v>0</v>
      </c>
      <c r="AZ97" s="808">
        <f t="shared" si="310"/>
        <v>0</v>
      </c>
      <c r="BA97" s="808">
        <f t="shared" si="310"/>
        <v>0</v>
      </c>
      <c r="BB97" s="808">
        <f t="shared" si="310"/>
        <v>0</v>
      </c>
      <c r="BC97" s="808">
        <f t="shared" si="310"/>
        <v>0</v>
      </c>
      <c r="BD97" s="808">
        <f t="shared" si="310"/>
        <v>0</v>
      </c>
      <c r="BE97" s="808">
        <f t="shared" si="310"/>
        <v>0</v>
      </c>
      <c r="BF97" s="808">
        <f t="shared" si="310"/>
        <v>0</v>
      </c>
      <c r="BG97" s="808">
        <f t="shared" si="310"/>
        <v>0</v>
      </c>
      <c r="BH97" s="808">
        <f t="shared" si="310"/>
        <v>0</v>
      </c>
      <c r="BI97" s="808">
        <f t="shared" si="310"/>
        <v>0</v>
      </c>
      <c r="BJ97" s="808">
        <f t="shared" si="310"/>
        <v>0</v>
      </c>
      <c r="BK97" s="808">
        <f t="shared" si="310"/>
        <v>0</v>
      </c>
      <c r="BL97" s="808">
        <f t="shared" si="310"/>
        <v>0</v>
      </c>
      <c r="BM97" s="808">
        <f t="shared" si="310"/>
        <v>0</v>
      </c>
      <c r="BN97" s="808">
        <f t="shared" si="310"/>
        <v>0</v>
      </c>
      <c r="BO97" s="808">
        <f t="shared" si="310"/>
        <v>0</v>
      </c>
      <c r="BP97" s="808"/>
      <c r="BQ97" s="808"/>
      <c r="BR97" s="808"/>
      <c r="BS97" s="808"/>
      <c r="BT97" s="808"/>
      <c r="BU97" s="808"/>
      <c r="BV97" s="808"/>
      <c r="BW97" s="808"/>
      <c r="BX97" s="808"/>
      <c r="BY97" s="808"/>
      <c r="BZ97" s="808"/>
      <c r="CA97" s="808"/>
      <c r="CB97" s="808"/>
      <c r="CC97" s="808"/>
      <c r="CD97" s="808"/>
      <c r="CE97" s="808"/>
      <c r="CF97" s="808"/>
      <c r="CG97" s="808"/>
      <c r="CH97" s="808"/>
      <c r="CI97" s="808"/>
      <c r="CJ97" s="808"/>
      <c r="CK97" s="808"/>
      <c r="CL97" s="808"/>
      <c r="CM97" s="808"/>
      <c r="CN97" s="808"/>
      <c r="CO97" s="808"/>
      <c r="CP97" s="808"/>
      <c r="CQ97" s="808"/>
      <c r="CR97" s="808"/>
      <c r="CS97" s="808"/>
      <c r="CT97" s="808"/>
      <c r="CU97" s="808"/>
      <c r="CV97" s="808"/>
      <c r="CW97" s="808"/>
      <c r="CX97" s="808"/>
      <c r="CY97" s="808"/>
      <c r="CZ97" s="808"/>
      <c r="DA97" s="808"/>
      <c r="DB97" s="808"/>
      <c r="DC97" s="808"/>
      <c r="DD97" s="808"/>
      <c r="DE97" s="808"/>
      <c r="DF97" s="808"/>
      <c r="DG97" s="808"/>
      <c r="DH97" s="808"/>
      <c r="DI97" s="808"/>
      <c r="DJ97" s="808"/>
      <c r="DK97" s="808"/>
      <c r="DL97" s="808"/>
      <c r="DM97" s="808"/>
      <c r="DN97" s="808"/>
      <c r="DO97" s="808"/>
      <c r="DP97" s="808"/>
      <c r="DQ97" s="808"/>
      <c r="DR97" s="808"/>
      <c r="DS97" s="808"/>
      <c r="DT97" s="808"/>
      <c r="DU97" s="808"/>
      <c r="DV97" s="808"/>
      <c r="DW97" s="808"/>
    </row>
    <row r="98" spans="1:127">
      <c r="A98" s="619" t="s">
        <v>1236</v>
      </c>
      <c r="B98" s="684"/>
      <c r="C98" s="684"/>
      <c r="D98" s="396"/>
      <c r="E98" s="396"/>
      <c r="F98" s="373"/>
      <c r="G98" s="632">
        <f>SUMPRODUCT($B$96:$B$97,G96:G97)</f>
        <v>0</v>
      </c>
      <c r="H98" s="632">
        <f t="shared" ref="H98" si="311">SUMPRODUCT($B$96:$B$97,H96:H97)</f>
        <v>7.4135999999999976E-3</v>
      </c>
      <c r="I98" s="632">
        <f t="shared" ref="I98:BO98" si="312">SUMPRODUCT($B$96:$B$97,I96:I97)</f>
        <v>7.4135999999999976E-3</v>
      </c>
      <c r="J98" s="632">
        <f t="shared" si="312"/>
        <v>6.2831999999999983E-3</v>
      </c>
      <c r="K98" s="632">
        <f t="shared" si="312"/>
        <v>6.2831999999999983E-3</v>
      </c>
      <c r="L98" s="632">
        <f t="shared" si="312"/>
        <v>5.8391999999999984E-3</v>
      </c>
      <c r="M98" s="632">
        <f t="shared" si="312"/>
        <v>5.8391999999999984E-3</v>
      </c>
      <c r="N98" s="632">
        <f t="shared" si="312"/>
        <v>5.740799999999999E-3</v>
      </c>
      <c r="O98" s="632">
        <f t="shared" si="312"/>
        <v>5.740799999999999E-3</v>
      </c>
      <c r="P98" s="632">
        <f t="shared" si="312"/>
        <v>5.8007999999999975E-3</v>
      </c>
      <c r="Q98" s="632">
        <f t="shared" si="312"/>
        <v>5.8007999999999975E-3</v>
      </c>
      <c r="R98" s="632">
        <f t="shared" si="312"/>
        <v>5.9327999999999976E-3</v>
      </c>
      <c r="S98" s="632">
        <f t="shared" si="312"/>
        <v>5.9327999999999976E-3</v>
      </c>
      <c r="T98" s="632">
        <f t="shared" si="312"/>
        <v>6.0935999999999994E-3</v>
      </c>
      <c r="U98" s="632">
        <f t="shared" si="312"/>
        <v>6.0935999999999994E-3</v>
      </c>
      <c r="V98" s="632">
        <f t="shared" si="312"/>
        <v>0</v>
      </c>
      <c r="W98" s="632">
        <f t="shared" si="312"/>
        <v>0</v>
      </c>
      <c r="X98" s="632">
        <f t="shared" si="312"/>
        <v>0</v>
      </c>
      <c r="Y98" s="632">
        <f t="shared" si="312"/>
        <v>0</v>
      </c>
      <c r="Z98" s="632">
        <f t="shared" si="312"/>
        <v>0</v>
      </c>
      <c r="AA98" s="632">
        <f t="shared" si="312"/>
        <v>0</v>
      </c>
      <c r="AB98" s="632">
        <f t="shared" si="312"/>
        <v>0</v>
      </c>
      <c r="AC98" s="632">
        <f t="shared" si="312"/>
        <v>0</v>
      </c>
      <c r="AD98" s="632">
        <f t="shared" si="312"/>
        <v>0</v>
      </c>
      <c r="AE98" s="632">
        <f t="shared" si="312"/>
        <v>0</v>
      </c>
      <c r="AF98" s="632">
        <f t="shared" si="312"/>
        <v>0</v>
      </c>
      <c r="AG98" s="632">
        <f t="shared" si="312"/>
        <v>0</v>
      </c>
      <c r="AH98" s="632">
        <f t="shared" si="312"/>
        <v>0</v>
      </c>
      <c r="AI98" s="632">
        <f t="shared" si="312"/>
        <v>0</v>
      </c>
      <c r="AJ98" s="632">
        <f t="shared" si="312"/>
        <v>0</v>
      </c>
      <c r="AK98" s="632">
        <f t="shared" si="312"/>
        <v>0</v>
      </c>
      <c r="AL98" s="632">
        <f t="shared" si="312"/>
        <v>0</v>
      </c>
      <c r="AM98" s="632">
        <f t="shared" si="312"/>
        <v>0</v>
      </c>
      <c r="AN98" s="632">
        <f t="shared" si="312"/>
        <v>0</v>
      </c>
      <c r="AO98" s="632">
        <f t="shared" si="312"/>
        <v>0</v>
      </c>
      <c r="AP98" s="632">
        <f t="shared" si="312"/>
        <v>0</v>
      </c>
      <c r="AQ98" s="632">
        <f t="shared" si="312"/>
        <v>0</v>
      </c>
      <c r="AR98" s="632">
        <f t="shared" si="312"/>
        <v>0</v>
      </c>
      <c r="AS98" s="632">
        <f t="shared" si="312"/>
        <v>0</v>
      </c>
      <c r="AT98" s="632">
        <f t="shared" si="312"/>
        <v>0</v>
      </c>
      <c r="AU98" s="632">
        <f t="shared" si="312"/>
        <v>0</v>
      </c>
      <c r="AV98" s="632">
        <f t="shared" si="312"/>
        <v>0</v>
      </c>
      <c r="AW98" s="632">
        <f t="shared" si="312"/>
        <v>0</v>
      </c>
      <c r="AX98" s="632">
        <f t="shared" si="312"/>
        <v>0</v>
      </c>
      <c r="AY98" s="632">
        <f t="shared" si="312"/>
        <v>0</v>
      </c>
      <c r="AZ98" s="632">
        <f t="shared" si="312"/>
        <v>0</v>
      </c>
      <c r="BA98" s="632">
        <f t="shared" si="312"/>
        <v>0</v>
      </c>
      <c r="BB98" s="632">
        <f t="shared" si="312"/>
        <v>0</v>
      </c>
      <c r="BC98" s="632">
        <f t="shared" si="312"/>
        <v>0</v>
      </c>
      <c r="BD98" s="632">
        <f t="shared" si="312"/>
        <v>0</v>
      </c>
      <c r="BE98" s="632">
        <f t="shared" si="312"/>
        <v>0</v>
      </c>
      <c r="BF98" s="632">
        <f t="shared" si="312"/>
        <v>0</v>
      </c>
      <c r="BG98" s="632">
        <f t="shared" si="312"/>
        <v>0</v>
      </c>
      <c r="BH98" s="632">
        <f t="shared" si="312"/>
        <v>0</v>
      </c>
      <c r="BI98" s="632">
        <f t="shared" si="312"/>
        <v>0</v>
      </c>
      <c r="BJ98" s="632">
        <f t="shared" si="312"/>
        <v>0</v>
      </c>
      <c r="BK98" s="632">
        <f t="shared" si="312"/>
        <v>0</v>
      </c>
      <c r="BL98" s="632">
        <f t="shared" si="312"/>
        <v>0</v>
      </c>
      <c r="BM98" s="632">
        <f t="shared" si="312"/>
        <v>0</v>
      </c>
      <c r="BN98" s="632">
        <f t="shared" si="312"/>
        <v>0</v>
      </c>
      <c r="BO98" s="632">
        <f t="shared" si="312"/>
        <v>0</v>
      </c>
      <c r="BP98" s="632"/>
      <c r="BQ98" s="632"/>
      <c r="BR98" s="632"/>
      <c r="BS98" s="632"/>
      <c r="BT98" s="632"/>
      <c r="BU98" s="632"/>
      <c r="BV98" s="632"/>
      <c r="BW98" s="632"/>
      <c r="BX98" s="632"/>
      <c r="BY98" s="632"/>
      <c r="BZ98" s="632"/>
      <c r="CA98" s="632"/>
      <c r="CB98" s="632"/>
      <c r="CC98" s="632"/>
      <c r="CD98" s="632"/>
      <c r="CE98" s="632"/>
      <c r="CF98" s="632"/>
      <c r="CG98" s="632"/>
      <c r="CH98" s="632"/>
      <c r="CI98" s="632"/>
      <c r="CJ98" s="632"/>
      <c r="CK98" s="632"/>
      <c r="CL98" s="632"/>
      <c r="CM98" s="632"/>
      <c r="CN98" s="632"/>
      <c r="CO98" s="632"/>
      <c r="CP98" s="632"/>
      <c r="CQ98" s="632"/>
      <c r="CR98" s="632"/>
      <c r="CS98" s="632"/>
      <c r="CT98" s="632"/>
      <c r="CU98" s="632"/>
      <c r="CV98" s="632"/>
      <c r="CW98" s="632"/>
      <c r="CX98" s="632"/>
      <c r="CY98" s="632"/>
      <c r="CZ98" s="632"/>
      <c r="DA98" s="632"/>
      <c r="DB98" s="632"/>
      <c r="DC98" s="632"/>
      <c r="DD98" s="632"/>
      <c r="DE98" s="632"/>
      <c r="DF98" s="632"/>
      <c r="DG98" s="632"/>
      <c r="DH98" s="632"/>
      <c r="DI98" s="632"/>
      <c r="DJ98" s="632"/>
      <c r="DK98" s="632"/>
      <c r="DL98" s="632"/>
      <c r="DM98" s="632"/>
      <c r="DN98" s="632"/>
      <c r="DO98" s="632"/>
      <c r="DP98" s="632"/>
      <c r="DQ98" s="632"/>
      <c r="DR98" s="632"/>
      <c r="DS98" s="632"/>
      <c r="DT98" s="632"/>
      <c r="DU98" s="632"/>
      <c r="DV98" s="632"/>
      <c r="DW98" s="632"/>
    </row>
    <row r="99" spans="1:127">
      <c r="A99" s="619"/>
      <c r="B99" s="684"/>
      <c r="C99" s="684"/>
      <c r="D99" s="396"/>
      <c r="E99" s="396"/>
      <c r="F99" s="373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32"/>
      <c r="AB99" s="632"/>
      <c r="AC99" s="632"/>
      <c r="AD99" s="632"/>
      <c r="AE99" s="632"/>
      <c r="AF99" s="632"/>
      <c r="AG99" s="632"/>
      <c r="AH99" s="632"/>
      <c r="AI99" s="632"/>
      <c r="AJ99" s="632"/>
      <c r="AK99" s="632"/>
      <c r="AL99" s="632"/>
      <c r="AM99" s="632"/>
      <c r="AN99" s="632"/>
      <c r="AO99" s="632"/>
      <c r="AP99" s="632"/>
      <c r="AQ99" s="632"/>
      <c r="AR99" s="632"/>
      <c r="AS99" s="632"/>
      <c r="AT99" s="632"/>
      <c r="AU99" s="632"/>
      <c r="AV99" s="632"/>
      <c r="AW99" s="632"/>
      <c r="AX99" s="632"/>
      <c r="AY99" s="632"/>
      <c r="AZ99" s="632"/>
      <c r="BA99" s="632"/>
      <c r="BB99" s="632"/>
      <c r="BC99" s="632"/>
      <c r="BD99" s="632"/>
      <c r="BE99" s="632"/>
      <c r="BF99" s="632"/>
      <c r="BG99" s="632"/>
      <c r="BH99" s="632"/>
      <c r="BI99" s="632"/>
      <c r="BJ99" s="632"/>
      <c r="BK99" s="632"/>
      <c r="BL99" s="632"/>
      <c r="BM99" s="632"/>
      <c r="BN99" s="632"/>
      <c r="BO99" s="632"/>
      <c r="BP99" s="632"/>
      <c r="BQ99" s="632"/>
      <c r="BR99" s="632"/>
      <c r="BS99" s="632"/>
      <c r="BT99" s="632"/>
      <c r="BU99" s="632"/>
      <c r="BV99" s="632"/>
      <c r="BW99" s="632"/>
      <c r="BX99" s="632"/>
      <c r="BY99" s="632"/>
      <c r="BZ99" s="632"/>
      <c r="CA99" s="632"/>
      <c r="CB99" s="632"/>
      <c r="CC99" s="632"/>
      <c r="CD99" s="632"/>
      <c r="CE99" s="632"/>
      <c r="CF99" s="632"/>
      <c r="CG99" s="632"/>
      <c r="CH99" s="632"/>
      <c r="CI99" s="632"/>
      <c r="CJ99" s="632"/>
      <c r="CK99" s="632"/>
      <c r="CL99" s="632"/>
      <c r="CM99" s="632"/>
      <c r="CN99" s="632"/>
      <c r="CO99" s="632"/>
      <c r="CP99" s="632"/>
      <c r="CQ99" s="632"/>
      <c r="CR99" s="632"/>
      <c r="CS99" s="632"/>
      <c r="CT99" s="632"/>
      <c r="CU99" s="632"/>
      <c r="CV99" s="632"/>
      <c r="CW99" s="632"/>
      <c r="CX99" s="632"/>
      <c r="CY99" s="632"/>
      <c r="CZ99" s="632"/>
      <c r="DA99" s="632"/>
      <c r="DB99" s="632"/>
      <c r="DC99" s="632"/>
      <c r="DD99" s="632"/>
      <c r="DE99" s="632"/>
      <c r="DF99" s="632"/>
      <c r="DG99" s="632"/>
      <c r="DH99" s="632"/>
      <c r="DI99" s="632"/>
      <c r="DJ99" s="632"/>
      <c r="DK99" s="632"/>
      <c r="DL99" s="632"/>
      <c r="DM99" s="632"/>
      <c r="DN99" s="632"/>
      <c r="DO99" s="632"/>
      <c r="DP99" s="632"/>
      <c r="DQ99" s="632"/>
      <c r="DR99" s="632"/>
      <c r="DS99" s="632"/>
      <c r="DT99" s="632"/>
      <c r="DU99" s="632"/>
      <c r="DV99" s="632"/>
      <c r="DW99" s="632"/>
    </row>
    <row r="100" spans="1:127">
      <c r="A100" s="619" t="s">
        <v>151</v>
      </c>
      <c r="B100" s="810">
        <f>Inputs!D258</f>
        <v>785</v>
      </c>
      <c r="C100" s="810"/>
      <c r="F100" s="373"/>
      <c r="G100" s="631">
        <f t="shared" ref="G100:AL100" si="313">$B100%/100*G$10</f>
        <v>0</v>
      </c>
      <c r="H100" s="631">
        <f t="shared" si="313"/>
        <v>7.85E-2</v>
      </c>
      <c r="I100" s="631">
        <f t="shared" si="313"/>
        <v>7.85E-2</v>
      </c>
      <c r="J100" s="631">
        <f t="shared" si="313"/>
        <v>7.85E-2</v>
      </c>
      <c r="K100" s="631">
        <f t="shared" si="313"/>
        <v>7.85E-2</v>
      </c>
      <c r="L100" s="631">
        <f t="shared" si="313"/>
        <v>7.85E-2</v>
      </c>
      <c r="M100" s="631">
        <f t="shared" si="313"/>
        <v>7.85E-2</v>
      </c>
      <c r="N100" s="631">
        <f t="shared" si="313"/>
        <v>7.85E-2</v>
      </c>
      <c r="O100" s="631">
        <f t="shared" si="313"/>
        <v>7.85E-2</v>
      </c>
      <c r="P100" s="631">
        <f t="shared" si="313"/>
        <v>7.85E-2</v>
      </c>
      <c r="Q100" s="631">
        <f t="shared" si="313"/>
        <v>7.85E-2</v>
      </c>
      <c r="R100" s="631">
        <f t="shared" si="313"/>
        <v>7.85E-2</v>
      </c>
      <c r="S100" s="631">
        <f t="shared" si="313"/>
        <v>7.85E-2</v>
      </c>
      <c r="T100" s="631">
        <f t="shared" si="313"/>
        <v>7.85E-2</v>
      </c>
      <c r="U100" s="631">
        <f t="shared" si="313"/>
        <v>7.85E-2</v>
      </c>
      <c r="V100" s="631">
        <f t="shared" si="313"/>
        <v>0</v>
      </c>
      <c r="W100" s="631">
        <f t="shared" si="313"/>
        <v>0</v>
      </c>
      <c r="X100" s="631">
        <f t="shared" si="313"/>
        <v>0</v>
      </c>
      <c r="Y100" s="631">
        <f t="shared" si="313"/>
        <v>0</v>
      </c>
      <c r="Z100" s="631">
        <f t="shared" si="313"/>
        <v>0</v>
      </c>
      <c r="AA100" s="631">
        <f t="shared" si="313"/>
        <v>0</v>
      </c>
      <c r="AB100" s="631">
        <f t="shared" si="313"/>
        <v>0</v>
      </c>
      <c r="AC100" s="631">
        <f t="shared" si="313"/>
        <v>0</v>
      </c>
      <c r="AD100" s="631">
        <f t="shared" si="313"/>
        <v>0</v>
      </c>
      <c r="AE100" s="631">
        <f t="shared" si="313"/>
        <v>0</v>
      </c>
      <c r="AF100" s="631">
        <f t="shared" si="313"/>
        <v>0</v>
      </c>
      <c r="AG100" s="631">
        <f t="shared" si="313"/>
        <v>0</v>
      </c>
      <c r="AH100" s="631">
        <f t="shared" si="313"/>
        <v>0</v>
      </c>
      <c r="AI100" s="631">
        <f t="shared" si="313"/>
        <v>0</v>
      </c>
      <c r="AJ100" s="631">
        <f t="shared" si="313"/>
        <v>0</v>
      </c>
      <c r="AK100" s="631">
        <f t="shared" si="313"/>
        <v>0</v>
      </c>
      <c r="AL100" s="631">
        <f t="shared" si="313"/>
        <v>0</v>
      </c>
      <c r="AM100" s="631">
        <f t="shared" ref="AM100:BO100" si="314">$B100%/100*AM$10</f>
        <v>0</v>
      </c>
      <c r="AN100" s="631">
        <f t="shared" si="314"/>
        <v>0</v>
      </c>
      <c r="AO100" s="631">
        <f t="shared" si="314"/>
        <v>0</v>
      </c>
      <c r="AP100" s="631">
        <f t="shared" si="314"/>
        <v>0</v>
      </c>
      <c r="AQ100" s="631">
        <f t="shared" si="314"/>
        <v>0</v>
      </c>
      <c r="AR100" s="631">
        <f t="shared" si="314"/>
        <v>0</v>
      </c>
      <c r="AS100" s="631">
        <f t="shared" si="314"/>
        <v>0</v>
      </c>
      <c r="AT100" s="631">
        <f t="shared" si="314"/>
        <v>0</v>
      </c>
      <c r="AU100" s="631">
        <f t="shared" si="314"/>
        <v>0</v>
      </c>
      <c r="AV100" s="631">
        <f t="shared" si="314"/>
        <v>0</v>
      </c>
      <c r="AW100" s="631">
        <f t="shared" si="314"/>
        <v>0</v>
      </c>
      <c r="AX100" s="631">
        <f t="shared" si="314"/>
        <v>0</v>
      </c>
      <c r="AY100" s="631">
        <f t="shared" si="314"/>
        <v>0</v>
      </c>
      <c r="AZ100" s="631">
        <f t="shared" si="314"/>
        <v>0</v>
      </c>
      <c r="BA100" s="631">
        <f t="shared" si="314"/>
        <v>0</v>
      </c>
      <c r="BB100" s="631">
        <f t="shared" si="314"/>
        <v>0</v>
      </c>
      <c r="BC100" s="631">
        <f t="shared" si="314"/>
        <v>0</v>
      </c>
      <c r="BD100" s="631">
        <f t="shared" si="314"/>
        <v>0</v>
      </c>
      <c r="BE100" s="631">
        <f t="shared" si="314"/>
        <v>0</v>
      </c>
      <c r="BF100" s="631">
        <f t="shared" si="314"/>
        <v>0</v>
      </c>
      <c r="BG100" s="631">
        <f t="shared" si="314"/>
        <v>0</v>
      </c>
      <c r="BH100" s="631">
        <f t="shared" si="314"/>
        <v>0</v>
      </c>
      <c r="BI100" s="631">
        <f t="shared" si="314"/>
        <v>0</v>
      </c>
      <c r="BJ100" s="631">
        <f t="shared" si="314"/>
        <v>0</v>
      </c>
      <c r="BK100" s="631">
        <f t="shared" si="314"/>
        <v>0</v>
      </c>
      <c r="BL100" s="631">
        <f t="shared" si="314"/>
        <v>0</v>
      </c>
      <c r="BM100" s="631">
        <f t="shared" si="314"/>
        <v>0</v>
      </c>
      <c r="BN100" s="631">
        <f t="shared" si="314"/>
        <v>0</v>
      </c>
      <c r="BO100" s="631">
        <f t="shared" si="314"/>
        <v>0</v>
      </c>
      <c r="BP100" s="631"/>
      <c r="BQ100" s="631"/>
      <c r="BR100" s="631"/>
      <c r="BS100" s="631"/>
      <c r="BT100" s="631"/>
      <c r="BU100" s="631"/>
      <c r="BV100" s="631"/>
      <c r="BW100" s="631"/>
      <c r="BX100" s="631"/>
      <c r="BY100" s="631"/>
      <c r="BZ100" s="631"/>
      <c r="CA100" s="631"/>
      <c r="CB100" s="631"/>
      <c r="CC100" s="631"/>
      <c r="CD100" s="631"/>
      <c r="CE100" s="631"/>
      <c r="CF100" s="631"/>
      <c r="CG100" s="631"/>
      <c r="CH100" s="631"/>
      <c r="CI100" s="631"/>
      <c r="CJ100" s="631"/>
      <c r="CK100" s="631"/>
      <c r="CL100" s="631"/>
      <c r="CM100" s="631"/>
      <c r="CN100" s="631"/>
      <c r="CO100" s="631"/>
      <c r="CP100" s="631"/>
      <c r="CQ100" s="631"/>
      <c r="CR100" s="631"/>
      <c r="CS100" s="631"/>
      <c r="CT100" s="631"/>
      <c r="CU100" s="631"/>
      <c r="CV100" s="631"/>
      <c r="CW100" s="631"/>
      <c r="CX100" s="631"/>
      <c r="CY100" s="631"/>
      <c r="CZ100" s="631"/>
      <c r="DA100" s="631"/>
      <c r="DB100" s="631"/>
      <c r="DC100" s="631"/>
      <c r="DD100" s="631"/>
      <c r="DE100" s="631"/>
      <c r="DF100" s="631"/>
      <c r="DG100" s="631"/>
      <c r="DH100" s="631"/>
      <c r="DI100" s="631"/>
      <c r="DJ100" s="631"/>
      <c r="DK100" s="631"/>
      <c r="DL100" s="631"/>
      <c r="DM100" s="631"/>
      <c r="DN100" s="631"/>
      <c r="DO100" s="631"/>
      <c r="DP100" s="631"/>
      <c r="DQ100" s="631"/>
      <c r="DR100" s="631"/>
      <c r="DS100" s="631"/>
      <c r="DT100" s="631"/>
      <c r="DU100" s="631"/>
      <c r="DV100" s="631"/>
      <c r="DW100" s="631"/>
    </row>
    <row r="101" spans="1:127">
      <c r="A101" s="619" t="s">
        <v>395</v>
      </c>
      <c r="B101" s="704"/>
      <c r="C101" s="704"/>
      <c r="D101" s="370">
        <f>IFERROR(AVERAGEIF(H101:DW101,"&gt;0"),0)</f>
        <v>8.4657714285714294E-2</v>
      </c>
      <c r="E101" s="630"/>
      <c r="F101" s="373"/>
      <c r="G101" s="631">
        <f>SUM(G98,G100)</f>
        <v>0</v>
      </c>
      <c r="H101" s="631">
        <f t="shared" ref="H101:BO101" si="315">SUM(H98,H100)</f>
        <v>8.5913599999999993E-2</v>
      </c>
      <c r="I101" s="631">
        <f t="shared" si="315"/>
        <v>8.5913599999999993E-2</v>
      </c>
      <c r="J101" s="631">
        <f t="shared" si="315"/>
        <v>8.4783200000000003E-2</v>
      </c>
      <c r="K101" s="631">
        <f t="shared" si="315"/>
        <v>8.4783200000000003E-2</v>
      </c>
      <c r="L101" s="631">
        <f t="shared" si="315"/>
        <v>8.4339200000000003E-2</v>
      </c>
      <c r="M101" s="631">
        <f t="shared" si="315"/>
        <v>8.4339200000000003E-2</v>
      </c>
      <c r="N101" s="631">
        <f t="shared" si="315"/>
        <v>8.4240800000000005E-2</v>
      </c>
      <c r="O101" s="631">
        <f t="shared" si="315"/>
        <v>8.4240800000000005E-2</v>
      </c>
      <c r="P101" s="631">
        <f t="shared" si="315"/>
        <v>8.4300799999999995E-2</v>
      </c>
      <c r="Q101" s="631">
        <f t="shared" si="315"/>
        <v>8.4300799999999995E-2</v>
      </c>
      <c r="R101" s="631">
        <f t="shared" si="315"/>
        <v>8.4432800000000002E-2</v>
      </c>
      <c r="S101" s="631">
        <f t="shared" si="315"/>
        <v>8.4432800000000002E-2</v>
      </c>
      <c r="T101" s="631">
        <f t="shared" si="315"/>
        <v>8.4593600000000005E-2</v>
      </c>
      <c r="U101" s="631">
        <f t="shared" si="315"/>
        <v>8.4593600000000005E-2</v>
      </c>
      <c r="V101" s="631">
        <f t="shared" si="315"/>
        <v>0</v>
      </c>
      <c r="W101" s="631">
        <f t="shared" si="315"/>
        <v>0</v>
      </c>
      <c r="X101" s="631">
        <f t="shared" si="315"/>
        <v>0</v>
      </c>
      <c r="Y101" s="631">
        <f t="shared" si="315"/>
        <v>0</v>
      </c>
      <c r="Z101" s="631">
        <f t="shared" si="315"/>
        <v>0</v>
      </c>
      <c r="AA101" s="631">
        <f t="shared" si="315"/>
        <v>0</v>
      </c>
      <c r="AB101" s="631">
        <f t="shared" si="315"/>
        <v>0</v>
      </c>
      <c r="AC101" s="631">
        <f t="shared" si="315"/>
        <v>0</v>
      </c>
      <c r="AD101" s="631">
        <f t="shared" si="315"/>
        <v>0</v>
      </c>
      <c r="AE101" s="631">
        <f t="shared" si="315"/>
        <v>0</v>
      </c>
      <c r="AF101" s="631">
        <f t="shared" si="315"/>
        <v>0</v>
      </c>
      <c r="AG101" s="631">
        <f t="shared" si="315"/>
        <v>0</v>
      </c>
      <c r="AH101" s="631">
        <f t="shared" si="315"/>
        <v>0</v>
      </c>
      <c r="AI101" s="631">
        <f t="shared" si="315"/>
        <v>0</v>
      </c>
      <c r="AJ101" s="631">
        <f t="shared" si="315"/>
        <v>0</v>
      </c>
      <c r="AK101" s="631">
        <f t="shared" si="315"/>
        <v>0</v>
      </c>
      <c r="AL101" s="631">
        <f t="shared" si="315"/>
        <v>0</v>
      </c>
      <c r="AM101" s="631">
        <f t="shared" si="315"/>
        <v>0</v>
      </c>
      <c r="AN101" s="631">
        <f t="shared" si="315"/>
        <v>0</v>
      </c>
      <c r="AO101" s="631">
        <f t="shared" si="315"/>
        <v>0</v>
      </c>
      <c r="AP101" s="631">
        <f t="shared" si="315"/>
        <v>0</v>
      </c>
      <c r="AQ101" s="631">
        <f t="shared" si="315"/>
        <v>0</v>
      </c>
      <c r="AR101" s="631">
        <f t="shared" si="315"/>
        <v>0</v>
      </c>
      <c r="AS101" s="631">
        <f t="shared" si="315"/>
        <v>0</v>
      </c>
      <c r="AT101" s="631">
        <f t="shared" si="315"/>
        <v>0</v>
      </c>
      <c r="AU101" s="631">
        <f t="shared" si="315"/>
        <v>0</v>
      </c>
      <c r="AV101" s="631">
        <f t="shared" si="315"/>
        <v>0</v>
      </c>
      <c r="AW101" s="631">
        <f t="shared" si="315"/>
        <v>0</v>
      </c>
      <c r="AX101" s="631">
        <f t="shared" si="315"/>
        <v>0</v>
      </c>
      <c r="AY101" s="631">
        <f t="shared" si="315"/>
        <v>0</v>
      </c>
      <c r="AZ101" s="631">
        <f t="shared" si="315"/>
        <v>0</v>
      </c>
      <c r="BA101" s="631">
        <f t="shared" si="315"/>
        <v>0</v>
      </c>
      <c r="BB101" s="631">
        <f t="shared" si="315"/>
        <v>0</v>
      </c>
      <c r="BC101" s="631">
        <f t="shared" si="315"/>
        <v>0</v>
      </c>
      <c r="BD101" s="631">
        <f t="shared" si="315"/>
        <v>0</v>
      </c>
      <c r="BE101" s="631">
        <f t="shared" si="315"/>
        <v>0</v>
      </c>
      <c r="BF101" s="631">
        <f t="shared" si="315"/>
        <v>0</v>
      </c>
      <c r="BG101" s="631">
        <f t="shared" si="315"/>
        <v>0</v>
      </c>
      <c r="BH101" s="631">
        <f t="shared" si="315"/>
        <v>0</v>
      </c>
      <c r="BI101" s="631">
        <f t="shared" si="315"/>
        <v>0</v>
      </c>
      <c r="BJ101" s="631">
        <f t="shared" si="315"/>
        <v>0</v>
      </c>
      <c r="BK101" s="631">
        <f t="shared" si="315"/>
        <v>0</v>
      </c>
      <c r="BL101" s="631">
        <f t="shared" si="315"/>
        <v>0</v>
      </c>
      <c r="BM101" s="631">
        <f t="shared" si="315"/>
        <v>0</v>
      </c>
      <c r="BN101" s="631">
        <f t="shared" si="315"/>
        <v>0</v>
      </c>
      <c r="BO101" s="631">
        <f t="shared" si="315"/>
        <v>0</v>
      </c>
      <c r="BP101" s="631"/>
      <c r="BQ101" s="631"/>
      <c r="BR101" s="631"/>
      <c r="BS101" s="631"/>
      <c r="BT101" s="631"/>
      <c r="BU101" s="631"/>
      <c r="BV101" s="631"/>
      <c r="BW101" s="631"/>
      <c r="BX101" s="631"/>
      <c r="BY101" s="631"/>
      <c r="BZ101" s="631"/>
      <c r="CA101" s="631"/>
      <c r="CB101" s="631"/>
      <c r="CC101" s="631"/>
      <c r="CD101" s="631"/>
      <c r="CE101" s="631"/>
      <c r="CF101" s="631"/>
      <c r="CG101" s="631"/>
      <c r="CH101" s="631"/>
      <c r="CI101" s="631"/>
      <c r="CJ101" s="631"/>
      <c r="CK101" s="631"/>
      <c r="CL101" s="631"/>
      <c r="CM101" s="631"/>
      <c r="CN101" s="631"/>
      <c r="CO101" s="631"/>
      <c r="CP101" s="631"/>
      <c r="CQ101" s="631"/>
      <c r="CR101" s="631"/>
      <c r="CS101" s="631"/>
      <c r="CT101" s="631"/>
      <c r="CU101" s="631"/>
      <c r="CV101" s="631"/>
      <c r="CW101" s="631"/>
      <c r="CX101" s="631"/>
      <c r="CY101" s="631"/>
      <c r="CZ101" s="631"/>
      <c r="DA101" s="631"/>
      <c r="DB101" s="631"/>
      <c r="DC101" s="631"/>
      <c r="DD101" s="631"/>
      <c r="DE101" s="631"/>
      <c r="DF101" s="631"/>
      <c r="DG101" s="631"/>
      <c r="DH101" s="631"/>
      <c r="DI101" s="631"/>
      <c r="DJ101" s="631"/>
      <c r="DK101" s="631"/>
      <c r="DL101" s="631"/>
      <c r="DM101" s="631"/>
      <c r="DN101" s="631"/>
      <c r="DO101" s="631"/>
      <c r="DP101" s="631"/>
      <c r="DQ101" s="631"/>
      <c r="DR101" s="631"/>
      <c r="DS101" s="631"/>
      <c r="DT101" s="631"/>
      <c r="DU101" s="631"/>
      <c r="DV101" s="631"/>
      <c r="DW101" s="631"/>
    </row>
    <row r="102" spans="1:127">
      <c r="A102" s="619"/>
      <c r="B102" s="704"/>
      <c r="C102" s="704"/>
      <c r="D102" s="370"/>
      <c r="E102" s="630"/>
      <c r="F102" s="373"/>
      <c r="G102" s="631"/>
      <c r="H102" s="631"/>
      <c r="I102" s="631"/>
      <c r="J102" s="631"/>
      <c r="K102" s="631"/>
      <c r="L102" s="631"/>
      <c r="M102" s="631"/>
      <c r="N102" s="631"/>
      <c r="O102" s="631"/>
      <c r="P102" s="631"/>
      <c r="Q102" s="631"/>
      <c r="R102" s="631"/>
      <c r="S102" s="631"/>
      <c r="T102" s="631"/>
      <c r="U102" s="631"/>
      <c r="V102" s="631"/>
      <c r="W102" s="631"/>
      <c r="X102" s="631"/>
      <c r="Y102" s="631"/>
      <c r="Z102" s="631"/>
      <c r="AA102" s="631"/>
      <c r="AB102" s="631"/>
      <c r="AC102" s="631"/>
      <c r="AD102" s="631"/>
      <c r="AE102" s="631"/>
      <c r="AF102" s="631"/>
      <c r="AG102" s="631"/>
      <c r="AH102" s="631"/>
      <c r="AI102" s="631"/>
      <c r="AJ102" s="631"/>
      <c r="AK102" s="631"/>
      <c r="AL102" s="631"/>
      <c r="AM102" s="631"/>
      <c r="AN102" s="631"/>
      <c r="AO102" s="631"/>
      <c r="AP102" s="631"/>
      <c r="AQ102" s="631"/>
      <c r="AR102" s="631"/>
      <c r="AS102" s="631"/>
      <c r="AT102" s="631"/>
      <c r="AU102" s="631"/>
      <c r="AV102" s="631"/>
      <c r="AW102" s="631"/>
      <c r="AX102" s="631"/>
      <c r="AY102" s="631"/>
      <c r="AZ102" s="631"/>
      <c r="BA102" s="631"/>
      <c r="BB102" s="631"/>
      <c r="BC102" s="631"/>
      <c r="BD102" s="631"/>
      <c r="BE102" s="631"/>
      <c r="BF102" s="631"/>
      <c r="BG102" s="631"/>
      <c r="BH102" s="631"/>
      <c r="BI102" s="631"/>
      <c r="BJ102" s="631"/>
      <c r="BK102" s="631"/>
      <c r="BL102" s="631"/>
      <c r="BM102" s="631"/>
      <c r="BN102" s="631"/>
      <c r="BO102" s="631"/>
      <c r="BP102" s="631"/>
      <c r="BQ102" s="631"/>
      <c r="BR102" s="631"/>
      <c r="BS102" s="631"/>
      <c r="BT102" s="631"/>
      <c r="BU102" s="631"/>
      <c r="BV102" s="631"/>
      <c r="BW102" s="631"/>
      <c r="BX102" s="631"/>
      <c r="BY102" s="631"/>
      <c r="BZ102" s="631"/>
      <c r="CA102" s="631"/>
      <c r="CB102" s="631"/>
      <c r="CC102" s="631"/>
      <c r="CD102" s="631"/>
      <c r="CE102" s="631"/>
      <c r="CF102" s="631"/>
      <c r="CG102" s="631"/>
      <c r="CH102" s="631"/>
      <c r="CI102" s="631"/>
      <c r="CJ102" s="631"/>
      <c r="CK102" s="631"/>
      <c r="CL102" s="631"/>
      <c r="CM102" s="631"/>
      <c r="CN102" s="631"/>
      <c r="CO102" s="631"/>
      <c r="CP102" s="631"/>
      <c r="CQ102" s="631"/>
      <c r="CR102" s="631"/>
      <c r="CS102" s="631"/>
      <c r="CT102" s="631"/>
      <c r="CU102" s="631"/>
      <c r="CV102" s="631"/>
      <c r="CW102" s="631"/>
      <c r="CX102" s="631"/>
      <c r="CY102" s="631"/>
      <c r="CZ102" s="631"/>
      <c r="DA102" s="631"/>
      <c r="DB102" s="631"/>
      <c r="DC102" s="631"/>
      <c r="DD102" s="631"/>
      <c r="DE102" s="631"/>
      <c r="DF102" s="631"/>
      <c r="DG102" s="631"/>
      <c r="DH102" s="631"/>
      <c r="DI102" s="631"/>
      <c r="DJ102" s="631"/>
      <c r="DK102" s="631"/>
      <c r="DL102" s="631"/>
      <c r="DM102" s="631"/>
      <c r="DN102" s="631"/>
      <c r="DO102" s="631"/>
      <c r="DP102" s="631"/>
      <c r="DQ102" s="631"/>
      <c r="DR102" s="631"/>
      <c r="DS102" s="631"/>
      <c r="DT102" s="631"/>
      <c r="DU102" s="631"/>
      <c r="DV102" s="631"/>
      <c r="DW102" s="631"/>
    </row>
    <row r="103" spans="1:127">
      <c r="A103" s="619" t="s">
        <v>1237</v>
      </c>
      <c r="B103" s="704"/>
      <c r="C103" s="704"/>
      <c r="D103" s="512"/>
      <c r="E103" s="512"/>
      <c r="F103" s="373"/>
      <c r="G103" s="459">
        <f t="shared" ref="G103:AL103" si="316">G26*G10</f>
        <v>0</v>
      </c>
      <c r="H103" s="459">
        <f t="shared" ca="1" si="316"/>
        <v>0</v>
      </c>
      <c r="I103" s="459">
        <f t="shared" ca="1" si="316"/>
        <v>0</v>
      </c>
      <c r="J103" s="459">
        <f t="shared" ca="1" si="316"/>
        <v>0</v>
      </c>
      <c r="K103" s="459">
        <f t="shared" ca="1" si="316"/>
        <v>0</v>
      </c>
      <c r="L103" s="459">
        <f t="shared" ca="1" si="316"/>
        <v>0</v>
      </c>
      <c r="M103" s="459">
        <f t="shared" ca="1" si="316"/>
        <v>0</v>
      </c>
      <c r="N103" s="459">
        <f t="shared" ca="1" si="316"/>
        <v>0</v>
      </c>
      <c r="O103" s="459">
        <f t="shared" ca="1" si="316"/>
        <v>0</v>
      </c>
      <c r="P103" s="459">
        <f t="shared" ca="1" si="316"/>
        <v>0</v>
      </c>
      <c r="Q103" s="459">
        <f t="shared" ca="1" si="316"/>
        <v>0</v>
      </c>
      <c r="R103" s="459">
        <f t="shared" ca="1" si="316"/>
        <v>0</v>
      </c>
      <c r="S103" s="459">
        <f t="shared" ca="1" si="316"/>
        <v>0</v>
      </c>
      <c r="T103" s="459">
        <f t="shared" ca="1" si="316"/>
        <v>0</v>
      </c>
      <c r="U103" s="459">
        <f t="shared" ca="1" si="316"/>
        <v>0</v>
      </c>
      <c r="V103" s="459">
        <f t="shared" ca="1" si="316"/>
        <v>0</v>
      </c>
      <c r="W103" s="459">
        <f t="shared" ca="1" si="316"/>
        <v>0</v>
      </c>
      <c r="X103" s="459">
        <f t="shared" ca="1" si="316"/>
        <v>0</v>
      </c>
      <c r="Y103" s="459">
        <f t="shared" ca="1" si="316"/>
        <v>0</v>
      </c>
      <c r="Z103" s="459">
        <f t="shared" ca="1" si="316"/>
        <v>0</v>
      </c>
      <c r="AA103" s="459">
        <f t="shared" ca="1" si="316"/>
        <v>0</v>
      </c>
      <c r="AB103" s="459">
        <f t="shared" ca="1" si="316"/>
        <v>0</v>
      </c>
      <c r="AC103" s="459">
        <f t="shared" ca="1" si="316"/>
        <v>0</v>
      </c>
      <c r="AD103" s="459">
        <f t="shared" ca="1" si="316"/>
        <v>0</v>
      </c>
      <c r="AE103" s="459">
        <f t="shared" ca="1" si="316"/>
        <v>0</v>
      </c>
      <c r="AF103" s="459">
        <f t="shared" ca="1" si="316"/>
        <v>0</v>
      </c>
      <c r="AG103" s="459">
        <f t="shared" ca="1" si="316"/>
        <v>0</v>
      </c>
      <c r="AH103" s="459">
        <f t="shared" ca="1" si="316"/>
        <v>0</v>
      </c>
      <c r="AI103" s="459">
        <f t="shared" ca="1" si="316"/>
        <v>0</v>
      </c>
      <c r="AJ103" s="459">
        <f t="shared" ca="1" si="316"/>
        <v>0</v>
      </c>
      <c r="AK103" s="459">
        <f t="shared" ca="1" si="316"/>
        <v>0</v>
      </c>
      <c r="AL103" s="459">
        <f t="shared" ca="1" si="316"/>
        <v>0</v>
      </c>
      <c r="AM103" s="459">
        <f t="shared" ref="AM103:BO103" ca="1" si="317">AM26*AM10</f>
        <v>0</v>
      </c>
      <c r="AN103" s="459">
        <f t="shared" ca="1" si="317"/>
        <v>0</v>
      </c>
      <c r="AO103" s="459">
        <f t="shared" ca="1" si="317"/>
        <v>0</v>
      </c>
      <c r="AP103" s="459">
        <f t="shared" ca="1" si="317"/>
        <v>0</v>
      </c>
      <c r="AQ103" s="459">
        <f t="shared" ca="1" si="317"/>
        <v>0</v>
      </c>
      <c r="AR103" s="459">
        <f t="shared" ca="1" si="317"/>
        <v>0</v>
      </c>
      <c r="AS103" s="459">
        <f t="shared" ca="1" si="317"/>
        <v>0</v>
      </c>
      <c r="AT103" s="459">
        <f t="shared" ca="1" si="317"/>
        <v>0</v>
      </c>
      <c r="AU103" s="459">
        <f t="shared" ca="1" si="317"/>
        <v>0</v>
      </c>
      <c r="AV103" s="459">
        <f t="shared" ca="1" si="317"/>
        <v>0</v>
      </c>
      <c r="AW103" s="459">
        <f t="shared" ca="1" si="317"/>
        <v>0</v>
      </c>
      <c r="AX103" s="459">
        <f t="shared" ca="1" si="317"/>
        <v>0</v>
      </c>
      <c r="AY103" s="459">
        <f t="shared" ca="1" si="317"/>
        <v>0</v>
      </c>
      <c r="AZ103" s="459">
        <f t="shared" ca="1" si="317"/>
        <v>0</v>
      </c>
      <c r="BA103" s="459">
        <f t="shared" ca="1" si="317"/>
        <v>0</v>
      </c>
      <c r="BB103" s="459">
        <f t="shared" ca="1" si="317"/>
        <v>0</v>
      </c>
      <c r="BC103" s="459">
        <f t="shared" ca="1" si="317"/>
        <v>0</v>
      </c>
      <c r="BD103" s="459">
        <f t="shared" ca="1" si="317"/>
        <v>0</v>
      </c>
      <c r="BE103" s="459">
        <f t="shared" ca="1" si="317"/>
        <v>0</v>
      </c>
      <c r="BF103" s="459">
        <f t="shared" ca="1" si="317"/>
        <v>0</v>
      </c>
      <c r="BG103" s="459">
        <f t="shared" ca="1" si="317"/>
        <v>0</v>
      </c>
      <c r="BH103" s="459">
        <f t="shared" ca="1" si="317"/>
        <v>0</v>
      </c>
      <c r="BI103" s="459">
        <f t="shared" ca="1" si="317"/>
        <v>0</v>
      </c>
      <c r="BJ103" s="459">
        <f t="shared" ca="1" si="317"/>
        <v>0</v>
      </c>
      <c r="BK103" s="459">
        <f t="shared" ca="1" si="317"/>
        <v>0</v>
      </c>
      <c r="BL103" s="459">
        <f t="shared" ca="1" si="317"/>
        <v>0</v>
      </c>
      <c r="BM103" s="459">
        <f t="shared" ca="1" si="317"/>
        <v>0</v>
      </c>
      <c r="BN103" s="459">
        <f t="shared" ca="1" si="317"/>
        <v>0</v>
      </c>
      <c r="BO103" s="459">
        <f t="shared" ca="1" si="317"/>
        <v>0</v>
      </c>
      <c r="BP103" s="459"/>
      <c r="BQ103" s="459"/>
      <c r="BR103" s="459"/>
      <c r="BS103" s="459"/>
      <c r="BT103" s="459"/>
      <c r="BU103" s="459"/>
      <c r="BV103" s="459"/>
      <c r="BW103" s="459"/>
      <c r="BX103" s="459"/>
      <c r="BY103" s="459"/>
      <c r="BZ103" s="459"/>
      <c r="CA103" s="459"/>
      <c r="CB103" s="459"/>
      <c r="CC103" s="459"/>
      <c r="CD103" s="459"/>
      <c r="CE103" s="459"/>
      <c r="CF103" s="459"/>
      <c r="CG103" s="459"/>
      <c r="CH103" s="459"/>
      <c r="CI103" s="459"/>
      <c r="CJ103" s="459"/>
      <c r="CK103" s="459"/>
      <c r="CL103" s="459"/>
      <c r="CM103" s="459"/>
      <c r="CN103" s="459"/>
      <c r="CO103" s="459"/>
      <c r="CP103" s="459"/>
      <c r="CQ103" s="459"/>
      <c r="CR103" s="459"/>
      <c r="CS103" s="459"/>
      <c r="CT103" s="459"/>
      <c r="CU103" s="459"/>
      <c r="CV103" s="459"/>
      <c r="CW103" s="459"/>
      <c r="CX103" s="459"/>
      <c r="CY103" s="459"/>
      <c r="CZ103" s="459"/>
      <c r="DA103" s="459"/>
      <c r="DB103" s="459"/>
      <c r="DC103" s="459"/>
      <c r="DD103" s="459"/>
      <c r="DE103" s="459"/>
      <c r="DF103" s="459"/>
      <c r="DG103" s="459"/>
      <c r="DH103" s="459"/>
      <c r="DI103" s="459"/>
      <c r="DJ103" s="459"/>
      <c r="DK103" s="459"/>
      <c r="DL103" s="459"/>
      <c r="DM103" s="459"/>
      <c r="DN103" s="459"/>
      <c r="DO103" s="459"/>
      <c r="DP103" s="459"/>
      <c r="DQ103" s="459"/>
      <c r="DR103" s="459"/>
      <c r="DS103" s="459"/>
      <c r="DT103" s="459"/>
      <c r="DU103" s="459"/>
      <c r="DV103" s="459"/>
      <c r="DW103" s="459"/>
    </row>
    <row r="104" spans="1:127">
      <c r="A104" s="962" t="s">
        <v>1244</v>
      </c>
      <c r="D104" s="510">
        <f ca="1">MAX(G104:DW104)</f>
        <v>0</v>
      </c>
      <c r="E104" s="889"/>
      <c r="F104" s="373"/>
      <c r="G104" s="459">
        <f t="shared" ref="G104:AL104" ca="1" si="318">(G103+H104)/(1+G101*(1+($B111/(1-$B$111)))*G$11)</f>
        <v>0</v>
      </c>
      <c r="H104" s="459">
        <f t="shared" ca="1" si="318"/>
        <v>0</v>
      </c>
      <c r="I104" s="459">
        <f t="shared" ca="1" si="318"/>
        <v>0</v>
      </c>
      <c r="J104" s="459">
        <f t="shared" ca="1" si="318"/>
        <v>0</v>
      </c>
      <c r="K104" s="459">
        <f t="shared" ca="1" si="318"/>
        <v>0</v>
      </c>
      <c r="L104" s="459">
        <f t="shared" ca="1" si="318"/>
        <v>0</v>
      </c>
      <c r="M104" s="459">
        <f t="shared" ca="1" si="318"/>
        <v>0</v>
      </c>
      <c r="N104" s="459">
        <f t="shared" ca="1" si="318"/>
        <v>0</v>
      </c>
      <c r="O104" s="459">
        <f t="shared" ca="1" si="318"/>
        <v>0</v>
      </c>
      <c r="P104" s="459">
        <f t="shared" ca="1" si="318"/>
        <v>0</v>
      </c>
      <c r="Q104" s="459">
        <f t="shared" ca="1" si="318"/>
        <v>0</v>
      </c>
      <c r="R104" s="459">
        <f t="shared" ca="1" si="318"/>
        <v>0</v>
      </c>
      <c r="S104" s="459">
        <f t="shared" ca="1" si="318"/>
        <v>0</v>
      </c>
      <c r="T104" s="459">
        <f t="shared" ca="1" si="318"/>
        <v>0</v>
      </c>
      <c r="U104" s="459">
        <f t="shared" ca="1" si="318"/>
        <v>0</v>
      </c>
      <c r="V104" s="459">
        <f t="shared" ca="1" si="318"/>
        <v>0</v>
      </c>
      <c r="W104" s="459">
        <f t="shared" ca="1" si="318"/>
        <v>0</v>
      </c>
      <c r="X104" s="459">
        <f t="shared" ca="1" si="318"/>
        <v>0</v>
      </c>
      <c r="Y104" s="459">
        <f t="shared" ca="1" si="318"/>
        <v>0</v>
      </c>
      <c r="Z104" s="459">
        <f t="shared" ca="1" si="318"/>
        <v>0</v>
      </c>
      <c r="AA104" s="459">
        <f t="shared" ca="1" si="318"/>
        <v>0</v>
      </c>
      <c r="AB104" s="459">
        <f t="shared" ca="1" si="318"/>
        <v>0</v>
      </c>
      <c r="AC104" s="459">
        <f t="shared" ca="1" si="318"/>
        <v>0</v>
      </c>
      <c r="AD104" s="459">
        <f t="shared" ca="1" si="318"/>
        <v>0</v>
      </c>
      <c r="AE104" s="459">
        <f t="shared" ca="1" si="318"/>
        <v>0</v>
      </c>
      <c r="AF104" s="459">
        <f t="shared" ca="1" si="318"/>
        <v>0</v>
      </c>
      <c r="AG104" s="459">
        <f t="shared" ca="1" si="318"/>
        <v>0</v>
      </c>
      <c r="AH104" s="459">
        <f t="shared" ca="1" si="318"/>
        <v>0</v>
      </c>
      <c r="AI104" s="459">
        <f t="shared" ca="1" si="318"/>
        <v>0</v>
      </c>
      <c r="AJ104" s="459">
        <f t="shared" ca="1" si="318"/>
        <v>0</v>
      </c>
      <c r="AK104" s="459">
        <f t="shared" ca="1" si="318"/>
        <v>0</v>
      </c>
      <c r="AL104" s="459">
        <f t="shared" ca="1" si="318"/>
        <v>0</v>
      </c>
      <c r="AM104" s="459">
        <f t="shared" ref="AM104:BO104" ca="1" si="319">(AM103+AN104)/(1+AM101*(1+($B111/(1-$B$111)))*AM$11)</f>
        <v>0</v>
      </c>
      <c r="AN104" s="459">
        <f t="shared" ca="1" si="319"/>
        <v>0</v>
      </c>
      <c r="AO104" s="459">
        <f t="shared" ca="1" si="319"/>
        <v>0</v>
      </c>
      <c r="AP104" s="459">
        <f t="shared" ca="1" si="319"/>
        <v>0</v>
      </c>
      <c r="AQ104" s="459">
        <f t="shared" ca="1" si="319"/>
        <v>0</v>
      </c>
      <c r="AR104" s="459">
        <f t="shared" ca="1" si="319"/>
        <v>0</v>
      </c>
      <c r="AS104" s="459">
        <f t="shared" ca="1" si="319"/>
        <v>0</v>
      </c>
      <c r="AT104" s="459">
        <f t="shared" ca="1" si="319"/>
        <v>0</v>
      </c>
      <c r="AU104" s="459">
        <f t="shared" ca="1" si="319"/>
        <v>0</v>
      </c>
      <c r="AV104" s="459">
        <f t="shared" ca="1" si="319"/>
        <v>0</v>
      </c>
      <c r="AW104" s="459">
        <f t="shared" ca="1" si="319"/>
        <v>0</v>
      </c>
      <c r="AX104" s="459">
        <f t="shared" ca="1" si="319"/>
        <v>0</v>
      </c>
      <c r="AY104" s="459">
        <f t="shared" ca="1" si="319"/>
        <v>0</v>
      </c>
      <c r="AZ104" s="459">
        <f t="shared" ca="1" si="319"/>
        <v>0</v>
      </c>
      <c r="BA104" s="459">
        <f t="shared" ca="1" si="319"/>
        <v>0</v>
      </c>
      <c r="BB104" s="459">
        <f t="shared" ca="1" si="319"/>
        <v>0</v>
      </c>
      <c r="BC104" s="459">
        <f t="shared" ca="1" si="319"/>
        <v>0</v>
      </c>
      <c r="BD104" s="459">
        <f t="shared" ca="1" si="319"/>
        <v>0</v>
      </c>
      <c r="BE104" s="459">
        <f t="shared" ca="1" si="319"/>
        <v>0</v>
      </c>
      <c r="BF104" s="459">
        <f t="shared" ca="1" si="319"/>
        <v>0</v>
      </c>
      <c r="BG104" s="459">
        <f t="shared" ca="1" si="319"/>
        <v>0</v>
      </c>
      <c r="BH104" s="459">
        <f t="shared" ca="1" si="319"/>
        <v>0</v>
      </c>
      <c r="BI104" s="459">
        <f t="shared" ca="1" si="319"/>
        <v>0</v>
      </c>
      <c r="BJ104" s="459">
        <f t="shared" ca="1" si="319"/>
        <v>0</v>
      </c>
      <c r="BK104" s="459">
        <f t="shared" ca="1" si="319"/>
        <v>0</v>
      </c>
      <c r="BL104" s="459">
        <f t="shared" ca="1" si="319"/>
        <v>0</v>
      </c>
      <c r="BM104" s="459">
        <f t="shared" ca="1" si="319"/>
        <v>0</v>
      </c>
      <c r="BN104" s="459">
        <f t="shared" ca="1" si="319"/>
        <v>0</v>
      </c>
      <c r="BO104" s="459">
        <f t="shared" ca="1" si="319"/>
        <v>0</v>
      </c>
      <c r="BP104" s="459"/>
      <c r="BQ104" s="459"/>
      <c r="BR104" s="459"/>
      <c r="BS104" s="459"/>
      <c r="BT104" s="459"/>
      <c r="BU104" s="459"/>
      <c r="BV104" s="459"/>
      <c r="BW104" s="459"/>
      <c r="BX104" s="459"/>
      <c r="BY104" s="459"/>
      <c r="BZ104" s="459"/>
      <c r="CA104" s="459"/>
      <c r="CB104" s="459"/>
      <c r="CC104" s="459"/>
      <c r="CD104" s="459"/>
      <c r="CE104" s="459"/>
      <c r="CF104" s="459"/>
      <c r="CG104" s="459"/>
      <c r="CH104" s="459"/>
      <c r="CI104" s="459"/>
      <c r="CJ104" s="459"/>
      <c r="CK104" s="459"/>
      <c r="CL104" s="459"/>
      <c r="CM104" s="459"/>
      <c r="CN104" s="459"/>
      <c r="CO104" s="459"/>
      <c r="CP104" s="459"/>
      <c r="CQ104" s="459"/>
      <c r="CR104" s="459"/>
      <c r="CS104" s="459"/>
      <c r="CT104" s="459"/>
      <c r="CU104" s="459"/>
      <c r="CV104" s="459"/>
      <c r="CW104" s="459"/>
      <c r="CX104" s="459"/>
      <c r="CY104" s="459"/>
      <c r="CZ104" s="459"/>
      <c r="DA104" s="459"/>
      <c r="DB104" s="459"/>
      <c r="DC104" s="459"/>
      <c r="DD104" s="459"/>
      <c r="DE104" s="459"/>
      <c r="DF104" s="459"/>
      <c r="DG104" s="459"/>
      <c r="DH104" s="459"/>
      <c r="DI104" s="459"/>
      <c r="DJ104" s="459"/>
      <c r="DK104" s="459"/>
      <c r="DL104" s="459"/>
      <c r="DM104" s="459"/>
      <c r="DN104" s="459"/>
      <c r="DO104" s="459"/>
      <c r="DP104" s="459"/>
      <c r="DQ104" s="459"/>
      <c r="DR104" s="459"/>
      <c r="DS104" s="459"/>
      <c r="DT104" s="459"/>
      <c r="DU104" s="459"/>
      <c r="DV104" s="459"/>
      <c r="DW104" s="459"/>
    </row>
    <row r="105" spans="1:127">
      <c r="A105" s="619"/>
      <c r="D105" s="510"/>
      <c r="E105" s="889"/>
      <c r="F105" s="373"/>
      <c r="G105" s="459"/>
      <c r="H105" s="459"/>
      <c r="I105" s="459"/>
      <c r="J105" s="459"/>
      <c r="K105" s="459"/>
      <c r="L105" s="459"/>
      <c r="M105" s="459"/>
      <c r="N105" s="459"/>
      <c r="O105" s="459"/>
      <c r="P105" s="459"/>
      <c r="Q105" s="459"/>
      <c r="R105" s="459"/>
      <c r="S105" s="459"/>
      <c r="T105" s="459"/>
      <c r="U105" s="459"/>
      <c r="V105" s="459"/>
      <c r="W105" s="459"/>
      <c r="X105" s="459"/>
      <c r="Y105" s="459"/>
      <c r="Z105" s="459"/>
      <c r="AA105" s="459"/>
      <c r="AB105" s="459"/>
      <c r="AC105" s="459"/>
      <c r="AD105" s="459"/>
      <c r="AE105" s="459"/>
      <c r="AF105" s="459"/>
      <c r="AG105" s="459"/>
      <c r="AH105" s="459"/>
      <c r="AI105" s="459"/>
      <c r="AJ105" s="459"/>
      <c r="AK105" s="459"/>
      <c r="AL105" s="459"/>
      <c r="AM105" s="459"/>
      <c r="AN105" s="459"/>
      <c r="AO105" s="459"/>
      <c r="AP105" s="459"/>
      <c r="AQ105" s="459"/>
      <c r="AR105" s="459"/>
      <c r="AS105" s="459"/>
      <c r="AT105" s="459"/>
      <c r="AU105" s="459"/>
      <c r="AV105" s="459"/>
      <c r="AW105" s="459"/>
      <c r="AX105" s="459"/>
      <c r="AY105" s="459"/>
      <c r="AZ105" s="459"/>
      <c r="BA105" s="459"/>
      <c r="BB105" s="459"/>
      <c r="BC105" s="459"/>
      <c r="BD105" s="459"/>
      <c r="BE105" s="459"/>
      <c r="BF105" s="459"/>
      <c r="BG105" s="459"/>
      <c r="BH105" s="459"/>
      <c r="BI105" s="459"/>
      <c r="BJ105" s="459"/>
      <c r="BK105" s="459"/>
      <c r="BL105" s="459"/>
      <c r="BM105" s="459"/>
      <c r="BN105" s="459"/>
      <c r="BO105" s="459"/>
      <c r="BP105" s="459"/>
      <c r="BQ105" s="459"/>
      <c r="BR105" s="459"/>
      <c r="BS105" s="459"/>
      <c r="BT105" s="459"/>
      <c r="BU105" s="459"/>
      <c r="BV105" s="459"/>
      <c r="BW105" s="459"/>
      <c r="BX105" s="459"/>
      <c r="BY105" s="459"/>
      <c r="BZ105" s="459"/>
      <c r="CA105" s="459"/>
      <c r="CB105" s="459"/>
      <c r="CC105" s="459"/>
      <c r="CD105" s="459"/>
      <c r="CE105" s="459"/>
      <c r="CF105" s="459"/>
      <c r="CG105" s="459"/>
      <c r="CH105" s="459"/>
      <c r="CI105" s="459"/>
      <c r="CJ105" s="459"/>
      <c r="CK105" s="459"/>
      <c r="CL105" s="459"/>
      <c r="CM105" s="459"/>
      <c r="CN105" s="459"/>
      <c r="CO105" s="459"/>
      <c r="CP105" s="459"/>
      <c r="CQ105" s="459"/>
      <c r="CR105" s="459"/>
      <c r="CS105" s="459"/>
      <c r="CT105" s="459"/>
      <c r="CU105" s="459"/>
      <c r="CV105" s="459"/>
      <c r="CW105" s="459"/>
      <c r="CX105" s="459"/>
      <c r="CY105" s="459"/>
      <c r="CZ105" s="459"/>
      <c r="DA105" s="459"/>
      <c r="DB105" s="459"/>
      <c r="DC105" s="459"/>
      <c r="DD105" s="459"/>
      <c r="DE105" s="459"/>
      <c r="DF105" s="459"/>
      <c r="DG105" s="459"/>
      <c r="DH105" s="459"/>
      <c r="DI105" s="459"/>
      <c r="DJ105" s="459"/>
      <c r="DK105" s="459"/>
      <c r="DL105" s="459"/>
      <c r="DM105" s="459"/>
      <c r="DN105" s="459"/>
      <c r="DO105" s="459"/>
      <c r="DP105" s="459"/>
      <c r="DQ105" s="459"/>
      <c r="DR105" s="459"/>
      <c r="DS105" s="459"/>
      <c r="DT105" s="459"/>
      <c r="DU105" s="459"/>
      <c r="DV105" s="459"/>
      <c r="DW105" s="459"/>
    </row>
    <row r="106" spans="1:127">
      <c r="A106" s="612" t="s">
        <v>219</v>
      </c>
      <c r="B106" s="704"/>
      <c r="C106" s="704"/>
      <c r="D106" s="512"/>
      <c r="E106" s="512"/>
      <c r="F106" s="373"/>
      <c r="G106" s="473"/>
      <c r="H106" s="473"/>
      <c r="I106" s="473"/>
      <c r="J106" s="473"/>
      <c r="K106" s="473"/>
      <c r="L106" s="473"/>
      <c r="M106" s="473"/>
      <c r="N106" s="473"/>
      <c r="O106" s="473"/>
      <c r="P106" s="473"/>
      <c r="Q106" s="473"/>
      <c r="R106" s="473"/>
      <c r="S106" s="473"/>
      <c r="T106" s="473"/>
      <c r="U106" s="473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3"/>
      <c r="AH106" s="473"/>
      <c r="AI106" s="473"/>
      <c r="AJ106" s="473"/>
      <c r="AK106" s="473"/>
      <c r="AL106" s="473"/>
      <c r="AM106" s="473"/>
      <c r="AN106" s="473"/>
      <c r="AO106" s="473"/>
      <c r="AP106" s="473"/>
      <c r="AQ106" s="473"/>
      <c r="AR106" s="473"/>
      <c r="AS106" s="473"/>
      <c r="AT106" s="473"/>
      <c r="AU106" s="473"/>
      <c r="AV106" s="473"/>
      <c r="AW106" s="473"/>
      <c r="AX106" s="473"/>
      <c r="AY106" s="473"/>
      <c r="AZ106" s="473"/>
      <c r="BA106" s="473"/>
      <c r="BB106" s="473"/>
      <c r="BC106" s="473"/>
      <c r="BD106" s="473"/>
      <c r="BE106" s="473"/>
      <c r="BF106" s="473"/>
      <c r="BG106" s="473"/>
      <c r="BH106" s="473"/>
      <c r="BI106" s="473"/>
      <c r="BJ106" s="473"/>
      <c r="BK106" s="473"/>
      <c r="BL106" s="473"/>
      <c r="BM106" s="473"/>
      <c r="BN106" s="473"/>
      <c r="BO106" s="473"/>
      <c r="BP106" s="473"/>
      <c r="BQ106" s="473"/>
      <c r="BR106" s="473"/>
      <c r="BS106" s="473"/>
      <c r="BT106" s="473"/>
      <c r="BU106" s="473"/>
      <c r="BV106" s="473"/>
      <c r="BW106" s="473"/>
      <c r="BX106" s="473"/>
      <c r="BY106" s="473"/>
      <c r="BZ106" s="473"/>
      <c r="CA106" s="473"/>
      <c r="CB106" s="473"/>
      <c r="CC106" s="473"/>
      <c r="CD106" s="473"/>
      <c r="CE106" s="473"/>
      <c r="CF106" s="473"/>
      <c r="CG106" s="473"/>
      <c r="CH106" s="473"/>
      <c r="CI106" s="473"/>
      <c r="CJ106" s="473"/>
      <c r="CK106" s="473"/>
      <c r="CL106" s="473"/>
      <c r="CM106" s="473"/>
      <c r="CN106" s="473"/>
      <c r="CO106" s="473"/>
      <c r="CP106" s="473"/>
      <c r="CQ106" s="473"/>
      <c r="CR106" s="473"/>
      <c r="CS106" s="473"/>
      <c r="CT106" s="473"/>
      <c r="CU106" s="473"/>
      <c r="CV106" s="473"/>
      <c r="CW106" s="473"/>
      <c r="CX106" s="473"/>
      <c r="CY106" s="473"/>
      <c r="CZ106" s="473"/>
      <c r="DA106" s="473"/>
      <c r="DB106" s="473"/>
      <c r="DC106" s="473"/>
      <c r="DD106" s="473"/>
      <c r="DE106" s="473"/>
      <c r="DF106" s="473"/>
      <c r="DG106" s="473"/>
      <c r="DH106" s="473"/>
      <c r="DI106" s="473"/>
      <c r="DJ106" s="473"/>
      <c r="DK106" s="473"/>
      <c r="DL106" s="473"/>
      <c r="DM106" s="473"/>
      <c r="DN106" s="473"/>
      <c r="DO106" s="473"/>
      <c r="DP106" s="473"/>
      <c r="DQ106" s="473"/>
      <c r="DR106" s="473"/>
      <c r="DS106" s="473"/>
      <c r="DT106" s="473"/>
      <c r="DU106" s="473"/>
      <c r="DV106" s="473"/>
      <c r="DW106" s="473"/>
    </row>
    <row r="107" spans="1:127">
      <c r="A107" s="874" t="s">
        <v>1231</v>
      </c>
      <c r="B107" s="704"/>
      <c r="C107" s="704"/>
      <c r="D107" s="512"/>
      <c r="E107" s="512"/>
      <c r="F107" s="373"/>
      <c r="G107" s="459">
        <f>F113</f>
        <v>0</v>
      </c>
      <c r="H107" s="459">
        <f t="shared" ref="H107" ca="1" si="320">G113</f>
        <v>0</v>
      </c>
      <c r="I107" s="459">
        <f t="shared" ref="I107" ca="1" si="321">H113</f>
        <v>0</v>
      </c>
      <c r="J107" s="459">
        <f t="shared" ref="J107" ca="1" si="322">I113</f>
        <v>0</v>
      </c>
      <c r="K107" s="459">
        <f t="shared" ref="K107" ca="1" si="323">J113</f>
        <v>0</v>
      </c>
      <c r="L107" s="459">
        <f t="shared" ref="L107" ca="1" si="324">K113</f>
        <v>0</v>
      </c>
      <c r="M107" s="459">
        <f t="shared" ref="M107" ca="1" si="325">L113</f>
        <v>0</v>
      </c>
      <c r="N107" s="459">
        <f t="shared" ref="N107" ca="1" si="326">M113</f>
        <v>0</v>
      </c>
      <c r="O107" s="459">
        <f t="shared" ref="O107" ca="1" si="327">N113</f>
        <v>0</v>
      </c>
      <c r="P107" s="459">
        <f t="shared" ref="P107" ca="1" si="328">O113</f>
        <v>0</v>
      </c>
      <c r="Q107" s="459">
        <f t="shared" ref="Q107" ca="1" si="329">P113</f>
        <v>0</v>
      </c>
      <c r="R107" s="459">
        <f t="shared" ref="R107" ca="1" si="330">Q113</f>
        <v>0</v>
      </c>
      <c r="S107" s="459">
        <f t="shared" ref="S107" ca="1" si="331">R113</f>
        <v>0</v>
      </c>
      <c r="T107" s="459">
        <f t="shared" ref="T107" ca="1" si="332">S113</f>
        <v>0</v>
      </c>
      <c r="U107" s="459">
        <f t="shared" ref="U107" ca="1" si="333">T113</f>
        <v>0</v>
      </c>
      <c r="V107" s="459">
        <f t="shared" ref="V107" ca="1" si="334">U113</f>
        <v>0</v>
      </c>
      <c r="W107" s="459">
        <f t="shared" ref="W107" ca="1" si="335">V113</f>
        <v>0</v>
      </c>
      <c r="X107" s="459">
        <f t="shared" ref="X107" ca="1" si="336">W113</f>
        <v>0</v>
      </c>
      <c r="Y107" s="459">
        <f t="shared" ref="Y107" ca="1" si="337">X113</f>
        <v>0</v>
      </c>
      <c r="Z107" s="459">
        <f t="shared" ref="Z107" ca="1" si="338">Y113</f>
        <v>0</v>
      </c>
      <c r="AA107" s="459">
        <f t="shared" ref="AA107" ca="1" si="339">Z113</f>
        <v>0</v>
      </c>
      <c r="AB107" s="459">
        <f t="shared" ref="AB107" ca="1" si="340">AA113</f>
        <v>0</v>
      </c>
      <c r="AC107" s="459">
        <f t="shared" ref="AC107" ca="1" si="341">AB113</f>
        <v>0</v>
      </c>
      <c r="AD107" s="459">
        <f t="shared" ref="AD107" ca="1" si="342">AC113</f>
        <v>0</v>
      </c>
      <c r="AE107" s="459">
        <f t="shared" ref="AE107" ca="1" si="343">AD113</f>
        <v>0</v>
      </c>
      <c r="AF107" s="459">
        <f t="shared" ref="AF107" ca="1" si="344">AE113</f>
        <v>0</v>
      </c>
      <c r="AG107" s="459">
        <f t="shared" ref="AG107" ca="1" si="345">AF113</f>
        <v>0</v>
      </c>
      <c r="AH107" s="459">
        <f t="shared" ref="AH107" ca="1" si="346">AG113</f>
        <v>0</v>
      </c>
      <c r="AI107" s="459">
        <f t="shared" ref="AI107" ca="1" si="347">AH113</f>
        <v>0</v>
      </c>
      <c r="AJ107" s="459">
        <f t="shared" ref="AJ107" ca="1" si="348">AI113</f>
        <v>0</v>
      </c>
      <c r="AK107" s="459">
        <f t="shared" ref="AK107" ca="1" si="349">AJ113</f>
        <v>0</v>
      </c>
      <c r="AL107" s="459">
        <f t="shared" ref="AL107" ca="1" si="350">AK113</f>
        <v>0</v>
      </c>
      <c r="AM107" s="459">
        <f t="shared" ref="AM107" ca="1" si="351">AL113</f>
        <v>0</v>
      </c>
      <c r="AN107" s="459">
        <f t="shared" ref="AN107" ca="1" si="352">AM113</f>
        <v>0</v>
      </c>
      <c r="AO107" s="459">
        <f t="shared" ref="AO107" ca="1" si="353">AN113</f>
        <v>0</v>
      </c>
      <c r="AP107" s="459">
        <f t="shared" ref="AP107" ca="1" si="354">AO113</f>
        <v>0</v>
      </c>
      <c r="AQ107" s="459">
        <f t="shared" ref="AQ107" ca="1" si="355">AP113</f>
        <v>0</v>
      </c>
      <c r="AR107" s="459">
        <f t="shared" ref="AR107" ca="1" si="356">AQ113</f>
        <v>0</v>
      </c>
      <c r="AS107" s="459">
        <f t="shared" ref="AS107" ca="1" si="357">AR113</f>
        <v>0</v>
      </c>
      <c r="AT107" s="459">
        <f t="shared" ref="AT107" ca="1" si="358">AS113</f>
        <v>0</v>
      </c>
      <c r="AU107" s="459">
        <f t="shared" ref="AU107" ca="1" si="359">AT113</f>
        <v>0</v>
      </c>
      <c r="AV107" s="459">
        <f t="shared" ref="AV107" ca="1" si="360">AU113</f>
        <v>0</v>
      </c>
      <c r="AW107" s="459">
        <f t="shared" ref="AW107" ca="1" si="361">AV113</f>
        <v>0</v>
      </c>
      <c r="AX107" s="459">
        <f t="shared" ref="AX107" ca="1" si="362">AW113</f>
        <v>0</v>
      </c>
      <c r="AY107" s="459">
        <f t="shared" ref="AY107" ca="1" si="363">AX113</f>
        <v>0</v>
      </c>
      <c r="AZ107" s="459">
        <f t="shared" ref="AZ107" ca="1" si="364">AY113</f>
        <v>0</v>
      </c>
      <c r="BA107" s="459">
        <f t="shared" ref="BA107" ca="1" si="365">AZ113</f>
        <v>0</v>
      </c>
      <c r="BB107" s="459">
        <f t="shared" ref="BB107" ca="1" si="366">BA113</f>
        <v>0</v>
      </c>
      <c r="BC107" s="459">
        <f t="shared" ref="BC107" ca="1" si="367">BB113</f>
        <v>0</v>
      </c>
      <c r="BD107" s="459">
        <f t="shared" ref="BD107" ca="1" si="368">BC113</f>
        <v>0</v>
      </c>
      <c r="BE107" s="459">
        <f t="shared" ref="BE107" ca="1" si="369">BD113</f>
        <v>0</v>
      </c>
      <c r="BF107" s="459">
        <f t="shared" ref="BF107" ca="1" si="370">BE113</f>
        <v>0</v>
      </c>
      <c r="BG107" s="459">
        <f t="shared" ref="BG107" ca="1" si="371">BF113</f>
        <v>0</v>
      </c>
      <c r="BH107" s="459">
        <f t="shared" ref="BH107" ca="1" si="372">BG113</f>
        <v>0</v>
      </c>
      <c r="BI107" s="459">
        <f t="shared" ref="BI107" ca="1" si="373">BH113</f>
        <v>0</v>
      </c>
      <c r="BJ107" s="459">
        <f t="shared" ref="BJ107" ca="1" si="374">BI113</f>
        <v>0</v>
      </c>
      <c r="BK107" s="459">
        <f t="shared" ref="BK107" ca="1" si="375">BJ113</f>
        <v>0</v>
      </c>
      <c r="BL107" s="459">
        <f t="shared" ref="BL107" ca="1" si="376">BK113</f>
        <v>0</v>
      </c>
      <c r="BM107" s="459">
        <f t="shared" ref="BM107" ca="1" si="377">BL113</f>
        <v>0</v>
      </c>
      <c r="BN107" s="459">
        <f t="shared" ref="BN107" ca="1" si="378">BM113</f>
        <v>0</v>
      </c>
      <c r="BO107" s="459">
        <f t="shared" ref="BO107" ca="1" si="379">BN113</f>
        <v>0</v>
      </c>
      <c r="BP107" s="459"/>
      <c r="BQ107" s="459"/>
      <c r="BR107" s="459"/>
      <c r="BS107" s="459"/>
      <c r="BT107" s="459"/>
      <c r="BU107" s="459"/>
      <c r="BV107" s="459"/>
      <c r="BW107" s="459"/>
      <c r="BX107" s="459"/>
      <c r="BY107" s="459"/>
      <c r="BZ107" s="459"/>
      <c r="CA107" s="459"/>
      <c r="CB107" s="459"/>
      <c r="CC107" s="459"/>
      <c r="CD107" s="459"/>
      <c r="CE107" s="459"/>
      <c r="CF107" s="459"/>
      <c r="CG107" s="459"/>
      <c r="CH107" s="459"/>
      <c r="CI107" s="459"/>
      <c r="CJ107" s="459"/>
      <c r="CK107" s="459"/>
      <c r="CL107" s="459"/>
      <c r="CM107" s="459"/>
      <c r="CN107" s="459"/>
      <c r="CO107" s="459"/>
      <c r="CP107" s="459"/>
      <c r="CQ107" s="459"/>
      <c r="CR107" s="459"/>
      <c r="CS107" s="459"/>
      <c r="CT107" s="459"/>
      <c r="CU107" s="459"/>
      <c r="CV107" s="459"/>
      <c r="CW107" s="459"/>
      <c r="CX107" s="459"/>
      <c r="CY107" s="459"/>
      <c r="CZ107" s="459"/>
      <c r="DA107" s="459"/>
      <c r="DB107" s="459"/>
      <c r="DC107" s="459"/>
      <c r="DD107" s="459"/>
      <c r="DE107" s="459"/>
      <c r="DF107" s="459"/>
      <c r="DG107" s="459"/>
      <c r="DH107" s="459"/>
      <c r="DI107" s="459"/>
      <c r="DJ107" s="459"/>
      <c r="DK107" s="459"/>
      <c r="DL107" s="459"/>
      <c r="DM107" s="459"/>
      <c r="DN107" s="459"/>
      <c r="DO107" s="459"/>
      <c r="DP107" s="459"/>
      <c r="DQ107" s="459"/>
      <c r="DR107" s="459"/>
      <c r="DS107" s="459"/>
      <c r="DT107" s="459"/>
      <c r="DU107" s="459"/>
      <c r="DV107" s="459"/>
      <c r="DW107" s="459"/>
    </row>
    <row r="108" spans="1:127">
      <c r="A108" s="881" t="s">
        <v>1152</v>
      </c>
      <c r="B108" s="810">
        <f ca="1">Inputs!$D$255</f>
        <v>0</v>
      </c>
      <c r="C108" s="810"/>
      <c r="E108" s="894">
        <f ca="1">ABS(SUM(G108:DW108)-D109)</f>
        <v>0</v>
      </c>
      <c r="F108" s="373"/>
      <c r="G108" s="459">
        <f t="shared" ref="G108:AL108" ca="1" si="380">$B$108*(G3=0)</f>
        <v>0</v>
      </c>
      <c r="H108" s="459">
        <f t="shared" ca="1" si="380"/>
        <v>0</v>
      </c>
      <c r="I108" s="459">
        <f t="shared" ca="1" si="380"/>
        <v>0</v>
      </c>
      <c r="J108" s="459">
        <f t="shared" ca="1" si="380"/>
        <v>0</v>
      </c>
      <c r="K108" s="459">
        <f t="shared" ca="1" si="380"/>
        <v>0</v>
      </c>
      <c r="L108" s="459">
        <f t="shared" ca="1" si="380"/>
        <v>0</v>
      </c>
      <c r="M108" s="459">
        <f t="shared" ca="1" si="380"/>
        <v>0</v>
      </c>
      <c r="N108" s="459">
        <f t="shared" ca="1" si="380"/>
        <v>0</v>
      </c>
      <c r="O108" s="459">
        <f t="shared" ca="1" si="380"/>
        <v>0</v>
      </c>
      <c r="P108" s="459">
        <f t="shared" ca="1" si="380"/>
        <v>0</v>
      </c>
      <c r="Q108" s="459">
        <f t="shared" ca="1" si="380"/>
        <v>0</v>
      </c>
      <c r="R108" s="459">
        <f t="shared" ca="1" si="380"/>
        <v>0</v>
      </c>
      <c r="S108" s="459">
        <f t="shared" ca="1" si="380"/>
        <v>0</v>
      </c>
      <c r="T108" s="459">
        <f t="shared" ca="1" si="380"/>
        <v>0</v>
      </c>
      <c r="U108" s="459">
        <f t="shared" ca="1" si="380"/>
        <v>0</v>
      </c>
      <c r="V108" s="459">
        <f t="shared" ca="1" si="380"/>
        <v>0</v>
      </c>
      <c r="W108" s="459">
        <f t="shared" ca="1" si="380"/>
        <v>0</v>
      </c>
      <c r="X108" s="459">
        <f t="shared" ca="1" si="380"/>
        <v>0</v>
      </c>
      <c r="Y108" s="459">
        <f t="shared" ca="1" si="380"/>
        <v>0</v>
      </c>
      <c r="Z108" s="459">
        <f t="shared" ca="1" si="380"/>
        <v>0</v>
      </c>
      <c r="AA108" s="459">
        <f t="shared" ca="1" si="380"/>
        <v>0</v>
      </c>
      <c r="AB108" s="459">
        <f t="shared" ca="1" si="380"/>
        <v>0</v>
      </c>
      <c r="AC108" s="459">
        <f t="shared" ca="1" si="380"/>
        <v>0</v>
      </c>
      <c r="AD108" s="459">
        <f t="shared" ca="1" si="380"/>
        <v>0</v>
      </c>
      <c r="AE108" s="459">
        <f t="shared" ca="1" si="380"/>
        <v>0</v>
      </c>
      <c r="AF108" s="459">
        <f t="shared" ca="1" si="380"/>
        <v>0</v>
      </c>
      <c r="AG108" s="459">
        <f t="shared" ca="1" si="380"/>
        <v>0</v>
      </c>
      <c r="AH108" s="459">
        <f t="shared" ca="1" si="380"/>
        <v>0</v>
      </c>
      <c r="AI108" s="459">
        <f t="shared" ca="1" si="380"/>
        <v>0</v>
      </c>
      <c r="AJ108" s="459">
        <f t="shared" ca="1" si="380"/>
        <v>0</v>
      </c>
      <c r="AK108" s="459">
        <f t="shared" ca="1" si="380"/>
        <v>0</v>
      </c>
      <c r="AL108" s="459">
        <f t="shared" ca="1" si="380"/>
        <v>0</v>
      </c>
      <c r="AM108" s="459">
        <f t="shared" ref="AM108:BO108" ca="1" si="381">$B$108*(AM3=0)</f>
        <v>0</v>
      </c>
      <c r="AN108" s="459">
        <f t="shared" ca="1" si="381"/>
        <v>0</v>
      </c>
      <c r="AO108" s="459">
        <f t="shared" ca="1" si="381"/>
        <v>0</v>
      </c>
      <c r="AP108" s="459">
        <f t="shared" ca="1" si="381"/>
        <v>0</v>
      </c>
      <c r="AQ108" s="459">
        <f t="shared" ca="1" si="381"/>
        <v>0</v>
      </c>
      <c r="AR108" s="459">
        <f t="shared" ca="1" si="381"/>
        <v>0</v>
      </c>
      <c r="AS108" s="459">
        <f t="shared" ca="1" si="381"/>
        <v>0</v>
      </c>
      <c r="AT108" s="459">
        <f t="shared" ca="1" si="381"/>
        <v>0</v>
      </c>
      <c r="AU108" s="459">
        <f t="shared" ca="1" si="381"/>
        <v>0</v>
      </c>
      <c r="AV108" s="459">
        <f t="shared" ca="1" si="381"/>
        <v>0</v>
      </c>
      <c r="AW108" s="459">
        <f t="shared" ca="1" si="381"/>
        <v>0</v>
      </c>
      <c r="AX108" s="459">
        <f t="shared" ca="1" si="381"/>
        <v>0</v>
      </c>
      <c r="AY108" s="459">
        <f t="shared" ca="1" si="381"/>
        <v>0</v>
      </c>
      <c r="AZ108" s="459">
        <f t="shared" ca="1" si="381"/>
        <v>0</v>
      </c>
      <c r="BA108" s="459">
        <f t="shared" ca="1" si="381"/>
        <v>0</v>
      </c>
      <c r="BB108" s="459">
        <f t="shared" ca="1" si="381"/>
        <v>0</v>
      </c>
      <c r="BC108" s="459">
        <f t="shared" ca="1" si="381"/>
        <v>0</v>
      </c>
      <c r="BD108" s="459">
        <f t="shared" ca="1" si="381"/>
        <v>0</v>
      </c>
      <c r="BE108" s="459">
        <f t="shared" ca="1" si="381"/>
        <v>0</v>
      </c>
      <c r="BF108" s="459">
        <f t="shared" ca="1" si="381"/>
        <v>0</v>
      </c>
      <c r="BG108" s="459">
        <f t="shared" ca="1" si="381"/>
        <v>0</v>
      </c>
      <c r="BH108" s="459">
        <f t="shared" ca="1" si="381"/>
        <v>0</v>
      </c>
      <c r="BI108" s="459">
        <f t="shared" ca="1" si="381"/>
        <v>0</v>
      </c>
      <c r="BJ108" s="459">
        <f t="shared" ca="1" si="381"/>
        <v>0</v>
      </c>
      <c r="BK108" s="459">
        <f t="shared" ca="1" si="381"/>
        <v>0</v>
      </c>
      <c r="BL108" s="459">
        <f t="shared" ca="1" si="381"/>
        <v>0</v>
      </c>
      <c r="BM108" s="459">
        <f t="shared" ca="1" si="381"/>
        <v>0</v>
      </c>
      <c r="BN108" s="459">
        <f t="shared" ca="1" si="381"/>
        <v>0</v>
      </c>
      <c r="BO108" s="459">
        <f t="shared" ca="1" si="381"/>
        <v>0</v>
      </c>
      <c r="BP108" s="459"/>
      <c r="BQ108" s="459"/>
      <c r="BR108" s="459"/>
      <c r="BS108" s="459"/>
      <c r="BT108" s="459"/>
      <c r="BU108" s="459"/>
      <c r="BV108" s="459"/>
      <c r="BW108" s="459"/>
      <c r="BX108" s="459"/>
      <c r="BY108" s="459"/>
      <c r="BZ108" s="459"/>
      <c r="CA108" s="459"/>
      <c r="CB108" s="459"/>
      <c r="CC108" s="459"/>
      <c r="CD108" s="459"/>
      <c r="CE108" s="459"/>
      <c r="CF108" s="459"/>
      <c r="CG108" s="459"/>
      <c r="CH108" s="459"/>
      <c r="CI108" s="459"/>
      <c r="CJ108" s="459"/>
      <c r="CK108" s="459"/>
      <c r="CL108" s="459"/>
      <c r="CM108" s="459"/>
      <c r="CN108" s="459"/>
      <c r="CO108" s="459"/>
      <c r="CP108" s="459"/>
      <c r="CQ108" s="459"/>
      <c r="CR108" s="459"/>
      <c r="CS108" s="459"/>
      <c r="CT108" s="459"/>
      <c r="CU108" s="459"/>
      <c r="CV108" s="459"/>
      <c r="CW108" s="459"/>
      <c r="CX108" s="459"/>
      <c r="CY108" s="459"/>
      <c r="CZ108" s="459"/>
      <c r="DA108" s="459"/>
      <c r="DB108" s="459"/>
      <c r="DC108" s="459"/>
      <c r="DD108" s="459"/>
      <c r="DE108" s="459"/>
      <c r="DF108" s="459"/>
      <c r="DG108" s="459"/>
      <c r="DH108" s="459"/>
      <c r="DI108" s="459"/>
      <c r="DJ108" s="459"/>
      <c r="DK108" s="459"/>
      <c r="DL108" s="459"/>
      <c r="DM108" s="459"/>
      <c r="DN108" s="459"/>
      <c r="DO108" s="459"/>
      <c r="DP108" s="459"/>
      <c r="DQ108" s="459"/>
      <c r="DR108" s="459"/>
      <c r="DS108" s="459"/>
      <c r="DT108" s="459"/>
      <c r="DU108" s="459"/>
      <c r="DV108" s="459"/>
      <c r="DW108" s="459"/>
    </row>
    <row r="109" spans="1:127">
      <c r="A109" s="881" t="s">
        <v>227</v>
      </c>
      <c r="B109" s="704"/>
      <c r="C109" s="704"/>
      <c r="D109" s="510">
        <f ca="1">SUM(G109:DW109)</f>
        <v>0</v>
      </c>
      <c r="E109" s="512">
        <f ca="1">ABS(D109-SUM(G109:AK109))</f>
        <v>0</v>
      </c>
      <c r="F109" s="373"/>
      <c r="G109" s="459">
        <f t="shared" ref="G109:H109" si="382">MAX(MIN(G103-G112,G107),0)</f>
        <v>0</v>
      </c>
      <c r="H109" s="459">
        <f t="shared" ca="1" si="382"/>
        <v>0</v>
      </c>
      <c r="I109" s="459">
        <f t="shared" ref="I109:BO109" ca="1" si="383">MAX(MIN(I103-I112,I107),0)</f>
        <v>0</v>
      </c>
      <c r="J109" s="459">
        <f t="shared" ca="1" si="383"/>
        <v>0</v>
      </c>
      <c r="K109" s="459">
        <f t="shared" ca="1" si="383"/>
        <v>0</v>
      </c>
      <c r="L109" s="459">
        <f t="shared" ca="1" si="383"/>
        <v>0</v>
      </c>
      <c r="M109" s="459">
        <f t="shared" ca="1" si="383"/>
        <v>0</v>
      </c>
      <c r="N109" s="459">
        <f t="shared" ca="1" si="383"/>
        <v>0</v>
      </c>
      <c r="O109" s="459">
        <f t="shared" ca="1" si="383"/>
        <v>0</v>
      </c>
      <c r="P109" s="459">
        <f t="shared" ca="1" si="383"/>
        <v>0</v>
      </c>
      <c r="Q109" s="459">
        <f t="shared" ca="1" si="383"/>
        <v>0</v>
      </c>
      <c r="R109" s="459">
        <f t="shared" ca="1" si="383"/>
        <v>0</v>
      </c>
      <c r="S109" s="459">
        <f t="shared" ca="1" si="383"/>
        <v>0</v>
      </c>
      <c r="T109" s="459">
        <f t="shared" ca="1" si="383"/>
        <v>0</v>
      </c>
      <c r="U109" s="459">
        <f t="shared" ca="1" si="383"/>
        <v>0</v>
      </c>
      <c r="V109" s="459">
        <f t="shared" ca="1" si="383"/>
        <v>0</v>
      </c>
      <c r="W109" s="459">
        <f t="shared" ca="1" si="383"/>
        <v>0</v>
      </c>
      <c r="X109" s="459">
        <f t="shared" ca="1" si="383"/>
        <v>0</v>
      </c>
      <c r="Y109" s="459">
        <f t="shared" ca="1" si="383"/>
        <v>0</v>
      </c>
      <c r="Z109" s="459">
        <f t="shared" ca="1" si="383"/>
        <v>0</v>
      </c>
      <c r="AA109" s="459">
        <f t="shared" ca="1" si="383"/>
        <v>0</v>
      </c>
      <c r="AB109" s="459">
        <f t="shared" ca="1" si="383"/>
        <v>0</v>
      </c>
      <c r="AC109" s="459">
        <f t="shared" ca="1" si="383"/>
        <v>0</v>
      </c>
      <c r="AD109" s="459">
        <f t="shared" ca="1" si="383"/>
        <v>0</v>
      </c>
      <c r="AE109" s="459">
        <f t="shared" ca="1" si="383"/>
        <v>0</v>
      </c>
      <c r="AF109" s="459">
        <f t="shared" ca="1" si="383"/>
        <v>0</v>
      </c>
      <c r="AG109" s="459">
        <f t="shared" ca="1" si="383"/>
        <v>0</v>
      </c>
      <c r="AH109" s="459">
        <f t="shared" ca="1" si="383"/>
        <v>0</v>
      </c>
      <c r="AI109" s="459">
        <f t="shared" ca="1" si="383"/>
        <v>0</v>
      </c>
      <c r="AJ109" s="459">
        <f t="shared" ca="1" si="383"/>
        <v>0</v>
      </c>
      <c r="AK109" s="459">
        <f t="shared" ca="1" si="383"/>
        <v>0</v>
      </c>
      <c r="AL109" s="459">
        <f t="shared" ca="1" si="383"/>
        <v>0</v>
      </c>
      <c r="AM109" s="459">
        <f t="shared" ca="1" si="383"/>
        <v>0</v>
      </c>
      <c r="AN109" s="459">
        <f t="shared" ca="1" si="383"/>
        <v>0</v>
      </c>
      <c r="AO109" s="459">
        <f t="shared" ca="1" si="383"/>
        <v>0</v>
      </c>
      <c r="AP109" s="459">
        <f t="shared" ca="1" si="383"/>
        <v>0</v>
      </c>
      <c r="AQ109" s="459">
        <f t="shared" ca="1" si="383"/>
        <v>0</v>
      </c>
      <c r="AR109" s="459">
        <f t="shared" ca="1" si="383"/>
        <v>0</v>
      </c>
      <c r="AS109" s="459">
        <f t="shared" ca="1" si="383"/>
        <v>0</v>
      </c>
      <c r="AT109" s="459">
        <f t="shared" ca="1" si="383"/>
        <v>0</v>
      </c>
      <c r="AU109" s="459">
        <f t="shared" ca="1" si="383"/>
        <v>0</v>
      </c>
      <c r="AV109" s="459">
        <f t="shared" ca="1" si="383"/>
        <v>0</v>
      </c>
      <c r="AW109" s="459">
        <f t="shared" ca="1" si="383"/>
        <v>0</v>
      </c>
      <c r="AX109" s="459">
        <f t="shared" ca="1" si="383"/>
        <v>0</v>
      </c>
      <c r="AY109" s="459">
        <f t="shared" ca="1" si="383"/>
        <v>0</v>
      </c>
      <c r="AZ109" s="459">
        <f t="shared" ca="1" si="383"/>
        <v>0</v>
      </c>
      <c r="BA109" s="459">
        <f t="shared" ca="1" si="383"/>
        <v>0</v>
      </c>
      <c r="BB109" s="459">
        <f t="shared" ca="1" si="383"/>
        <v>0</v>
      </c>
      <c r="BC109" s="459">
        <f t="shared" ca="1" si="383"/>
        <v>0</v>
      </c>
      <c r="BD109" s="459">
        <f t="shared" ca="1" si="383"/>
        <v>0</v>
      </c>
      <c r="BE109" s="459">
        <f t="shared" ca="1" si="383"/>
        <v>0</v>
      </c>
      <c r="BF109" s="459">
        <f t="shared" ca="1" si="383"/>
        <v>0</v>
      </c>
      <c r="BG109" s="459">
        <f t="shared" ca="1" si="383"/>
        <v>0</v>
      </c>
      <c r="BH109" s="459">
        <f t="shared" ca="1" si="383"/>
        <v>0</v>
      </c>
      <c r="BI109" s="459">
        <f t="shared" ca="1" si="383"/>
        <v>0</v>
      </c>
      <c r="BJ109" s="459">
        <f t="shared" ca="1" si="383"/>
        <v>0</v>
      </c>
      <c r="BK109" s="459">
        <f t="shared" ca="1" si="383"/>
        <v>0</v>
      </c>
      <c r="BL109" s="459">
        <f t="shared" ca="1" si="383"/>
        <v>0</v>
      </c>
      <c r="BM109" s="459">
        <f t="shared" ca="1" si="383"/>
        <v>0</v>
      </c>
      <c r="BN109" s="459">
        <f t="shared" ca="1" si="383"/>
        <v>0</v>
      </c>
      <c r="BO109" s="459">
        <f t="shared" ca="1" si="383"/>
        <v>0</v>
      </c>
      <c r="BP109" s="459"/>
      <c r="BQ109" s="459"/>
      <c r="BR109" s="459"/>
      <c r="BS109" s="459"/>
      <c r="BT109" s="459"/>
      <c r="BU109" s="459"/>
      <c r="BV109" s="459"/>
      <c r="BW109" s="459"/>
      <c r="BX109" s="459"/>
      <c r="BY109" s="459"/>
      <c r="BZ109" s="459"/>
      <c r="CA109" s="459"/>
      <c r="CB109" s="459"/>
      <c r="CC109" s="459"/>
      <c r="CD109" s="459"/>
      <c r="CE109" s="459"/>
      <c r="CF109" s="459"/>
      <c r="CG109" s="459"/>
      <c r="CH109" s="459"/>
      <c r="CI109" s="459"/>
      <c r="CJ109" s="459"/>
      <c r="CK109" s="459"/>
      <c r="CL109" s="459"/>
      <c r="CM109" s="459"/>
      <c r="CN109" s="459"/>
      <c r="CO109" s="459"/>
      <c r="CP109" s="459"/>
      <c r="CQ109" s="459"/>
      <c r="CR109" s="459"/>
      <c r="CS109" s="459"/>
      <c r="CT109" s="459"/>
      <c r="CU109" s="459"/>
      <c r="CV109" s="459"/>
      <c r="CW109" s="459"/>
      <c r="CX109" s="459"/>
      <c r="CY109" s="459"/>
      <c r="CZ109" s="459"/>
      <c r="DA109" s="459"/>
      <c r="DB109" s="459"/>
      <c r="DC109" s="459"/>
      <c r="DD109" s="459"/>
      <c r="DE109" s="459"/>
      <c r="DF109" s="459"/>
      <c r="DG109" s="459"/>
      <c r="DH109" s="459"/>
      <c r="DI109" s="459"/>
      <c r="DJ109" s="459"/>
      <c r="DK109" s="459"/>
      <c r="DL109" s="459"/>
      <c r="DM109" s="459"/>
      <c r="DN109" s="459"/>
      <c r="DO109" s="459"/>
      <c r="DP109" s="459"/>
      <c r="DQ109" s="459"/>
      <c r="DR109" s="459"/>
      <c r="DS109" s="459"/>
      <c r="DT109" s="459"/>
      <c r="DU109" s="459"/>
      <c r="DV109" s="459"/>
      <c r="DW109" s="459"/>
    </row>
    <row r="110" spans="1:127">
      <c r="A110" s="961" t="s">
        <v>1239</v>
      </c>
      <c r="B110" s="704"/>
      <c r="C110" s="704"/>
      <c r="D110" s="510">
        <f ca="1">SUM(G110:DW110)</f>
        <v>0</v>
      </c>
      <c r="E110" s="510"/>
      <c r="F110" s="373"/>
      <c r="G110" s="459">
        <f t="shared" ref="G110:AL110" si="384">G107*G101*G11</f>
        <v>0</v>
      </c>
      <c r="H110" s="459">
        <f ca="1">H107*H101*H11</f>
        <v>0</v>
      </c>
      <c r="I110" s="459">
        <f t="shared" ca="1" si="384"/>
        <v>0</v>
      </c>
      <c r="J110" s="459">
        <f t="shared" ca="1" si="384"/>
        <v>0</v>
      </c>
      <c r="K110" s="459">
        <f t="shared" ca="1" si="384"/>
        <v>0</v>
      </c>
      <c r="L110" s="459">
        <f t="shared" ca="1" si="384"/>
        <v>0</v>
      </c>
      <c r="M110" s="459">
        <f t="shared" ca="1" si="384"/>
        <v>0</v>
      </c>
      <c r="N110" s="459">
        <f t="shared" ca="1" si="384"/>
        <v>0</v>
      </c>
      <c r="O110" s="459">
        <f t="shared" ca="1" si="384"/>
        <v>0</v>
      </c>
      <c r="P110" s="459">
        <f t="shared" ca="1" si="384"/>
        <v>0</v>
      </c>
      <c r="Q110" s="459">
        <f t="shared" ca="1" si="384"/>
        <v>0</v>
      </c>
      <c r="R110" s="459">
        <f t="shared" ca="1" si="384"/>
        <v>0</v>
      </c>
      <c r="S110" s="459">
        <f t="shared" ca="1" si="384"/>
        <v>0</v>
      </c>
      <c r="T110" s="459">
        <f t="shared" ca="1" si="384"/>
        <v>0</v>
      </c>
      <c r="U110" s="459">
        <f t="shared" ca="1" si="384"/>
        <v>0</v>
      </c>
      <c r="V110" s="459">
        <f t="shared" ca="1" si="384"/>
        <v>0</v>
      </c>
      <c r="W110" s="459">
        <f t="shared" ca="1" si="384"/>
        <v>0</v>
      </c>
      <c r="X110" s="459">
        <f t="shared" ca="1" si="384"/>
        <v>0</v>
      </c>
      <c r="Y110" s="459">
        <f t="shared" ca="1" si="384"/>
        <v>0</v>
      </c>
      <c r="Z110" s="459">
        <f t="shared" ca="1" si="384"/>
        <v>0</v>
      </c>
      <c r="AA110" s="459">
        <f t="shared" ca="1" si="384"/>
        <v>0</v>
      </c>
      <c r="AB110" s="459">
        <f t="shared" ca="1" si="384"/>
        <v>0</v>
      </c>
      <c r="AC110" s="459">
        <f t="shared" ca="1" si="384"/>
        <v>0</v>
      </c>
      <c r="AD110" s="459">
        <f t="shared" ca="1" si="384"/>
        <v>0</v>
      </c>
      <c r="AE110" s="459">
        <f t="shared" ca="1" si="384"/>
        <v>0</v>
      </c>
      <c r="AF110" s="459">
        <f t="shared" ca="1" si="384"/>
        <v>0</v>
      </c>
      <c r="AG110" s="459">
        <f t="shared" ca="1" si="384"/>
        <v>0</v>
      </c>
      <c r="AH110" s="459">
        <f t="shared" ca="1" si="384"/>
        <v>0</v>
      </c>
      <c r="AI110" s="459">
        <f t="shared" ca="1" si="384"/>
        <v>0</v>
      </c>
      <c r="AJ110" s="459">
        <f t="shared" ca="1" si="384"/>
        <v>0</v>
      </c>
      <c r="AK110" s="459">
        <f t="shared" ca="1" si="384"/>
        <v>0</v>
      </c>
      <c r="AL110" s="459">
        <f t="shared" ca="1" si="384"/>
        <v>0</v>
      </c>
      <c r="AM110" s="459">
        <f t="shared" ref="AM110:BO110" ca="1" si="385">AM107*AM101*AM11</f>
        <v>0</v>
      </c>
      <c r="AN110" s="459">
        <f t="shared" ca="1" si="385"/>
        <v>0</v>
      </c>
      <c r="AO110" s="459">
        <f t="shared" ca="1" si="385"/>
        <v>0</v>
      </c>
      <c r="AP110" s="459">
        <f t="shared" ca="1" si="385"/>
        <v>0</v>
      </c>
      <c r="AQ110" s="459">
        <f t="shared" ca="1" si="385"/>
        <v>0</v>
      </c>
      <c r="AR110" s="459">
        <f t="shared" ca="1" si="385"/>
        <v>0</v>
      </c>
      <c r="AS110" s="459">
        <f t="shared" ca="1" si="385"/>
        <v>0</v>
      </c>
      <c r="AT110" s="459">
        <f t="shared" ca="1" si="385"/>
        <v>0</v>
      </c>
      <c r="AU110" s="459">
        <f t="shared" ca="1" si="385"/>
        <v>0</v>
      </c>
      <c r="AV110" s="459">
        <f t="shared" ca="1" si="385"/>
        <v>0</v>
      </c>
      <c r="AW110" s="459">
        <f t="shared" ca="1" si="385"/>
        <v>0</v>
      </c>
      <c r="AX110" s="459">
        <f t="shared" ca="1" si="385"/>
        <v>0</v>
      </c>
      <c r="AY110" s="459">
        <f t="shared" ca="1" si="385"/>
        <v>0</v>
      </c>
      <c r="AZ110" s="459">
        <f t="shared" ca="1" si="385"/>
        <v>0</v>
      </c>
      <c r="BA110" s="459">
        <f t="shared" ca="1" si="385"/>
        <v>0</v>
      </c>
      <c r="BB110" s="459">
        <f t="shared" ca="1" si="385"/>
        <v>0</v>
      </c>
      <c r="BC110" s="459">
        <f t="shared" ca="1" si="385"/>
        <v>0</v>
      </c>
      <c r="BD110" s="459">
        <f t="shared" ca="1" si="385"/>
        <v>0</v>
      </c>
      <c r="BE110" s="459">
        <f t="shared" ca="1" si="385"/>
        <v>0</v>
      </c>
      <c r="BF110" s="459">
        <f t="shared" ca="1" si="385"/>
        <v>0</v>
      </c>
      <c r="BG110" s="459">
        <f t="shared" ca="1" si="385"/>
        <v>0</v>
      </c>
      <c r="BH110" s="459">
        <f t="shared" ca="1" si="385"/>
        <v>0</v>
      </c>
      <c r="BI110" s="459">
        <f t="shared" ca="1" si="385"/>
        <v>0</v>
      </c>
      <c r="BJ110" s="459">
        <f t="shared" ca="1" si="385"/>
        <v>0</v>
      </c>
      <c r="BK110" s="459">
        <f t="shared" ca="1" si="385"/>
        <v>0</v>
      </c>
      <c r="BL110" s="459">
        <f t="shared" ca="1" si="385"/>
        <v>0</v>
      </c>
      <c r="BM110" s="459">
        <f t="shared" ca="1" si="385"/>
        <v>0</v>
      </c>
      <c r="BN110" s="459">
        <f t="shared" ca="1" si="385"/>
        <v>0</v>
      </c>
      <c r="BO110" s="459">
        <f t="shared" ca="1" si="385"/>
        <v>0</v>
      </c>
      <c r="BP110" s="459"/>
      <c r="BQ110" s="459"/>
      <c r="BR110" s="459"/>
      <c r="BS110" s="459"/>
      <c r="BT110" s="459"/>
      <c r="BU110" s="459"/>
      <c r="BV110" s="459"/>
      <c r="BW110" s="459"/>
      <c r="BX110" s="459"/>
      <c r="BY110" s="459"/>
      <c r="BZ110" s="459"/>
      <c r="CA110" s="459"/>
      <c r="CB110" s="459"/>
      <c r="CC110" s="459"/>
      <c r="CD110" s="459"/>
      <c r="CE110" s="459"/>
      <c r="CF110" s="459"/>
      <c r="CG110" s="459"/>
      <c r="CH110" s="459"/>
      <c r="CI110" s="459"/>
      <c r="CJ110" s="459"/>
      <c r="CK110" s="459"/>
      <c r="CL110" s="459"/>
      <c r="CM110" s="459"/>
      <c r="CN110" s="459"/>
      <c r="CO110" s="459"/>
      <c r="CP110" s="459"/>
      <c r="CQ110" s="459"/>
      <c r="CR110" s="459"/>
      <c r="CS110" s="459"/>
      <c r="CT110" s="459"/>
      <c r="CU110" s="459"/>
      <c r="CV110" s="459"/>
      <c r="CW110" s="459"/>
      <c r="CX110" s="459"/>
      <c r="CY110" s="459"/>
      <c r="CZ110" s="459"/>
      <c r="DA110" s="459"/>
      <c r="DB110" s="459"/>
      <c r="DC110" s="459"/>
      <c r="DD110" s="459"/>
      <c r="DE110" s="459"/>
      <c r="DF110" s="459"/>
      <c r="DG110" s="459"/>
      <c r="DH110" s="459"/>
      <c r="DI110" s="459"/>
      <c r="DJ110" s="459"/>
      <c r="DK110" s="459"/>
      <c r="DL110" s="459"/>
      <c r="DM110" s="459"/>
      <c r="DN110" s="459"/>
      <c r="DO110" s="459"/>
      <c r="DP110" s="459"/>
      <c r="DQ110" s="459"/>
      <c r="DR110" s="459"/>
      <c r="DS110" s="459"/>
      <c r="DT110" s="459"/>
      <c r="DU110" s="459"/>
      <c r="DV110" s="459"/>
      <c r="DW110" s="459"/>
    </row>
    <row r="111" spans="1:127">
      <c r="A111" s="961" t="s">
        <v>334</v>
      </c>
      <c r="B111" s="843">
        <f>Inputs!$D$422</f>
        <v>0</v>
      </c>
      <c r="C111" s="843"/>
      <c r="D111" s="510">
        <f ca="1">SUM(G111:DW111)</f>
        <v>0</v>
      </c>
      <c r="E111" s="510"/>
      <c r="F111" s="373"/>
      <c r="G111" s="459">
        <f>G110*($B$111/(1-$B$111))</f>
        <v>0</v>
      </c>
      <c r="H111" s="459">
        <f t="shared" ref="H111:BO111" ca="1" si="386">H110*($B$111/(1-$B$111))</f>
        <v>0</v>
      </c>
      <c r="I111" s="459">
        <f t="shared" ca="1" si="386"/>
        <v>0</v>
      </c>
      <c r="J111" s="459">
        <f t="shared" ca="1" si="386"/>
        <v>0</v>
      </c>
      <c r="K111" s="459">
        <f t="shared" ca="1" si="386"/>
        <v>0</v>
      </c>
      <c r="L111" s="459">
        <f t="shared" ca="1" si="386"/>
        <v>0</v>
      </c>
      <c r="M111" s="459">
        <f t="shared" ca="1" si="386"/>
        <v>0</v>
      </c>
      <c r="N111" s="459">
        <f t="shared" ca="1" si="386"/>
        <v>0</v>
      </c>
      <c r="O111" s="459">
        <f t="shared" ca="1" si="386"/>
        <v>0</v>
      </c>
      <c r="P111" s="459">
        <f t="shared" ca="1" si="386"/>
        <v>0</v>
      </c>
      <c r="Q111" s="459">
        <f t="shared" ca="1" si="386"/>
        <v>0</v>
      </c>
      <c r="R111" s="459">
        <f t="shared" ca="1" si="386"/>
        <v>0</v>
      </c>
      <c r="S111" s="459">
        <f t="shared" ca="1" si="386"/>
        <v>0</v>
      </c>
      <c r="T111" s="459">
        <f t="shared" ca="1" si="386"/>
        <v>0</v>
      </c>
      <c r="U111" s="459">
        <f t="shared" ca="1" si="386"/>
        <v>0</v>
      </c>
      <c r="V111" s="459">
        <f t="shared" ca="1" si="386"/>
        <v>0</v>
      </c>
      <c r="W111" s="459">
        <f t="shared" ca="1" si="386"/>
        <v>0</v>
      </c>
      <c r="X111" s="459">
        <f t="shared" ca="1" si="386"/>
        <v>0</v>
      </c>
      <c r="Y111" s="459">
        <f t="shared" ca="1" si="386"/>
        <v>0</v>
      </c>
      <c r="Z111" s="459">
        <f t="shared" ca="1" si="386"/>
        <v>0</v>
      </c>
      <c r="AA111" s="459">
        <f t="shared" ca="1" si="386"/>
        <v>0</v>
      </c>
      <c r="AB111" s="459">
        <f t="shared" ca="1" si="386"/>
        <v>0</v>
      </c>
      <c r="AC111" s="459">
        <f t="shared" ca="1" si="386"/>
        <v>0</v>
      </c>
      <c r="AD111" s="459">
        <f t="shared" ca="1" si="386"/>
        <v>0</v>
      </c>
      <c r="AE111" s="459">
        <f t="shared" ca="1" si="386"/>
        <v>0</v>
      </c>
      <c r="AF111" s="459">
        <f t="shared" ca="1" si="386"/>
        <v>0</v>
      </c>
      <c r="AG111" s="459">
        <f t="shared" ca="1" si="386"/>
        <v>0</v>
      </c>
      <c r="AH111" s="459">
        <f t="shared" ca="1" si="386"/>
        <v>0</v>
      </c>
      <c r="AI111" s="459">
        <f t="shared" ca="1" si="386"/>
        <v>0</v>
      </c>
      <c r="AJ111" s="459">
        <f t="shared" ca="1" si="386"/>
        <v>0</v>
      </c>
      <c r="AK111" s="459">
        <f t="shared" ca="1" si="386"/>
        <v>0</v>
      </c>
      <c r="AL111" s="459">
        <f t="shared" ca="1" si="386"/>
        <v>0</v>
      </c>
      <c r="AM111" s="459">
        <f t="shared" ca="1" si="386"/>
        <v>0</v>
      </c>
      <c r="AN111" s="459">
        <f t="shared" ca="1" si="386"/>
        <v>0</v>
      </c>
      <c r="AO111" s="459">
        <f t="shared" ca="1" si="386"/>
        <v>0</v>
      </c>
      <c r="AP111" s="459">
        <f t="shared" ca="1" si="386"/>
        <v>0</v>
      </c>
      <c r="AQ111" s="459">
        <f t="shared" ca="1" si="386"/>
        <v>0</v>
      </c>
      <c r="AR111" s="459">
        <f t="shared" ca="1" si="386"/>
        <v>0</v>
      </c>
      <c r="AS111" s="459">
        <f t="shared" ca="1" si="386"/>
        <v>0</v>
      </c>
      <c r="AT111" s="459">
        <f t="shared" ca="1" si="386"/>
        <v>0</v>
      </c>
      <c r="AU111" s="459">
        <f t="shared" ca="1" si="386"/>
        <v>0</v>
      </c>
      <c r="AV111" s="459">
        <f t="shared" ca="1" si="386"/>
        <v>0</v>
      </c>
      <c r="AW111" s="459">
        <f t="shared" ca="1" si="386"/>
        <v>0</v>
      </c>
      <c r="AX111" s="459">
        <f t="shared" ca="1" si="386"/>
        <v>0</v>
      </c>
      <c r="AY111" s="459">
        <f t="shared" ca="1" si="386"/>
        <v>0</v>
      </c>
      <c r="AZ111" s="459">
        <f t="shared" ca="1" si="386"/>
        <v>0</v>
      </c>
      <c r="BA111" s="459">
        <f t="shared" ca="1" si="386"/>
        <v>0</v>
      </c>
      <c r="BB111" s="459">
        <f t="shared" ca="1" si="386"/>
        <v>0</v>
      </c>
      <c r="BC111" s="459">
        <f t="shared" ca="1" si="386"/>
        <v>0</v>
      </c>
      <c r="BD111" s="459">
        <f t="shared" ca="1" si="386"/>
        <v>0</v>
      </c>
      <c r="BE111" s="459">
        <f t="shared" ca="1" si="386"/>
        <v>0</v>
      </c>
      <c r="BF111" s="459">
        <f t="shared" ca="1" si="386"/>
        <v>0</v>
      </c>
      <c r="BG111" s="459">
        <f t="shared" ca="1" si="386"/>
        <v>0</v>
      </c>
      <c r="BH111" s="459">
        <f t="shared" ca="1" si="386"/>
        <v>0</v>
      </c>
      <c r="BI111" s="459">
        <f t="shared" ca="1" si="386"/>
        <v>0</v>
      </c>
      <c r="BJ111" s="459">
        <f t="shared" ca="1" si="386"/>
        <v>0</v>
      </c>
      <c r="BK111" s="459">
        <f t="shared" ca="1" si="386"/>
        <v>0</v>
      </c>
      <c r="BL111" s="459">
        <f t="shared" ca="1" si="386"/>
        <v>0</v>
      </c>
      <c r="BM111" s="459">
        <f t="shared" ca="1" si="386"/>
        <v>0</v>
      </c>
      <c r="BN111" s="459">
        <f t="shared" ca="1" si="386"/>
        <v>0</v>
      </c>
      <c r="BO111" s="459">
        <f t="shared" ca="1" si="386"/>
        <v>0</v>
      </c>
      <c r="BP111" s="459"/>
      <c r="BQ111" s="459"/>
      <c r="BR111" s="459"/>
      <c r="BS111" s="459"/>
      <c r="BT111" s="459"/>
      <c r="BU111" s="459"/>
      <c r="BV111" s="459"/>
      <c r="BW111" s="459"/>
      <c r="BX111" s="459"/>
      <c r="BY111" s="459"/>
      <c r="BZ111" s="459"/>
      <c r="CA111" s="459"/>
      <c r="CB111" s="459"/>
      <c r="CC111" s="459"/>
      <c r="CD111" s="459"/>
      <c r="CE111" s="459"/>
      <c r="CF111" s="459"/>
      <c r="CG111" s="459"/>
      <c r="CH111" s="459"/>
      <c r="CI111" s="459"/>
      <c r="CJ111" s="459"/>
      <c r="CK111" s="459"/>
      <c r="CL111" s="459"/>
      <c r="CM111" s="459"/>
      <c r="CN111" s="459"/>
      <c r="CO111" s="459"/>
      <c r="CP111" s="459"/>
      <c r="CQ111" s="459"/>
      <c r="CR111" s="459"/>
      <c r="CS111" s="459"/>
      <c r="CT111" s="459"/>
      <c r="CU111" s="459"/>
      <c r="CV111" s="459"/>
      <c r="CW111" s="459"/>
      <c r="CX111" s="459"/>
      <c r="CY111" s="459"/>
      <c r="CZ111" s="459"/>
      <c r="DA111" s="459"/>
      <c r="DB111" s="459"/>
      <c r="DC111" s="459"/>
      <c r="DD111" s="459"/>
      <c r="DE111" s="459"/>
      <c r="DF111" s="459"/>
      <c r="DG111" s="459"/>
      <c r="DH111" s="459"/>
      <c r="DI111" s="459"/>
      <c r="DJ111" s="459"/>
      <c r="DK111" s="459"/>
      <c r="DL111" s="459"/>
      <c r="DM111" s="459"/>
      <c r="DN111" s="459"/>
      <c r="DO111" s="459"/>
      <c r="DP111" s="459"/>
      <c r="DQ111" s="459"/>
      <c r="DR111" s="459"/>
      <c r="DS111" s="459"/>
      <c r="DT111" s="459"/>
      <c r="DU111" s="459"/>
      <c r="DV111" s="459"/>
      <c r="DW111" s="459"/>
    </row>
    <row r="112" spans="1:127">
      <c r="A112" s="881" t="s">
        <v>1240</v>
      </c>
      <c r="B112" s="704"/>
      <c r="C112" s="704"/>
      <c r="D112" s="510">
        <f ca="1">SUM(G112:DW112)</f>
        <v>0</v>
      </c>
      <c r="E112" s="510"/>
      <c r="F112" s="373"/>
      <c r="G112" s="459">
        <f>SUM(G110:G111)</f>
        <v>0</v>
      </c>
      <c r="H112" s="459">
        <f t="shared" ref="H112" ca="1" si="387">SUM(H110:H111)</f>
        <v>0</v>
      </c>
      <c r="I112" s="459">
        <f t="shared" ref="I112:BO112" ca="1" si="388">SUM(I110:I111)</f>
        <v>0</v>
      </c>
      <c r="J112" s="459">
        <f t="shared" ca="1" si="388"/>
        <v>0</v>
      </c>
      <c r="K112" s="459">
        <f t="shared" ca="1" si="388"/>
        <v>0</v>
      </c>
      <c r="L112" s="459">
        <f t="shared" ca="1" si="388"/>
        <v>0</v>
      </c>
      <c r="M112" s="459">
        <f t="shared" ca="1" si="388"/>
        <v>0</v>
      </c>
      <c r="N112" s="459">
        <f t="shared" ca="1" si="388"/>
        <v>0</v>
      </c>
      <c r="O112" s="459">
        <f t="shared" ca="1" si="388"/>
        <v>0</v>
      </c>
      <c r="P112" s="459">
        <f t="shared" ca="1" si="388"/>
        <v>0</v>
      </c>
      <c r="Q112" s="459">
        <f t="shared" ca="1" si="388"/>
        <v>0</v>
      </c>
      <c r="R112" s="459">
        <f t="shared" ca="1" si="388"/>
        <v>0</v>
      </c>
      <c r="S112" s="459">
        <f t="shared" ca="1" si="388"/>
        <v>0</v>
      </c>
      <c r="T112" s="459">
        <f t="shared" ca="1" si="388"/>
        <v>0</v>
      </c>
      <c r="U112" s="459">
        <f t="shared" ca="1" si="388"/>
        <v>0</v>
      </c>
      <c r="V112" s="459">
        <f t="shared" ca="1" si="388"/>
        <v>0</v>
      </c>
      <c r="W112" s="459">
        <f t="shared" ca="1" si="388"/>
        <v>0</v>
      </c>
      <c r="X112" s="459">
        <f t="shared" ca="1" si="388"/>
        <v>0</v>
      </c>
      <c r="Y112" s="459">
        <f t="shared" ca="1" si="388"/>
        <v>0</v>
      </c>
      <c r="Z112" s="459">
        <f t="shared" ca="1" si="388"/>
        <v>0</v>
      </c>
      <c r="AA112" s="459">
        <f t="shared" ca="1" si="388"/>
        <v>0</v>
      </c>
      <c r="AB112" s="459">
        <f t="shared" ca="1" si="388"/>
        <v>0</v>
      </c>
      <c r="AC112" s="459">
        <f t="shared" ca="1" si="388"/>
        <v>0</v>
      </c>
      <c r="AD112" s="459">
        <f t="shared" ca="1" si="388"/>
        <v>0</v>
      </c>
      <c r="AE112" s="459">
        <f t="shared" ca="1" si="388"/>
        <v>0</v>
      </c>
      <c r="AF112" s="459">
        <f t="shared" ca="1" si="388"/>
        <v>0</v>
      </c>
      <c r="AG112" s="459">
        <f t="shared" ca="1" si="388"/>
        <v>0</v>
      </c>
      <c r="AH112" s="459">
        <f t="shared" ca="1" si="388"/>
        <v>0</v>
      </c>
      <c r="AI112" s="459">
        <f t="shared" ca="1" si="388"/>
        <v>0</v>
      </c>
      <c r="AJ112" s="459">
        <f t="shared" ca="1" si="388"/>
        <v>0</v>
      </c>
      <c r="AK112" s="459">
        <f t="shared" ca="1" si="388"/>
        <v>0</v>
      </c>
      <c r="AL112" s="459">
        <f t="shared" ca="1" si="388"/>
        <v>0</v>
      </c>
      <c r="AM112" s="459">
        <f t="shared" ca="1" si="388"/>
        <v>0</v>
      </c>
      <c r="AN112" s="459">
        <f t="shared" ca="1" si="388"/>
        <v>0</v>
      </c>
      <c r="AO112" s="459">
        <f t="shared" ca="1" si="388"/>
        <v>0</v>
      </c>
      <c r="AP112" s="459">
        <f t="shared" ca="1" si="388"/>
        <v>0</v>
      </c>
      <c r="AQ112" s="459">
        <f t="shared" ca="1" si="388"/>
        <v>0</v>
      </c>
      <c r="AR112" s="459">
        <f t="shared" ca="1" si="388"/>
        <v>0</v>
      </c>
      <c r="AS112" s="459">
        <f t="shared" ca="1" si="388"/>
        <v>0</v>
      </c>
      <c r="AT112" s="459">
        <f t="shared" ca="1" si="388"/>
        <v>0</v>
      </c>
      <c r="AU112" s="459">
        <f t="shared" ca="1" si="388"/>
        <v>0</v>
      </c>
      <c r="AV112" s="459">
        <f t="shared" ca="1" si="388"/>
        <v>0</v>
      </c>
      <c r="AW112" s="459">
        <f t="shared" ca="1" si="388"/>
        <v>0</v>
      </c>
      <c r="AX112" s="459">
        <f t="shared" ca="1" si="388"/>
        <v>0</v>
      </c>
      <c r="AY112" s="459">
        <f t="shared" ca="1" si="388"/>
        <v>0</v>
      </c>
      <c r="AZ112" s="459">
        <f t="shared" ca="1" si="388"/>
        <v>0</v>
      </c>
      <c r="BA112" s="459">
        <f t="shared" ca="1" si="388"/>
        <v>0</v>
      </c>
      <c r="BB112" s="459">
        <f t="shared" ca="1" si="388"/>
        <v>0</v>
      </c>
      <c r="BC112" s="459">
        <f t="shared" ca="1" si="388"/>
        <v>0</v>
      </c>
      <c r="BD112" s="459">
        <f t="shared" ca="1" si="388"/>
        <v>0</v>
      </c>
      <c r="BE112" s="459">
        <f t="shared" ca="1" si="388"/>
        <v>0</v>
      </c>
      <c r="BF112" s="459">
        <f t="shared" ca="1" si="388"/>
        <v>0</v>
      </c>
      <c r="BG112" s="459">
        <f t="shared" ca="1" si="388"/>
        <v>0</v>
      </c>
      <c r="BH112" s="459">
        <f t="shared" ca="1" si="388"/>
        <v>0</v>
      </c>
      <c r="BI112" s="459">
        <f t="shared" ca="1" si="388"/>
        <v>0</v>
      </c>
      <c r="BJ112" s="459">
        <f t="shared" ca="1" si="388"/>
        <v>0</v>
      </c>
      <c r="BK112" s="459">
        <f t="shared" ca="1" si="388"/>
        <v>0</v>
      </c>
      <c r="BL112" s="459">
        <f t="shared" ca="1" si="388"/>
        <v>0</v>
      </c>
      <c r="BM112" s="459">
        <f t="shared" ca="1" si="388"/>
        <v>0</v>
      </c>
      <c r="BN112" s="459">
        <f t="shared" ca="1" si="388"/>
        <v>0</v>
      </c>
      <c r="BO112" s="459">
        <f t="shared" ca="1" si="388"/>
        <v>0</v>
      </c>
      <c r="BP112" s="459"/>
      <c r="BQ112" s="459"/>
      <c r="BR112" s="459"/>
      <c r="BS112" s="459"/>
      <c r="BT112" s="459"/>
      <c r="BU112" s="459"/>
      <c r="BV112" s="459"/>
      <c r="BW112" s="459"/>
      <c r="BX112" s="459"/>
      <c r="BY112" s="459"/>
      <c r="BZ112" s="459"/>
      <c r="CA112" s="459"/>
      <c r="CB112" s="459"/>
      <c r="CC112" s="459"/>
      <c r="CD112" s="459"/>
      <c r="CE112" s="459"/>
      <c r="CF112" s="459"/>
      <c r="CG112" s="459"/>
      <c r="CH112" s="459"/>
      <c r="CI112" s="459"/>
      <c r="CJ112" s="459"/>
      <c r="CK112" s="459"/>
      <c r="CL112" s="459"/>
      <c r="CM112" s="459"/>
      <c r="CN112" s="459"/>
      <c r="CO112" s="459"/>
      <c r="CP112" s="459"/>
      <c r="CQ112" s="459"/>
      <c r="CR112" s="459"/>
      <c r="CS112" s="459"/>
      <c r="CT112" s="459"/>
      <c r="CU112" s="459"/>
      <c r="CV112" s="459"/>
      <c r="CW112" s="459"/>
      <c r="CX112" s="459"/>
      <c r="CY112" s="459"/>
      <c r="CZ112" s="459"/>
      <c r="DA112" s="459"/>
      <c r="DB112" s="459"/>
      <c r="DC112" s="459"/>
      <c r="DD112" s="459"/>
      <c r="DE112" s="459"/>
      <c r="DF112" s="459"/>
      <c r="DG112" s="459"/>
      <c r="DH112" s="459"/>
      <c r="DI112" s="459"/>
      <c r="DJ112" s="459"/>
      <c r="DK112" s="459"/>
      <c r="DL112" s="459"/>
      <c r="DM112" s="459"/>
      <c r="DN112" s="459"/>
      <c r="DO112" s="459"/>
      <c r="DP112" s="459"/>
      <c r="DQ112" s="459"/>
      <c r="DR112" s="459"/>
      <c r="DS112" s="459"/>
      <c r="DT112" s="459"/>
      <c r="DU112" s="459"/>
      <c r="DV112" s="459"/>
      <c r="DW112" s="459"/>
    </row>
    <row r="113" spans="1:148">
      <c r="A113" s="874" t="s">
        <v>1154</v>
      </c>
      <c r="B113" s="704"/>
      <c r="C113" s="704"/>
      <c r="D113" s="396"/>
      <c r="E113" s="396"/>
      <c r="F113" s="611"/>
      <c r="G113" s="459">
        <f ca="1">G107+G108-G109</f>
        <v>0</v>
      </c>
      <c r="H113" s="459">
        <f t="shared" ref="H113" ca="1" si="389">H107+H108-H109</f>
        <v>0</v>
      </c>
      <c r="I113" s="459">
        <f t="shared" ref="I113:BO113" ca="1" si="390">I107+I108-I109</f>
        <v>0</v>
      </c>
      <c r="J113" s="459">
        <f t="shared" ca="1" si="390"/>
        <v>0</v>
      </c>
      <c r="K113" s="459">
        <f t="shared" ca="1" si="390"/>
        <v>0</v>
      </c>
      <c r="L113" s="459">
        <f t="shared" ca="1" si="390"/>
        <v>0</v>
      </c>
      <c r="M113" s="459">
        <f t="shared" ca="1" si="390"/>
        <v>0</v>
      </c>
      <c r="N113" s="459">
        <f t="shared" ca="1" si="390"/>
        <v>0</v>
      </c>
      <c r="O113" s="459">
        <f t="shared" ca="1" si="390"/>
        <v>0</v>
      </c>
      <c r="P113" s="459">
        <f t="shared" ca="1" si="390"/>
        <v>0</v>
      </c>
      <c r="Q113" s="459">
        <f t="shared" ca="1" si="390"/>
        <v>0</v>
      </c>
      <c r="R113" s="459">
        <f t="shared" ca="1" si="390"/>
        <v>0</v>
      </c>
      <c r="S113" s="459">
        <f t="shared" ca="1" si="390"/>
        <v>0</v>
      </c>
      <c r="T113" s="459">
        <f t="shared" ca="1" si="390"/>
        <v>0</v>
      </c>
      <c r="U113" s="459">
        <f t="shared" ca="1" si="390"/>
        <v>0</v>
      </c>
      <c r="V113" s="459">
        <f t="shared" ca="1" si="390"/>
        <v>0</v>
      </c>
      <c r="W113" s="459">
        <f t="shared" ca="1" si="390"/>
        <v>0</v>
      </c>
      <c r="X113" s="459">
        <f t="shared" ca="1" si="390"/>
        <v>0</v>
      </c>
      <c r="Y113" s="459">
        <f t="shared" ca="1" si="390"/>
        <v>0</v>
      </c>
      <c r="Z113" s="459">
        <f t="shared" ca="1" si="390"/>
        <v>0</v>
      </c>
      <c r="AA113" s="459">
        <f t="shared" ca="1" si="390"/>
        <v>0</v>
      </c>
      <c r="AB113" s="459">
        <f t="shared" ca="1" si="390"/>
        <v>0</v>
      </c>
      <c r="AC113" s="459">
        <f t="shared" ca="1" si="390"/>
        <v>0</v>
      </c>
      <c r="AD113" s="459">
        <f t="shared" ca="1" si="390"/>
        <v>0</v>
      </c>
      <c r="AE113" s="459">
        <f t="shared" ca="1" si="390"/>
        <v>0</v>
      </c>
      <c r="AF113" s="459">
        <f t="shared" ca="1" si="390"/>
        <v>0</v>
      </c>
      <c r="AG113" s="459">
        <f t="shared" ca="1" si="390"/>
        <v>0</v>
      </c>
      <c r="AH113" s="459">
        <f t="shared" ca="1" si="390"/>
        <v>0</v>
      </c>
      <c r="AI113" s="459">
        <f t="shared" ca="1" si="390"/>
        <v>0</v>
      </c>
      <c r="AJ113" s="459">
        <f t="shared" ca="1" si="390"/>
        <v>0</v>
      </c>
      <c r="AK113" s="459">
        <f t="shared" ca="1" si="390"/>
        <v>0</v>
      </c>
      <c r="AL113" s="459">
        <f t="shared" ca="1" si="390"/>
        <v>0</v>
      </c>
      <c r="AM113" s="459">
        <f t="shared" ca="1" si="390"/>
        <v>0</v>
      </c>
      <c r="AN113" s="459">
        <f t="shared" ca="1" si="390"/>
        <v>0</v>
      </c>
      <c r="AO113" s="459">
        <f t="shared" ca="1" si="390"/>
        <v>0</v>
      </c>
      <c r="AP113" s="459">
        <f t="shared" ca="1" si="390"/>
        <v>0</v>
      </c>
      <c r="AQ113" s="459">
        <f t="shared" ca="1" si="390"/>
        <v>0</v>
      </c>
      <c r="AR113" s="459">
        <f t="shared" ca="1" si="390"/>
        <v>0</v>
      </c>
      <c r="AS113" s="459">
        <f t="shared" ca="1" si="390"/>
        <v>0</v>
      </c>
      <c r="AT113" s="459">
        <f t="shared" ca="1" si="390"/>
        <v>0</v>
      </c>
      <c r="AU113" s="459">
        <f t="shared" ca="1" si="390"/>
        <v>0</v>
      </c>
      <c r="AV113" s="459">
        <f t="shared" ca="1" si="390"/>
        <v>0</v>
      </c>
      <c r="AW113" s="459">
        <f t="shared" ca="1" si="390"/>
        <v>0</v>
      </c>
      <c r="AX113" s="459">
        <f t="shared" ca="1" si="390"/>
        <v>0</v>
      </c>
      <c r="AY113" s="459">
        <f t="shared" ca="1" si="390"/>
        <v>0</v>
      </c>
      <c r="AZ113" s="459">
        <f t="shared" ca="1" si="390"/>
        <v>0</v>
      </c>
      <c r="BA113" s="459">
        <f t="shared" ca="1" si="390"/>
        <v>0</v>
      </c>
      <c r="BB113" s="459">
        <f t="shared" ca="1" si="390"/>
        <v>0</v>
      </c>
      <c r="BC113" s="459">
        <f t="shared" ca="1" si="390"/>
        <v>0</v>
      </c>
      <c r="BD113" s="459">
        <f t="shared" ca="1" si="390"/>
        <v>0</v>
      </c>
      <c r="BE113" s="459">
        <f t="shared" ca="1" si="390"/>
        <v>0</v>
      </c>
      <c r="BF113" s="459">
        <f t="shared" ca="1" si="390"/>
        <v>0</v>
      </c>
      <c r="BG113" s="459">
        <f t="shared" ca="1" si="390"/>
        <v>0</v>
      </c>
      <c r="BH113" s="459">
        <f t="shared" ca="1" si="390"/>
        <v>0</v>
      </c>
      <c r="BI113" s="459">
        <f t="shared" ca="1" si="390"/>
        <v>0</v>
      </c>
      <c r="BJ113" s="459">
        <f t="shared" ca="1" si="390"/>
        <v>0</v>
      </c>
      <c r="BK113" s="459">
        <f t="shared" ca="1" si="390"/>
        <v>0</v>
      </c>
      <c r="BL113" s="459">
        <f t="shared" ca="1" si="390"/>
        <v>0</v>
      </c>
      <c r="BM113" s="459">
        <f t="shared" ca="1" si="390"/>
        <v>0</v>
      </c>
      <c r="BN113" s="459">
        <f t="shared" ca="1" si="390"/>
        <v>0</v>
      </c>
      <c r="BO113" s="459">
        <f t="shared" ca="1" si="390"/>
        <v>0</v>
      </c>
      <c r="BP113" s="459"/>
      <c r="BQ113" s="459"/>
      <c r="BR113" s="459"/>
      <c r="BS113" s="459"/>
      <c r="BT113" s="459"/>
      <c r="BU113" s="459"/>
      <c r="BV113" s="459"/>
      <c r="BW113" s="459"/>
      <c r="BX113" s="459"/>
      <c r="BY113" s="459"/>
      <c r="BZ113" s="459"/>
      <c r="CA113" s="459"/>
      <c r="CB113" s="459"/>
      <c r="CC113" s="459"/>
      <c r="CD113" s="459"/>
      <c r="CE113" s="459"/>
      <c r="CF113" s="459"/>
      <c r="CG113" s="459"/>
      <c r="CH113" s="459"/>
      <c r="CI113" s="459"/>
      <c r="CJ113" s="459"/>
      <c r="CK113" s="459"/>
      <c r="CL113" s="459"/>
      <c r="CM113" s="459"/>
      <c r="CN113" s="459"/>
      <c r="CO113" s="459"/>
      <c r="CP113" s="459"/>
      <c r="CQ113" s="459"/>
      <c r="CR113" s="459"/>
      <c r="CS113" s="459"/>
      <c r="CT113" s="459"/>
      <c r="CU113" s="459"/>
      <c r="CV113" s="459"/>
      <c r="CW113" s="459"/>
      <c r="CX113" s="459"/>
      <c r="CY113" s="459"/>
      <c r="CZ113" s="459"/>
      <c r="DA113" s="459"/>
      <c r="DB113" s="459"/>
      <c r="DC113" s="459"/>
      <c r="DD113" s="459"/>
      <c r="DE113" s="459"/>
      <c r="DF113" s="459"/>
      <c r="DG113" s="459"/>
      <c r="DH113" s="459"/>
      <c r="DI113" s="459"/>
      <c r="DJ113" s="459"/>
      <c r="DK113" s="459"/>
      <c r="DL113" s="459"/>
      <c r="DM113" s="459"/>
      <c r="DN113" s="459"/>
      <c r="DO113" s="459"/>
      <c r="DP113" s="459"/>
      <c r="DQ113" s="459"/>
      <c r="DR113" s="459"/>
      <c r="DS113" s="459"/>
      <c r="DT113" s="459"/>
      <c r="DU113" s="459"/>
      <c r="DV113" s="459"/>
      <c r="DW113" s="459"/>
    </row>
    <row r="114" spans="1:148">
      <c r="A114" s="612" t="s">
        <v>219</v>
      </c>
      <c r="B114" s="708"/>
      <c r="C114" s="708"/>
      <c r="D114" s="568"/>
      <c r="E114" s="637"/>
      <c r="F114" s="637"/>
      <c r="G114" s="925">
        <f>SUM(G109:G111)</f>
        <v>0</v>
      </c>
      <c r="H114" s="925">
        <f t="shared" ref="H114:BO114" ca="1" si="391">SUM(H109:H111)</f>
        <v>0</v>
      </c>
      <c r="I114" s="925">
        <f t="shared" ca="1" si="391"/>
        <v>0</v>
      </c>
      <c r="J114" s="925">
        <f t="shared" ca="1" si="391"/>
        <v>0</v>
      </c>
      <c r="K114" s="925">
        <f t="shared" ca="1" si="391"/>
        <v>0</v>
      </c>
      <c r="L114" s="925">
        <f t="shared" ca="1" si="391"/>
        <v>0</v>
      </c>
      <c r="M114" s="925">
        <f t="shared" ca="1" si="391"/>
        <v>0</v>
      </c>
      <c r="N114" s="925">
        <f t="shared" ca="1" si="391"/>
        <v>0</v>
      </c>
      <c r="O114" s="925">
        <f t="shared" ca="1" si="391"/>
        <v>0</v>
      </c>
      <c r="P114" s="925">
        <f t="shared" ca="1" si="391"/>
        <v>0</v>
      </c>
      <c r="Q114" s="925">
        <f t="shared" ca="1" si="391"/>
        <v>0</v>
      </c>
      <c r="R114" s="925">
        <f t="shared" ca="1" si="391"/>
        <v>0</v>
      </c>
      <c r="S114" s="925">
        <f t="shared" ca="1" si="391"/>
        <v>0</v>
      </c>
      <c r="T114" s="925">
        <f t="shared" ca="1" si="391"/>
        <v>0</v>
      </c>
      <c r="U114" s="925">
        <f t="shared" ca="1" si="391"/>
        <v>0</v>
      </c>
      <c r="V114" s="925">
        <f t="shared" ca="1" si="391"/>
        <v>0</v>
      </c>
      <c r="W114" s="925">
        <f t="shared" ca="1" si="391"/>
        <v>0</v>
      </c>
      <c r="X114" s="925">
        <f t="shared" ca="1" si="391"/>
        <v>0</v>
      </c>
      <c r="Y114" s="925">
        <f t="shared" ca="1" si="391"/>
        <v>0</v>
      </c>
      <c r="Z114" s="925">
        <f t="shared" ca="1" si="391"/>
        <v>0</v>
      </c>
      <c r="AA114" s="925">
        <f t="shared" ca="1" si="391"/>
        <v>0</v>
      </c>
      <c r="AB114" s="925">
        <f t="shared" ca="1" si="391"/>
        <v>0</v>
      </c>
      <c r="AC114" s="925">
        <f t="shared" ca="1" si="391"/>
        <v>0</v>
      </c>
      <c r="AD114" s="925">
        <f t="shared" ca="1" si="391"/>
        <v>0</v>
      </c>
      <c r="AE114" s="925">
        <f t="shared" ca="1" si="391"/>
        <v>0</v>
      </c>
      <c r="AF114" s="925">
        <f t="shared" ca="1" si="391"/>
        <v>0</v>
      </c>
      <c r="AG114" s="925">
        <f t="shared" ca="1" si="391"/>
        <v>0</v>
      </c>
      <c r="AH114" s="925">
        <f t="shared" ca="1" si="391"/>
        <v>0</v>
      </c>
      <c r="AI114" s="925">
        <f t="shared" ca="1" si="391"/>
        <v>0</v>
      </c>
      <c r="AJ114" s="925">
        <f t="shared" ca="1" si="391"/>
        <v>0</v>
      </c>
      <c r="AK114" s="925">
        <f t="shared" ca="1" si="391"/>
        <v>0</v>
      </c>
      <c r="AL114" s="925">
        <f t="shared" ca="1" si="391"/>
        <v>0</v>
      </c>
      <c r="AM114" s="925">
        <f t="shared" ca="1" si="391"/>
        <v>0</v>
      </c>
      <c r="AN114" s="925">
        <f t="shared" ca="1" si="391"/>
        <v>0</v>
      </c>
      <c r="AO114" s="925">
        <f t="shared" ca="1" si="391"/>
        <v>0</v>
      </c>
      <c r="AP114" s="925">
        <f t="shared" ca="1" si="391"/>
        <v>0</v>
      </c>
      <c r="AQ114" s="925">
        <f t="shared" ca="1" si="391"/>
        <v>0</v>
      </c>
      <c r="AR114" s="925">
        <f t="shared" ca="1" si="391"/>
        <v>0</v>
      </c>
      <c r="AS114" s="925">
        <f t="shared" ca="1" si="391"/>
        <v>0</v>
      </c>
      <c r="AT114" s="925">
        <f t="shared" ca="1" si="391"/>
        <v>0</v>
      </c>
      <c r="AU114" s="925">
        <f t="shared" ca="1" si="391"/>
        <v>0</v>
      </c>
      <c r="AV114" s="925">
        <f t="shared" ca="1" si="391"/>
        <v>0</v>
      </c>
      <c r="AW114" s="925">
        <f t="shared" ca="1" si="391"/>
        <v>0</v>
      </c>
      <c r="AX114" s="925">
        <f t="shared" ca="1" si="391"/>
        <v>0</v>
      </c>
      <c r="AY114" s="925">
        <f t="shared" ca="1" si="391"/>
        <v>0</v>
      </c>
      <c r="AZ114" s="925">
        <f t="shared" ca="1" si="391"/>
        <v>0</v>
      </c>
      <c r="BA114" s="925">
        <f t="shared" ca="1" si="391"/>
        <v>0</v>
      </c>
      <c r="BB114" s="925">
        <f t="shared" ca="1" si="391"/>
        <v>0</v>
      </c>
      <c r="BC114" s="925">
        <f t="shared" ca="1" si="391"/>
        <v>0</v>
      </c>
      <c r="BD114" s="925">
        <f t="shared" ca="1" si="391"/>
        <v>0</v>
      </c>
      <c r="BE114" s="925">
        <f t="shared" ca="1" si="391"/>
        <v>0</v>
      </c>
      <c r="BF114" s="925">
        <f t="shared" ca="1" si="391"/>
        <v>0</v>
      </c>
      <c r="BG114" s="925">
        <f t="shared" ca="1" si="391"/>
        <v>0</v>
      </c>
      <c r="BH114" s="925">
        <f t="shared" ca="1" si="391"/>
        <v>0</v>
      </c>
      <c r="BI114" s="925">
        <f t="shared" ca="1" si="391"/>
        <v>0</v>
      </c>
      <c r="BJ114" s="925">
        <f t="shared" ca="1" si="391"/>
        <v>0</v>
      </c>
      <c r="BK114" s="925">
        <f t="shared" ca="1" si="391"/>
        <v>0</v>
      </c>
      <c r="BL114" s="925">
        <f t="shared" ca="1" si="391"/>
        <v>0</v>
      </c>
      <c r="BM114" s="925">
        <f t="shared" ca="1" si="391"/>
        <v>0</v>
      </c>
      <c r="BN114" s="925">
        <f t="shared" ca="1" si="391"/>
        <v>0</v>
      </c>
      <c r="BO114" s="925">
        <f t="shared" ca="1" si="391"/>
        <v>0</v>
      </c>
      <c r="BP114" s="925"/>
      <c r="BQ114" s="925"/>
      <c r="BR114" s="925"/>
      <c r="BS114" s="925"/>
      <c r="BT114" s="925"/>
      <c r="BU114" s="925"/>
      <c r="BV114" s="925"/>
      <c r="BW114" s="925"/>
      <c r="BX114" s="925"/>
      <c r="BY114" s="925"/>
      <c r="BZ114" s="925"/>
      <c r="CA114" s="925"/>
      <c r="CB114" s="925"/>
      <c r="CC114" s="925"/>
      <c r="CD114" s="925"/>
      <c r="CE114" s="925"/>
      <c r="CF114" s="925"/>
      <c r="CG114" s="925"/>
      <c r="CH114" s="925"/>
      <c r="CI114" s="925"/>
      <c r="CJ114" s="925"/>
      <c r="CK114" s="925"/>
      <c r="CL114" s="925"/>
      <c r="CM114" s="925"/>
      <c r="CN114" s="925"/>
      <c r="CO114" s="925"/>
      <c r="CP114" s="925"/>
      <c r="CQ114" s="925"/>
      <c r="CR114" s="925"/>
      <c r="CS114" s="925"/>
      <c r="CT114" s="925"/>
      <c r="CU114" s="925"/>
      <c r="CV114" s="925"/>
      <c r="CW114" s="925"/>
      <c r="CX114" s="925"/>
      <c r="CY114" s="925"/>
      <c r="CZ114" s="925"/>
      <c r="DA114" s="925"/>
      <c r="DB114" s="925"/>
      <c r="DC114" s="925"/>
      <c r="DD114" s="925"/>
      <c r="DE114" s="925"/>
      <c r="DF114" s="925"/>
      <c r="DG114" s="925"/>
      <c r="DH114" s="925"/>
      <c r="DI114" s="925"/>
      <c r="DJ114" s="925"/>
      <c r="DK114" s="925"/>
      <c r="DL114" s="925"/>
      <c r="DM114" s="925"/>
      <c r="DN114" s="925"/>
      <c r="DO114" s="925"/>
      <c r="DP114" s="925"/>
      <c r="DQ114" s="925"/>
      <c r="DR114" s="925"/>
      <c r="DS114" s="925"/>
      <c r="DT114" s="925"/>
      <c r="DU114" s="925"/>
      <c r="DV114" s="925"/>
      <c r="DW114" s="925"/>
    </row>
    <row r="115" spans="1:148">
      <c r="A115" s="634" t="s">
        <v>1245</v>
      </c>
      <c r="B115" s="704"/>
      <c r="C115" s="704"/>
      <c r="E115" s="894">
        <f ca="1">ABS(SUMIF(G109:DW109,"&lt;"&amp;-1*precision/10*Inputs!$D$255))</f>
        <v>0</v>
      </c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  <c r="AC115" s="339"/>
      <c r="AD115" s="339"/>
      <c r="AE115" s="339"/>
      <c r="AF115" s="339"/>
      <c r="AG115" s="339"/>
      <c r="AH115" s="339"/>
      <c r="AI115" s="339"/>
      <c r="AJ115" s="339"/>
      <c r="AK115" s="339"/>
      <c r="AL115" s="339"/>
      <c r="AM115" s="339"/>
      <c r="AN115" s="339"/>
      <c r="AO115" s="339"/>
      <c r="AP115" s="339"/>
      <c r="AQ115" s="339"/>
      <c r="AR115" s="339"/>
      <c r="AS115" s="339"/>
      <c r="AT115" s="339"/>
      <c r="AU115" s="339"/>
      <c r="AV115" s="339"/>
      <c r="AW115" s="339"/>
      <c r="AX115" s="339"/>
      <c r="AY115" s="339"/>
      <c r="AZ115" s="339"/>
      <c r="BA115" s="339"/>
      <c r="BB115" s="339"/>
      <c r="BC115" s="339"/>
      <c r="BD115" s="339"/>
      <c r="BE115" s="339"/>
      <c r="BF115" s="339"/>
      <c r="BG115" s="339"/>
      <c r="BH115" s="339"/>
      <c r="BI115" s="339"/>
      <c r="BJ115" s="339"/>
      <c r="BK115" s="339"/>
      <c r="BL115" s="339"/>
      <c r="BM115" s="339"/>
      <c r="BN115" s="339"/>
      <c r="BO115" s="339"/>
      <c r="BP115" s="339"/>
      <c r="BQ115" s="339"/>
      <c r="BR115" s="339"/>
      <c r="BS115" s="339"/>
      <c r="BT115" s="339"/>
      <c r="BU115" s="339"/>
      <c r="BV115" s="339"/>
      <c r="BW115" s="339"/>
      <c r="BX115" s="339"/>
      <c r="BY115" s="339"/>
      <c r="BZ115" s="339"/>
      <c r="CA115" s="339"/>
      <c r="CB115" s="339"/>
      <c r="CC115" s="339"/>
      <c r="CD115" s="339"/>
      <c r="CE115" s="339"/>
      <c r="CF115" s="339"/>
      <c r="CG115" s="339"/>
      <c r="CH115" s="339"/>
      <c r="CI115" s="339"/>
      <c r="CJ115" s="339"/>
      <c r="CK115" s="339"/>
      <c r="CL115" s="339"/>
      <c r="CM115" s="339"/>
      <c r="CN115" s="339"/>
      <c r="CO115" s="339"/>
      <c r="CP115" s="339"/>
      <c r="CQ115" s="339"/>
      <c r="CR115" s="339"/>
      <c r="CS115" s="339"/>
      <c r="CT115" s="339"/>
      <c r="CU115" s="339"/>
      <c r="CV115" s="339"/>
      <c r="CW115" s="339"/>
      <c r="CX115" s="339"/>
      <c r="CY115" s="339"/>
      <c r="CZ115" s="339"/>
      <c r="DA115" s="339"/>
      <c r="DB115" s="339"/>
      <c r="DC115" s="339"/>
      <c r="DD115" s="339"/>
      <c r="DE115" s="339"/>
      <c r="DF115" s="339"/>
      <c r="DG115" s="339"/>
      <c r="DH115" s="339"/>
      <c r="DI115" s="339"/>
      <c r="DJ115" s="339"/>
      <c r="DK115" s="339"/>
      <c r="DL115" s="339"/>
      <c r="DM115" s="339"/>
      <c r="DN115" s="339"/>
      <c r="DO115" s="339"/>
      <c r="DP115" s="339"/>
      <c r="DQ115" s="339"/>
      <c r="DR115" s="339"/>
      <c r="DS115" s="339"/>
      <c r="DT115" s="339"/>
      <c r="DU115" s="339"/>
      <c r="DV115" s="339"/>
      <c r="DW115" s="339"/>
    </row>
    <row r="116" spans="1:148">
      <c r="A116" s="637"/>
      <c r="B116" s="708"/>
      <c r="C116" s="708"/>
      <c r="D116" s="568"/>
      <c r="E116" s="637"/>
      <c r="F116" s="637"/>
      <c r="G116" s="926"/>
      <c r="H116" s="926"/>
      <c r="I116" s="926"/>
      <c r="J116" s="926"/>
      <c r="K116" s="926"/>
      <c r="L116" s="926"/>
      <c r="M116" s="926"/>
      <c r="N116" s="926"/>
      <c r="O116" s="926"/>
      <c r="P116" s="926"/>
      <c r="Q116" s="926"/>
      <c r="R116" s="926"/>
      <c r="S116" s="926"/>
      <c r="T116" s="926"/>
      <c r="U116" s="926"/>
      <c r="V116" s="926"/>
      <c r="W116" s="926"/>
      <c r="X116" s="926"/>
      <c r="Y116" s="926"/>
      <c r="Z116" s="926"/>
      <c r="AA116" s="926"/>
      <c r="AB116" s="926"/>
      <c r="AC116" s="926"/>
      <c r="AD116" s="926"/>
      <c r="AE116" s="926"/>
      <c r="AF116" s="926"/>
      <c r="AG116" s="926"/>
      <c r="AH116" s="926"/>
      <c r="AI116" s="926"/>
      <c r="AJ116" s="926"/>
      <c r="AK116" s="926"/>
      <c r="AL116" s="926"/>
      <c r="AM116" s="926"/>
      <c r="AN116" s="926"/>
      <c r="AO116" s="926"/>
      <c r="AP116" s="926"/>
      <c r="AQ116" s="926"/>
      <c r="AR116" s="926"/>
      <c r="AS116" s="926"/>
      <c r="AT116" s="926"/>
      <c r="AU116" s="926"/>
      <c r="AV116" s="926"/>
      <c r="AW116" s="926"/>
      <c r="AX116" s="926"/>
      <c r="AY116" s="926"/>
      <c r="AZ116" s="926"/>
      <c r="BA116" s="926"/>
      <c r="BB116" s="926"/>
      <c r="BC116" s="926"/>
      <c r="BD116" s="926"/>
      <c r="BE116" s="926"/>
      <c r="BF116" s="926"/>
      <c r="BG116" s="926"/>
      <c r="BH116" s="926"/>
      <c r="BI116" s="926"/>
      <c r="BJ116" s="926"/>
      <c r="BK116" s="926"/>
      <c r="BL116" s="926"/>
      <c r="BM116" s="926"/>
      <c r="BN116" s="926"/>
      <c r="BO116" s="926"/>
      <c r="BP116" s="926"/>
      <c r="BQ116" s="926"/>
      <c r="BR116" s="926"/>
      <c r="BS116" s="926"/>
      <c r="BT116" s="926"/>
      <c r="BU116" s="926"/>
      <c r="BV116" s="926"/>
      <c r="BW116" s="926"/>
      <c r="BX116" s="926"/>
      <c r="BY116" s="926"/>
      <c r="BZ116" s="926"/>
      <c r="CA116" s="926"/>
      <c r="CB116" s="926"/>
      <c r="CC116" s="926"/>
      <c r="CD116" s="926"/>
      <c r="CE116" s="926"/>
      <c r="CF116" s="926"/>
      <c r="CG116" s="926"/>
      <c r="CH116" s="926"/>
      <c r="CI116" s="926"/>
      <c r="CJ116" s="926"/>
      <c r="CK116" s="926"/>
      <c r="CL116" s="926"/>
      <c r="CM116" s="926"/>
      <c r="CN116" s="926"/>
      <c r="CO116" s="926"/>
      <c r="CP116" s="926"/>
      <c r="CQ116" s="926"/>
      <c r="CR116" s="926"/>
      <c r="CS116" s="926"/>
      <c r="CT116" s="926"/>
      <c r="CU116" s="926"/>
      <c r="CV116" s="926"/>
      <c r="CW116" s="926"/>
      <c r="CX116" s="926"/>
      <c r="CY116" s="926"/>
      <c r="CZ116" s="926"/>
      <c r="DA116" s="926"/>
      <c r="DB116" s="926"/>
      <c r="DC116" s="926"/>
      <c r="DD116" s="926"/>
      <c r="DE116" s="926"/>
      <c r="DF116" s="926"/>
      <c r="DG116" s="926"/>
      <c r="DH116" s="926"/>
      <c r="DI116" s="926"/>
      <c r="DJ116" s="926"/>
      <c r="DK116" s="926"/>
      <c r="DL116" s="926"/>
      <c r="DM116" s="926"/>
      <c r="DN116" s="926"/>
      <c r="DO116" s="926"/>
      <c r="DP116" s="926"/>
      <c r="DQ116" s="926"/>
      <c r="DR116" s="926"/>
      <c r="DS116" s="926"/>
      <c r="DT116" s="926"/>
      <c r="DU116" s="926"/>
      <c r="DV116" s="926"/>
      <c r="DW116" s="926"/>
    </row>
    <row r="117" spans="1:148">
      <c r="A117" s="861" t="str">
        <f>Inputs!$A$322</f>
        <v>Shareholder Loan</v>
      </c>
      <c r="B117" s="987"/>
      <c r="C117" s="987"/>
      <c r="D117" s="963"/>
      <c r="E117" s="864"/>
      <c r="F117" s="863"/>
      <c r="G117" s="518"/>
      <c r="H117" s="518"/>
      <c r="I117" s="518"/>
      <c r="J117" s="518"/>
      <c r="K117" s="518"/>
      <c r="L117" s="518"/>
      <c r="M117" s="518"/>
      <c r="N117" s="518"/>
      <c r="O117" s="518"/>
      <c r="P117" s="518"/>
      <c r="Q117" s="518"/>
      <c r="R117" s="518"/>
      <c r="S117" s="518"/>
      <c r="T117" s="518"/>
      <c r="U117" s="518"/>
      <c r="V117" s="518"/>
      <c r="W117" s="518"/>
      <c r="X117" s="518"/>
      <c r="Y117" s="518"/>
      <c r="Z117" s="518"/>
      <c r="AA117" s="518"/>
      <c r="AB117" s="518"/>
      <c r="AC117" s="518"/>
      <c r="AD117" s="518"/>
      <c r="AE117" s="518"/>
      <c r="AF117" s="518"/>
      <c r="AG117" s="518"/>
      <c r="AH117" s="518"/>
      <c r="AI117" s="518"/>
      <c r="AJ117" s="518"/>
      <c r="AK117" s="518"/>
      <c r="AL117" s="518"/>
      <c r="AM117" s="518"/>
      <c r="AN117" s="518"/>
      <c r="AO117" s="518"/>
      <c r="AP117" s="518"/>
      <c r="AQ117" s="518"/>
      <c r="AR117" s="518"/>
      <c r="AS117" s="518"/>
      <c r="AT117" s="518"/>
      <c r="AU117" s="518"/>
      <c r="AV117" s="518"/>
      <c r="AW117" s="518"/>
      <c r="AX117" s="518"/>
      <c r="AY117" s="518"/>
      <c r="AZ117" s="518"/>
      <c r="BA117" s="518"/>
      <c r="BB117" s="518"/>
      <c r="BC117" s="518"/>
      <c r="BD117" s="518"/>
      <c r="BE117" s="518"/>
      <c r="BF117" s="518"/>
      <c r="BG117" s="518"/>
      <c r="BH117" s="518"/>
      <c r="BI117" s="518"/>
      <c r="BJ117" s="518"/>
      <c r="BK117" s="518"/>
      <c r="BL117" s="518"/>
      <c r="BM117" s="518"/>
      <c r="BN117" s="518"/>
      <c r="BO117" s="518"/>
      <c r="BP117" s="518"/>
      <c r="BQ117" s="518"/>
      <c r="BR117" s="518"/>
      <c r="BS117" s="518"/>
      <c r="BT117" s="518"/>
      <c r="BU117" s="518"/>
      <c r="BV117" s="518"/>
      <c r="BW117" s="518"/>
      <c r="BX117" s="518"/>
      <c r="BY117" s="518"/>
      <c r="BZ117" s="518"/>
      <c r="CA117" s="518"/>
      <c r="CB117" s="518"/>
      <c r="CC117" s="518"/>
      <c r="CD117" s="518"/>
      <c r="CE117" s="518"/>
      <c r="CF117" s="518"/>
      <c r="CG117" s="518"/>
      <c r="CH117" s="518"/>
      <c r="CI117" s="518"/>
      <c r="CJ117" s="518"/>
      <c r="CK117" s="518"/>
      <c r="CL117" s="518"/>
      <c r="CM117" s="518"/>
      <c r="CN117" s="518"/>
      <c r="CO117" s="518"/>
      <c r="CP117" s="518"/>
      <c r="CQ117" s="518"/>
      <c r="CR117" s="518"/>
      <c r="CS117" s="518"/>
      <c r="CT117" s="518"/>
      <c r="CU117" s="518"/>
      <c r="CV117" s="518"/>
      <c r="CW117" s="518"/>
      <c r="CX117" s="518"/>
      <c r="CY117" s="518"/>
      <c r="CZ117" s="518"/>
      <c r="DA117" s="518"/>
      <c r="DB117" s="518"/>
      <c r="DC117" s="518"/>
      <c r="DD117" s="518"/>
      <c r="DE117" s="518"/>
      <c r="DF117" s="518"/>
      <c r="DG117" s="518"/>
      <c r="DH117" s="518"/>
      <c r="DI117" s="518"/>
      <c r="DJ117" s="518"/>
      <c r="DK117" s="518"/>
      <c r="DL117" s="518"/>
      <c r="DM117" s="518"/>
      <c r="DN117" s="518"/>
      <c r="DO117" s="518"/>
      <c r="DP117" s="518"/>
      <c r="DQ117" s="518"/>
      <c r="DR117" s="518"/>
      <c r="DS117" s="518"/>
      <c r="DT117" s="518"/>
      <c r="DU117" s="518"/>
      <c r="DV117" s="518"/>
      <c r="DW117" s="518"/>
    </row>
    <row r="118" spans="1:148">
      <c r="A118" s="621" t="str">
        <f>CF!$A$112&amp;" WTH"</f>
        <v>Free Cash Flow for Shareholder Loan WTH</v>
      </c>
      <c r="B118" s="706"/>
      <c r="C118" s="706"/>
      <c r="D118" s="964"/>
      <c r="E118" s="620"/>
      <c r="F118" s="620"/>
      <c r="G118" s="945">
        <f ca="1">CF!G112</f>
        <v>0</v>
      </c>
      <c r="H118" s="945">
        <f ca="1">CF!H112</f>
        <v>335.87001192815342</v>
      </c>
      <c r="I118" s="945">
        <f ca="1">CF!I112</f>
        <v>330.39387042932458</v>
      </c>
      <c r="J118" s="945">
        <f ca="1">CF!J112</f>
        <v>336.07875278384927</v>
      </c>
      <c r="K118" s="945">
        <f ca="1">CF!K112</f>
        <v>340.5415560447218</v>
      </c>
      <c r="L118" s="945">
        <f ca="1">CF!L112</f>
        <v>344.05441161728459</v>
      </c>
      <c r="M118" s="945">
        <f ca="1">CF!M112</f>
        <v>345.51102678698453</v>
      </c>
      <c r="N118" s="945">
        <f ca="1">CF!N112</f>
        <v>349.23262841929591</v>
      </c>
      <c r="O118" s="945">
        <f ca="1">CF!O112</f>
        <v>347.80912291148707</v>
      </c>
      <c r="P118" s="945">
        <f ca="1">CF!P112</f>
        <v>354.48829899669317</v>
      </c>
      <c r="Q118" s="945">
        <f ca="1">CF!Q112</f>
        <v>350.09626175264157</v>
      </c>
      <c r="R118" s="945">
        <f ca="1">CF!R112</f>
        <v>358.83941444214724</v>
      </c>
      <c r="S118" s="945">
        <f ca="1">CF!S112</f>
        <v>353.38594088006357</v>
      </c>
      <c r="T118" s="945">
        <f ca="1">CF!T112</f>
        <v>365.23646797405399</v>
      </c>
      <c r="U118" s="945">
        <f ca="1">CF!U112</f>
        <v>354.44024353998338</v>
      </c>
      <c r="V118" s="945">
        <f ca="1">CF!V112</f>
        <v>370.73123830074883</v>
      </c>
      <c r="W118" s="945">
        <f ca="1">CF!W112</f>
        <v>356.43397409897443</v>
      </c>
      <c r="X118" s="945">
        <f ca="1">CF!X112</f>
        <v>376.30800665500556</v>
      </c>
      <c r="Y118" s="945">
        <f ca="1">CF!Y112</f>
        <v>358.28810723061906</v>
      </c>
      <c r="Z118" s="945">
        <f ca="1">CF!Z112</f>
        <v>380.92432030492228</v>
      </c>
      <c r="AA118" s="945">
        <f ca="1">CF!AA112</f>
        <v>361.09801681461613</v>
      </c>
      <c r="AB118" s="945">
        <f ca="1">CF!AB112</f>
        <v>362.21186155878786</v>
      </c>
      <c r="AC118" s="945">
        <f ca="1">CF!AC112</f>
        <v>341.58145701415651</v>
      </c>
      <c r="AD118" s="945">
        <f ca="1">CF!AD112</f>
        <v>368.04174225437328</v>
      </c>
      <c r="AE118" s="945">
        <f ca="1">CF!AE112</f>
        <v>343.19847993447775</v>
      </c>
      <c r="AF118" s="945">
        <f ca="1">CF!AF112</f>
        <v>1303.7935979215406</v>
      </c>
      <c r="AG118" s="945">
        <f ca="1">CF!AG112</f>
        <v>1136.394477560847</v>
      </c>
      <c r="AH118" s="945">
        <f ca="1">CF!AH112</f>
        <v>1325.9887014375968</v>
      </c>
      <c r="AI118" s="945">
        <f ca="1">CF!AI112</f>
        <v>1160.4040485564847</v>
      </c>
      <c r="AJ118" s="945">
        <f ca="1">CF!AJ112</f>
        <v>2994.5482101550338</v>
      </c>
      <c r="AK118" s="945">
        <f ca="1">CF!AK112</f>
        <v>2545.4162284351887</v>
      </c>
      <c r="AL118" s="945">
        <f ca="1">CF!AL112</f>
        <v>2866.7009595780269</v>
      </c>
      <c r="AM118" s="945">
        <f ca="1">CF!AM112</f>
        <v>2608.3700359429458</v>
      </c>
      <c r="AN118" s="945">
        <f ca="1">CF!AN112</f>
        <v>2922.8141129823598</v>
      </c>
      <c r="AO118" s="945">
        <f ca="1">CF!AO112</f>
        <v>2652.4553454942106</v>
      </c>
      <c r="AP118" s="945">
        <f ca="1">CF!AP112</f>
        <v>2970.2515213558436</v>
      </c>
      <c r="AQ118" s="945">
        <f ca="1">CF!AQ112</f>
        <v>2703.7003380574424</v>
      </c>
      <c r="AR118" s="945">
        <f ca="1">CF!AR112</f>
        <v>3032.5617059389888</v>
      </c>
      <c r="AS118" s="945">
        <f ca="1">CF!AS112</f>
        <v>2738.6607711913121</v>
      </c>
      <c r="AT118" s="945">
        <f ca="1">CF!AT112</f>
        <v>3087.0294677969923</v>
      </c>
      <c r="AU118" s="945">
        <f ca="1">CF!AU112</f>
        <v>2781.4499186605049</v>
      </c>
      <c r="AV118" s="945">
        <f ca="1">CF!AV112</f>
        <v>3143.7134037943556</v>
      </c>
      <c r="AW118" s="945">
        <f ca="1">CF!AW112</f>
        <v>2566.5444246410993</v>
      </c>
      <c r="AX118" s="945">
        <f ca="1">CF!AX112</f>
        <v>3212.641439658667</v>
      </c>
      <c r="AY118" s="945">
        <f ca="1">CF!AY112</f>
        <v>2614.9784998685413</v>
      </c>
      <c r="AZ118" s="945">
        <f ca="1">CF!AZ112</f>
        <v>3274.1680082495322</v>
      </c>
      <c r="BA118" s="945">
        <f ca="1">CF!BA112</f>
        <v>2646.5575378998938</v>
      </c>
      <c r="BB118" s="945">
        <f ca="1">CF!BB112</f>
        <v>3325.3898767289238</v>
      </c>
      <c r="BC118" s="945">
        <f ca="1">CF!BC112</f>
        <v>2709.9545717793458</v>
      </c>
      <c r="BD118" s="945">
        <f ca="1">CF!BD112</f>
        <v>3402.0908817008876</v>
      </c>
      <c r="BE118" s="945">
        <f ca="1">CF!BE112</f>
        <v>2747.0462943434081</v>
      </c>
      <c r="BF118" s="945">
        <f ca="1">CF!BF112</f>
        <v>3442.6250710426143</v>
      </c>
      <c r="BG118" s="945">
        <f ca="1">CF!BG112</f>
        <v>2782.6309188652426</v>
      </c>
      <c r="BH118" s="945">
        <f ca="1">CF!BH112</f>
        <v>3486.5071580853587</v>
      </c>
      <c r="BI118" s="945">
        <f ca="1">CF!BI112</f>
        <v>2797.7893042305323</v>
      </c>
      <c r="BJ118" s="945">
        <f ca="1">CF!BJ112</f>
        <v>3517.833692193351</v>
      </c>
      <c r="BK118" s="945">
        <f ca="1">CF!BK112</f>
        <v>2800.2482793777217</v>
      </c>
      <c r="BL118" s="945">
        <f ca="1">CF!BL112</f>
        <v>3523.7089432490652</v>
      </c>
      <c r="BM118" s="945">
        <f ca="1">CF!BM112</f>
        <v>2824.314151323942</v>
      </c>
      <c r="BN118" s="945">
        <f ca="1">CF!BN112</f>
        <v>3541.3183097872079</v>
      </c>
      <c r="BO118" s="945">
        <f ca="1">CF!BO112</f>
        <v>2855.1297741326198</v>
      </c>
      <c r="BP118" s="945"/>
      <c r="BQ118" s="945"/>
      <c r="BR118" s="945"/>
      <c r="BS118" s="945"/>
      <c r="BT118" s="945"/>
      <c r="BU118" s="945"/>
      <c r="BV118" s="945"/>
      <c r="BW118" s="945"/>
      <c r="BX118" s="945"/>
      <c r="BY118" s="945"/>
      <c r="BZ118" s="945"/>
      <c r="CA118" s="945"/>
      <c r="CB118" s="945"/>
      <c r="CC118" s="945"/>
      <c r="CD118" s="945"/>
      <c r="CE118" s="945"/>
      <c r="CF118" s="945"/>
      <c r="CG118" s="945"/>
      <c r="CH118" s="945"/>
      <c r="CI118" s="945"/>
      <c r="CJ118" s="945"/>
      <c r="CK118" s="945"/>
      <c r="CL118" s="945"/>
      <c r="CM118" s="945"/>
      <c r="CN118" s="945"/>
      <c r="CO118" s="945"/>
      <c r="CP118" s="945"/>
      <c r="CQ118" s="945"/>
      <c r="CR118" s="945"/>
      <c r="CS118" s="945"/>
      <c r="CT118" s="945"/>
      <c r="CU118" s="945"/>
      <c r="CV118" s="945"/>
      <c r="CW118" s="945"/>
      <c r="CX118" s="945"/>
      <c r="CY118" s="945"/>
      <c r="CZ118" s="945"/>
      <c r="DA118" s="945"/>
      <c r="DB118" s="945"/>
      <c r="DC118" s="945"/>
      <c r="DD118" s="945"/>
      <c r="DE118" s="945"/>
      <c r="DF118" s="945"/>
      <c r="DG118" s="945"/>
      <c r="DH118" s="945"/>
      <c r="DI118" s="945"/>
      <c r="DJ118" s="945"/>
      <c r="DK118" s="945"/>
      <c r="DL118" s="945"/>
      <c r="DM118" s="945"/>
      <c r="DN118" s="945"/>
      <c r="DO118" s="945"/>
      <c r="DP118" s="945"/>
      <c r="DQ118" s="945"/>
      <c r="DR118" s="945"/>
      <c r="DS118" s="945"/>
      <c r="DT118" s="945"/>
      <c r="DU118" s="945"/>
      <c r="DV118" s="945"/>
      <c r="DW118" s="945"/>
    </row>
    <row r="119" spans="1:148">
      <c r="A119" s="617" t="str">
        <f>CF!$A$112&amp;" Interests"</f>
        <v>Free Cash Flow for Shareholder Loan Interests</v>
      </c>
      <c r="B119" s="705"/>
      <c r="C119" s="705"/>
      <c r="D119" s="964"/>
      <c r="E119" s="620"/>
      <c r="F119" s="537"/>
      <c r="G119" s="510">
        <f ca="1">G118-G126</f>
        <v>0</v>
      </c>
      <c r="H119" s="510">
        <f t="shared" ref="H119" ca="1" si="392">H118-H126</f>
        <v>335.87001192815342</v>
      </c>
      <c r="I119" s="510">
        <f t="shared" ref="I119:BO119" ca="1" si="393">I118-I126</f>
        <v>330.39387042932458</v>
      </c>
      <c r="J119" s="510">
        <f t="shared" ca="1" si="393"/>
        <v>336.07875278384927</v>
      </c>
      <c r="K119" s="510">
        <f t="shared" ca="1" si="393"/>
        <v>340.5415560447218</v>
      </c>
      <c r="L119" s="510">
        <f t="shared" ca="1" si="393"/>
        <v>344.05441161728459</v>
      </c>
      <c r="M119" s="510">
        <f t="shared" ca="1" si="393"/>
        <v>345.51102678698453</v>
      </c>
      <c r="N119" s="510">
        <f t="shared" ca="1" si="393"/>
        <v>349.23262841929591</v>
      </c>
      <c r="O119" s="510">
        <f t="shared" ca="1" si="393"/>
        <v>347.80912291148707</v>
      </c>
      <c r="P119" s="510">
        <f t="shared" ca="1" si="393"/>
        <v>354.48829899669317</v>
      </c>
      <c r="Q119" s="510">
        <f t="shared" ca="1" si="393"/>
        <v>350.09626175264157</v>
      </c>
      <c r="R119" s="510">
        <f t="shared" ca="1" si="393"/>
        <v>358.83941444214724</v>
      </c>
      <c r="S119" s="510">
        <f t="shared" ca="1" si="393"/>
        <v>353.38594088006357</v>
      </c>
      <c r="T119" s="510">
        <f t="shared" ca="1" si="393"/>
        <v>365.23646797405399</v>
      </c>
      <c r="U119" s="510">
        <f t="shared" ca="1" si="393"/>
        <v>354.44024353998338</v>
      </c>
      <c r="V119" s="510">
        <f t="shared" ca="1" si="393"/>
        <v>370.73123830074883</v>
      </c>
      <c r="W119" s="510">
        <f t="shared" ca="1" si="393"/>
        <v>356.43397409897443</v>
      </c>
      <c r="X119" s="510">
        <f t="shared" ca="1" si="393"/>
        <v>376.30800665500556</v>
      </c>
      <c r="Y119" s="510">
        <f t="shared" ca="1" si="393"/>
        <v>358.28810723061906</v>
      </c>
      <c r="Z119" s="510">
        <f t="shared" ca="1" si="393"/>
        <v>380.92432030492228</v>
      </c>
      <c r="AA119" s="510">
        <f t="shared" ca="1" si="393"/>
        <v>361.09801681461613</v>
      </c>
      <c r="AB119" s="510">
        <f t="shared" ca="1" si="393"/>
        <v>362.21186155878786</v>
      </c>
      <c r="AC119" s="510">
        <f t="shared" ca="1" si="393"/>
        <v>341.58145701415651</v>
      </c>
      <c r="AD119" s="510">
        <f t="shared" ca="1" si="393"/>
        <v>368.04174225437328</v>
      </c>
      <c r="AE119" s="510">
        <f t="shared" ca="1" si="393"/>
        <v>343.19847993447775</v>
      </c>
      <c r="AF119" s="510">
        <f t="shared" ca="1" si="393"/>
        <v>1303.7935979215406</v>
      </c>
      <c r="AG119" s="510">
        <f t="shared" ca="1" si="393"/>
        <v>1136.394477560847</v>
      </c>
      <c r="AH119" s="510">
        <f t="shared" ca="1" si="393"/>
        <v>1325.9887014375968</v>
      </c>
      <c r="AI119" s="510">
        <f t="shared" ca="1" si="393"/>
        <v>1160.4040485564847</v>
      </c>
      <c r="AJ119" s="510">
        <f t="shared" ca="1" si="393"/>
        <v>2994.5482101550338</v>
      </c>
      <c r="AK119" s="510">
        <f t="shared" ca="1" si="393"/>
        <v>2545.4162284351887</v>
      </c>
      <c r="AL119" s="510">
        <f t="shared" ca="1" si="393"/>
        <v>2866.7009595780269</v>
      </c>
      <c r="AM119" s="510">
        <f t="shared" ca="1" si="393"/>
        <v>2608.3700359429458</v>
      </c>
      <c r="AN119" s="510">
        <f t="shared" ca="1" si="393"/>
        <v>2922.8141129823598</v>
      </c>
      <c r="AO119" s="510">
        <f t="shared" ca="1" si="393"/>
        <v>2652.4553454942106</v>
      </c>
      <c r="AP119" s="510">
        <f t="shared" ca="1" si="393"/>
        <v>2970.2515213558436</v>
      </c>
      <c r="AQ119" s="510">
        <f t="shared" ca="1" si="393"/>
        <v>2703.7003380574424</v>
      </c>
      <c r="AR119" s="510">
        <f t="shared" ca="1" si="393"/>
        <v>3032.5617059389888</v>
      </c>
      <c r="AS119" s="510">
        <f t="shared" ca="1" si="393"/>
        <v>2738.6607711913121</v>
      </c>
      <c r="AT119" s="510">
        <f t="shared" ca="1" si="393"/>
        <v>3087.0294677969923</v>
      </c>
      <c r="AU119" s="510">
        <f t="shared" ca="1" si="393"/>
        <v>2781.4499186605049</v>
      </c>
      <c r="AV119" s="510">
        <f t="shared" ca="1" si="393"/>
        <v>3143.7134037943556</v>
      </c>
      <c r="AW119" s="510">
        <f t="shared" ca="1" si="393"/>
        <v>2566.5444246410993</v>
      </c>
      <c r="AX119" s="510">
        <f t="shared" ca="1" si="393"/>
        <v>3212.641439658667</v>
      </c>
      <c r="AY119" s="510">
        <f t="shared" ca="1" si="393"/>
        <v>2614.9784998685413</v>
      </c>
      <c r="AZ119" s="510">
        <f t="shared" ca="1" si="393"/>
        <v>3274.1680082495322</v>
      </c>
      <c r="BA119" s="510">
        <f t="shared" ca="1" si="393"/>
        <v>2646.5575378998938</v>
      </c>
      <c r="BB119" s="510">
        <f t="shared" ca="1" si="393"/>
        <v>3325.3898767289238</v>
      </c>
      <c r="BC119" s="510">
        <f t="shared" ca="1" si="393"/>
        <v>2709.9545717793458</v>
      </c>
      <c r="BD119" s="510">
        <f t="shared" ca="1" si="393"/>
        <v>3402.0908817008876</v>
      </c>
      <c r="BE119" s="510">
        <f t="shared" ca="1" si="393"/>
        <v>2747.0462943434081</v>
      </c>
      <c r="BF119" s="510">
        <f t="shared" ca="1" si="393"/>
        <v>3442.6250710426143</v>
      </c>
      <c r="BG119" s="510">
        <f t="shared" ca="1" si="393"/>
        <v>2782.6309188652426</v>
      </c>
      <c r="BH119" s="510">
        <f t="shared" ca="1" si="393"/>
        <v>3486.5071580853587</v>
      </c>
      <c r="BI119" s="510">
        <f t="shared" ca="1" si="393"/>
        <v>2797.7893042305323</v>
      </c>
      <c r="BJ119" s="510">
        <f t="shared" ca="1" si="393"/>
        <v>3517.833692193351</v>
      </c>
      <c r="BK119" s="510">
        <f t="shared" ca="1" si="393"/>
        <v>2800.2482793777217</v>
      </c>
      <c r="BL119" s="510">
        <f t="shared" ca="1" si="393"/>
        <v>3523.7089432490652</v>
      </c>
      <c r="BM119" s="510">
        <f t="shared" ca="1" si="393"/>
        <v>2824.314151323942</v>
      </c>
      <c r="BN119" s="510">
        <f t="shared" ca="1" si="393"/>
        <v>3541.3183097872079</v>
      </c>
      <c r="BO119" s="510">
        <f t="shared" ca="1" si="393"/>
        <v>2855.1297741326198</v>
      </c>
      <c r="BP119" s="510"/>
      <c r="BQ119" s="510"/>
      <c r="BR119" s="510"/>
      <c r="BS119" s="510"/>
      <c r="BT119" s="510"/>
      <c r="BU119" s="510"/>
      <c r="BV119" s="510"/>
      <c r="BW119" s="510"/>
      <c r="BX119" s="510"/>
      <c r="BY119" s="510"/>
      <c r="BZ119" s="510"/>
      <c r="CA119" s="510"/>
      <c r="CB119" s="510"/>
      <c r="CC119" s="510"/>
      <c r="CD119" s="510"/>
      <c r="CE119" s="510"/>
      <c r="CF119" s="510"/>
      <c r="CG119" s="510"/>
      <c r="CH119" s="510"/>
      <c r="CI119" s="510"/>
      <c r="CJ119" s="510"/>
      <c r="CK119" s="510"/>
      <c r="CL119" s="510"/>
      <c r="CM119" s="510"/>
      <c r="CN119" s="510"/>
      <c r="CO119" s="510"/>
      <c r="CP119" s="510"/>
      <c r="CQ119" s="510"/>
      <c r="CR119" s="510"/>
      <c r="CS119" s="510"/>
      <c r="CT119" s="510"/>
      <c r="CU119" s="510"/>
      <c r="CV119" s="510"/>
      <c r="CW119" s="510"/>
      <c r="CX119" s="510"/>
      <c r="CY119" s="510"/>
      <c r="CZ119" s="510"/>
      <c r="DA119" s="510"/>
      <c r="DB119" s="510"/>
      <c r="DC119" s="510"/>
      <c r="DD119" s="510"/>
      <c r="DE119" s="510"/>
      <c r="DF119" s="510"/>
      <c r="DG119" s="510"/>
      <c r="DH119" s="510"/>
      <c r="DI119" s="510"/>
      <c r="DJ119" s="510"/>
      <c r="DK119" s="510"/>
      <c r="DL119" s="510"/>
      <c r="DM119" s="510"/>
      <c r="DN119" s="510"/>
      <c r="DO119" s="510"/>
      <c r="DP119" s="510"/>
      <c r="DQ119" s="510"/>
      <c r="DR119" s="510"/>
      <c r="DS119" s="510"/>
      <c r="DT119" s="510"/>
      <c r="DU119" s="510"/>
      <c r="DV119" s="510"/>
      <c r="DW119" s="510"/>
    </row>
    <row r="120" spans="1:148">
      <c r="A120" s="621" t="str">
        <f>CF!$A$112&amp;" Principal"</f>
        <v>Free Cash Flow for Shareholder Loan Principal</v>
      </c>
      <c r="B120" s="706"/>
      <c r="C120" s="706"/>
      <c r="D120" s="964"/>
      <c r="E120" s="620"/>
      <c r="F120" s="620"/>
      <c r="G120" s="498">
        <f ca="1">G118-G125-G126</f>
        <v>-1169.6619115852516</v>
      </c>
      <c r="H120" s="498">
        <f t="shared" ref="H120" ca="1" si="394">H118-H125-H126</f>
        <v>-300.93879648341112</v>
      </c>
      <c r="I120" s="498">
        <f t="shared" ref="I120:BO120" ca="1" si="395">I118-I125-I126</f>
        <v>-307.97079874811277</v>
      </c>
      <c r="J120" s="498">
        <f t="shared" ca="1" si="395"/>
        <v>-325.28662889294276</v>
      </c>
      <c r="K120" s="498">
        <f t="shared" ca="1" si="395"/>
        <v>-326.61088878938551</v>
      </c>
      <c r="L120" s="498">
        <f t="shared" ca="1" si="395"/>
        <v>-343.6011932383675</v>
      </c>
      <c r="M120" s="498">
        <f t="shared" ca="1" si="395"/>
        <v>-344.56388485621812</v>
      </c>
      <c r="N120" s="498">
        <f t="shared" ca="1" si="395"/>
        <v>-366.17582561321183</v>
      </c>
      <c r="O120" s="498">
        <f t="shared" ca="1" si="395"/>
        <v>-370.4617093004756</v>
      </c>
      <c r="P120" s="498">
        <f t="shared" ca="1" si="395"/>
        <v>-390.62783863562129</v>
      </c>
      <c r="Q120" s="498">
        <f t="shared" ca="1" si="395"/>
        <v>-398.36793115552564</v>
      </c>
      <c r="R120" s="498">
        <f t="shared" ca="1" si="395"/>
        <v>-418.09594985133344</v>
      </c>
      <c r="S120" s="498">
        <f t="shared" ca="1" si="395"/>
        <v>-431.78249306135433</v>
      </c>
      <c r="T120" s="498">
        <f t="shared" ca="1" si="395"/>
        <v>-445.97344612675465</v>
      </c>
      <c r="U120" s="498">
        <f t="shared" ca="1" si="395"/>
        <v>-461.23573839948006</v>
      </c>
      <c r="V120" s="498">
        <f t="shared" ca="1" si="395"/>
        <v>-477.06530373492603</v>
      </c>
      <c r="W120" s="498">
        <f t="shared" ca="1" si="395"/>
        <v>-496.4655669914647</v>
      </c>
      <c r="X120" s="498">
        <f ca="1">X118-X125-X126</f>
        <v>-510.7498351535254</v>
      </c>
      <c r="Y120" s="498">
        <f t="shared" ca="1" si="395"/>
        <v>-534.56891063532544</v>
      </c>
      <c r="Z120" s="498">
        <f t="shared" ca="1" si="395"/>
        <v>-548.28993777213429</v>
      </c>
      <c r="AA120" s="498">
        <f t="shared" ca="1" si="395"/>
        <v>-579.88759722570421</v>
      </c>
      <c r="AB120" s="498">
        <f t="shared" ca="1" si="395"/>
        <v>-612.50040560092111</v>
      </c>
      <c r="AC120" s="498">
        <f t="shared" ca="1" si="395"/>
        <v>-641.53740853910176</v>
      </c>
      <c r="AD120" s="498">
        <f t="shared" ca="1" si="395"/>
        <v>-657.24432387558545</v>
      </c>
      <c r="AE120" s="498">
        <f t="shared" ca="1" si="395"/>
        <v>-691.44465818142339</v>
      </c>
      <c r="AF120" s="498">
        <f t="shared" ca="1" si="395"/>
        <v>224.11656791246105</v>
      </c>
      <c r="AG120" s="498">
        <f t="shared" ca="1" si="395"/>
        <v>83.211857946056625</v>
      </c>
      <c r="AH120" s="498">
        <f t="shared" ca="1" si="395"/>
        <v>258.70584794533193</v>
      </c>
      <c r="AI120" s="498">
        <f t="shared" ca="1" si="395"/>
        <v>115.04197823766867</v>
      </c>
      <c r="AJ120" s="498">
        <f t="shared" ca="1" si="395"/>
        <v>1942.3381457077382</v>
      </c>
      <c r="AK120" s="498">
        <f t="shared" ca="1" si="395"/>
        <v>1587.4167117684447</v>
      </c>
      <c r="AL120" s="498">
        <f t="shared" ca="1" si="395"/>
        <v>1956.8415567801817</v>
      </c>
      <c r="AM120" s="498">
        <f t="shared" ca="1" si="395"/>
        <v>1790.9756144230075</v>
      </c>
      <c r="AN120" s="498">
        <f t="shared" ca="1" si="395"/>
        <v>2164.099556102627</v>
      </c>
      <c r="AO120" s="498">
        <f t="shared" ca="1" si="395"/>
        <v>1991.9636321090975</v>
      </c>
      <c r="AP120" s="498">
        <f t="shared" ca="1" si="395"/>
        <v>2379.1458689431702</v>
      </c>
      <c r="AQ120" s="498">
        <f t="shared" ca="1" si="395"/>
        <v>2213.9248535273591</v>
      </c>
      <c r="AR120" s="498">
        <f t="shared" ca="1" si="395"/>
        <v>2626.6889330736199</v>
      </c>
      <c r="AS120" s="498">
        <f t="shared" ca="1" si="395"/>
        <v>2443.6094775465253</v>
      </c>
      <c r="AT120" s="498">
        <f t="shared" ca="1" si="395"/>
        <v>2885.635578779099</v>
      </c>
      <c r="AU120" s="498">
        <f t="shared" ca="1" si="395"/>
        <v>2697.8163467022796</v>
      </c>
      <c r="AV120" s="498">
        <f t="shared" ca="1" si="395"/>
        <v>3143.7134037943556</v>
      </c>
      <c r="AW120" s="498">
        <f t="shared" ca="1" si="395"/>
        <v>2566.5444246410993</v>
      </c>
      <c r="AX120" s="498">
        <f t="shared" ca="1" si="395"/>
        <v>3212.641439658667</v>
      </c>
      <c r="AY120" s="498">
        <f t="shared" ca="1" si="395"/>
        <v>2614.9784998685413</v>
      </c>
      <c r="AZ120" s="498">
        <f t="shared" ca="1" si="395"/>
        <v>3274.1680082495322</v>
      </c>
      <c r="BA120" s="498">
        <f t="shared" ca="1" si="395"/>
        <v>2646.5575378998938</v>
      </c>
      <c r="BB120" s="498">
        <f t="shared" ca="1" si="395"/>
        <v>3325.3898767289238</v>
      </c>
      <c r="BC120" s="498">
        <f t="shared" ca="1" si="395"/>
        <v>2709.9545717793458</v>
      </c>
      <c r="BD120" s="498">
        <f t="shared" ca="1" si="395"/>
        <v>3402.0908817008876</v>
      </c>
      <c r="BE120" s="498">
        <f t="shared" ca="1" si="395"/>
        <v>2747.0462943434081</v>
      </c>
      <c r="BF120" s="498">
        <f t="shared" ca="1" si="395"/>
        <v>3442.6250710426143</v>
      </c>
      <c r="BG120" s="498">
        <f t="shared" ca="1" si="395"/>
        <v>2782.6309188652426</v>
      </c>
      <c r="BH120" s="498">
        <f t="shared" ca="1" si="395"/>
        <v>3486.5071580853587</v>
      </c>
      <c r="BI120" s="498">
        <f t="shared" ca="1" si="395"/>
        <v>2797.7893042305323</v>
      </c>
      <c r="BJ120" s="498">
        <f t="shared" ca="1" si="395"/>
        <v>3517.833692193351</v>
      </c>
      <c r="BK120" s="498">
        <f t="shared" ca="1" si="395"/>
        <v>2800.2482793777217</v>
      </c>
      <c r="BL120" s="498">
        <f t="shared" ca="1" si="395"/>
        <v>3523.7089432490652</v>
      </c>
      <c r="BM120" s="498">
        <f t="shared" ca="1" si="395"/>
        <v>2824.314151323942</v>
      </c>
      <c r="BN120" s="498">
        <f t="shared" ca="1" si="395"/>
        <v>3541.3183097872079</v>
      </c>
      <c r="BO120" s="498">
        <f t="shared" ca="1" si="395"/>
        <v>2855.1297741326198</v>
      </c>
      <c r="BP120" s="498"/>
      <c r="BQ120" s="498"/>
      <c r="BR120" s="498"/>
      <c r="BS120" s="498"/>
      <c r="BT120" s="498"/>
      <c r="BU120" s="498"/>
      <c r="BV120" s="498"/>
      <c r="BW120" s="498"/>
      <c r="BX120" s="498"/>
      <c r="BY120" s="498"/>
      <c r="BZ120" s="498"/>
      <c r="CA120" s="498"/>
      <c r="CB120" s="498"/>
      <c r="CC120" s="498"/>
      <c r="CD120" s="498"/>
      <c r="CE120" s="498"/>
      <c r="CF120" s="498"/>
      <c r="CG120" s="498"/>
      <c r="CH120" s="498"/>
      <c r="CI120" s="498"/>
      <c r="CJ120" s="498"/>
      <c r="CK120" s="498"/>
      <c r="CL120" s="498"/>
      <c r="CM120" s="498"/>
      <c r="CN120" s="498"/>
      <c r="CO120" s="498"/>
      <c r="CP120" s="498"/>
      <c r="CQ120" s="498"/>
      <c r="CR120" s="498"/>
      <c r="CS120" s="498"/>
      <c r="CT120" s="498"/>
      <c r="CU120" s="498"/>
      <c r="CV120" s="498"/>
      <c r="CW120" s="498"/>
      <c r="CX120" s="498"/>
      <c r="CY120" s="498"/>
      <c r="CZ120" s="498"/>
      <c r="DA120" s="498"/>
      <c r="DB120" s="498"/>
      <c r="DC120" s="498"/>
      <c r="DD120" s="498"/>
      <c r="DE120" s="498"/>
      <c r="DF120" s="498"/>
      <c r="DG120" s="498"/>
      <c r="DH120" s="498"/>
      <c r="DI120" s="498"/>
      <c r="DJ120" s="498"/>
      <c r="DK120" s="498"/>
      <c r="DL120" s="498"/>
      <c r="DM120" s="498"/>
      <c r="DN120" s="498"/>
      <c r="DO120" s="498"/>
      <c r="DP120" s="498"/>
      <c r="DQ120" s="498"/>
      <c r="DR120" s="498"/>
      <c r="DS120" s="498"/>
      <c r="DT120" s="498"/>
      <c r="DU120" s="498"/>
      <c r="DV120" s="498"/>
      <c r="DW120" s="498"/>
    </row>
    <row r="121" spans="1:148">
      <c r="A121" s="621"/>
      <c r="B121" s="706"/>
      <c r="C121" s="706"/>
      <c r="D121" s="964"/>
      <c r="E121" s="620"/>
      <c r="F121" s="620"/>
      <c r="G121" s="498"/>
      <c r="H121" s="498"/>
      <c r="I121" s="498"/>
      <c r="J121" s="498"/>
      <c r="K121" s="498"/>
      <c r="L121" s="498"/>
      <c r="M121" s="498"/>
      <c r="N121" s="498"/>
      <c r="O121" s="498"/>
      <c r="P121" s="498"/>
      <c r="Q121" s="498"/>
      <c r="R121" s="498"/>
      <c r="S121" s="498"/>
      <c r="T121" s="498"/>
      <c r="U121" s="498"/>
      <c r="V121" s="498"/>
      <c r="W121" s="498"/>
      <c r="X121" s="498"/>
      <c r="Y121" s="498"/>
      <c r="Z121" s="498"/>
      <c r="AA121" s="498"/>
      <c r="AB121" s="498"/>
      <c r="AC121" s="498"/>
      <c r="AD121" s="498"/>
      <c r="AE121" s="498"/>
      <c r="AF121" s="498"/>
      <c r="AG121" s="498"/>
      <c r="AH121" s="498"/>
      <c r="AI121" s="498"/>
      <c r="AJ121" s="498"/>
      <c r="AK121" s="498"/>
      <c r="AL121" s="498"/>
      <c r="AM121" s="498"/>
      <c r="AN121" s="498"/>
      <c r="AO121" s="498"/>
      <c r="AP121" s="498"/>
      <c r="AQ121" s="498"/>
      <c r="AR121" s="498"/>
      <c r="AS121" s="498"/>
      <c r="AT121" s="498"/>
      <c r="AU121" s="498"/>
      <c r="AV121" s="498"/>
      <c r="AW121" s="498"/>
      <c r="AX121" s="498"/>
      <c r="AY121" s="498"/>
      <c r="AZ121" s="498"/>
      <c r="BA121" s="498"/>
      <c r="BB121" s="498"/>
      <c r="BC121" s="498"/>
      <c r="BD121" s="498"/>
      <c r="BE121" s="498"/>
      <c r="BF121" s="498"/>
      <c r="BG121" s="498"/>
      <c r="BH121" s="498"/>
      <c r="BI121" s="498"/>
      <c r="BJ121" s="498"/>
      <c r="BK121" s="498"/>
      <c r="BL121" s="498"/>
      <c r="BM121" s="498"/>
      <c r="BN121" s="498"/>
      <c r="BO121" s="498"/>
      <c r="BP121" s="498"/>
      <c r="BQ121" s="498"/>
      <c r="BR121" s="498"/>
      <c r="BS121" s="498"/>
      <c r="BT121" s="498"/>
      <c r="BU121" s="498"/>
      <c r="BV121" s="498"/>
      <c r="BW121" s="498"/>
      <c r="BX121" s="498"/>
      <c r="BY121" s="498"/>
      <c r="BZ121" s="498"/>
      <c r="CA121" s="498"/>
      <c r="CB121" s="498"/>
      <c r="CC121" s="498"/>
      <c r="CD121" s="498"/>
      <c r="CE121" s="498"/>
      <c r="CF121" s="498"/>
      <c r="CG121" s="498"/>
      <c r="CH121" s="498"/>
      <c r="CI121" s="498"/>
      <c r="CJ121" s="498"/>
      <c r="CK121" s="498"/>
      <c r="CL121" s="498"/>
      <c r="CM121" s="498"/>
      <c r="CN121" s="498"/>
      <c r="CO121" s="498"/>
      <c r="CP121" s="498"/>
      <c r="CQ121" s="498"/>
      <c r="CR121" s="498"/>
      <c r="CS121" s="498"/>
      <c r="CT121" s="498"/>
      <c r="CU121" s="498"/>
      <c r="CV121" s="498"/>
      <c r="CW121" s="498"/>
      <c r="CX121" s="498"/>
      <c r="CY121" s="498"/>
      <c r="CZ121" s="498"/>
      <c r="DA121" s="498"/>
      <c r="DB121" s="498"/>
      <c r="DC121" s="498"/>
      <c r="DD121" s="498"/>
      <c r="DE121" s="498"/>
      <c r="DF121" s="498"/>
      <c r="DG121" s="498"/>
      <c r="DH121" s="498"/>
      <c r="DI121" s="498"/>
      <c r="DJ121" s="498"/>
      <c r="DK121" s="498"/>
      <c r="DL121" s="498"/>
      <c r="DM121" s="498"/>
      <c r="DN121" s="498"/>
      <c r="DO121" s="498"/>
      <c r="DP121" s="498"/>
      <c r="DQ121" s="498"/>
      <c r="DR121" s="498"/>
      <c r="DS121" s="498"/>
      <c r="DT121" s="498"/>
      <c r="DU121" s="498"/>
      <c r="DV121" s="498"/>
      <c r="DW121" s="498"/>
    </row>
    <row r="122" spans="1:148">
      <c r="A122" s="344" t="s">
        <v>1224</v>
      </c>
      <c r="D122" s="396"/>
      <c r="E122" s="396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  <c r="AC122" s="339"/>
      <c r="AD122" s="339"/>
      <c r="AE122" s="339"/>
      <c r="AF122" s="339"/>
      <c r="AG122" s="339"/>
      <c r="AH122" s="339"/>
      <c r="AI122" s="339"/>
      <c r="AJ122" s="339"/>
      <c r="AK122" s="339"/>
      <c r="AL122" s="339"/>
      <c r="AM122" s="339"/>
      <c r="AN122" s="339"/>
      <c r="AO122" s="339"/>
      <c r="AP122" s="339"/>
      <c r="AQ122" s="339"/>
      <c r="AR122" s="339"/>
      <c r="AS122" s="339"/>
      <c r="AT122" s="339"/>
      <c r="AU122" s="339"/>
      <c r="AV122" s="339"/>
      <c r="AW122" s="339"/>
      <c r="AX122" s="339"/>
      <c r="AY122" s="339"/>
      <c r="AZ122" s="339"/>
      <c r="BA122" s="339"/>
      <c r="BB122" s="339"/>
      <c r="BC122" s="339"/>
      <c r="BD122" s="339"/>
      <c r="BE122" s="339"/>
      <c r="BF122" s="339"/>
      <c r="BG122" s="339"/>
      <c r="BH122" s="339"/>
      <c r="BI122" s="339"/>
      <c r="BJ122" s="339"/>
      <c r="BK122" s="339"/>
      <c r="BL122" s="339"/>
      <c r="BM122" s="339"/>
      <c r="BN122" s="339"/>
      <c r="BO122" s="339"/>
      <c r="BP122" s="339"/>
      <c r="BQ122" s="339"/>
      <c r="BR122" s="339"/>
      <c r="BS122" s="339"/>
      <c r="BT122" s="339"/>
      <c r="BU122" s="339"/>
      <c r="BV122" s="339"/>
      <c r="BW122" s="339"/>
      <c r="BX122" s="339"/>
      <c r="BY122" s="339"/>
      <c r="BZ122" s="339"/>
      <c r="CA122" s="339"/>
      <c r="CB122" s="339"/>
      <c r="CC122" s="339"/>
      <c r="CD122" s="339"/>
      <c r="CE122" s="339"/>
      <c r="CF122" s="339"/>
      <c r="CG122" s="339"/>
      <c r="CH122" s="339"/>
      <c r="CI122" s="339"/>
      <c r="CJ122" s="339"/>
      <c r="CK122" s="339"/>
      <c r="CL122" s="339"/>
      <c r="CM122" s="339"/>
      <c r="CN122" s="339"/>
      <c r="CO122" s="339"/>
      <c r="CP122" s="339"/>
      <c r="CQ122" s="339"/>
      <c r="CR122" s="339"/>
      <c r="CS122" s="339"/>
      <c r="CT122" s="339"/>
      <c r="CU122" s="339"/>
      <c r="CV122" s="339"/>
      <c r="CW122" s="339"/>
      <c r="CX122" s="339"/>
      <c r="CY122" s="339"/>
      <c r="CZ122" s="339"/>
      <c r="DA122" s="339"/>
      <c r="DB122" s="339"/>
      <c r="DC122" s="339"/>
      <c r="DD122" s="339"/>
      <c r="DE122" s="339"/>
      <c r="DF122" s="339"/>
      <c r="DG122" s="339"/>
      <c r="DH122" s="339"/>
      <c r="DI122" s="339"/>
      <c r="DJ122" s="339"/>
      <c r="DK122" s="339"/>
      <c r="DL122" s="339"/>
      <c r="DM122" s="339"/>
      <c r="DN122" s="339"/>
      <c r="DO122" s="339"/>
      <c r="DP122" s="339"/>
      <c r="DQ122" s="339"/>
      <c r="DR122" s="339"/>
      <c r="DS122" s="339"/>
      <c r="DT122" s="339"/>
      <c r="DU122" s="339"/>
      <c r="DV122" s="339"/>
      <c r="DW122" s="339"/>
    </row>
    <row r="123" spans="1:148">
      <c r="A123" s="874" t="s">
        <v>1231</v>
      </c>
      <c r="B123" s="706"/>
      <c r="C123" s="706"/>
      <c r="D123" s="965"/>
      <c r="E123" s="319"/>
      <c r="F123" s="624"/>
      <c r="G123" s="459">
        <f ca="1">G136+G148+G158</f>
        <v>0</v>
      </c>
      <c r="H123" s="459">
        <f ca="1">H136+H147+H158</f>
        <v>15790.435806400885</v>
      </c>
      <c r="I123" s="459">
        <f t="shared" ref="I123:BO123" ca="1" si="396">I136+I147+I158</f>
        <v>16091.374602884296</v>
      </c>
      <c r="J123" s="459">
        <f t="shared" ca="1" si="396"/>
        <v>16399.34540163241</v>
      </c>
      <c r="K123" s="459">
        <f t="shared" ca="1" si="396"/>
        <v>16724.632030525354</v>
      </c>
      <c r="L123" s="459">
        <f t="shared" ca="1" si="396"/>
        <v>17051.24291931474</v>
      </c>
      <c r="M123" s="459">
        <f t="shared" ca="1" si="396"/>
        <v>17394.844112553106</v>
      </c>
      <c r="N123" s="459">
        <f t="shared" ca="1" si="396"/>
        <v>17739.407997409326</v>
      </c>
      <c r="O123" s="459">
        <f t="shared" ca="1" si="396"/>
        <v>18105.583823022538</v>
      </c>
      <c r="P123" s="459">
        <f t="shared" ca="1" si="396"/>
        <v>18476.045532323013</v>
      </c>
      <c r="Q123" s="459">
        <f t="shared" ca="1" si="396"/>
        <v>18866.673370958633</v>
      </c>
      <c r="R123" s="459">
        <f t="shared" ca="1" si="396"/>
        <v>19265.041302114158</v>
      </c>
      <c r="S123" s="459">
        <f t="shared" ca="1" si="396"/>
        <v>19683.137251965491</v>
      </c>
      <c r="T123" s="459">
        <f t="shared" ca="1" si="396"/>
        <v>20114.919745026844</v>
      </c>
      <c r="U123" s="459">
        <f t="shared" ca="1" si="396"/>
        <v>20560.893191153598</v>
      </c>
      <c r="V123" s="459">
        <f t="shared" ca="1" si="396"/>
        <v>21022.128929553077</v>
      </c>
      <c r="W123" s="459">
        <f t="shared" ca="1" si="396"/>
        <v>21499.194233288003</v>
      </c>
      <c r="X123" s="459">
        <f t="shared" ca="1" si="396"/>
        <v>21995.659800279467</v>
      </c>
      <c r="Y123" s="459">
        <f t="shared" ca="1" si="396"/>
        <v>22506.409635432992</v>
      </c>
      <c r="Z123" s="459">
        <f t="shared" ca="1" si="396"/>
        <v>23040.978546068316</v>
      </c>
      <c r="AA123" s="459">
        <f t="shared" ca="1" si="396"/>
        <v>23589.268483840449</v>
      </c>
      <c r="AB123" s="459">
        <f t="shared" ca="1" si="396"/>
        <v>24169.156081066154</v>
      </c>
      <c r="AC123" s="459">
        <f t="shared" ca="1" si="396"/>
        <v>24781.656486667074</v>
      </c>
      <c r="AD123" s="459">
        <f t="shared" ca="1" si="396"/>
        <v>25423.193895206176</v>
      </c>
      <c r="AE123" s="459">
        <f t="shared" ca="1" si="396"/>
        <v>26080.43821908176</v>
      </c>
      <c r="AF123" s="459">
        <f t="shared" ca="1" si="396"/>
        <v>26771.882877263182</v>
      </c>
      <c r="AG123" s="459">
        <f t="shared" ca="1" si="396"/>
        <v>26547.766309350722</v>
      </c>
      <c r="AH123" s="459">
        <f t="shared" ca="1" si="396"/>
        <v>26464.554451404663</v>
      </c>
      <c r="AI123" s="459">
        <f t="shared" ca="1" si="396"/>
        <v>26205.84860345933</v>
      </c>
      <c r="AJ123" s="459">
        <f t="shared" ca="1" si="396"/>
        <v>26090.806625221659</v>
      </c>
      <c r="AK123" s="459">
        <f t="shared" ca="1" si="396"/>
        <v>24148.468479513922</v>
      </c>
      <c r="AL123" s="459">
        <f t="shared" ca="1" si="396"/>
        <v>22561.051767745477</v>
      </c>
      <c r="AM123" s="459">
        <f t="shared" ca="1" si="396"/>
        <v>20604.210210965295</v>
      </c>
      <c r="AN123" s="459">
        <f t="shared" ca="1" si="396"/>
        <v>18813.234596542286</v>
      </c>
      <c r="AO123" s="459">
        <f t="shared" ca="1" si="396"/>
        <v>16649.135040439658</v>
      </c>
      <c r="AP123" s="459">
        <f t="shared" ca="1" si="396"/>
        <v>14657.17140833056</v>
      </c>
      <c r="AQ123" s="459">
        <f t="shared" ca="1" si="396"/>
        <v>12278.025539387389</v>
      </c>
      <c r="AR123" s="459">
        <f t="shared" ca="1" si="396"/>
        <v>10064.10068586003</v>
      </c>
      <c r="AS123" s="459">
        <f t="shared" ca="1" si="396"/>
        <v>7437.4117527864109</v>
      </c>
      <c r="AT123" s="459">
        <f t="shared" ca="1" si="396"/>
        <v>4993.8022752398856</v>
      </c>
      <c r="AU123" s="459">
        <f t="shared" ca="1" si="396"/>
        <v>2108.1666964607866</v>
      </c>
      <c r="AV123" s="459">
        <f t="shared" ca="1" si="396"/>
        <v>0</v>
      </c>
      <c r="AW123" s="459">
        <f t="shared" ca="1" si="396"/>
        <v>0</v>
      </c>
      <c r="AX123" s="459">
        <f t="shared" ca="1" si="396"/>
        <v>0</v>
      </c>
      <c r="AY123" s="459">
        <f t="shared" ca="1" si="396"/>
        <v>0</v>
      </c>
      <c r="AZ123" s="459">
        <f t="shared" ca="1" si="396"/>
        <v>0</v>
      </c>
      <c r="BA123" s="459">
        <f t="shared" ca="1" si="396"/>
        <v>0</v>
      </c>
      <c r="BB123" s="459">
        <f t="shared" ca="1" si="396"/>
        <v>0</v>
      </c>
      <c r="BC123" s="459">
        <f t="shared" ca="1" si="396"/>
        <v>0</v>
      </c>
      <c r="BD123" s="459">
        <f t="shared" ca="1" si="396"/>
        <v>0</v>
      </c>
      <c r="BE123" s="459">
        <f t="shared" ca="1" si="396"/>
        <v>0</v>
      </c>
      <c r="BF123" s="459">
        <f t="shared" ca="1" si="396"/>
        <v>0</v>
      </c>
      <c r="BG123" s="459">
        <f t="shared" ca="1" si="396"/>
        <v>0</v>
      </c>
      <c r="BH123" s="459">
        <f t="shared" ca="1" si="396"/>
        <v>0</v>
      </c>
      <c r="BI123" s="459">
        <f t="shared" ca="1" si="396"/>
        <v>0</v>
      </c>
      <c r="BJ123" s="459">
        <f t="shared" ca="1" si="396"/>
        <v>0</v>
      </c>
      <c r="BK123" s="459">
        <f t="shared" ca="1" si="396"/>
        <v>0</v>
      </c>
      <c r="BL123" s="459">
        <f t="shared" ca="1" si="396"/>
        <v>0</v>
      </c>
      <c r="BM123" s="459">
        <f t="shared" ca="1" si="396"/>
        <v>0</v>
      </c>
      <c r="BN123" s="459">
        <f t="shared" ca="1" si="396"/>
        <v>0</v>
      </c>
      <c r="BO123" s="459">
        <f t="shared" ca="1" si="396"/>
        <v>0</v>
      </c>
      <c r="BP123" s="459"/>
      <c r="BQ123" s="459"/>
      <c r="BR123" s="459"/>
      <c r="BS123" s="459"/>
      <c r="BT123" s="459"/>
      <c r="BU123" s="459"/>
      <c r="BV123" s="459"/>
      <c r="BW123" s="459"/>
      <c r="BX123" s="459"/>
      <c r="BY123" s="459"/>
      <c r="BZ123" s="459"/>
      <c r="CA123" s="459"/>
      <c r="CB123" s="459"/>
      <c r="CC123" s="459"/>
      <c r="CD123" s="459"/>
      <c r="CE123" s="459"/>
      <c r="CF123" s="459"/>
      <c r="CG123" s="459"/>
      <c r="CH123" s="459"/>
      <c r="CI123" s="459"/>
      <c r="CJ123" s="459"/>
      <c r="CK123" s="459"/>
      <c r="CL123" s="459"/>
      <c r="CM123" s="459"/>
      <c r="CN123" s="459"/>
      <c r="CO123" s="459"/>
      <c r="CP123" s="459"/>
      <c r="CQ123" s="459"/>
      <c r="CR123" s="459"/>
      <c r="CS123" s="459"/>
      <c r="CT123" s="459"/>
      <c r="CU123" s="459"/>
      <c r="CV123" s="459"/>
      <c r="CW123" s="459"/>
      <c r="CX123" s="459"/>
      <c r="CY123" s="459"/>
      <c r="CZ123" s="459"/>
      <c r="DA123" s="459"/>
      <c r="DB123" s="459"/>
      <c r="DC123" s="459"/>
      <c r="DD123" s="459"/>
      <c r="DE123" s="459"/>
      <c r="DF123" s="459"/>
      <c r="DG123" s="459"/>
      <c r="DH123" s="459"/>
      <c r="DI123" s="459"/>
      <c r="DJ123" s="459"/>
      <c r="DK123" s="459"/>
      <c r="DL123" s="459"/>
      <c r="DM123" s="459"/>
      <c r="DN123" s="459"/>
      <c r="DO123" s="459"/>
      <c r="DP123" s="459"/>
      <c r="DQ123" s="459"/>
      <c r="DR123" s="459"/>
      <c r="DS123" s="459"/>
      <c r="DT123" s="459"/>
      <c r="DU123" s="459"/>
      <c r="DV123" s="459"/>
      <c r="DW123" s="459"/>
      <c r="DX123" s="481"/>
      <c r="DY123" s="481"/>
      <c r="DZ123" s="481"/>
      <c r="EA123" s="481"/>
      <c r="EB123" s="481"/>
      <c r="EC123" s="481"/>
      <c r="ED123" s="481"/>
      <c r="EE123" s="481"/>
      <c r="EF123" s="481"/>
      <c r="EG123" s="481"/>
      <c r="EH123" s="481"/>
      <c r="EI123" s="481"/>
      <c r="EJ123" s="481"/>
      <c r="EK123" s="481"/>
      <c r="EL123" s="481"/>
      <c r="EM123" s="481"/>
      <c r="EN123" s="481"/>
      <c r="EO123" s="481"/>
      <c r="EP123" s="481"/>
      <c r="EQ123" s="481"/>
      <c r="ER123" s="481"/>
    </row>
    <row r="124" spans="1:148">
      <c r="A124" s="881" t="s">
        <v>1152</v>
      </c>
      <c r="B124" s="703"/>
      <c r="C124" s="703"/>
      <c r="D124" s="510">
        <f ca="1">SUM(G124:DW124)</f>
        <v>14620.773894815633</v>
      </c>
      <c r="E124" s="510"/>
      <c r="F124" s="537"/>
      <c r="G124" s="459">
        <f t="shared" ref="G124:G128" ca="1" si="397">G137+G148+G159</f>
        <v>14620.773894815633</v>
      </c>
      <c r="H124" s="459">
        <f ca="1">H137+H148+H159</f>
        <v>0</v>
      </c>
      <c r="I124" s="459">
        <f t="shared" ref="I124:BO124" ca="1" si="398">I137+I148+I159</f>
        <v>0</v>
      </c>
      <c r="J124" s="459">
        <f t="shared" ca="1" si="398"/>
        <v>0</v>
      </c>
      <c r="K124" s="459">
        <f t="shared" ca="1" si="398"/>
        <v>0</v>
      </c>
      <c r="L124" s="459">
        <f t="shared" ca="1" si="398"/>
        <v>0</v>
      </c>
      <c r="M124" s="459">
        <f t="shared" ca="1" si="398"/>
        <v>0</v>
      </c>
      <c r="N124" s="459">
        <f t="shared" ca="1" si="398"/>
        <v>0</v>
      </c>
      <c r="O124" s="459">
        <f t="shared" ca="1" si="398"/>
        <v>0</v>
      </c>
      <c r="P124" s="459">
        <f t="shared" ca="1" si="398"/>
        <v>0</v>
      </c>
      <c r="Q124" s="459">
        <f t="shared" ca="1" si="398"/>
        <v>0</v>
      </c>
      <c r="R124" s="459">
        <f t="shared" ca="1" si="398"/>
        <v>0</v>
      </c>
      <c r="S124" s="459">
        <f t="shared" ca="1" si="398"/>
        <v>0</v>
      </c>
      <c r="T124" s="459">
        <f t="shared" ca="1" si="398"/>
        <v>0</v>
      </c>
      <c r="U124" s="459">
        <f t="shared" ca="1" si="398"/>
        <v>0</v>
      </c>
      <c r="V124" s="459">
        <f t="shared" ca="1" si="398"/>
        <v>0</v>
      </c>
      <c r="W124" s="459">
        <f t="shared" ca="1" si="398"/>
        <v>0</v>
      </c>
      <c r="X124" s="459">
        <f t="shared" ca="1" si="398"/>
        <v>0</v>
      </c>
      <c r="Y124" s="459">
        <f t="shared" ca="1" si="398"/>
        <v>0</v>
      </c>
      <c r="Z124" s="459">
        <f t="shared" ca="1" si="398"/>
        <v>0</v>
      </c>
      <c r="AA124" s="459">
        <f t="shared" ca="1" si="398"/>
        <v>0</v>
      </c>
      <c r="AB124" s="459">
        <f t="shared" ca="1" si="398"/>
        <v>0</v>
      </c>
      <c r="AC124" s="459">
        <f t="shared" ca="1" si="398"/>
        <v>0</v>
      </c>
      <c r="AD124" s="459">
        <f t="shared" ca="1" si="398"/>
        <v>0</v>
      </c>
      <c r="AE124" s="459">
        <f t="shared" ca="1" si="398"/>
        <v>0</v>
      </c>
      <c r="AF124" s="459">
        <f t="shared" ca="1" si="398"/>
        <v>0</v>
      </c>
      <c r="AG124" s="459">
        <f t="shared" ca="1" si="398"/>
        <v>0</v>
      </c>
      <c r="AH124" s="459">
        <f t="shared" ca="1" si="398"/>
        <v>0</v>
      </c>
      <c r="AI124" s="459">
        <f t="shared" ca="1" si="398"/>
        <v>0</v>
      </c>
      <c r="AJ124" s="459">
        <f t="shared" ca="1" si="398"/>
        <v>0</v>
      </c>
      <c r="AK124" s="459">
        <f t="shared" ca="1" si="398"/>
        <v>0</v>
      </c>
      <c r="AL124" s="459">
        <f t="shared" ca="1" si="398"/>
        <v>0</v>
      </c>
      <c r="AM124" s="459">
        <f t="shared" ca="1" si="398"/>
        <v>0</v>
      </c>
      <c r="AN124" s="459">
        <f t="shared" ca="1" si="398"/>
        <v>0</v>
      </c>
      <c r="AO124" s="459">
        <f t="shared" ca="1" si="398"/>
        <v>0</v>
      </c>
      <c r="AP124" s="459">
        <f t="shared" ca="1" si="398"/>
        <v>0</v>
      </c>
      <c r="AQ124" s="459">
        <f t="shared" ca="1" si="398"/>
        <v>0</v>
      </c>
      <c r="AR124" s="459">
        <f t="shared" ca="1" si="398"/>
        <v>0</v>
      </c>
      <c r="AS124" s="459">
        <f t="shared" ca="1" si="398"/>
        <v>0</v>
      </c>
      <c r="AT124" s="459">
        <f t="shared" ca="1" si="398"/>
        <v>0</v>
      </c>
      <c r="AU124" s="459">
        <f t="shared" ca="1" si="398"/>
        <v>0</v>
      </c>
      <c r="AV124" s="459">
        <f t="shared" ca="1" si="398"/>
        <v>0</v>
      </c>
      <c r="AW124" s="459">
        <f t="shared" ca="1" si="398"/>
        <v>0</v>
      </c>
      <c r="AX124" s="459">
        <f t="shared" ca="1" si="398"/>
        <v>0</v>
      </c>
      <c r="AY124" s="459">
        <f t="shared" ca="1" si="398"/>
        <v>0</v>
      </c>
      <c r="AZ124" s="459">
        <f t="shared" ca="1" si="398"/>
        <v>0</v>
      </c>
      <c r="BA124" s="459">
        <f t="shared" ca="1" si="398"/>
        <v>0</v>
      </c>
      <c r="BB124" s="459">
        <f t="shared" ca="1" si="398"/>
        <v>0</v>
      </c>
      <c r="BC124" s="459">
        <f t="shared" ca="1" si="398"/>
        <v>0</v>
      </c>
      <c r="BD124" s="459">
        <f t="shared" ca="1" si="398"/>
        <v>0</v>
      </c>
      <c r="BE124" s="459">
        <f t="shared" ca="1" si="398"/>
        <v>0</v>
      </c>
      <c r="BF124" s="459">
        <f t="shared" ca="1" si="398"/>
        <v>0</v>
      </c>
      <c r="BG124" s="459">
        <f t="shared" ca="1" si="398"/>
        <v>0</v>
      </c>
      <c r="BH124" s="459">
        <f t="shared" ca="1" si="398"/>
        <v>0</v>
      </c>
      <c r="BI124" s="459">
        <f t="shared" ca="1" si="398"/>
        <v>0</v>
      </c>
      <c r="BJ124" s="459">
        <f t="shared" ca="1" si="398"/>
        <v>0</v>
      </c>
      <c r="BK124" s="459">
        <f t="shared" ca="1" si="398"/>
        <v>0</v>
      </c>
      <c r="BL124" s="459">
        <f t="shared" ca="1" si="398"/>
        <v>0</v>
      </c>
      <c r="BM124" s="459">
        <f t="shared" ca="1" si="398"/>
        <v>0</v>
      </c>
      <c r="BN124" s="459">
        <f t="shared" ca="1" si="398"/>
        <v>0</v>
      </c>
      <c r="BO124" s="459">
        <f t="shared" ca="1" si="398"/>
        <v>0</v>
      </c>
      <c r="BP124" s="459"/>
      <c r="BQ124" s="459"/>
      <c r="BR124" s="459"/>
      <c r="BS124" s="459"/>
      <c r="BT124" s="459"/>
      <c r="BU124" s="459"/>
      <c r="BV124" s="459"/>
      <c r="BW124" s="459"/>
      <c r="BX124" s="459"/>
      <c r="BY124" s="459"/>
      <c r="BZ124" s="459"/>
      <c r="CA124" s="459"/>
      <c r="CB124" s="459"/>
      <c r="CC124" s="459"/>
      <c r="CD124" s="459"/>
      <c r="CE124" s="459"/>
      <c r="CF124" s="459"/>
      <c r="CG124" s="459"/>
      <c r="CH124" s="459"/>
      <c r="CI124" s="459"/>
      <c r="CJ124" s="459"/>
      <c r="CK124" s="459"/>
      <c r="CL124" s="459"/>
      <c r="CM124" s="459"/>
      <c r="CN124" s="459"/>
      <c r="CO124" s="459"/>
      <c r="CP124" s="459"/>
      <c r="CQ124" s="459"/>
      <c r="CR124" s="459"/>
      <c r="CS124" s="459"/>
      <c r="CT124" s="459"/>
      <c r="CU124" s="459"/>
      <c r="CV124" s="459"/>
      <c r="CW124" s="459"/>
      <c r="CX124" s="459"/>
      <c r="CY124" s="459"/>
      <c r="CZ124" s="459"/>
      <c r="DA124" s="459"/>
      <c r="DB124" s="459"/>
      <c r="DC124" s="459"/>
      <c r="DD124" s="459"/>
      <c r="DE124" s="459"/>
      <c r="DF124" s="459"/>
      <c r="DG124" s="459"/>
      <c r="DH124" s="459"/>
      <c r="DI124" s="459"/>
      <c r="DJ124" s="459"/>
      <c r="DK124" s="459"/>
      <c r="DL124" s="459"/>
      <c r="DM124" s="459"/>
      <c r="DN124" s="459"/>
      <c r="DO124" s="459"/>
      <c r="DP124" s="459"/>
      <c r="DQ124" s="459"/>
      <c r="DR124" s="459"/>
      <c r="DS124" s="459"/>
      <c r="DT124" s="459"/>
      <c r="DU124" s="459"/>
      <c r="DV124" s="459"/>
      <c r="DW124" s="459"/>
      <c r="DX124" s="481"/>
      <c r="DY124" s="481"/>
      <c r="DZ124" s="481"/>
      <c r="EA124" s="481"/>
      <c r="EB124" s="481"/>
      <c r="EC124" s="481"/>
      <c r="ED124" s="481"/>
      <c r="EE124" s="481"/>
      <c r="EF124" s="481"/>
      <c r="EG124" s="481"/>
      <c r="EH124" s="481"/>
      <c r="EI124" s="481"/>
      <c r="EJ124" s="481"/>
      <c r="EK124" s="481"/>
      <c r="EL124" s="481"/>
      <c r="EM124" s="481"/>
      <c r="EN124" s="481"/>
      <c r="EO124" s="481"/>
      <c r="EP124" s="481"/>
      <c r="EQ124" s="481"/>
      <c r="ER124" s="481"/>
    </row>
    <row r="125" spans="1:148" s="481" customFormat="1">
      <c r="A125" s="881" t="s">
        <v>1246</v>
      </c>
      <c r="B125" s="703"/>
      <c r="C125" s="703"/>
      <c r="D125" s="510">
        <f ca="1">SUM(G125:DW125)</f>
        <v>32104.911108681576</v>
      </c>
      <c r="E125" s="510"/>
      <c r="F125" s="537"/>
      <c r="G125" s="459">
        <f t="shared" ca="1" si="397"/>
        <v>1169.6619115852516</v>
      </c>
      <c r="H125" s="459">
        <f t="shared" ref="H125" ca="1" si="399">H138+H149+H160</f>
        <v>636.80880841156454</v>
      </c>
      <c r="I125" s="459">
        <f t="shared" ref="I125:BO125" ca="1" si="400">I138+I149+I160</f>
        <v>638.36466917743735</v>
      </c>
      <c r="J125" s="459">
        <f t="shared" ca="1" si="400"/>
        <v>661.36538167679203</v>
      </c>
      <c r="K125" s="459">
        <f t="shared" ca="1" si="400"/>
        <v>667.15244483410731</v>
      </c>
      <c r="L125" s="459">
        <f t="shared" ca="1" si="400"/>
        <v>687.65560485565209</v>
      </c>
      <c r="M125" s="459">
        <f t="shared" ca="1" si="400"/>
        <v>690.07491164320265</v>
      </c>
      <c r="N125" s="459">
        <f t="shared" ca="1" si="400"/>
        <v>715.40845403250773</v>
      </c>
      <c r="O125" s="459">
        <f t="shared" ca="1" si="400"/>
        <v>718.27083221196267</v>
      </c>
      <c r="P125" s="459">
        <f t="shared" ca="1" si="400"/>
        <v>745.11613763231446</v>
      </c>
      <c r="Q125" s="459">
        <f t="shared" ca="1" si="400"/>
        <v>748.46419290816721</v>
      </c>
      <c r="R125" s="459">
        <f t="shared" ca="1" si="400"/>
        <v>776.93536429348069</v>
      </c>
      <c r="S125" s="459">
        <f t="shared" ca="1" si="400"/>
        <v>785.1684339414179</v>
      </c>
      <c r="T125" s="459">
        <f t="shared" ca="1" si="400"/>
        <v>811.20991410080865</v>
      </c>
      <c r="U125" s="459">
        <f t="shared" ca="1" si="400"/>
        <v>815.67598193946344</v>
      </c>
      <c r="V125" s="459">
        <f t="shared" ca="1" si="400"/>
        <v>847.79654203567486</v>
      </c>
      <c r="W125" s="459">
        <f t="shared" ca="1" si="400"/>
        <v>852.89954109043913</v>
      </c>
      <c r="X125" s="459">
        <f t="shared" ca="1" si="400"/>
        <v>887.05784180853095</v>
      </c>
      <c r="Y125" s="459">
        <f t="shared" ca="1" si="400"/>
        <v>892.8570178659445</v>
      </c>
      <c r="Z125" s="459">
        <f t="shared" ca="1" si="400"/>
        <v>929.21425807705657</v>
      </c>
      <c r="AA125" s="459">
        <f t="shared" ca="1" si="400"/>
        <v>940.98561404032034</v>
      </c>
      <c r="AB125" s="459">
        <f t="shared" ca="1" si="400"/>
        <v>974.71226715970897</v>
      </c>
      <c r="AC125" s="459">
        <f t="shared" ca="1" si="400"/>
        <v>983.11886555325827</v>
      </c>
      <c r="AD125" s="459">
        <f t="shared" ca="1" si="400"/>
        <v>1025.2860661299587</v>
      </c>
      <c r="AE125" s="459">
        <f t="shared" ca="1" si="400"/>
        <v>1034.6431381159011</v>
      </c>
      <c r="AF125" s="459">
        <f t="shared" ca="1" si="400"/>
        <v>1079.6770300090795</v>
      </c>
      <c r="AG125" s="459">
        <f t="shared" ca="1" si="400"/>
        <v>1053.1826196147904</v>
      </c>
      <c r="AH125" s="459">
        <f t="shared" ca="1" si="400"/>
        <v>1067.2828534922648</v>
      </c>
      <c r="AI125" s="459">
        <f t="shared" ca="1" si="400"/>
        <v>1045.362070318816</v>
      </c>
      <c r="AJ125" s="459">
        <f t="shared" ca="1" si="400"/>
        <v>1052.2100644472955</v>
      </c>
      <c r="AK125" s="459">
        <f t="shared" ca="1" si="400"/>
        <v>957.99951666674417</v>
      </c>
      <c r="AL125" s="459">
        <f t="shared" ca="1" si="400"/>
        <v>909.85940279784518</v>
      </c>
      <c r="AM125" s="459">
        <f t="shared" ca="1" si="400"/>
        <v>817.39442151993831</v>
      </c>
      <c r="AN125" s="459">
        <f t="shared" ca="1" si="400"/>
        <v>758.71455687973287</v>
      </c>
      <c r="AO125" s="459">
        <f t="shared" ca="1" si="400"/>
        <v>660.49171338511303</v>
      </c>
      <c r="AP125" s="459">
        <f t="shared" ca="1" si="400"/>
        <v>591.10565241267363</v>
      </c>
      <c r="AQ125" s="459">
        <f t="shared" ca="1" si="400"/>
        <v>489.7754845300833</v>
      </c>
      <c r="AR125" s="459">
        <f t="shared" ca="1" si="400"/>
        <v>405.87277286536892</v>
      </c>
      <c r="AS125" s="459">
        <f t="shared" ca="1" si="400"/>
        <v>295.05129364478694</v>
      </c>
      <c r="AT125" s="459">
        <f t="shared" ca="1" si="400"/>
        <v>201.39388901789349</v>
      </c>
      <c r="AU125" s="459">
        <f t="shared" ca="1" si="400"/>
        <v>83.63357195822519</v>
      </c>
      <c r="AV125" s="459">
        <f t="shared" ca="1" si="400"/>
        <v>0</v>
      </c>
      <c r="AW125" s="459">
        <f t="shared" ca="1" si="400"/>
        <v>0</v>
      </c>
      <c r="AX125" s="459">
        <f t="shared" ca="1" si="400"/>
        <v>0</v>
      </c>
      <c r="AY125" s="459">
        <f t="shared" ca="1" si="400"/>
        <v>0</v>
      </c>
      <c r="AZ125" s="459">
        <f t="shared" ca="1" si="400"/>
        <v>0</v>
      </c>
      <c r="BA125" s="459">
        <f t="shared" ca="1" si="400"/>
        <v>0</v>
      </c>
      <c r="BB125" s="459">
        <f t="shared" ca="1" si="400"/>
        <v>0</v>
      </c>
      <c r="BC125" s="459">
        <f t="shared" ca="1" si="400"/>
        <v>0</v>
      </c>
      <c r="BD125" s="459">
        <f t="shared" ca="1" si="400"/>
        <v>0</v>
      </c>
      <c r="BE125" s="459">
        <f t="shared" ca="1" si="400"/>
        <v>0</v>
      </c>
      <c r="BF125" s="459">
        <f t="shared" ca="1" si="400"/>
        <v>0</v>
      </c>
      <c r="BG125" s="459">
        <f t="shared" ca="1" si="400"/>
        <v>0</v>
      </c>
      <c r="BH125" s="459">
        <f t="shared" ca="1" si="400"/>
        <v>0</v>
      </c>
      <c r="BI125" s="459">
        <f t="shared" ca="1" si="400"/>
        <v>0</v>
      </c>
      <c r="BJ125" s="459">
        <f t="shared" ca="1" si="400"/>
        <v>0</v>
      </c>
      <c r="BK125" s="459">
        <f t="shared" ca="1" si="400"/>
        <v>0</v>
      </c>
      <c r="BL125" s="459">
        <f t="shared" ca="1" si="400"/>
        <v>0</v>
      </c>
      <c r="BM125" s="459">
        <f t="shared" ca="1" si="400"/>
        <v>0</v>
      </c>
      <c r="BN125" s="459">
        <f t="shared" ca="1" si="400"/>
        <v>0</v>
      </c>
      <c r="BO125" s="459">
        <f t="shared" ca="1" si="400"/>
        <v>0</v>
      </c>
      <c r="BP125" s="459"/>
      <c r="BQ125" s="459"/>
      <c r="BR125" s="459"/>
      <c r="BS125" s="459"/>
      <c r="BT125" s="459"/>
      <c r="BU125" s="459"/>
      <c r="BV125" s="459"/>
      <c r="BW125" s="459"/>
      <c r="BX125" s="459"/>
      <c r="BY125" s="459"/>
      <c r="BZ125" s="459"/>
      <c r="CA125" s="459"/>
      <c r="CB125" s="459"/>
      <c r="CC125" s="459"/>
      <c r="CD125" s="459"/>
      <c r="CE125" s="459"/>
      <c r="CF125" s="459"/>
      <c r="CG125" s="459"/>
      <c r="CH125" s="459"/>
      <c r="CI125" s="459"/>
      <c r="CJ125" s="459"/>
      <c r="CK125" s="459"/>
      <c r="CL125" s="459"/>
      <c r="CM125" s="459"/>
      <c r="CN125" s="459"/>
      <c r="CO125" s="459"/>
      <c r="CP125" s="459"/>
      <c r="CQ125" s="459"/>
      <c r="CR125" s="459"/>
      <c r="CS125" s="459"/>
      <c r="CT125" s="459"/>
      <c r="CU125" s="459"/>
      <c r="CV125" s="459"/>
      <c r="CW125" s="459"/>
      <c r="CX125" s="459"/>
      <c r="CY125" s="459"/>
      <c r="CZ125" s="459"/>
      <c r="DA125" s="459"/>
      <c r="DB125" s="459"/>
      <c r="DC125" s="459"/>
      <c r="DD125" s="459"/>
      <c r="DE125" s="459"/>
      <c r="DF125" s="459"/>
      <c r="DG125" s="459"/>
      <c r="DH125" s="459"/>
      <c r="DI125" s="459"/>
      <c r="DJ125" s="459"/>
      <c r="DK125" s="459"/>
      <c r="DL125" s="459"/>
      <c r="DM125" s="459"/>
      <c r="DN125" s="459"/>
      <c r="DO125" s="459"/>
      <c r="DP125" s="459"/>
      <c r="DQ125" s="459"/>
      <c r="DR125" s="459"/>
      <c r="DS125" s="459"/>
      <c r="DT125" s="459"/>
      <c r="DU125" s="459"/>
      <c r="DV125" s="459"/>
      <c r="DW125" s="459"/>
    </row>
    <row r="126" spans="1:148" s="623" customFormat="1">
      <c r="A126" s="961" t="s">
        <v>334</v>
      </c>
      <c r="B126" s="703"/>
      <c r="C126" s="703"/>
      <c r="D126" s="517">
        <f ca="1">SUM(G126:DW126)</f>
        <v>0</v>
      </c>
      <c r="E126" s="517"/>
      <c r="F126" s="537"/>
      <c r="G126" s="622">
        <f t="shared" ca="1" si="397"/>
        <v>0</v>
      </c>
      <c r="H126" s="622">
        <f ca="1">H139+H150+H161</f>
        <v>0</v>
      </c>
      <c r="I126" s="622">
        <f t="shared" ref="I126:BO126" ca="1" si="401">I139+I150+I161</f>
        <v>0</v>
      </c>
      <c r="J126" s="622">
        <f t="shared" ca="1" si="401"/>
        <v>0</v>
      </c>
      <c r="K126" s="622">
        <f t="shared" ca="1" si="401"/>
        <v>0</v>
      </c>
      <c r="L126" s="622">
        <f t="shared" ca="1" si="401"/>
        <v>0</v>
      </c>
      <c r="M126" s="622">
        <f t="shared" ca="1" si="401"/>
        <v>0</v>
      </c>
      <c r="N126" s="622">
        <f t="shared" ca="1" si="401"/>
        <v>0</v>
      </c>
      <c r="O126" s="622">
        <f t="shared" ca="1" si="401"/>
        <v>0</v>
      </c>
      <c r="P126" s="622">
        <f t="shared" ca="1" si="401"/>
        <v>0</v>
      </c>
      <c r="Q126" s="622">
        <f t="shared" ca="1" si="401"/>
        <v>0</v>
      </c>
      <c r="R126" s="622">
        <f t="shared" ca="1" si="401"/>
        <v>0</v>
      </c>
      <c r="S126" s="622">
        <f t="shared" ca="1" si="401"/>
        <v>0</v>
      </c>
      <c r="T126" s="622">
        <f t="shared" ca="1" si="401"/>
        <v>0</v>
      </c>
      <c r="U126" s="622">
        <f t="shared" ca="1" si="401"/>
        <v>0</v>
      </c>
      <c r="V126" s="622">
        <f t="shared" ca="1" si="401"/>
        <v>0</v>
      </c>
      <c r="W126" s="622">
        <f t="shared" ca="1" si="401"/>
        <v>0</v>
      </c>
      <c r="X126" s="622">
        <f t="shared" ca="1" si="401"/>
        <v>0</v>
      </c>
      <c r="Y126" s="622">
        <f t="shared" ca="1" si="401"/>
        <v>0</v>
      </c>
      <c r="Z126" s="622">
        <f t="shared" ca="1" si="401"/>
        <v>0</v>
      </c>
      <c r="AA126" s="622">
        <f t="shared" ca="1" si="401"/>
        <v>0</v>
      </c>
      <c r="AB126" s="622">
        <f t="shared" ca="1" si="401"/>
        <v>0</v>
      </c>
      <c r="AC126" s="622">
        <f t="shared" ca="1" si="401"/>
        <v>0</v>
      </c>
      <c r="AD126" s="622">
        <f t="shared" ca="1" si="401"/>
        <v>0</v>
      </c>
      <c r="AE126" s="622">
        <f t="shared" ca="1" si="401"/>
        <v>0</v>
      </c>
      <c r="AF126" s="622">
        <f t="shared" ca="1" si="401"/>
        <v>0</v>
      </c>
      <c r="AG126" s="622">
        <f t="shared" ca="1" si="401"/>
        <v>0</v>
      </c>
      <c r="AH126" s="622">
        <f t="shared" ca="1" si="401"/>
        <v>0</v>
      </c>
      <c r="AI126" s="622">
        <f t="shared" ca="1" si="401"/>
        <v>0</v>
      </c>
      <c r="AJ126" s="622">
        <f t="shared" ca="1" si="401"/>
        <v>0</v>
      </c>
      <c r="AK126" s="622">
        <f t="shared" ca="1" si="401"/>
        <v>0</v>
      </c>
      <c r="AL126" s="622">
        <f t="shared" ca="1" si="401"/>
        <v>0</v>
      </c>
      <c r="AM126" s="622">
        <f t="shared" ca="1" si="401"/>
        <v>0</v>
      </c>
      <c r="AN126" s="622">
        <f t="shared" ca="1" si="401"/>
        <v>0</v>
      </c>
      <c r="AO126" s="622">
        <f t="shared" ca="1" si="401"/>
        <v>0</v>
      </c>
      <c r="AP126" s="622">
        <f t="shared" ca="1" si="401"/>
        <v>0</v>
      </c>
      <c r="AQ126" s="622">
        <f t="shared" ca="1" si="401"/>
        <v>0</v>
      </c>
      <c r="AR126" s="622">
        <f t="shared" ca="1" si="401"/>
        <v>0</v>
      </c>
      <c r="AS126" s="622">
        <f t="shared" ca="1" si="401"/>
        <v>0</v>
      </c>
      <c r="AT126" s="622">
        <f t="shared" ca="1" si="401"/>
        <v>0</v>
      </c>
      <c r="AU126" s="622">
        <f t="shared" ca="1" si="401"/>
        <v>0</v>
      </c>
      <c r="AV126" s="622">
        <f t="shared" ca="1" si="401"/>
        <v>0</v>
      </c>
      <c r="AW126" s="622">
        <f t="shared" ca="1" si="401"/>
        <v>0</v>
      </c>
      <c r="AX126" s="622">
        <f t="shared" ca="1" si="401"/>
        <v>0</v>
      </c>
      <c r="AY126" s="622">
        <f t="shared" ca="1" si="401"/>
        <v>0</v>
      </c>
      <c r="AZ126" s="622">
        <f t="shared" ca="1" si="401"/>
        <v>0</v>
      </c>
      <c r="BA126" s="622">
        <f t="shared" ca="1" si="401"/>
        <v>0</v>
      </c>
      <c r="BB126" s="622">
        <f t="shared" ca="1" si="401"/>
        <v>0</v>
      </c>
      <c r="BC126" s="622">
        <f t="shared" ca="1" si="401"/>
        <v>0</v>
      </c>
      <c r="BD126" s="622">
        <f t="shared" ca="1" si="401"/>
        <v>0</v>
      </c>
      <c r="BE126" s="622">
        <f t="shared" ca="1" si="401"/>
        <v>0</v>
      </c>
      <c r="BF126" s="622">
        <f t="shared" ca="1" si="401"/>
        <v>0</v>
      </c>
      <c r="BG126" s="622">
        <f t="shared" ca="1" si="401"/>
        <v>0</v>
      </c>
      <c r="BH126" s="622">
        <f t="shared" ca="1" si="401"/>
        <v>0</v>
      </c>
      <c r="BI126" s="622">
        <f t="shared" ca="1" si="401"/>
        <v>0</v>
      </c>
      <c r="BJ126" s="622">
        <f t="shared" ca="1" si="401"/>
        <v>0</v>
      </c>
      <c r="BK126" s="622">
        <f t="shared" ca="1" si="401"/>
        <v>0</v>
      </c>
      <c r="BL126" s="622">
        <f t="shared" ca="1" si="401"/>
        <v>0</v>
      </c>
      <c r="BM126" s="622">
        <f t="shared" ca="1" si="401"/>
        <v>0</v>
      </c>
      <c r="BN126" s="622">
        <f t="shared" ca="1" si="401"/>
        <v>0</v>
      </c>
      <c r="BO126" s="622">
        <f t="shared" ca="1" si="401"/>
        <v>0</v>
      </c>
      <c r="BP126" s="622"/>
      <c r="BQ126" s="622"/>
      <c r="BR126" s="622"/>
      <c r="BS126" s="622"/>
      <c r="BT126" s="622"/>
      <c r="BU126" s="622"/>
      <c r="BV126" s="622"/>
      <c r="BW126" s="622"/>
      <c r="BX126" s="622"/>
      <c r="BY126" s="622"/>
      <c r="BZ126" s="622"/>
      <c r="CA126" s="622"/>
      <c r="CB126" s="622"/>
      <c r="CC126" s="622"/>
      <c r="CD126" s="622"/>
      <c r="CE126" s="622"/>
      <c r="CF126" s="622"/>
      <c r="CG126" s="622"/>
      <c r="CH126" s="622"/>
      <c r="CI126" s="622"/>
      <c r="CJ126" s="622"/>
      <c r="CK126" s="622"/>
      <c r="CL126" s="622"/>
      <c r="CM126" s="622"/>
      <c r="CN126" s="622"/>
      <c r="CO126" s="622"/>
      <c r="CP126" s="622"/>
      <c r="CQ126" s="622"/>
      <c r="CR126" s="622"/>
      <c r="CS126" s="622"/>
      <c r="CT126" s="622"/>
      <c r="CU126" s="622"/>
      <c r="CV126" s="622"/>
      <c r="CW126" s="622"/>
      <c r="CX126" s="622"/>
      <c r="CY126" s="622"/>
      <c r="CZ126" s="622"/>
      <c r="DA126" s="622"/>
      <c r="DB126" s="622"/>
      <c r="DC126" s="622"/>
      <c r="DD126" s="622"/>
      <c r="DE126" s="622"/>
      <c r="DF126" s="622"/>
      <c r="DG126" s="622"/>
      <c r="DH126" s="622"/>
      <c r="DI126" s="622"/>
      <c r="DJ126" s="622"/>
      <c r="DK126" s="622"/>
      <c r="DL126" s="622"/>
      <c r="DM126" s="622"/>
      <c r="DN126" s="622"/>
      <c r="DO126" s="622"/>
      <c r="DP126" s="622"/>
      <c r="DQ126" s="622"/>
      <c r="DR126" s="622"/>
      <c r="DS126" s="622"/>
      <c r="DT126" s="622"/>
      <c r="DU126" s="622"/>
      <c r="DV126" s="622"/>
      <c r="DW126" s="622"/>
    </row>
    <row r="127" spans="1:148" s="481" customFormat="1">
      <c r="A127" s="961" t="s">
        <v>227</v>
      </c>
      <c r="B127" s="703"/>
      <c r="C127" s="703"/>
      <c r="D127" s="510">
        <f ca="1">SUM(G127:DW127)</f>
        <v>26771.882877263175</v>
      </c>
      <c r="E127" s="513"/>
      <c r="F127" s="537"/>
      <c r="G127" s="459">
        <f t="shared" ca="1" si="397"/>
        <v>0</v>
      </c>
      <c r="H127" s="459">
        <f ca="1">H140+H151+H162</f>
        <v>0</v>
      </c>
      <c r="I127" s="459">
        <f t="shared" ref="I127:BO127" ca="1" si="402">I140+I151+I162</f>
        <v>0</v>
      </c>
      <c r="J127" s="459">
        <f t="shared" ca="1" si="402"/>
        <v>0</v>
      </c>
      <c r="K127" s="459">
        <f t="shared" ca="1" si="402"/>
        <v>0</v>
      </c>
      <c r="L127" s="459">
        <f t="shared" ca="1" si="402"/>
        <v>0</v>
      </c>
      <c r="M127" s="459">
        <f t="shared" ca="1" si="402"/>
        <v>0</v>
      </c>
      <c r="N127" s="459">
        <f t="shared" ca="1" si="402"/>
        <v>0</v>
      </c>
      <c r="O127" s="459">
        <f t="shared" ca="1" si="402"/>
        <v>0</v>
      </c>
      <c r="P127" s="459">
        <f t="shared" ca="1" si="402"/>
        <v>0</v>
      </c>
      <c r="Q127" s="459">
        <f t="shared" ca="1" si="402"/>
        <v>0</v>
      </c>
      <c r="R127" s="459">
        <f t="shared" ca="1" si="402"/>
        <v>0</v>
      </c>
      <c r="S127" s="459">
        <f t="shared" ca="1" si="402"/>
        <v>0</v>
      </c>
      <c r="T127" s="459">
        <f t="shared" ca="1" si="402"/>
        <v>0</v>
      </c>
      <c r="U127" s="459">
        <f t="shared" ca="1" si="402"/>
        <v>0</v>
      </c>
      <c r="V127" s="459">
        <f t="shared" ca="1" si="402"/>
        <v>0</v>
      </c>
      <c r="W127" s="459">
        <f t="shared" ca="1" si="402"/>
        <v>0</v>
      </c>
      <c r="X127" s="459">
        <f t="shared" ca="1" si="402"/>
        <v>0</v>
      </c>
      <c r="Y127" s="459">
        <f t="shared" ca="1" si="402"/>
        <v>0</v>
      </c>
      <c r="Z127" s="459">
        <f t="shared" ca="1" si="402"/>
        <v>0</v>
      </c>
      <c r="AA127" s="459">
        <f t="shared" ca="1" si="402"/>
        <v>0</v>
      </c>
      <c r="AB127" s="459">
        <f t="shared" ca="1" si="402"/>
        <v>0</v>
      </c>
      <c r="AC127" s="459">
        <f t="shared" ca="1" si="402"/>
        <v>0</v>
      </c>
      <c r="AD127" s="459">
        <f t="shared" ca="1" si="402"/>
        <v>0</v>
      </c>
      <c r="AE127" s="459">
        <f t="shared" ca="1" si="402"/>
        <v>0</v>
      </c>
      <c r="AF127" s="459">
        <f t="shared" ca="1" si="402"/>
        <v>224.11656791246105</v>
      </c>
      <c r="AG127" s="459">
        <f t="shared" ca="1" si="402"/>
        <v>83.211857946056625</v>
      </c>
      <c r="AH127" s="459">
        <f t="shared" ca="1" si="402"/>
        <v>258.70584794533193</v>
      </c>
      <c r="AI127" s="459">
        <f t="shared" ca="1" si="402"/>
        <v>115.04197823766867</v>
      </c>
      <c r="AJ127" s="459">
        <f t="shared" ca="1" si="402"/>
        <v>1942.3381457077382</v>
      </c>
      <c r="AK127" s="459">
        <f t="shared" ca="1" si="402"/>
        <v>1587.4167117684447</v>
      </c>
      <c r="AL127" s="459">
        <f t="shared" ca="1" si="402"/>
        <v>1956.8415567801817</v>
      </c>
      <c r="AM127" s="459">
        <f t="shared" ca="1" si="402"/>
        <v>1790.9756144230075</v>
      </c>
      <c r="AN127" s="459">
        <f t="shared" ca="1" si="402"/>
        <v>2164.099556102627</v>
      </c>
      <c r="AO127" s="459">
        <f t="shared" ca="1" si="402"/>
        <v>1991.9636321090975</v>
      </c>
      <c r="AP127" s="459">
        <f t="shared" ca="1" si="402"/>
        <v>2379.1458689431702</v>
      </c>
      <c r="AQ127" s="459">
        <f t="shared" ca="1" si="402"/>
        <v>2213.9248535273591</v>
      </c>
      <c r="AR127" s="459">
        <f t="shared" ca="1" si="402"/>
        <v>2626.6889330736199</v>
      </c>
      <c r="AS127" s="459">
        <f t="shared" ca="1" si="402"/>
        <v>2443.6094775465253</v>
      </c>
      <c r="AT127" s="459">
        <f t="shared" ca="1" si="402"/>
        <v>2885.635578779099</v>
      </c>
      <c r="AU127" s="459">
        <f t="shared" ca="1" si="402"/>
        <v>2108.1666964607866</v>
      </c>
      <c r="AV127" s="459">
        <f t="shared" ca="1" si="402"/>
        <v>0</v>
      </c>
      <c r="AW127" s="459">
        <f t="shared" ca="1" si="402"/>
        <v>0</v>
      </c>
      <c r="AX127" s="459">
        <f t="shared" ca="1" si="402"/>
        <v>0</v>
      </c>
      <c r="AY127" s="459">
        <f t="shared" ca="1" si="402"/>
        <v>0</v>
      </c>
      <c r="AZ127" s="459">
        <f t="shared" ca="1" si="402"/>
        <v>0</v>
      </c>
      <c r="BA127" s="459">
        <f t="shared" ca="1" si="402"/>
        <v>0</v>
      </c>
      <c r="BB127" s="459">
        <f t="shared" ca="1" si="402"/>
        <v>0</v>
      </c>
      <c r="BC127" s="459">
        <f t="shared" ca="1" si="402"/>
        <v>0</v>
      </c>
      <c r="BD127" s="459">
        <f t="shared" ca="1" si="402"/>
        <v>0</v>
      </c>
      <c r="BE127" s="459">
        <f t="shared" ca="1" si="402"/>
        <v>0</v>
      </c>
      <c r="BF127" s="459">
        <f t="shared" ca="1" si="402"/>
        <v>0</v>
      </c>
      <c r="BG127" s="459">
        <f t="shared" ca="1" si="402"/>
        <v>0</v>
      </c>
      <c r="BH127" s="459">
        <f t="shared" ca="1" si="402"/>
        <v>0</v>
      </c>
      <c r="BI127" s="459">
        <f t="shared" ca="1" si="402"/>
        <v>0</v>
      </c>
      <c r="BJ127" s="459">
        <f t="shared" ca="1" si="402"/>
        <v>0</v>
      </c>
      <c r="BK127" s="459">
        <f t="shared" ca="1" si="402"/>
        <v>0</v>
      </c>
      <c r="BL127" s="459">
        <f t="shared" ca="1" si="402"/>
        <v>0</v>
      </c>
      <c r="BM127" s="459">
        <f t="shared" ca="1" si="402"/>
        <v>0</v>
      </c>
      <c r="BN127" s="459">
        <f t="shared" ca="1" si="402"/>
        <v>0</v>
      </c>
      <c r="BO127" s="459">
        <f t="shared" ca="1" si="402"/>
        <v>0</v>
      </c>
      <c r="BP127" s="459"/>
      <c r="BQ127" s="459"/>
      <c r="BR127" s="459"/>
      <c r="BS127" s="459"/>
      <c r="BT127" s="459"/>
      <c r="BU127" s="459"/>
      <c r="BV127" s="459"/>
      <c r="BW127" s="459"/>
      <c r="BX127" s="459"/>
      <c r="BY127" s="459"/>
      <c r="BZ127" s="459"/>
      <c r="CA127" s="459"/>
      <c r="CB127" s="459"/>
      <c r="CC127" s="459"/>
      <c r="CD127" s="459"/>
      <c r="CE127" s="459"/>
      <c r="CF127" s="459"/>
      <c r="CG127" s="459"/>
      <c r="CH127" s="459"/>
      <c r="CI127" s="459"/>
      <c r="CJ127" s="459"/>
      <c r="CK127" s="459"/>
      <c r="CL127" s="459"/>
      <c r="CM127" s="459"/>
      <c r="CN127" s="459"/>
      <c r="CO127" s="459"/>
      <c r="CP127" s="459"/>
      <c r="CQ127" s="459"/>
      <c r="CR127" s="459"/>
      <c r="CS127" s="459"/>
      <c r="CT127" s="459"/>
      <c r="CU127" s="459"/>
      <c r="CV127" s="459"/>
      <c r="CW127" s="459"/>
      <c r="CX127" s="459"/>
      <c r="CY127" s="459"/>
      <c r="CZ127" s="459"/>
      <c r="DA127" s="459"/>
      <c r="DB127" s="459"/>
      <c r="DC127" s="459"/>
      <c r="DD127" s="459"/>
      <c r="DE127" s="459"/>
      <c r="DF127" s="459"/>
      <c r="DG127" s="459"/>
      <c r="DH127" s="459"/>
      <c r="DI127" s="459"/>
      <c r="DJ127" s="459"/>
      <c r="DK127" s="459"/>
      <c r="DL127" s="459"/>
      <c r="DM127" s="459"/>
      <c r="DN127" s="459"/>
      <c r="DO127" s="459"/>
      <c r="DP127" s="459"/>
      <c r="DQ127" s="459"/>
      <c r="DR127" s="459"/>
      <c r="DS127" s="459"/>
      <c r="DT127" s="459"/>
      <c r="DU127" s="459"/>
      <c r="DV127" s="459"/>
      <c r="DW127" s="459"/>
    </row>
    <row r="128" spans="1:148" s="481" customFormat="1">
      <c r="A128" s="881" t="s">
        <v>1247</v>
      </c>
      <c r="B128" s="703"/>
      <c r="C128" s="703"/>
      <c r="D128" s="510">
        <f ca="1">SUM(G128:DW128)</f>
        <v>12151.108982447558</v>
      </c>
      <c r="E128" s="396">
        <f ca="1">SUM(H128:DW128)</f>
        <v>10981.447070862307</v>
      </c>
      <c r="F128" s="537"/>
      <c r="G128" s="459">
        <f t="shared" ca="1" si="397"/>
        <v>1169.6619115852516</v>
      </c>
      <c r="H128" s="459">
        <f ca="1">H141+H152+H163</f>
        <v>300.93879648341112</v>
      </c>
      <c r="I128" s="459">
        <f t="shared" ref="I128:BO128" ca="1" si="403">I141+I152+I163</f>
        <v>307.97079874811277</v>
      </c>
      <c r="J128" s="459">
        <f t="shared" ca="1" si="403"/>
        <v>325.28662889294276</v>
      </c>
      <c r="K128" s="459">
        <f t="shared" ca="1" si="403"/>
        <v>326.61088878938551</v>
      </c>
      <c r="L128" s="459">
        <f t="shared" ca="1" si="403"/>
        <v>343.6011932383675</v>
      </c>
      <c r="M128" s="459">
        <f t="shared" ca="1" si="403"/>
        <v>344.56388485621812</v>
      </c>
      <c r="N128" s="459">
        <f t="shared" ca="1" si="403"/>
        <v>366.17582561321183</v>
      </c>
      <c r="O128" s="459">
        <f t="shared" ca="1" si="403"/>
        <v>370.4617093004756</v>
      </c>
      <c r="P128" s="459">
        <f t="shared" ca="1" si="403"/>
        <v>390.62783863562129</v>
      </c>
      <c r="Q128" s="459">
        <f t="shared" ca="1" si="403"/>
        <v>398.36793115552564</v>
      </c>
      <c r="R128" s="459">
        <f t="shared" ca="1" si="403"/>
        <v>418.09594985133344</v>
      </c>
      <c r="S128" s="459">
        <f t="shared" ca="1" si="403"/>
        <v>431.78249306135433</v>
      </c>
      <c r="T128" s="459">
        <f t="shared" ca="1" si="403"/>
        <v>445.97344612675465</v>
      </c>
      <c r="U128" s="459">
        <f t="shared" ca="1" si="403"/>
        <v>461.23573839948006</v>
      </c>
      <c r="V128" s="459">
        <f t="shared" ca="1" si="403"/>
        <v>477.06530373492603</v>
      </c>
      <c r="W128" s="459">
        <f t="shared" ca="1" si="403"/>
        <v>496.4655669914647</v>
      </c>
      <c r="X128" s="459">
        <f ca="1">X141+X152+X163</f>
        <v>510.7498351535254</v>
      </c>
      <c r="Y128" s="459">
        <f t="shared" ca="1" si="403"/>
        <v>534.56891063532544</v>
      </c>
      <c r="Z128" s="459">
        <f t="shared" ca="1" si="403"/>
        <v>548.28993777213429</v>
      </c>
      <c r="AA128" s="459">
        <f t="shared" ca="1" si="403"/>
        <v>579.88759722570421</v>
      </c>
      <c r="AB128" s="459">
        <f t="shared" ca="1" si="403"/>
        <v>612.50040560092111</v>
      </c>
      <c r="AC128" s="459">
        <f t="shared" ca="1" si="403"/>
        <v>641.53740853910176</v>
      </c>
      <c r="AD128" s="459">
        <f t="shared" ca="1" si="403"/>
        <v>657.24432387558545</v>
      </c>
      <c r="AE128" s="459">
        <f t="shared" ca="1" si="403"/>
        <v>691.44465818142339</v>
      </c>
      <c r="AF128" s="459">
        <f t="shared" ca="1" si="403"/>
        <v>0</v>
      </c>
      <c r="AG128" s="459">
        <f t="shared" ca="1" si="403"/>
        <v>0</v>
      </c>
      <c r="AH128" s="459">
        <f t="shared" ca="1" si="403"/>
        <v>0</v>
      </c>
      <c r="AI128" s="459">
        <f t="shared" ca="1" si="403"/>
        <v>0</v>
      </c>
      <c r="AJ128" s="459">
        <f t="shared" ca="1" si="403"/>
        <v>0</v>
      </c>
      <c r="AK128" s="459">
        <f t="shared" ca="1" si="403"/>
        <v>0</v>
      </c>
      <c r="AL128" s="459">
        <f t="shared" ca="1" si="403"/>
        <v>0</v>
      </c>
      <c r="AM128" s="459">
        <f t="shared" ca="1" si="403"/>
        <v>0</v>
      </c>
      <c r="AN128" s="459">
        <f t="shared" ca="1" si="403"/>
        <v>0</v>
      </c>
      <c r="AO128" s="459">
        <f t="shared" ca="1" si="403"/>
        <v>0</v>
      </c>
      <c r="AP128" s="459">
        <f t="shared" ca="1" si="403"/>
        <v>0</v>
      </c>
      <c r="AQ128" s="459">
        <f t="shared" ca="1" si="403"/>
        <v>0</v>
      </c>
      <c r="AR128" s="459">
        <f t="shared" ca="1" si="403"/>
        <v>0</v>
      </c>
      <c r="AS128" s="459">
        <f t="shared" ca="1" si="403"/>
        <v>0</v>
      </c>
      <c r="AT128" s="459">
        <f t="shared" ca="1" si="403"/>
        <v>0</v>
      </c>
      <c r="AU128" s="459">
        <f t="shared" ca="1" si="403"/>
        <v>0</v>
      </c>
      <c r="AV128" s="459">
        <f t="shared" ca="1" si="403"/>
        <v>0</v>
      </c>
      <c r="AW128" s="459">
        <f t="shared" ca="1" si="403"/>
        <v>0</v>
      </c>
      <c r="AX128" s="459">
        <f t="shared" ca="1" si="403"/>
        <v>0</v>
      </c>
      <c r="AY128" s="459">
        <f t="shared" ca="1" si="403"/>
        <v>0</v>
      </c>
      <c r="AZ128" s="459">
        <f t="shared" ca="1" si="403"/>
        <v>0</v>
      </c>
      <c r="BA128" s="459">
        <f t="shared" ca="1" si="403"/>
        <v>0</v>
      </c>
      <c r="BB128" s="459">
        <f t="shared" ca="1" si="403"/>
        <v>0</v>
      </c>
      <c r="BC128" s="459">
        <f t="shared" ca="1" si="403"/>
        <v>0</v>
      </c>
      <c r="BD128" s="459">
        <f t="shared" ca="1" si="403"/>
        <v>0</v>
      </c>
      <c r="BE128" s="459">
        <f t="shared" ca="1" si="403"/>
        <v>0</v>
      </c>
      <c r="BF128" s="459">
        <f t="shared" ca="1" si="403"/>
        <v>0</v>
      </c>
      <c r="BG128" s="459">
        <f t="shared" ca="1" si="403"/>
        <v>0</v>
      </c>
      <c r="BH128" s="459">
        <f t="shared" ca="1" si="403"/>
        <v>0</v>
      </c>
      <c r="BI128" s="459">
        <f t="shared" ca="1" si="403"/>
        <v>0</v>
      </c>
      <c r="BJ128" s="459">
        <f t="shared" ca="1" si="403"/>
        <v>0</v>
      </c>
      <c r="BK128" s="459">
        <f t="shared" ca="1" si="403"/>
        <v>0</v>
      </c>
      <c r="BL128" s="459">
        <f t="shared" ca="1" si="403"/>
        <v>0</v>
      </c>
      <c r="BM128" s="459">
        <f t="shared" ca="1" si="403"/>
        <v>0</v>
      </c>
      <c r="BN128" s="459">
        <f t="shared" ca="1" si="403"/>
        <v>0</v>
      </c>
      <c r="BO128" s="459">
        <f t="shared" ca="1" si="403"/>
        <v>0</v>
      </c>
      <c r="BP128" s="459"/>
      <c r="BQ128" s="459"/>
      <c r="BR128" s="459"/>
      <c r="BS128" s="459"/>
      <c r="BT128" s="459"/>
      <c r="BU128" s="459"/>
      <c r="BV128" s="459"/>
      <c r="BW128" s="459"/>
      <c r="BX128" s="459"/>
      <c r="BY128" s="459"/>
      <c r="BZ128" s="459"/>
      <c r="CA128" s="459"/>
      <c r="CB128" s="459"/>
      <c r="CC128" s="459"/>
      <c r="CD128" s="459"/>
      <c r="CE128" s="459"/>
      <c r="CF128" s="459"/>
      <c r="CG128" s="459"/>
      <c r="CH128" s="459"/>
      <c r="CI128" s="459"/>
      <c r="CJ128" s="459"/>
      <c r="CK128" s="459"/>
      <c r="CL128" s="459"/>
      <c r="CM128" s="459"/>
      <c r="CN128" s="459"/>
      <c r="CO128" s="459"/>
      <c r="CP128" s="459"/>
      <c r="CQ128" s="459"/>
      <c r="CR128" s="459"/>
      <c r="CS128" s="459"/>
      <c r="CT128" s="459"/>
      <c r="CU128" s="459"/>
      <c r="CV128" s="459"/>
      <c r="CW128" s="459"/>
      <c r="CX128" s="459"/>
      <c r="CY128" s="459"/>
      <c r="CZ128" s="459"/>
      <c r="DA128" s="459"/>
      <c r="DB128" s="459"/>
      <c r="DC128" s="459"/>
      <c r="DD128" s="459"/>
      <c r="DE128" s="459"/>
      <c r="DF128" s="459"/>
      <c r="DG128" s="459"/>
      <c r="DH128" s="459"/>
      <c r="DI128" s="459"/>
      <c r="DJ128" s="459"/>
      <c r="DK128" s="459"/>
      <c r="DL128" s="459"/>
      <c r="DM128" s="459"/>
      <c r="DN128" s="459"/>
      <c r="DO128" s="459"/>
      <c r="DP128" s="459"/>
      <c r="DQ128" s="459"/>
      <c r="DR128" s="459"/>
      <c r="DS128" s="459"/>
      <c r="DT128" s="459"/>
      <c r="DU128" s="459"/>
      <c r="DV128" s="459"/>
      <c r="DW128" s="459"/>
    </row>
    <row r="129" spans="1:148">
      <c r="A129" s="874" t="s">
        <v>1154</v>
      </c>
      <c r="B129" s="703"/>
      <c r="C129" s="703"/>
      <c r="D129" s="610"/>
      <c r="E129" s="610"/>
      <c r="F129" s="537"/>
      <c r="G129" s="459">
        <f ca="1">G142+G153+G164</f>
        <v>15790.435806400885</v>
      </c>
      <c r="H129" s="459">
        <f ca="1">H142+H153+H164</f>
        <v>16091.374602884296</v>
      </c>
      <c r="I129" s="459">
        <f t="shared" ref="I129:BO129" ca="1" si="404">I142+I153+I164</f>
        <v>16399.34540163241</v>
      </c>
      <c r="J129" s="459">
        <f t="shared" ca="1" si="404"/>
        <v>16724.632030525354</v>
      </c>
      <c r="K129" s="459">
        <f t="shared" ca="1" si="404"/>
        <v>17051.24291931474</v>
      </c>
      <c r="L129" s="459">
        <f t="shared" ca="1" si="404"/>
        <v>17394.844112553106</v>
      </c>
      <c r="M129" s="459">
        <f t="shared" ca="1" si="404"/>
        <v>17739.407997409326</v>
      </c>
      <c r="N129" s="459">
        <f t="shared" ca="1" si="404"/>
        <v>18105.583823022538</v>
      </c>
      <c r="O129" s="459">
        <f t="shared" ca="1" si="404"/>
        <v>18476.045532323013</v>
      </c>
      <c r="P129" s="459">
        <f t="shared" ca="1" si="404"/>
        <v>18866.673370958633</v>
      </c>
      <c r="Q129" s="459">
        <f t="shared" ca="1" si="404"/>
        <v>19265.041302114158</v>
      </c>
      <c r="R129" s="459">
        <f t="shared" ca="1" si="404"/>
        <v>19683.137251965491</v>
      </c>
      <c r="S129" s="459">
        <f t="shared" ca="1" si="404"/>
        <v>20114.919745026844</v>
      </c>
      <c r="T129" s="459">
        <f t="shared" ca="1" si="404"/>
        <v>20560.893191153598</v>
      </c>
      <c r="U129" s="459">
        <f t="shared" ca="1" si="404"/>
        <v>21022.128929553077</v>
      </c>
      <c r="V129" s="459">
        <f t="shared" ca="1" si="404"/>
        <v>21499.194233288003</v>
      </c>
      <c r="W129" s="459">
        <f t="shared" ca="1" si="404"/>
        <v>21995.659800279467</v>
      </c>
      <c r="X129" s="459">
        <f t="shared" ca="1" si="404"/>
        <v>22506.409635432992</v>
      </c>
      <c r="Y129" s="459">
        <f t="shared" ca="1" si="404"/>
        <v>23040.978546068316</v>
      </c>
      <c r="Z129" s="459">
        <f t="shared" ca="1" si="404"/>
        <v>23589.268483840449</v>
      </c>
      <c r="AA129" s="459">
        <f t="shared" ca="1" si="404"/>
        <v>24169.156081066154</v>
      </c>
      <c r="AB129" s="459">
        <f t="shared" ca="1" si="404"/>
        <v>24781.656486667074</v>
      </c>
      <c r="AC129" s="459">
        <f t="shared" ca="1" si="404"/>
        <v>25423.193895206176</v>
      </c>
      <c r="AD129" s="459">
        <f t="shared" ca="1" si="404"/>
        <v>26080.43821908176</v>
      </c>
      <c r="AE129" s="459">
        <f t="shared" ca="1" si="404"/>
        <v>26771.882877263182</v>
      </c>
      <c r="AF129" s="459">
        <f t="shared" ca="1" si="404"/>
        <v>26547.766309350722</v>
      </c>
      <c r="AG129" s="459">
        <f t="shared" ca="1" si="404"/>
        <v>26464.554451404663</v>
      </c>
      <c r="AH129" s="459">
        <f t="shared" ca="1" si="404"/>
        <v>26205.84860345933</v>
      </c>
      <c r="AI129" s="459">
        <f t="shared" ca="1" si="404"/>
        <v>26090.806625221659</v>
      </c>
      <c r="AJ129" s="459">
        <f t="shared" ca="1" si="404"/>
        <v>24148.468479513922</v>
      </c>
      <c r="AK129" s="459">
        <f t="shared" ca="1" si="404"/>
        <v>22561.051767745477</v>
      </c>
      <c r="AL129" s="459">
        <f t="shared" ca="1" si="404"/>
        <v>20604.210210965295</v>
      </c>
      <c r="AM129" s="459">
        <f t="shared" ca="1" si="404"/>
        <v>18813.234596542286</v>
      </c>
      <c r="AN129" s="459">
        <f t="shared" ca="1" si="404"/>
        <v>16649.135040439658</v>
      </c>
      <c r="AO129" s="459">
        <f t="shared" ca="1" si="404"/>
        <v>14657.17140833056</v>
      </c>
      <c r="AP129" s="459">
        <f t="shared" ca="1" si="404"/>
        <v>12278.025539387389</v>
      </c>
      <c r="AQ129" s="459">
        <f t="shared" ca="1" si="404"/>
        <v>10064.10068586003</v>
      </c>
      <c r="AR129" s="459">
        <f t="shared" ca="1" si="404"/>
        <v>7437.4117527864109</v>
      </c>
      <c r="AS129" s="459">
        <f t="shared" ca="1" si="404"/>
        <v>4993.8022752398856</v>
      </c>
      <c r="AT129" s="459">
        <f t="shared" ca="1" si="404"/>
        <v>2108.1666964607866</v>
      </c>
      <c r="AU129" s="459">
        <f t="shared" ca="1" si="404"/>
        <v>0</v>
      </c>
      <c r="AV129" s="459">
        <f t="shared" ca="1" si="404"/>
        <v>0</v>
      </c>
      <c r="AW129" s="459">
        <f t="shared" ca="1" si="404"/>
        <v>0</v>
      </c>
      <c r="AX129" s="459">
        <f t="shared" ca="1" si="404"/>
        <v>0</v>
      </c>
      <c r="AY129" s="459">
        <f t="shared" ca="1" si="404"/>
        <v>0</v>
      </c>
      <c r="AZ129" s="459">
        <f t="shared" ca="1" si="404"/>
        <v>0</v>
      </c>
      <c r="BA129" s="459">
        <f t="shared" ca="1" si="404"/>
        <v>0</v>
      </c>
      <c r="BB129" s="459">
        <f t="shared" ca="1" si="404"/>
        <v>0</v>
      </c>
      <c r="BC129" s="459">
        <f t="shared" ca="1" si="404"/>
        <v>0</v>
      </c>
      <c r="BD129" s="459">
        <f t="shared" ca="1" si="404"/>
        <v>0</v>
      </c>
      <c r="BE129" s="459">
        <f t="shared" ca="1" si="404"/>
        <v>0</v>
      </c>
      <c r="BF129" s="459">
        <f t="shared" ca="1" si="404"/>
        <v>0</v>
      </c>
      <c r="BG129" s="459">
        <f t="shared" ca="1" si="404"/>
        <v>0</v>
      </c>
      <c r="BH129" s="459">
        <f t="shared" ca="1" si="404"/>
        <v>0</v>
      </c>
      <c r="BI129" s="459">
        <f t="shared" ca="1" si="404"/>
        <v>0</v>
      </c>
      <c r="BJ129" s="459">
        <f t="shared" ca="1" si="404"/>
        <v>0</v>
      </c>
      <c r="BK129" s="459">
        <f t="shared" ca="1" si="404"/>
        <v>0</v>
      </c>
      <c r="BL129" s="459">
        <f t="shared" ca="1" si="404"/>
        <v>0</v>
      </c>
      <c r="BM129" s="459">
        <f t="shared" ca="1" si="404"/>
        <v>0</v>
      </c>
      <c r="BN129" s="459">
        <f t="shared" ca="1" si="404"/>
        <v>0</v>
      </c>
      <c r="BO129" s="459">
        <f t="shared" ca="1" si="404"/>
        <v>0</v>
      </c>
      <c r="BP129" s="459"/>
      <c r="BQ129" s="459"/>
      <c r="BR129" s="459"/>
      <c r="BS129" s="459"/>
      <c r="BT129" s="459"/>
      <c r="BU129" s="459"/>
      <c r="BV129" s="459"/>
      <c r="BW129" s="459"/>
      <c r="BX129" s="459"/>
      <c r="BY129" s="459"/>
      <c r="BZ129" s="459"/>
      <c r="CA129" s="459"/>
      <c r="CB129" s="459"/>
      <c r="CC129" s="459"/>
      <c r="CD129" s="459"/>
      <c r="CE129" s="459"/>
      <c r="CF129" s="459"/>
      <c r="CG129" s="459"/>
      <c r="CH129" s="459"/>
      <c r="CI129" s="459"/>
      <c r="CJ129" s="459"/>
      <c r="CK129" s="459"/>
      <c r="CL129" s="459"/>
      <c r="CM129" s="459"/>
      <c r="CN129" s="459"/>
      <c r="CO129" s="459"/>
      <c r="CP129" s="459"/>
      <c r="CQ129" s="459"/>
      <c r="CR129" s="459"/>
      <c r="CS129" s="459"/>
      <c r="CT129" s="459"/>
      <c r="CU129" s="459"/>
      <c r="CV129" s="459"/>
      <c r="CW129" s="459"/>
      <c r="CX129" s="459"/>
      <c r="CY129" s="459"/>
      <c r="CZ129" s="459"/>
      <c r="DA129" s="459"/>
      <c r="DB129" s="459"/>
      <c r="DC129" s="459"/>
      <c r="DD129" s="459"/>
      <c r="DE129" s="459"/>
      <c r="DF129" s="459"/>
      <c r="DG129" s="459"/>
      <c r="DH129" s="459"/>
      <c r="DI129" s="459"/>
      <c r="DJ129" s="459"/>
      <c r="DK129" s="459"/>
      <c r="DL129" s="459"/>
      <c r="DM129" s="459"/>
      <c r="DN129" s="459"/>
      <c r="DO129" s="459"/>
      <c r="DP129" s="459"/>
      <c r="DQ129" s="459"/>
      <c r="DR129" s="459"/>
      <c r="DS129" s="459"/>
      <c r="DT129" s="459"/>
      <c r="DU129" s="459"/>
      <c r="DV129" s="459"/>
      <c r="DW129" s="459"/>
    </row>
    <row r="130" spans="1:148" s="481" customFormat="1">
      <c r="A130" s="322" t="s">
        <v>1248</v>
      </c>
      <c r="B130" s="707"/>
      <c r="C130" s="707"/>
      <c r="D130" s="387"/>
      <c r="E130" s="387"/>
      <c r="F130" s="537"/>
      <c r="G130" s="497">
        <f t="shared" ref="G130:AL130" ca="1" si="405">G125+G126+G127-G128</f>
        <v>0</v>
      </c>
      <c r="H130" s="497">
        <f ca="1">H125+H126+H127-H128</f>
        <v>335.87001192815342</v>
      </c>
      <c r="I130" s="497">
        <f t="shared" ca="1" si="405"/>
        <v>330.39387042932458</v>
      </c>
      <c r="J130" s="497">
        <f t="shared" ca="1" si="405"/>
        <v>336.07875278384927</v>
      </c>
      <c r="K130" s="497">
        <f t="shared" ca="1" si="405"/>
        <v>340.5415560447218</v>
      </c>
      <c r="L130" s="497">
        <f t="shared" ca="1" si="405"/>
        <v>344.05441161728459</v>
      </c>
      <c r="M130" s="497">
        <f t="shared" ca="1" si="405"/>
        <v>345.51102678698453</v>
      </c>
      <c r="N130" s="497">
        <f t="shared" ca="1" si="405"/>
        <v>349.23262841929591</v>
      </c>
      <c r="O130" s="497">
        <f t="shared" ca="1" si="405"/>
        <v>347.80912291148707</v>
      </c>
      <c r="P130" s="497">
        <f t="shared" ca="1" si="405"/>
        <v>354.48829899669317</v>
      </c>
      <c r="Q130" s="497">
        <f t="shared" ca="1" si="405"/>
        <v>350.09626175264157</v>
      </c>
      <c r="R130" s="497">
        <f t="shared" ca="1" si="405"/>
        <v>358.83941444214724</v>
      </c>
      <c r="S130" s="497">
        <f t="shared" ca="1" si="405"/>
        <v>353.38594088006357</v>
      </c>
      <c r="T130" s="497">
        <f t="shared" ca="1" si="405"/>
        <v>365.23646797405399</v>
      </c>
      <c r="U130" s="497">
        <f t="shared" ca="1" si="405"/>
        <v>354.44024353998338</v>
      </c>
      <c r="V130" s="497">
        <f t="shared" ca="1" si="405"/>
        <v>370.73123830074883</v>
      </c>
      <c r="W130" s="497">
        <f t="shared" ca="1" si="405"/>
        <v>356.43397409897443</v>
      </c>
      <c r="X130" s="497">
        <f t="shared" ca="1" si="405"/>
        <v>376.30800665500556</v>
      </c>
      <c r="Y130" s="497">
        <f t="shared" ca="1" si="405"/>
        <v>358.28810723061906</v>
      </c>
      <c r="Z130" s="497">
        <f t="shared" ca="1" si="405"/>
        <v>380.92432030492228</v>
      </c>
      <c r="AA130" s="497">
        <f t="shared" ca="1" si="405"/>
        <v>361.09801681461613</v>
      </c>
      <c r="AB130" s="497">
        <f t="shared" ca="1" si="405"/>
        <v>362.21186155878786</v>
      </c>
      <c r="AC130" s="497">
        <f t="shared" ca="1" si="405"/>
        <v>341.58145701415651</v>
      </c>
      <c r="AD130" s="497">
        <f t="shared" ca="1" si="405"/>
        <v>368.04174225437328</v>
      </c>
      <c r="AE130" s="497">
        <f t="shared" ca="1" si="405"/>
        <v>343.19847993447775</v>
      </c>
      <c r="AF130" s="497">
        <f t="shared" ca="1" si="405"/>
        <v>1303.7935979215406</v>
      </c>
      <c r="AG130" s="497">
        <f t="shared" ca="1" si="405"/>
        <v>1136.394477560847</v>
      </c>
      <c r="AH130" s="497">
        <f t="shared" ca="1" si="405"/>
        <v>1325.9887014375968</v>
      </c>
      <c r="AI130" s="497">
        <f t="shared" ca="1" si="405"/>
        <v>1160.4040485564847</v>
      </c>
      <c r="AJ130" s="497">
        <f t="shared" ca="1" si="405"/>
        <v>2994.5482101550338</v>
      </c>
      <c r="AK130" s="497">
        <f t="shared" ca="1" si="405"/>
        <v>2545.4162284351887</v>
      </c>
      <c r="AL130" s="497">
        <f t="shared" ca="1" si="405"/>
        <v>2866.7009595780269</v>
      </c>
      <c r="AM130" s="497">
        <f t="shared" ref="AM130:BO130" ca="1" si="406">AM125+AM126+AM127-AM128</f>
        <v>2608.3700359429458</v>
      </c>
      <c r="AN130" s="497">
        <f t="shared" ca="1" si="406"/>
        <v>2922.8141129823598</v>
      </c>
      <c r="AO130" s="497">
        <f t="shared" ca="1" si="406"/>
        <v>2652.4553454942106</v>
      </c>
      <c r="AP130" s="497">
        <f t="shared" ca="1" si="406"/>
        <v>2970.2515213558436</v>
      </c>
      <c r="AQ130" s="497">
        <f t="shared" ca="1" si="406"/>
        <v>2703.7003380574424</v>
      </c>
      <c r="AR130" s="497">
        <f t="shared" ca="1" si="406"/>
        <v>3032.5617059389888</v>
      </c>
      <c r="AS130" s="497">
        <f t="shared" ca="1" si="406"/>
        <v>2738.6607711913121</v>
      </c>
      <c r="AT130" s="497">
        <f t="shared" ca="1" si="406"/>
        <v>3087.0294677969923</v>
      </c>
      <c r="AU130" s="497">
        <f t="shared" ca="1" si="406"/>
        <v>2191.8002684190119</v>
      </c>
      <c r="AV130" s="497">
        <f t="shared" ca="1" si="406"/>
        <v>0</v>
      </c>
      <c r="AW130" s="497">
        <f t="shared" ca="1" si="406"/>
        <v>0</v>
      </c>
      <c r="AX130" s="497">
        <f t="shared" ca="1" si="406"/>
        <v>0</v>
      </c>
      <c r="AY130" s="497">
        <f t="shared" ca="1" si="406"/>
        <v>0</v>
      </c>
      <c r="AZ130" s="497">
        <f t="shared" ca="1" si="406"/>
        <v>0</v>
      </c>
      <c r="BA130" s="497">
        <f t="shared" ca="1" si="406"/>
        <v>0</v>
      </c>
      <c r="BB130" s="497">
        <f t="shared" ca="1" si="406"/>
        <v>0</v>
      </c>
      <c r="BC130" s="497">
        <f t="shared" ca="1" si="406"/>
        <v>0</v>
      </c>
      <c r="BD130" s="497">
        <f t="shared" ca="1" si="406"/>
        <v>0</v>
      </c>
      <c r="BE130" s="497">
        <f t="shared" ca="1" si="406"/>
        <v>0</v>
      </c>
      <c r="BF130" s="497">
        <f t="shared" ca="1" si="406"/>
        <v>0</v>
      </c>
      <c r="BG130" s="497">
        <f t="shared" ca="1" si="406"/>
        <v>0</v>
      </c>
      <c r="BH130" s="497">
        <f t="shared" ca="1" si="406"/>
        <v>0</v>
      </c>
      <c r="BI130" s="497">
        <f t="shared" ca="1" si="406"/>
        <v>0</v>
      </c>
      <c r="BJ130" s="497">
        <f t="shared" ca="1" si="406"/>
        <v>0</v>
      </c>
      <c r="BK130" s="497">
        <f t="shared" ca="1" si="406"/>
        <v>0</v>
      </c>
      <c r="BL130" s="497">
        <f t="shared" ca="1" si="406"/>
        <v>0</v>
      </c>
      <c r="BM130" s="497">
        <f t="shared" ca="1" si="406"/>
        <v>0</v>
      </c>
      <c r="BN130" s="497">
        <f t="shared" ca="1" si="406"/>
        <v>0</v>
      </c>
      <c r="BO130" s="497">
        <f t="shared" ca="1" si="406"/>
        <v>0</v>
      </c>
      <c r="BP130" s="497"/>
      <c r="BQ130" s="497"/>
      <c r="BR130" s="497"/>
      <c r="BS130" s="497"/>
      <c r="BT130" s="497"/>
      <c r="BU130" s="497"/>
      <c r="BV130" s="497"/>
      <c r="BW130" s="497"/>
      <c r="BX130" s="497"/>
      <c r="BY130" s="497"/>
      <c r="BZ130" s="497"/>
      <c r="CA130" s="497"/>
      <c r="CB130" s="497"/>
      <c r="CC130" s="497"/>
      <c r="CD130" s="497"/>
      <c r="CE130" s="497"/>
      <c r="CF130" s="497"/>
      <c r="CG130" s="497"/>
      <c r="CH130" s="497"/>
      <c r="CI130" s="497"/>
      <c r="CJ130" s="497"/>
      <c r="CK130" s="497"/>
      <c r="CL130" s="497"/>
      <c r="CM130" s="497"/>
      <c r="CN130" s="497"/>
      <c r="CO130" s="497"/>
      <c r="CP130" s="497"/>
      <c r="CQ130" s="497"/>
      <c r="CR130" s="497"/>
      <c r="CS130" s="497"/>
      <c r="CT130" s="497"/>
      <c r="CU130" s="497"/>
      <c r="CV130" s="497"/>
      <c r="CW130" s="497"/>
      <c r="CX130" s="497"/>
      <c r="CY130" s="497"/>
      <c r="CZ130" s="497"/>
      <c r="DA130" s="497"/>
      <c r="DB130" s="497"/>
      <c r="DC130" s="497"/>
      <c r="DD130" s="497"/>
      <c r="DE130" s="497"/>
      <c r="DF130" s="497"/>
      <c r="DG130" s="497"/>
      <c r="DH130" s="497"/>
      <c r="DI130" s="497"/>
      <c r="DJ130" s="497"/>
      <c r="DK130" s="497"/>
      <c r="DL130" s="497"/>
      <c r="DM130" s="497"/>
      <c r="DN130" s="497"/>
      <c r="DO130" s="497"/>
      <c r="DP130" s="497"/>
      <c r="DQ130" s="497"/>
      <c r="DR130" s="497"/>
      <c r="DS130" s="497"/>
      <c r="DT130" s="497"/>
      <c r="DU130" s="497"/>
      <c r="DV130" s="497"/>
      <c r="DW130" s="497"/>
    </row>
    <row r="131" spans="1:148" s="481" customFormat="1">
      <c r="A131" s="322" t="s">
        <v>1249</v>
      </c>
      <c r="B131" s="707"/>
      <c r="C131" s="707"/>
      <c r="D131" s="610"/>
      <c r="E131" s="610"/>
      <c r="F131" s="373"/>
      <c r="G131" s="497">
        <f t="shared" ref="G131:AL131" ca="1" si="407">G125+G127-G128</f>
        <v>0</v>
      </c>
      <c r="H131" s="497">
        <f ca="1">H125+H127-H128</f>
        <v>335.87001192815342</v>
      </c>
      <c r="I131" s="497">
        <f t="shared" ca="1" si="407"/>
        <v>330.39387042932458</v>
      </c>
      <c r="J131" s="497">
        <f t="shared" ca="1" si="407"/>
        <v>336.07875278384927</v>
      </c>
      <c r="K131" s="497">
        <f t="shared" ca="1" si="407"/>
        <v>340.5415560447218</v>
      </c>
      <c r="L131" s="497">
        <f t="shared" ca="1" si="407"/>
        <v>344.05441161728459</v>
      </c>
      <c r="M131" s="497">
        <f t="shared" ca="1" si="407"/>
        <v>345.51102678698453</v>
      </c>
      <c r="N131" s="497">
        <f t="shared" ca="1" si="407"/>
        <v>349.23262841929591</v>
      </c>
      <c r="O131" s="497">
        <f t="shared" ca="1" si="407"/>
        <v>347.80912291148707</v>
      </c>
      <c r="P131" s="497">
        <f t="shared" ca="1" si="407"/>
        <v>354.48829899669317</v>
      </c>
      <c r="Q131" s="497">
        <f t="shared" ca="1" si="407"/>
        <v>350.09626175264157</v>
      </c>
      <c r="R131" s="497">
        <f t="shared" ca="1" si="407"/>
        <v>358.83941444214724</v>
      </c>
      <c r="S131" s="497">
        <f t="shared" ca="1" si="407"/>
        <v>353.38594088006357</v>
      </c>
      <c r="T131" s="497">
        <f t="shared" ca="1" si="407"/>
        <v>365.23646797405399</v>
      </c>
      <c r="U131" s="497">
        <f t="shared" ca="1" si="407"/>
        <v>354.44024353998338</v>
      </c>
      <c r="V131" s="497">
        <f t="shared" ca="1" si="407"/>
        <v>370.73123830074883</v>
      </c>
      <c r="W131" s="497">
        <f t="shared" ca="1" si="407"/>
        <v>356.43397409897443</v>
      </c>
      <c r="X131" s="497">
        <f ca="1">X125+X127-X128</f>
        <v>376.30800665500556</v>
      </c>
      <c r="Y131" s="497">
        <f t="shared" ca="1" si="407"/>
        <v>358.28810723061906</v>
      </c>
      <c r="Z131" s="497">
        <f t="shared" ca="1" si="407"/>
        <v>380.92432030492228</v>
      </c>
      <c r="AA131" s="497">
        <f t="shared" ca="1" si="407"/>
        <v>361.09801681461613</v>
      </c>
      <c r="AB131" s="497">
        <f t="shared" ca="1" si="407"/>
        <v>362.21186155878786</v>
      </c>
      <c r="AC131" s="497">
        <f t="shared" ca="1" si="407"/>
        <v>341.58145701415651</v>
      </c>
      <c r="AD131" s="497">
        <f t="shared" ca="1" si="407"/>
        <v>368.04174225437328</v>
      </c>
      <c r="AE131" s="497">
        <f t="shared" ca="1" si="407"/>
        <v>343.19847993447775</v>
      </c>
      <c r="AF131" s="497">
        <f t="shared" ca="1" si="407"/>
        <v>1303.7935979215406</v>
      </c>
      <c r="AG131" s="497">
        <f t="shared" ca="1" si="407"/>
        <v>1136.394477560847</v>
      </c>
      <c r="AH131" s="497">
        <f t="shared" ca="1" si="407"/>
        <v>1325.9887014375968</v>
      </c>
      <c r="AI131" s="497">
        <f t="shared" ca="1" si="407"/>
        <v>1160.4040485564847</v>
      </c>
      <c r="AJ131" s="497">
        <f t="shared" ca="1" si="407"/>
        <v>2994.5482101550338</v>
      </c>
      <c r="AK131" s="497">
        <f t="shared" ca="1" si="407"/>
        <v>2545.4162284351887</v>
      </c>
      <c r="AL131" s="497">
        <f t="shared" ca="1" si="407"/>
        <v>2866.7009595780269</v>
      </c>
      <c r="AM131" s="497">
        <f t="shared" ref="AM131:BO131" ca="1" si="408">AM125+AM127-AM128</f>
        <v>2608.3700359429458</v>
      </c>
      <c r="AN131" s="497">
        <f t="shared" ca="1" si="408"/>
        <v>2922.8141129823598</v>
      </c>
      <c r="AO131" s="497">
        <f t="shared" ca="1" si="408"/>
        <v>2652.4553454942106</v>
      </c>
      <c r="AP131" s="497">
        <f t="shared" ca="1" si="408"/>
        <v>2970.2515213558436</v>
      </c>
      <c r="AQ131" s="497">
        <f t="shared" ca="1" si="408"/>
        <v>2703.7003380574424</v>
      </c>
      <c r="AR131" s="497">
        <f t="shared" ca="1" si="408"/>
        <v>3032.5617059389888</v>
      </c>
      <c r="AS131" s="497">
        <f t="shared" ca="1" si="408"/>
        <v>2738.6607711913121</v>
      </c>
      <c r="AT131" s="497">
        <f t="shared" ca="1" si="408"/>
        <v>3087.0294677969923</v>
      </c>
      <c r="AU131" s="497">
        <f t="shared" ca="1" si="408"/>
        <v>2191.8002684190119</v>
      </c>
      <c r="AV131" s="497">
        <f t="shared" ca="1" si="408"/>
        <v>0</v>
      </c>
      <c r="AW131" s="497">
        <f t="shared" ca="1" si="408"/>
        <v>0</v>
      </c>
      <c r="AX131" s="497">
        <f t="shared" ca="1" si="408"/>
        <v>0</v>
      </c>
      <c r="AY131" s="497">
        <f t="shared" ca="1" si="408"/>
        <v>0</v>
      </c>
      <c r="AZ131" s="497">
        <f t="shared" ca="1" si="408"/>
        <v>0</v>
      </c>
      <c r="BA131" s="497">
        <f t="shared" ca="1" si="408"/>
        <v>0</v>
      </c>
      <c r="BB131" s="497">
        <f t="shared" ca="1" si="408"/>
        <v>0</v>
      </c>
      <c r="BC131" s="497">
        <f t="shared" ca="1" si="408"/>
        <v>0</v>
      </c>
      <c r="BD131" s="497">
        <f t="shared" ca="1" si="408"/>
        <v>0</v>
      </c>
      <c r="BE131" s="497">
        <f t="shared" ca="1" si="408"/>
        <v>0</v>
      </c>
      <c r="BF131" s="497">
        <f t="shared" ca="1" si="408"/>
        <v>0</v>
      </c>
      <c r="BG131" s="497">
        <f t="shared" ca="1" si="408"/>
        <v>0</v>
      </c>
      <c r="BH131" s="497">
        <f t="shared" ca="1" si="408"/>
        <v>0</v>
      </c>
      <c r="BI131" s="497">
        <f t="shared" ca="1" si="408"/>
        <v>0</v>
      </c>
      <c r="BJ131" s="497">
        <f t="shared" ca="1" si="408"/>
        <v>0</v>
      </c>
      <c r="BK131" s="497">
        <f t="shared" ca="1" si="408"/>
        <v>0</v>
      </c>
      <c r="BL131" s="497">
        <f t="shared" ca="1" si="408"/>
        <v>0</v>
      </c>
      <c r="BM131" s="497">
        <f t="shared" ca="1" si="408"/>
        <v>0</v>
      </c>
      <c r="BN131" s="497">
        <f t="shared" ca="1" si="408"/>
        <v>0</v>
      </c>
      <c r="BO131" s="497">
        <f t="shared" ca="1" si="408"/>
        <v>0</v>
      </c>
      <c r="BP131" s="497"/>
      <c r="BQ131" s="497"/>
      <c r="BR131" s="497"/>
      <c r="BS131" s="497"/>
      <c r="BT131" s="497"/>
      <c r="BU131" s="497"/>
      <c r="BV131" s="497"/>
      <c r="BW131" s="497"/>
      <c r="BX131" s="497"/>
      <c r="BY131" s="497"/>
      <c r="BZ131" s="497"/>
      <c r="CA131" s="497"/>
      <c r="CB131" s="497"/>
      <c r="CC131" s="497"/>
      <c r="CD131" s="497"/>
      <c r="CE131" s="497"/>
      <c r="CF131" s="497"/>
      <c r="CG131" s="497"/>
      <c r="CH131" s="497"/>
      <c r="CI131" s="497"/>
      <c r="CJ131" s="497"/>
      <c r="CK131" s="497"/>
      <c r="CL131" s="497"/>
      <c r="CM131" s="497"/>
      <c r="CN131" s="497"/>
      <c r="CO131" s="497"/>
      <c r="CP131" s="497"/>
      <c r="CQ131" s="497"/>
      <c r="CR131" s="497"/>
      <c r="CS131" s="497"/>
      <c r="CT131" s="497"/>
      <c r="CU131" s="497"/>
      <c r="CV131" s="497"/>
      <c r="CW131" s="497"/>
      <c r="CX131" s="497"/>
      <c r="CY131" s="497"/>
      <c r="CZ131" s="497"/>
      <c r="DA131" s="497"/>
      <c r="DB131" s="497"/>
      <c r="DC131" s="497"/>
      <c r="DD131" s="497"/>
      <c r="DE131" s="497"/>
      <c r="DF131" s="497"/>
      <c r="DG131" s="497"/>
      <c r="DH131" s="497"/>
      <c r="DI131" s="497"/>
      <c r="DJ131" s="497"/>
      <c r="DK131" s="497"/>
      <c r="DL131" s="497"/>
      <c r="DM131" s="497"/>
      <c r="DN131" s="497"/>
      <c r="DO131" s="497"/>
      <c r="DP131" s="497"/>
      <c r="DQ131" s="497"/>
      <c r="DR131" s="497"/>
      <c r="DS131" s="497"/>
      <c r="DT131" s="497"/>
      <c r="DU131" s="497"/>
      <c r="DV131" s="497"/>
      <c r="DW131" s="497"/>
    </row>
    <row r="132" spans="1:148">
      <c r="A132" s="613" t="s">
        <v>1233</v>
      </c>
      <c r="B132" s="705"/>
      <c r="C132" s="705"/>
      <c r="D132" s="1059">
        <f ca="1">E132</f>
        <v>1.6370904631912708E-11</v>
      </c>
      <c r="E132" s="396">
        <f ca="1">ABS(D124-D127+D128)*(Production_Scenario&lt;&gt;sizing_scenario)</f>
        <v>1.6370904631912708E-11</v>
      </c>
      <c r="F132" s="537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  <c r="AC132" s="339"/>
      <c r="AD132" s="339"/>
      <c r="AE132" s="339"/>
      <c r="AF132" s="339"/>
      <c r="AG132" s="339"/>
      <c r="AH132" s="339"/>
      <c r="AI132" s="339"/>
      <c r="AJ132" s="339"/>
      <c r="AK132" s="339"/>
      <c r="AL132" s="339"/>
      <c r="AM132" s="339"/>
      <c r="AN132" s="339"/>
      <c r="AO132" s="339"/>
      <c r="AP132" s="339"/>
      <c r="AQ132" s="339"/>
      <c r="AR132" s="339"/>
      <c r="AS132" s="339"/>
      <c r="AT132" s="339"/>
      <c r="AU132" s="339"/>
      <c r="AV132" s="339"/>
      <c r="AW132" s="339"/>
      <c r="AX132" s="339"/>
      <c r="AY132" s="339"/>
      <c r="AZ132" s="339"/>
      <c r="BA132" s="339"/>
      <c r="BB132" s="339"/>
      <c r="BC132" s="339"/>
      <c r="BD132" s="339"/>
      <c r="BE132" s="339"/>
      <c r="BF132" s="339"/>
      <c r="BG132" s="339"/>
      <c r="BH132" s="339"/>
      <c r="BI132" s="339"/>
      <c r="BJ132" s="339"/>
      <c r="BK132" s="339"/>
      <c r="BL132" s="339"/>
      <c r="BM132" s="339"/>
      <c r="BN132" s="339"/>
      <c r="BO132" s="339"/>
      <c r="BP132" s="339"/>
      <c r="BQ132" s="339"/>
      <c r="BR132" s="339"/>
      <c r="BS132" s="339"/>
      <c r="BT132" s="339"/>
      <c r="BU132" s="339"/>
      <c r="BV132" s="339"/>
      <c r="BW132" s="339"/>
      <c r="BX132" s="339"/>
      <c r="BY132" s="339"/>
      <c r="BZ132" s="339"/>
      <c r="CA132" s="339"/>
      <c r="CB132" s="339"/>
      <c r="CC132" s="339"/>
      <c r="CD132" s="339"/>
      <c r="CE132" s="339"/>
      <c r="CF132" s="339"/>
      <c r="CG132" s="339"/>
      <c r="CH132" s="339"/>
      <c r="CI132" s="339"/>
      <c r="CJ132" s="339"/>
      <c r="CK132" s="339"/>
      <c r="CL132" s="339"/>
      <c r="CM132" s="339"/>
      <c r="CN132" s="339"/>
      <c r="CO132" s="339"/>
      <c r="CP132" s="339"/>
      <c r="CQ132" s="339"/>
      <c r="CR132" s="339"/>
      <c r="CS132" s="339"/>
      <c r="CT132" s="339"/>
      <c r="CU132" s="339"/>
      <c r="CV132" s="339"/>
      <c r="CW132" s="339"/>
      <c r="CX132" s="339"/>
      <c r="CY132" s="339"/>
      <c r="CZ132" s="339"/>
      <c r="DA132" s="339"/>
      <c r="DB132" s="339"/>
      <c r="DC132" s="339"/>
      <c r="DD132" s="339"/>
      <c r="DE132" s="339"/>
      <c r="DF132" s="339"/>
      <c r="DG132" s="339"/>
      <c r="DH132" s="339"/>
      <c r="DI132" s="339"/>
      <c r="DJ132" s="339"/>
      <c r="DK132" s="339"/>
      <c r="DL132" s="339"/>
      <c r="DM132" s="339"/>
      <c r="DN132" s="339"/>
      <c r="DO132" s="339"/>
      <c r="DP132" s="339"/>
      <c r="DQ132" s="339"/>
      <c r="DR132" s="339"/>
      <c r="DS132" s="339"/>
      <c r="DT132" s="339"/>
      <c r="DU132" s="339"/>
      <c r="DV132" s="339"/>
      <c r="DW132" s="339"/>
      <c r="DX132" s="481"/>
      <c r="DY132" s="481"/>
      <c r="DZ132" s="481"/>
      <c r="EA132" s="481"/>
      <c r="EB132" s="481"/>
      <c r="EC132" s="481"/>
      <c r="ED132" s="481"/>
      <c r="EE132" s="481"/>
      <c r="EF132" s="481"/>
      <c r="EG132" s="481"/>
      <c r="EH132" s="481"/>
      <c r="EI132" s="481"/>
      <c r="EJ132" s="481"/>
      <c r="EK132" s="481"/>
      <c r="EL132" s="481"/>
      <c r="EM132" s="481"/>
      <c r="EN132" s="481"/>
      <c r="EO132" s="481"/>
      <c r="EP132" s="481"/>
      <c r="EQ132" s="481"/>
      <c r="ER132" s="481"/>
    </row>
    <row r="133" spans="1:148" s="481" customFormat="1">
      <c r="A133" s="322"/>
      <c r="B133" s="707"/>
      <c r="C133" s="707"/>
      <c r="D133" s="610"/>
      <c r="E133" s="610"/>
      <c r="F133" s="373"/>
      <c r="G133" s="498"/>
      <c r="H133" s="498"/>
      <c r="I133" s="498"/>
      <c r="J133" s="498"/>
      <c r="K133" s="498"/>
      <c r="L133" s="498"/>
      <c r="M133" s="498"/>
      <c r="N133" s="498"/>
      <c r="O133" s="498"/>
      <c r="P133" s="498"/>
      <c r="Q133" s="498"/>
      <c r="R133" s="498"/>
      <c r="S133" s="498"/>
      <c r="T133" s="498"/>
      <c r="U133" s="498"/>
      <c r="V133" s="498"/>
      <c r="W133" s="498"/>
      <c r="X133" s="498"/>
      <c r="Y133" s="498"/>
      <c r="Z133" s="498"/>
      <c r="AA133" s="498"/>
      <c r="AB133" s="498"/>
      <c r="AC133" s="498"/>
      <c r="AD133" s="498"/>
      <c r="AE133" s="498"/>
      <c r="AF133" s="498"/>
      <c r="AG133" s="498"/>
      <c r="AH133" s="498"/>
      <c r="AI133" s="498"/>
      <c r="AJ133" s="498"/>
      <c r="AK133" s="498"/>
      <c r="AL133" s="498"/>
      <c r="AM133" s="498"/>
      <c r="AN133" s="498"/>
      <c r="AO133" s="498"/>
      <c r="AP133" s="498"/>
      <c r="AQ133" s="498"/>
      <c r="AR133" s="498"/>
      <c r="AS133" s="498"/>
      <c r="AT133" s="498"/>
      <c r="AU133" s="498"/>
      <c r="AV133" s="498"/>
      <c r="AW133" s="498"/>
      <c r="AX133" s="498"/>
      <c r="AY133" s="498"/>
      <c r="AZ133" s="498"/>
      <c r="BA133" s="498"/>
      <c r="BB133" s="498"/>
      <c r="BC133" s="498"/>
      <c r="BD133" s="498"/>
      <c r="BE133" s="498"/>
      <c r="BF133" s="498"/>
      <c r="BG133" s="498"/>
      <c r="BH133" s="498"/>
      <c r="BI133" s="498"/>
      <c r="BJ133" s="498"/>
      <c r="BK133" s="498"/>
      <c r="BL133" s="498"/>
      <c r="BM133" s="498"/>
      <c r="BN133" s="498"/>
      <c r="BO133" s="498"/>
      <c r="BP133" s="498"/>
      <c r="BQ133" s="498"/>
      <c r="BR133" s="498"/>
      <c r="BS133" s="498"/>
      <c r="BT133" s="498"/>
      <c r="BU133" s="498"/>
      <c r="BV133" s="498"/>
      <c r="BW133" s="498"/>
      <c r="BX133" s="498"/>
      <c r="BY133" s="498"/>
      <c r="BZ133" s="498"/>
      <c r="CA133" s="498"/>
      <c r="CB133" s="498"/>
      <c r="CC133" s="498"/>
      <c r="CD133" s="498"/>
      <c r="CE133" s="498"/>
      <c r="CF133" s="498"/>
      <c r="CG133" s="498"/>
      <c r="CH133" s="498"/>
      <c r="CI133" s="498"/>
      <c r="CJ133" s="498"/>
      <c r="CK133" s="498"/>
      <c r="CL133" s="498"/>
      <c r="CM133" s="498"/>
      <c r="CN133" s="498"/>
      <c r="CO133" s="498"/>
      <c r="CP133" s="498"/>
      <c r="CQ133" s="498"/>
      <c r="CR133" s="498"/>
      <c r="CS133" s="498"/>
      <c r="CT133" s="498"/>
      <c r="CU133" s="498"/>
      <c r="CV133" s="498"/>
      <c r="CW133" s="498"/>
      <c r="CX133" s="498"/>
      <c r="CY133" s="498"/>
      <c r="CZ133" s="498"/>
      <c r="DA133" s="498"/>
      <c r="DB133" s="498"/>
      <c r="DC133" s="498"/>
      <c r="DD133" s="498"/>
      <c r="DE133" s="498"/>
      <c r="DF133" s="498"/>
      <c r="DG133" s="498"/>
      <c r="DH133" s="498"/>
      <c r="DI133" s="498"/>
      <c r="DJ133" s="498"/>
      <c r="DK133" s="498"/>
      <c r="DL133" s="498"/>
      <c r="DM133" s="498"/>
      <c r="DN133" s="498"/>
      <c r="DO133" s="498"/>
      <c r="DP133" s="498"/>
      <c r="DQ133" s="498"/>
      <c r="DR133" s="498"/>
      <c r="DS133" s="498"/>
      <c r="DT133" s="498"/>
      <c r="DU133" s="498"/>
      <c r="DV133" s="498"/>
      <c r="DW133" s="498"/>
    </row>
    <row r="134" spans="1:148">
      <c r="A134" s="344" t="str">
        <f>Inputs!$A$315</f>
        <v>Sponsor</v>
      </c>
      <c r="B134" s="970">
        <f>Inputs!$F$328</f>
        <v>0.08</v>
      </c>
      <c r="C134" s="970"/>
      <c r="F134" s="310"/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  <c r="T134" s="313"/>
      <c r="U134" s="313"/>
      <c r="V134" s="313"/>
      <c r="W134" s="313"/>
      <c r="X134" s="313"/>
      <c r="Y134" s="313"/>
      <c r="Z134" s="313"/>
      <c r="AA134" s="313"/>
      <c r="AB134" s="313"/>
      <c r="AC134" s="313"/>
      <c r="AD134" s="313"/>
      <c r="AE134" s="313"/>
      <c r="AF134" s="313"/>
      <c r="AG134" s="313"/>
      <c r="AH134" s="313"/>
      <c r="AI134" s="313"/>
      <c r="AJ134" s="313"/>
      <c r="AK134" s="313"/>
      <c r="AL134" s="313"/>
      <c r="AM134" s="313"/>
      <c r="AN134" s="313"/>
      <c r="AO134" s="313"/>
      <c r="AP134" s="313"/>
      <c r="AQ134" s="313"/>
      <c r="AR134" s="313"/>
      <c r="AS134" s="313"/>
      <c r="AT134" s="313"/>
      <c r="AU134" s="313"/>
      <c r="AV134" s="313"/>
      <c r="AW134" s="313"/>
      <c r="AX134" s="313"/>
      <c r="AY134" s="313"/>
      <c r="AZ134" s="313"/>
      <c r="BA134" s="313"/>
      <c r="BB134" s="313"/>
      <c r="BC134" s="313"/>
      <c r="BD134" s="313"/>
      <c r="BE134" s="313"/>
      <c r="BF134" s="313"/>
      <c r="BG134" s="313"/>
      <c r="BH134" s="313"/>
      <c r="BI134" s="313"/>
      <c r="BJ134" s="313"/>
      <c r="BK134" s="313"/>
      <c r="BL134" s="313"/>
      <c r="BM134" s="313"/>
      <c r="BN134" s="313"/>
      <c r="BO134" s="313"/>
      <c r="BP134" s="313"/>
      <c r="BQ134" s="313"/>
      <c r="BR134" s="313"/>
      <c r="BS134" s="313"/>
      <c r="BT134" s="313"/>
      <c r="BU134" s="313"/>
      <c r="BV134" s="313"/>
      <c r="BW134" s="313"/>
      <c r="BX134" s="313"/>
      <c r="BY134" s="313"/>
      <c r="BZ134" s="313"/>
      <c r="CA134" s="313"/>
      <c r="CB134" s="313"/>
      <c r="CC134" s="313"/>
      <c r="CD134" s="313"/>
      <c r="CE134" s="313"/>
      <c r="CF134" s="313"/>
      <c r="CG134" s="313"/>
      <c r="CH134" s="313"/>
      <c r="CI134" s="313"/>
      <c r="CJ134" s="313"/>
      <c r="CK134" s="313"/>
      <c r="CL134" s="313"/>
      <c r="CM134" s="313"/>
      <c r="CN134" s="313"/>
      <c r="CO134" s="313"/>
      <c r="CP134" s="313"/>
      <c r="CQ134" s="313"/>
      <c r="CR134" s="313"/>
      <c r="CS134" s="313"/>
      <c r="CT134" s="313"/>
      <c r="CU134" s="313"/>
      <c r="CV134" s="313"/>
      <c r="CW134" s="313"/>
      <c r="CX134" s="313"/>
      <c r="CY134" s="313"/>
      <c r="CZ134" s="313"/>
      <c r="DA134" s="313"/>
      <c r="DB134" s="313"/>
      <c r="DC134" s="313"/>
      <c r="DD134" s="313"/>
      <c r="DE134" s="313"/>
      <c r="DF134" s="313"/>
      <c r="DG134" s="313"/>
      <c r="DH134" s="313"/>
      <c r="DI134" s="313"/>
      <c r="DJ134" s="313"/>
      <c r="DK134" s="313"/>
      <c r="DL134" s="313"/>
      <c r="DM134" s="313"/>
      <c r="DN134" s="313"/>
      <c r="DO134" s="313"/>
      <c r="DP134" s="313"/>
      <c r="DQ134" s="313"/>
      <c r="DR134" s="313"/>
      <c r="DS134" s="313"/>
      <c r="DT134" s="313"/>
      <c r="DU134" s="313"/>
      <c r="DV134" s="313"/>
      <c r="DW134" s="313"/>
    </row>
    <row r="135" spans="1:148">
      <c r="A135" s="617" t="s">
        <v>1250</v>
      </c>
      <c r="B135" s="706"/>
      <c r="C135" s="706"/>
      <c r="D135" s="966"/>
      <c r="E135" s="624"/>
      <c r="G135" s="370">
        <f ca="1">IF(G$3=0,G137/G$124,IF(F$129=0,0,F142/F$129))</f>
        <v>1</v>
      </c>
      <c r="H135" s="370">
        <f ca="1">IF(H$3=0,H137/H$124,IF(G$129=0,0,G142/G$129))</f>
        <v>1</v>
      </c>
      <c r="I135" s="370">
        <f t="shared" ref="I135:AL135" ca="1" si="409">IF(I$3=0,I137/I$124,IF(H$129=0,0,H142/H$129))</f>
        <v>1</v>
      </c>
      <c r="J135" s="370">
        <f t="shared" ca="1" si="409"/>
        <v>1</v>
      </c>
      <c r="K135" s="370">
        <f t="shared" ca="1" si="409"/>
        <v>1</v>
      </c>
      <c r="L135" s="370">
        <f t="shared" ca="1" si="409"/>
        <v>1</v>
      </c>
      <c r="M135" s="370">
        <f t="shared" ca="1" si="409"/>
        <v>1</v>
      </c>
      <c r="N135" s="370">
        <f t="shared" ca="1" si="409"/>
        <v>1</v>
      </c>
      <c r="O135" s="370">
        <f t="shared" ca="1" si="409"/>
        <v>1</v>
      </c>
      <c r="P135" s="370">
        <f t="shared" ca="1" si="409"/>
        <v>1</v>
      </c>
      <c r="Q135" s="370">
        <f t="shared" ca="1" si="409"/>
        <v>1</v>
      </c>
      <c r="R135" s="370">
        <f t="shared" ca="1" si="409"/>
        <v>1</v>
      </c>
      <c r="S135" s="370">
        <f t="shared" ca="1" si="409"/>
        <v>1</v>
      </c>
      <c r="T135" s="370">
        <f t="shared" ca="1" si="409"/>
        <v>1</v>
      </c>
      <c r="U135" s="370">
        <f t="shared" ca="1" si="409"/>
        <v>1</v>
      </c>
      <c r="V135" s="370">
        <f t="shared" ca="1" si="409"/>
        <v>1</v>
      </c>
      <c r="W135" s="370">
        <f t="shared" ca="1" si="409"/>
        <v>1</v>
      </c>
      <c r="X135" s="370">
        <f t="shared" ca="1" si="409"/>
        <v>1</v>
      </c>
      <c r="Y135" s="370">
        <f t="shared" ca="1" si="409"/>
        <v>1</v>
      </c>
      <c r="Z135" s="370">
        <f t="shared" ca="1" si="409"/>
        <v>1</v>
      </c>
      <c r="AA135" s="370">
        <f t="shared" ca="1" si="409"/>
        <v>1</v>
      </c>
      <c r="AB135" s="370">
        <f t="shared" ca="1" si="409"/>
        <v>1</v>
      </c>
      <c r="AC135" s="370">
        <f t="shared" ca="1" si="409"/>
        <v>1</v>
      </c>
      <c r="AD135" s="370">
        <f t="shared" ca="1" si="409"/>
        <v>1</v>
      </c>
      <c r="AE135" s="370">
        <f t="shared" ca="1" si="409"/>
        <v>1</v>
      </c>
      <c r="AF135" s="370">
        <f t="shared" ca="1" si="409"/>
        <v>1</v>
      </c>
      <c r="AG135" s="370">
        <f t="shared" ca="1" si="409"/>
        <v>1</v>
      </c>
      <c r="AH135" s="370">
        <f t="shared" ca="1" si="409"/>
        <v>1</v>
      </c>
      <c r="AI135" s="370">
        <f t="shared" ca="1" si="409"/>
        <v>1</v>
      </c>
      <c r="AJ135" s="370">
        <f t="shared" ca="1" si="409"/>
        <v>1</v>
      </c>
      <c r="AK135" s="370">
        <f t="shared" ca="1" si="409"/>
        <v>1</v>
      </c>
      <c r="AL135" s="370">
        <f t="shared" ca="1" si="409"/>
        <v>1</v>
      </c>
      <c r="AM135" s="370">
        <f t="shared" ref="AM135:BO135" ca="1" si="410">IF(AM$3=0,AM137/AM$124,IF(AL$129=0,0,AL142/AL$129))</f>
        <v>1</v>
      </c>
      <c r="AN135" s="370">
        <f t="shared" ca="1" si="410"/>
        <v>1</v>
      </c>
      <c r="AO135" s="370">
        <f t="shared" ca="1" si="410"/>
        <v>1</v>
      </c>
      <c r="AP135" s="370">
        <f t="shared" ca="1" si="410"/>
        <v>1</v>
      </c>
      <c r="AQ135" s="370">
        <f t="shared" ca="1" si="410"/>
        <v>1</v>
      </c>
      <c r="AR135" s="370">
        <f t="shared" ca="1" si="410"/>
        <v>1</v>
      </c>
      <c r="AS135" s="370">
        <f t="shared" ca="1" si="410"/>
        <v>1</v>
      </c>
      <c r="AT135" s="370">
        <f t="shared" ca="1" si="410"/>
        <v>1</v>
      </c>
      <c r="AU135" s="370">
        <f t="shared" ca="1" si="410"/>
        <v>1</v>
      </c>
      <c r="AV135" s="370">
        <f t="shared" ca="1" si="410"/>
        <v>0</v>
      </c>
      <c r="AW135" s="370">
        <f t="shared" ca="1" si="410"/>
        <v>0</v>
      </c>
      <c r="AX135" s="370">
        <f t="shared" ca="1" si="410"/>
        <v>0</v>
      </c>
      <c r="AY135" s="370">
        <f t="shared" ca="1" si="410"/>
        <v>0</v>
      </c>
      <c r="AZ135" s="370">
        <f t="shared" ca="1" si="410"/>
        <v>0</v>
      </c>
      <c r="BA135" s="370">
        <f t="shared" ca="1" si="410"/>
        <v>0</v>
      </c>
      <c r="BB135" s="370">
        <f t="shared" ca="1" si="410"/>
        <v>0</v>
      </c>
      <c r="BC135" s="370">
        <f t="shared" ca="1" si="410"/>
        <v>0</v>
      </c>
      <c r="BD135" s="370">
        <f t="shared" ca="1" si="410"/>
        <v>0</v>
      </c>
      <c r="BE135" s="370">
        <f t="shared" ca="1" si="410"/>
        <v>0</v>
      </c>
      <c r="BF135" s="370">
        <f t="shared" ca="1" si="410"/>
        <v>0</v>
      </c>
      <c r="BG135" s="370">
        <f t="shared" ca="1" si="410"/>
        <v>0</v>
      </c>
      <c r="BH135" s="370">
        <f t="shared" ca="1" si="410"/>
        <v>0</v>
      </c>
      <c r="BI135" s="370">
        <f t="shared" ca="1" si="410"/>
        <v>0</v>
      </c>
      <c r="BJ135" s="370">
        <f t="shared" ca="1" si="410"/>
        <v>0</v>
      </c>
      <c r="BK135" s="370">
        <f t="shared" ca="1" si="410"/>
        <v>0</v>
      </c>
      <c r="BL135" s="370">
        <f t="shared" ca="1" si="410"/>
        <v>0</v>
      </c>
      <c r="BM135" s="370">
        <f t="shared" ca="1" si="410"/>
        <v>0</v>
      </c>
      <c r="BN135" s="370">
        <f t="shared" ca="1" si="410"/>
        <v>0</v>
      </c>
      <c r="BO135" s="370">
        <f t="shared" ca="1" si="410"/>
        <v>0</v>
      </c>
      <c r="BP135" s="370"/>
      <c r="BQ135" s="370"/>
      <c r="BR135" s="370"/>
      <c r="BS135" s="370"/>
      <c r="BT135" s="370"/>
      <c r="BU135" s="370"/>
      <c r="BV135" s="370"/>
      <c r="BW135" s="370"/>
      <c r="BX135" s="370"/>
      <c r="BY135" s="370"/>
      <c r="BZ135" s="370"/>
      <c r="CA135" s="370"/>
      <c r="CB135" s="370"/>
      <c r="CC135" s="370"/>
      <c r="CD135" s="370"/>
      <c r="CE135" s="370"/>
      <c r="CF135" s="370"/>
      <c r="CG135" s="370"/>
      <c r="CH135" s="370"/>
      <c r="CI135" s="370"/>
      <c r="CJ135" s="370"/>
      <c r="CK135" s="370"/>
      <c r="CL135" s="370"/>
      <c r="CM135" s="370"/>
      <c r="CN135" s="370"/>
      <c r="CO135" s="370"/>
      <c r="CP135" s="370"/>
      <c r="CQ135" s="370"/>
      <c r="CR135" s="370"/>
      <c r="CS135" s="370"/>
      <c r="CT135" s="370"/>
      <c r="CU135" s="370"/>
      <c r="CV135" s="370"/>
      <c r="CW135" s="370"/>
      <c r="CX135" s="370"/>
      <c r="CY135" s="370"/>
      <c r="CZ135" s="370"/>
      <c r="DA135" s="370"/>
      <c r="DB135" s="370"/>
      <c r="DC135" s="370"/>
      <c r="DD135" s="370"/>
      <c r="DE135" s="370"/>
      <c r="DF135" s="370"/>
      <c r="DG135" s="370"/>
      <c r="DH135" s="370"/>
      <c r="DI135" s="370"/>
      <c r="DJ135" s="370"/>
      <c r="DK135" s="370"/>
      <c r="DL135" s="370"/>
      <c r="DM135" s="370"/>
      <c r="DN135" s="370"/>
      <c r="DO135" s="370"/>
      <c r="DP135" s="370"/>
      <c r="DQ135" s="370"/>
      <c r="DR135" s="370"/>
      <c r="DS135" s="370"/>
      <c r="DT135" s="370"/>
      <c r="DU135" s="370"/>
      <c r="DV135" s="370"/>
      <c r="DW135" s="370"/>
    </row>
    <row r="136" spans="1:148">
      <c r="A136" s="874" t="s">
        <v>1231</v>
      </c>
      <c r="B136" s="705"/>
      <c r="C136" s="705"/>
      <c r="D136" s="967"/>
      <c r="E136" s="625"/>
      <c r="F136" s="626"/>
      <c r="G136" s="459">
        <f t="shared" ref="G136:H136" si="411">F142</f>
        <v>0</v>
      </c>
      <c r="H136" s="459">
        <f t="shared" ca="1" si="411"/>
        <v>15790.435806400885</v>
      </c>
      <c r="I136" s="459">
        <f t="shared" ref="I136" ca="1" si="412">H142</f>
        <v>16091.374602884296</v>
      </c>
      <c r="J136" s="459">
        <f t="shared" ref="J136" ca="1" si="413">I142</f>
        <v>16399.34540163241</v>
      </c>
      <c r="K136" s="459">
        <f t="shared" ref="K136" ca="1" si="414">J142</f>
        <v>16724.632030525354</v>
      </c>
      <c r="L136" s="459">
        <f t="shared" ref="L136" ca="1" si="415">K142</f>
        <v>17051.24291931474</v>
      </c>
      <c r="M136" s="459">
        <f t="shared" ref="M136" ca="1" si="416">L142</f>
        <v>17394.844112553106</v>
      </c>
      <c r="N136" s="459">
        <f t="shared" ref="N136" ca="1" si="417">M142</f>
        <v>17739.407997409326</v>
      </c>
      <c r="O136" s="459">
        <f t="shared" ref="O136" ca="1" si="418">N142</f>
        <v>18105.583823022538</v>
      </c>
      <c r="P136" s="459">
        <f t="shared" ref="P136" ca="1" si="419">O142</f>
        <v>18476.045532323013</v>
      </c>
      <c r="Q136" s="459">
        <f t="shared" ref="Q136" ca="1" si="420">P142</f>
        <v>18866.673370958633</v>
      </c>
      <c r="R136" s="459">
        <f t="shared" ref="R136" ca="1" si="421">Q142</f>
        <v>19265.041302114158</v>
      </c>
      <c r="S136" s="459">
        <f t="shared" ref="S136" ca="1" si="422">R142</f>
        <v>19683.137251965491</v>
      </c>
      <c r="T136" s="459">
        <f t="shared" ref="T136" ca="1" si="423">S142</f>
        <v>20114.919745026844</v>
      </c>
      <c r="U136" s="459">
        <f t="shared" ref="U136" ca="1" si="424">T142</f>
        <v>20560.893191153598</v>
      </c>
      <c r="V136" s="459">
        <f t="shared" ref="V136" ca="1" si="425">U142</f>
        <v>21022.128929553077</v>
      </c>
      <c r="W136" s="459">
        <f t="shared" ref="W136" ca="1" si="426">V142</f>
        <v>21499.194233288003</v>
      </c>
      <c r="X136" s="459">
        <f t="shared" ref="X136" ca="1" si="427">W142</f>
        <v>21995.659800279467</v>
      </c>
      <c r="Y136" s="459">
        <f t="shared" ref="Y136" ca="1" si="428">X142</f>
        <v>22506.409635432992</v>
      </c>
      <c r="Z136" s="459">
        <f t="shared" ref="Z136" ca="1" si="429">Y142</f>
        <v>23040.978546068316</v>
      </c>
      <c r="AA136" s="459">
        <f t="shared" ref="AA136" ca="1" si="430">Z142</f>
        <v>23589.268483840449</v>
      </c>
      <c r="AB136" s="459">
        <f t="shared" ref="AB136" ca="1" si="431">AA142</f>
        <v>24169.156081066154</v>
      </c>
      <c r="AC136" s="459">
        <f t="shared" ref="AC136" ca="1" si="432">AB142</f>
        <v>24781.656486667074</v>
      </c>
      <c r="AD136" s="459">
        <f t="shared" ref="AD136" ca="1" si="433">AC142</f>
        <v>25423.193895206176</v>
      </c>
      <c r="AE136" s="459">
        <f t="shared" ref="AE136" ca="1" si="434">AD142</f>
        <v>26080.43821908176</v>
      </c>
      <c r="AF136" s="459">
        <f t="shared" ref="AF136" ca="1" si="435">AE142</f>
        <v>26771.882877263182</v>
      </c>
      <c r="AG136" s="459">
        <f t="shared" ref="AG136" ca="1" si="436">AF142</f>
        <v>26547.766309350722</v>
      </c>
      <c r="AH136" s="459">
        <f t="shared" ref="AH136" ca="1" si="437">AG142</f>
        <v>26464.554451404663</v>
      </c>
      <c r="AI136" s="459">
        <f t="shared" ref="AI136" ca="1" si="438">AH142</f>
        <v>26205.84860345933</v>
      </c>
      <c r="AJ136" s="459">
        <f t="shared" ref="AJ136" ca="1" si="439">AI142</f>
        <v>26090.806625221659</v>
      </c>
      <c r="AK136" s="459">
        <f t="shared" ref="AK136" ca="1" si="440">AJ142</f>
        <v>24148.468479513922</v>
      </c>
      <c r="AL136" s="459">
        <f t="shared" ref="AL136" ca="1" si="441">AK142</f>
        <v>22561.051767745477</v>
      </c>
      <c r="AM136" s="459">
        <f t="shared" ref="AM136" ca="1" si="442">AL142</f>
        <v>20604.210210965295</v>
      </c>
      <c r="AN136" s="459">
        <f t="shared" ref="AN136" ca="1" si="443">AM142</f>
        <v>18813.234596542286</v>
      </c>
      <c r="AO136" s="459">
        <f t="shared" ref="AO136" ca="1" si="444">AN142</f>
        <v>16649.135040439658</v>
      </c>
      <c r="AP136" s="459">
        <f t="shared" ref="AP136" ca="1" si="445">AO142</f>
        <v>14657.17140833056</v>
      </c>
      <c r="AQ136" s="459">
        <f t="shared" ref="AQ136" ca="1" si="446">AP142</f>
        <v>12278.025539387389</v>
      </c>
      <c r="AR136" s="459">
        <f t="shared" ref="AR136" ca="1" si="447">AQ142</f>
        <v>10064.10068586003</v>
      </c>
      <c r="AS136" s="459">
        <f t="shared" ref="AS136" ca="1" si="448">AR142</f>
        <v>7437.4117527864109</v>
      </c>
      <c r="AT136" s="459">
        <f t="shared" ref="AT136" ca="1" si="449">AS142</f>
        <v>4993.8022752398856</v>
      </c>
      <c r="AU136" s="459">
        <f t="shared" ref="AU136" ca="1" si="450">AT142</f>
        <v>2108.1666964607866</v>
      </c>
      <c r="AV136" s="459">
        <f t="shared" ref="AV136" ca="1" si="451">AU142</f>
        <v>0</v>
      </c>
      <c r="AW136" s="459">
        <f t="shared" ref="AW136" ca="1" si="452">AV142</f>
        <v>0</v>
      </c>
      <c r="AX136" s="459">
        <f t="shared" ref="AX136" ca="1" si="453">AW142</f>
        <v>0</v>
      </c>
      <c r="AY136" s="459">
        <f t="shared" ref="AY136" ca="1" si="454">AX142</f>
        <v>0</v>
      </c>
      <c r="AZ136" s="459">
        <f t="shared" ref="AZ136" ca="1" si="455">AY142</f>
        <v>0</v>
      </c>
      <c r="BA136" s="459">
        <f t="shared" ref="BA136" ca="1" si="456">AZ142</f>
        <v>0</v>
      </c>
      <c r="BB136" s="459">
        <f t="shared" ref="BB136" ca="1" si="457">BA142</f>
        <v>0</v>
      </c>
      <c r="BC136" s="459">
        <f t="shared" ref="BC136" ca="1" si="458">BB142</f>
        <v>0</v>
      </c>
      <c r="BD136" s="459">
        <f t="shared" ref="BD136" ca="1" si="459">BC142</f>
        <v>0</v>
      </c>
      <c r="BE136" s="459">
        <f t="shared" ref="BE136" ca="1" si="460">BD142</f>
        <v>0</v>
      </c>
      <c r="BF136" s="459">
        <f t="shared" ref="BF136" ca="1" si="461">BE142</f>
        <v>0</v>
      </c>
      <c r="BG136" s="459">
        <f t="shared" ref="BG136" ca="1" si="462">BF142</f>
        <v>0</v>
      </c>
      <c r="BH136" s="459">
        <f t="shared" ref="BH136" ca="1" si="463">BG142</f>
        <v>0</v>
      </c>
      <c r="BI136" s="459">
        <f t="shared" ref="BI136" ca="1" si="464">BH142</f>
        <v>0</v>
      </c>
      <c r="BJ136" s="459">
        <f t="shared" ref="BJ136" ca="1" si="465">BI142</f>
        <v>0</v>
      </c>
      <c r="BK136" s="459">
        <f t="shared" ref="BK136" ca="1" si="466">BJ142</f>
        <v>0</v>
      </c>
      <c r="BL136" s="459">
        <f t="shared" ref="BL136" ca="1" si="467">BK142</f>
        <v>0</v>
      </c>
      <c r="BM136" s="459">
        <f t="shared" ref="BM136" ca="1" si="468">BL142</f>
        <v>0</v>
      </c>
      <c r="BN136" s="459">
        <f t="shared" ref="BN136" ca="1" si="469">BM142</f>
        <v>0</v>
      </c>
      <c r="BO136" s="459">
        <f t="shared" ref="BO136" ca="1" si="470">BN142</f>
        <v>0</v>
      </c>
      <c r="BP136" s="459"/>
      <c r="BQ136" s="459"/>
      <c r="BR136" s="459"/>
      <c r="BS136" s="459"/>
      <c r="BT136" s="459"/>
      <c r="BU136" s="459"/>
      <c r="BV136" s="459"/>
      <c r="BW136" s="459"/>
      <c r="BX136" s="459"/>
      <c r="BY136" s="459"/>
      <c r="BZ136" s="459"/>
      <c r="CA136" s="459"/>
      <c r="CB136" s="459"/>
      <c r="CC136" s="459"/>
      <c r="CD136" s="459"/>
      <c r="CE136" s="459"/>
      <c r="CF136" s="459"/>
      <c r="CG136" s="459"/>
      <c r="CH136" s="459"/>
      <c r="CI136" s="459"/>
      <c r="CJ136" s="459"/>
      <c r="CK136" s="459"/>
      <c r="CL136" s="459"/>
      <c r="CM136" s="459"/>
      <c r="CN136" s="459"/>
      <c r="CO136" s="459"/>
      <c r="CP136" s="459"/>
      <c r="CQ136" s="459"/>
      <c r="CR136" s="459"/>
      <c r="CS136" s="459"/>
      <c r="CT136" s="459"/>
      <c r="CU136" s="459"/>
      <c r="CV136" s="459"/>
      <c r="CW136" s="459"/>
      <c r="CX136" s="459"/>
      <c r="CY136" s="459"/>
      <c r="CZ136" s="459"/>
      <c r="DA136" s="459"/>
      <c r="DB136" s="459"/>
      <c r="DC136" s="459"/>
      <c r="DD136" s="459"/>
      <c r="DE136" s="459"/>
      <c r="DF136" s="459"/>
      <c r="DG136" s="459"/>
      <c r="DH136" s="459"/>
      <c r="DI136" s="459"/>
      <c r="DJ136" s="459"/>
      <c r="DK136" s="459"/>
      <c r="DL136" s="459"/>
      <c r="DM136" s="459"/>
      <c r="DN136" s="459"/>
      <c r="DO136" s="459"/>
      <c r="DP136" s="459"/>
      <c r="DQ136" s="459"/>
      <c r="DR136" s="459"/>
      <c r="DS136" s="459"/>
      <c r="DT136" s="459"/>
      <c r="DU136" s="459"/>
      <c r="DV136" s="459"/>
      <c r="DW136" s="459"/>
      <c r="DX136" s="510"/>
      <c r="DY136" s="510"/>
      <c r="DZ136" s="510"/>
      <c r="EA136" s="510"/>
      <c r="EB136" s="510"/>
      <c r="EC136" s="510"/>
      <c r="ED136" s="510"/>
      <c r="EE136" s="510"/>
      <c r="EF136" s="510"/>
    </row>
    <row r="137" spans="1:148">
      <c r="A137" s="881" t="s">
        <v>1152</v>
      </c>
      <c r="B137" s="810">
        <f ca="1">Inputs!$D$328</f>
        <v>14620.773894815633</v>
      </c>
      <c r="C137" s="810"/>
      <c r="D137" s="396"/>
      <c r="E137" s="396"/>
      <c r="F137" s="323"/>
      <c r="G137" s="459">
        <f t="shared" ref="G137:BO137" ca="1" si="471">$B137*(G$3=0)</f>
        <v>14620.773894815633</v>
      </c>
      <c r="H137" s="459">
        <f t="shared" ca="1" si="471"/>
        <v>0</v>
      </c>
      <c r="I137" s="459">
        <f t="shared" ca="1" si="471"/>
        <v>0</v>
      </c>
      <c r="J137" s="459">
        <f t="shared" ca="1" si="471"/>
        <v>0</v>
      </c>
      <c r="K137" s="459">
        <f t="shared" ca="1" si="471"/>
        <v>0</v>
      </c>
      <c r="L137" s="459">
        <f t="shared" ca="1" si="471"/>
        <v>0</v>
      </c>
      <c r="M137" s="459">
        <f t="shared" ca="1" si="471"/>
        <v>0</v>
      </c>
      <c r="N137" s="459">
        <f t="shared" ca="1" si="471"/>
        <v>0</v>
      </c>
      <c r="O137" s="459">
        <f t="shared" ca="1" si="471"/>
        <v>0</v>
      </c>
      <c r="P137" s="459">
        <f t="shared" ca="1" si="471"/>
        <v>0</v>
      </c>
      <c r="Q137" s="459">
        <f t="shared" ca="1" si="471"/>
        <v>0</v>
      </c>
      <c r="R137" s="459">
        <f t="shared" ca="1" si="471"/>
        <v>0</v>
      </c>
      <c r="S137" s="459">
        <f t="shared" ca="1" si="471"/>
        <v>0</v>
      </c>
      <c r="T137" s="459">
        <f t="shared" ca="1" si="471"/>
        <v>0</v>
      </c>
      <c r="U137" s="459">
        <f t="shared" ca="1" si="471"/>
        <v>0</v>
      </c>
      <c r="V137" s="459">
        <f t="shared" ca="1" si="471"/>
        <v>0</v>
      </c>
      <c r="W137" s="459">
        <f t="shared" ca="1" si="471"/>
        <v>0</v>
      </c>
      <c r="X137" s="459">
        <f t="shared" ca="1" si="471"/>
        <v>0</v>
      </c>
      <c r="Y137" s="459">
        <f t="shared" ca="1" si="471"/>
        <v>0</v>
      </c>
      <c r="Z137" s="459">
        <f t="shared" ca="1" si="471"/>
        <v>0</v>
      </c>
      <c r="AA137" s="459">
        <f t="shared" ca="1" si="471"/>
        <v>0</v>
      </c>
      <c r="AB137" s="459">
        <f t="shared" ca="1" si="471"/>
        <v>0</v>
      </c>
      <c r="AC137" s="459">
        <f t="shared" ca="1" si="471"/>
        <v>0</v>
      </c>
      <c r="AD137" s="459">
        <f t="shared" ca="1" si="471"/>
        <v>0</v>
      </c>
      <c r="AE137" s="459">
        <f t="shared" ca="1" si="471"/>
        <v>0</v>
      </c>
      <c r="AF137" s="459">
        <f t="shared" ca="1" si="471"/>
        <v>0</v>
      </c>
      <c r="AG137" s="459">
        <f t="shared" ca="1" si="471"/>
        <v>0</v>
      </c>
      <c r="AH137" s="459">
        <f t="shared" ca="1" si="471"/>
        <v>0</v>
      </c>
      <c r="AI137" s="459">
        <f t="shared" ca="1" si="471"/>
        <v>0</v>
      </c>
      <c r="AJ137" s="459">
        <f t="shared" ca="1" si="471"/>
        <v>0</v>
      </c>
      <c r="AK137" s="459">
        <f t="shared" ca="1" si="471"/>
        <v>0</v>
      </c>
      <c r="AL137" s="459">
        <f t="shared" ca="1" si="471"/>
        <v>0</v>
      </c>
      <c r="AM137" s="459">
        <f t="shared" ca="1" si="471"/>
        <v>0</v>
      </c>
      <c r="AN137" s="459">
        <f t="shared" ca="1" si="471"/>
        <v>0</v>
      </c>
      <c r="AO137" s="459">
        <f t="shared" ca="1" si="471"/>
        <v>0</v>
      </c>
      <c r="AP137" s="459">
        <f t="shared" ca="1" si="471"/>
        <v>0</v>
      </c>
      <c r="AQ137" s="459">
        <f t="shared" ca="1" si="471"/>
        <v>0</v>
      </c>
      <c r="AR137" s="459">
        <f t="shared" ca="1" si="471"/>
        <v>0</v>
      </c>
      <c r="AS137" s="459">
        <f t="shared" ca="1" si="471"/>
        <v>0</v>
      </c>
      <c r="AT137" s="459">
        <f t="shared" ca="1" si="471"/>
        <v>0</v>
      </c>
      <c r="AU137" s="459">
        <f t="shared" ca="1" si="471"/>
        <v>0</v>
      </c>
      <c r="AV137" s="459">
        <f t="shared" ca="1" si="471"/>
        <v>0</v>
      </c>
      <c r="AW137" s="459">
        <f t="shared" ca="1" si="471"/>
        <v>0</v>
      </c>
      <c r="AX137" s="459">
        <f t="shared" ca="1" si="471"/>
        <v>0</v>
      </c>
      <c r="AY137" s="459">
        <f t="shared" ca="1" si="471"/>
        <v>0</v>
      </c>
      <c r="AZ137" s="459">
        <f t="shared" ca="1" si="471"/>
        <v>0</v>
      </c>
      <c r="BA137" s="459">
        <f t="shared" ca="1" si="471"/>
        <v>0</v>
      </c>
      <c r="BB137" s="459">
        <f t="shared" ca="1" si="471"/>
        <v>0</v>
      </c>
      <c r="BC137" s="459">
        <f t="shared" ca="1" si="471"/>
        <v>0</v>
      </c>
      <c r="BD137" s="459">
        <f t="shared" ca="1" si="471"/>
        <v>0</v>
      </c>
      <c r="BE137" s="459">
        <f t="shared" ca="1" si="471"/>
        <v>0</v>
      </c>
      <c r="BF137" s="459">
        <f t="shared" ca="1" si="471"/>
        <v>0</v>
      </c>
      <c r="BG137" s="459">
        <f t="shared" ca="1" si="471"/>
        <v>0</v>
      </c>
      <c r="BH137" s="459">
        <f t="shared" ca="1" si="471"/>
        <v>0</v>
      </c>
      <c r="BI137" s="459">
        <f t="shared" ca="1" si="471"/>
        <v>0</v>
      </c>
      <c r="BJ137" s="459">
        <f t="shared" ca="1" si="471"/>
        <v>0</v>
      </c>
      <c r="BK137" s="459">
        <f t="shared" ca="1" si="471"/>
        <v>0</v>
      </c>
      <c r="BL137" s="459">
        <f t="shared" ca="1" si="471"/>
        <v>0</v>
      </c>
      <c r="BM137" s="459">
        <f t="shared" ca="1" si="471"/>
        <v>0</v>
      </c>
      <c r="BN137" s="459">
        <f t="shared" ca="1" si="471"/>
        <v>0</v>
      </c>
      <c r="BO137" s="459">
        <f t="shared" ca="1" si="471"/>
        <v>0</v>
      </c>
      <c r="BP137" s="459"/>
      <c r="BQ137" s="459"/>
      <c r="BR137" s="459"/>
      <c r="BS137" s="459"/>
      <c r="BT137" s="459"/>
      <c r="BU137" s="459"/>
      <c r="BV137" s="459"/>
      <c r="BW137" s="459"/>
      <c r="BX137" s="459"/>
      <c r="BY137" s="459"/>
      <c r="BZ137" s="459"/>
      <c r="CA137" s="459"/>
      <c r="CB137" s="459"/>
      <c r="CC137" s="459"/>
      <c r="CD137" s="459"/>
      <c r="CE137" s="459"/>
      <c r="CF137" s="459"/>
      <c r="CG137" s="459"/>
      <c r="CH137" s="459"/>
      <c r="CI137" s="459"/>
      <c r="CJ137" s="459"/>
      <c r="CK137" s="459"/>
      <c r="CL137" s="459"/>
      <c r="CM137" s="459"/>
      <c r="CN137" s="459"/>
      <c r="CO137" s="459"/>
      <c r="CP137" s="459"/>
      <c r="CQ137" s="459"/>
      <c r="CR137" s="459"/>
      <c r="CS137" s="459"/>
      <c r="CT137" s="459"/>
      <c r="CU137" s="459"/>
      <c r="CV137" s="459"/>
      <c r="CW137" s="459"/>
      <c r="CX137" s="459"/>
      <c r="CY137" s="459"/>
      <c r="CZ137" s="459"/>
      <c r="DA137" s="459"/>
      <c r="DB137" s="459"/>
      <c r="DC137" s="459"/>
      <c r="DD137" s="459"/>
      <c r="DE137" s="459"/>
      <c r="DF137" s="459"/>
      <c r="DG137" s="459"/>
      <c r="DH137" s="459"/>
      <c r="DI137" s="459"/>
      <c r="DJ137" s="459"/>
      <c r="DK137" s="459"/>
      <c r="DL137" s="459"/>
      <c r="DM137" s="459"/>
      <c r="DN137" s="459"/>
      <c r="DO137" s="459"/>
      <c r="DP137" s="459"/>
      <c r="DQ137" s="459"/>
      <c r="DR137" s="459"/>
      <c r="DS137" s="459"/>
      <c r="DT137" s="459"/>
      <c r="DU137" s="459"/>
      <c r="DV137" s="459"/>
      <c r="DW137" s="459"/>
      <c r="DX137" s="510"/>
      <c r="DY137" s="510"/>
      <c r="DZ137" s="510"/>
      <c r="EA137" s="510"/>
      <c r="EB137" s="510"/>
      <c r="EC137" s="510"/>
      <c r="ED137" s="510"/>
      <c r="EE137" s="510"/>
      <c r="EF137" s="510"/>
    </row>
    <row r="138" spans="1:148">
      <c r="A138" s="881" t="s">
        <v>1246</v>
      </c>
      <c r="B138" s="810">
        <f ca="1">+IDC!$D$51</f>
        <v>1169.6619115852516</v>
      </c>
      <c r="C138" s="810"/>
      <c r="D138" s="510">
        <f ca="1">SUM(G138:DW138)</f>
        <v>32104.911108681576</v>
      </c>
      <c r="E138" s="396"/>
      <c r="F138" s="323"/>
      <c r="G138" s="459">
        <f ca="1">G136*G$14*$B134+$B138*(G$3=0)</f>
        <v>1169.6619115852516</v>
      </c>
      <c r="H138" s="459">
        <f ca="1">H136*H$14*$B134+$B138*(H$3=0)</f>
        <v>636.80880841156454</v>
      </c>
      <c r="I138" s="459">
        <f t="shared" ref="I138:AL138" ca="1" si="472">I136*I$14*$B134+$B138*(I$3=0)</f>
        <v>638.36466917743735</v>
      </c>
      <c r="J138" s="459">
        <f t="shared" ca="1" si="472"/>
        <v>661.36538167679203</v>
      </c>
      <c r="K138" s="459">
        <f t="shared" ca="1" si="472"/>
        <v>667.15244483410731</v>
      </c>
      <c r="L138" s="459">
        <f t="shared" ca="1" si="472"/>
        <v>687.65560485565209</v>
      </c>
      <c r="M138" s="459">
        <f t="shared" ca="1" si="472"/>
        <v>690.07491164320265</v>
      </c>
      <c r="N138" s="459">
        <f t="shared" ca="1" si="472"/>
        <v>715.40845403250773</v>
      </c>
      <c r="O138" s="459">
        <f t="shared" ca="1" si="472"/>
        <v>718.27083221196267</v>
      </c>
      <c r="P138" s="459">
        <f t="shared" ca="1" si="472"/>
        <v>745.11613763231446</v>
      </c>
      <c r="Q138" s="459">
        <f t="shared" ca="1" si="472"/>
        <v>748.46419290816721</v>
      </c>
      <c r="R138" s="459">
        <f t="shared" ca="1" si="472"/>
        <v>776.93536429348069</v>
      </c>
      <c r="S138" s="459">
        <f t="shared" ca="1" si="472"/>
        <v>785.1684339414179</v>
      </c>
      <c r="T138" s="459">
        <f t="shared" ca="1" si="472"/>
        <v>811.20991410080865</v>
      </c>
      <c r="U138" s="459">
        <f t="shared" ca="1" si="472"/>
        <v>815.67598193946344</v>
      </c>
      <c r="V138" s="459">
        <f t="shared" ca="1" si="472"/>
        <v>847.79654203567486</v>
      </c>
      <c r="W138" s="459">
        <f t="shared" ca="1" si="472"/>
        <v>852.89954109043913</v>
      </c>
      <c r="X138" s="459">
        <f t="shared" ca="1" si="472"/>
        <v>887.05784180853095</v>
      </c>
      <c r="Y138" s="459">
        <f t="shared" ca="1" si="472"/>
        <v>892.8570178659445</v>
      </c>
      <c r="Z138" s="459">
        <f t="shared" ca="1" si="472"/>
        <v>929.21425807705657</v>
      </c>
      <c r="AA138" s="459">
        <f t="shared" ca="1" si="472"/>
        <v>940.98561404032034</v>
      </c>
      <c r="AB138" s="459">
        <f t="shared" ca="1" si="472"/>
        <v>974.71226715970897</v>
      </c>
      <c r="AC138" s="459">
        <f t="shared" ca="1" si="472"/>
        <v>983.11886555325827</v>
      </c>
      <c r="AD138" s="459">
        <f t="shared" ca="1" si="472"/>
        <v>1025.2860661299587</v>
      </c>
      <c r="AE138" s="459">
        <f t="shared" ca="1" si="472"/>
        <v>1034.6431381159011</v>
      </c>
      <c r="AF138" s="459">
        <f t="shared" ca="1" si="472"/>
        <v>1079.6770300090795</v>
      </c>
      <c r="AG138" s="459">
        <f t="shared" ca="1" si="472"/>
        <v>1053.1826196147904</v>
      </c>
      <c r="AH138" s="459">
        <f t="shared" ca="1" si="472"/>
        <v>1067.2828534922648</v>
      </c>
      <c r="AI138" s="459">
        <f t="shared" ca="1" si="472"/>
        <v>1045.362070318816</v>
      </c>
      <c r="AJ138" s="459">
        <f t="shared" ca="1" si="472"/>
        <v>1052.2100644472955</v>
      </c>
      <c r="AK138" s="459">
        <f t="shared" ca="1" si="472"/>
        <v>957.99951666674417</v>
      </c>
      <c r="AL138" s="459">
        <f t="shared" ca="1" si="472"/>
        <v>909.85940279784518</v>
      </c>
      <c r="AM138" s="459">
        <f t="shared" ref="AM138:BO138" ca="1" si="473">AM136*AM$14*$B134+$B138*(AM$3=0)</f>
        <v>817.39442151993831</v>
      </c>
      <c r="AN138" s="459">
        <f t="shared" ca="1" si="473"/>
        <v>758.71455687973287</v>
      </c>
      <c r="AO138" s="459">
        <f t="shared" ca="1" si="473"/>
        <v>660.49171338511303</v>
      </c>
      <c r="AP138" s="459">
        <f t="shared" ca="1" si="473"/>
        <v>591.10565241267363</v>
      </c>
      <c r="AQ138" s="459">
        <f t="shared" ca="1" si="473"/>
        <v>489.7754845300833</v>
      </c>
      <c r="AR138" s="459">
        <f t="shared" ca="1" si="473"/>
        <v>405.87277286536892</v>
      </c>
      <c r="AS138" s="459">
        <f t="shared" ca="1" si="473"/>
        <v>295.05129364478694</v>
      </c>
      <c r="AT138" s="459">
        <f t="shared" ca="1" si="473"/>
        <v>201.39388901789349</v>
      </c>
      <c r="AU138" s="459">
        <f t="shared" ca="1" si="473"/>
        <v>83.63357195822519</v>
      </c>
      <c r="AV138" s="459">
        <f t="shared" ca="1" si="473"/>
        <v>0</v>
      </c>
      <c r="AW138" s="459">
        <f t="shared" ca="1" si="473"/>
        <v>0</v>
      </c>
      <c r="AX138" s="459">
        <f t="shared" ca="1" si="473"/>
        <v>0</v>
      </c>
      <c r="AY138" s="459">
        <f t="shared" ca="1" si="473"/>
        <v>0</v>
      </c>
      <c r="AZ138" s="459">
        <f t="shared" ca="1" si="473"/>
        <v>0</v>
      </c>
      <c r="BA138" s="459">
        <f t="shared" ca="1" si="473"/>
        <v>0</v>
      </c>
      <c r="BB138" s="459">
        <f t="shared" ca="1" si="473"/>
        <v>0</v>
      </c>
      <c r="BC138" s="459">
        <f t="shared" ca="1" si="473"/>
        <v>0</v>
      </c>
      <c r="BD138" s="459">
        <f t="shared" ca="1" si="473"/>
        <v>0</v>
      </c>
      <c r="BE138" s="459">
        <f t="shared" ca="1" si="473"/>
        <v>0</v>
      </c>
      <c r="BF138" s="459">
        <f t="shared" ca="1" si="473"/>
        <v>0</v>
      </c>
      <c r="BG138" s="459">
        <f t="shared" ca="1" si="473"/>
        <v>0</v>
      </c>
      <c r="BH138" s="459">
        <f t="shared" ca="1" si="473"/>
        <v>0</v>
      </c>
      <c r="BI138" s="459">
        <f t="shared" ca="1" si="473"/>
        <v>0</v>
      </c>
      <c r="BJ138" s="459">
        <f t="shared" ca="1" si="473"/>
        <v>0</v>
      </c>
      <c r="BK138" s="459">
        <f t="shared" ca="1" si="473"/>
        <v>0</v>
      </c>
      <c r="BL138" s="459">
        <f t="shared" ca="1" si="473"/>
        <v>0</v>
      </c>
      <c r="BM138" s="459">
        <f t="shared" ca="1" si="473"/>
        <v>0</v>
      </c>
      <c r="BN138" s="459">
        <f t="shared" ca="1" si="473"/>
        <v>0</v>
      </c>
      <c r="BO138" s="459">
        <f t="shared" ca="1" si="473"/>
        <v>0</v>
      </c>
      <c r="BP138" s="459"/>
      <c r="BQ138" s="459"/>
      <c r="BR138" s="459"/>
      <c r="BS138" s="459"/>
      <c r="BT138" s="459"/>
      <c r="BU138" s="459"/>
      <c r="BV138" s="459"/>
      <c r="BW138" s="459"/>
      <c r="BX138" s="459"/>
      <c r="BY138" s="459"/>
      <c r="BZ138" s="459"/>
      <c r="CA138" s="459"/>
      <c r="CB138" s="459"/>
      <c r="CC138" s="459"/>
      <c r="CD138" s="459"/>
      <c r="CE138" s="459"/>
      <c r="CF138" s="459"/>
      <c r="CG138" s="459"/>
      <c r="CH138" s="459"/>
      <c r="CI138" s="459"/>
      <c r="CJ138" s="459"/>
      <c r="CK138" s="459"/>
      <c r="CL138" s="459"/>
      <c r="CM138" s="459"/>
      <c r="CN138" s="459"/>
      <c r="CO138" s="459"/>
      <c r="CP138" s="459"/>
      <c r="CQ138" s="459"/>
      <c r="CR138" s="459"/>
      <c r="CS138" s="459"/>
      <c r="CT138" s="459"/>
      <c r="CU138" s="459"/>
      <c r="CV138" s="459"/>
      <c r="CW138" s="459"/>
      <c r="CX138" s="459"/>
      <c r="CY138" s="459"/>
      <c r="CZ138" s="459"/>
      <c r="DA138" s="459"/>
      <c r="DB138" s="459"/>
      <c r="DC138" s="459"/>
      <c r="DD138" s="459"/>
      <c r="DE138" s="459"/>
      <c r="DF138" s="459"/>
      <c r="DG138" s="459"/>
      <c r="DH138" s="459"/>
      <c r="DI138" s="459"/>
      <c r="DJ138" s="459"/>
      <c r="DK138" s="459"/>
      <c r="DL138" s="459"/>
      <c r="DM138" s="459"/>
      <c r="DN138" s="459"/>
      <c r="DO138" s="459"/>
      <c r="DP138" s="459"/>
      <c r="DQ138" s="459"/>
      <c r="DR138" s="459"/>
      <c r="DS138" s="459"/>
      <c r="DT138" s="459"/>
      <c r="DU138" s="459"/>
      <c r="DV138" s="459"/>
      <c r="DW138" s="459"/>
      <c r="DX138" s="510"/>
      <c r="DY138" s="510"/>
      <c r="DZ138" s="510"/>
      <c r="EA138" s="510"/>
      <c r="EB138" s="510"/>
      <c r="EC138" s="510"/>
      <c r="ED138" s="510"/>
      <c r="EE138" s="510"/>
      <c r="EF138" s="510"/>
    </row>
    <row r="139" spans="1:148">
      <c r="A139" s="961" t="str">
        <f>A126</f>
        <v>Withholding Tax</v>
      </c>
      <c r="B139" s="970">
        <f>Inputs!$D$423/(1-Inputs!$D$423)</f>
        <v>0</v>
      </c>
      <c r="C139" s="970"/>
      <c r="D139" s="510"/>
      <c r="E139" s="396"/>
      <c r="F139" s="323"/>
      <c r="G139" s="806">
        <f ca="1">$B139*G138*(G$3&lt;&gt;0)*((G$3+QUOTIENT(Inputs!$D$10,monthsinyear))&lt;Inputs!$F$423)</f>
        <v>0</v>
      </c>
      <c r="H139" s="806">
        <f ca="1">$B139*H138*(H$3&lt;&gt;0)*((H$3+QUOTIENT(Inputs!$D$10,monthsinyear))&lt;Inputs!$F$423)</f>
        <v>0</v>
      </c>
      <c r="I139" s="806">
        <f ca="1">$B139*I138*(I$3&lt;&gt;0)*((I$3+QUOTIENT(Inputs!$D$10,monthsinyear))&lt;Inputs!$F$423)</f>
        <v>0</v>
      </c>
      <c r="J139" s="806">
        <f ca="1">$B139*J138*(J$3&lt;&gt;0)*((J$3+QUOTIENT(Inputs!$D$10,monthsinyear))&lt;Inputs!$F$423)</f>
        <v>0</v>
      </c>
      <c r="K139" s="806">
        <f ca="1">$B139*K138*(K$3&lt;&gt;0)*((K$3+QUOTIENT(Inputs!$D$10,monthsinyear))&lt;Inputs!$F$423)</f>
        <v>0</v>
      </c>
      <c r="L139" s="806">
        <f ca="1">$B139*L138*(L$3&lt;&gt;0)*((L$3+QUOTIENT(Inputs!$D$10,monthsinyear))&lt;Inputs!$F$423)</f>
        <v>0</v>
      </c>
      <c r="M139" s="806">
        <f ca="1">$B139*M138*(M$3&lt;&gt;0)*((M$3+QUOTIENT(Inputs!$D$10,monthsinyear))&lt;Inputs!$F$423)</f>
        <v>0</v>
      </c>
      <c r="N139" s="806">
        <f ca="1">$B139*N138*(N$3&lt;&gt;0)*((N$3+QUOTIENT(Inputs!$D$10,monthsinyear))&lt;Inputs!$F$423)</f>
        <v>0</v>
      </c>
      <c r="O139" s="806">
        <f ca="1">$B139*O138*(O$3&lt;&gt;0)*((O$3+QUOTIENT(Inputs!$D$10,monthsinyear))&lt;Inputs!$F$423)</f>
        <v>0</v>
      </c>
      <c r="P139" s="806">
        <f ca="1">$B139*P138*(P$3&lt;&gt;0)*((P$3+QUOTIENT(Inputs!$D$10,monthsinyear))&lt;Inputs!$F$423)</f>
        <v>0</v>
      </c>
      <c r="Q139" s="806">
        <f ca="1">$B139*Q138*(Q$3&lt;&gt;0)*((Q$3+QUOTIENT(Inputs!$D$10,monthsinyear))&lt;Inputs!$F$423)</f>
        <v>0</v>
      </c>
      <c r="R139" s="806">
        <f ca="1">$B139*R138*(R$3&lt;&gt;0)*((R$3+QUOTIENT(Inputs!$D$10,monthsinyear))&lt;Inputs!$F$423)</f>
        <v>0</v>
      </c>
      <c r="S139" s="806">
        <f ca="1">$B139*S138*(S$3&lt;&gt;0)*((S$3+QUOTIENT(Inputs!$D$10,monthsinyear))&lt;Inputs!$F$423)</f>
        <v>0</v>
      </c>
      <c r="T139" s="806">
        <f ca="1">$B139*T138*(T$3&lt;&gt;0)*((T$3+QUOTIENT(Inputs!$D$10,monthsinyear))&lt;Inputs!$F$423)</f>
        <v>0</v>
      </c>
      <c r="U139" s="806">
        <f ca="1">$B139*U138*(U$3&lt;&gt;0)*((U$3+QUOTIENT(Inputs!$D$10,monthsinyear))&lt;Inputs!$F$423)</f>
        <v>0</v>
      </c>
      <c r="V139" s="806">
        <f ca="1">$B139*V138*(V$3&lt;&gt;0)*((V$3+QUOTIENT(Inputs!$D$10,monthsinyear))&lt;Inputs!$F$423)</f>
        <v>0</v>
      </c>
      <c r="W139" s="806">
        <f ca="1">$B139*W138*(W$3&lt;&gt;0)*((W$3+QUOTIENT(Inputs!$D$10,monthsinyear))&lt;Inputs!$F$423)</f>
        <v>0</v>
      </c>
      <c r="X139" s="806">
        <f ca="1">$B139*X138*(X$3&lt;&gt;0)*((X$3+QUOTIENT(Inputs!$D$10,monthsinyear))&lt;Inputs!$F$423)</f>
        <v>0</v>
      </c>
      <c r="Y139" s="806">
        <f ca="1">$B139*Y138*(Y$3&lt;&gt;0)*((Y$3+QUOTIENT(Inputs!$D$10,monthsinyear))&lt;Inputs!$F$423)</f>
        <v>0</v>
      </c>
      <c r="Z139" s="806">
        <f ca="1">$B139*Z138*(Z$3&lt;&gt;0)*((Z$3+QUOTIENT(Inputs!$D$10,monthsinyear))&lt;Inputs!$F$423)</f>
        <v>0</v>
      </c>
      <c r="AA139" s="806">
        <f ca="1">$B139*AA138*(AA$3&lt;&gt;0)*((AA$3+QUOTIENT(Inputs!$D$10,monthsinyear))&lt;Inputs!$F$423)</f>
        <v>0</v>
      </c>
      <c r="AB139" s="806">
        <f ca="1">$B139*AB138*(AB$3&lt;&gt;0)*((AB$3+QUOTIENT(Inputs!$D$10,monthsinyear))&lt;Inputs!$F$423)</f>
        <v>0</v>
      </c>
      <c r="AC139" s="806">
        <f ca="1">$B139*AC138*(AC$3&lt;&gt;0)*((AC$3+QUOTIENT(Inputs!$D$10,monthsinyear))&lt;Inputs!$F$423)</f>
        <v>0</v>
      </c>
      <c r="AD139" s="806">
        <f ca="1">$B139*AD138*(AD$3&lt;&gt;0)*((AD$3+QUOTIENT(Inputs!$D$10,monthsinyear))&lt;Inputs!$F$423)</f>
        <v>0</v>
      </c>
      <c r="AE139" s="806">
        <f ca="1">$B139*AE138*(AE$3&lt;&gt;0)*((AE$3+QUOTIENT(Inputs!$D$10,monthsinyear))&lt;Inputs!$F$423)</f>
        <v>0</v>
      </c>
      <c r="AF139" s="806">
        <f ca="1">$B139*AF138*(AF$3&lt;&gt;0)*((AF$3+QUOTIENT(Inputs!$D$10,monthsinyear))&lt;Inputs!$F$423)</f>
        <v>0</v>
      </c>
      <c r="AG139" s="806">
        <f ca="1">$B139*AG138*(AG$3&lt;&gt;0)*((AG$3+QUOTIENT(Inputs!$D$10,monthsinyear))&lt;Inputs!$F$423)</f>
        <v>0</v>
      </c>
      <c r="AH139" s="806">
        <f ca="1">$B139*AH138*(AH$3&lt;&gt;0)*((AH$3+QUOTIENT(Inputs!$D$10,monthsinyear))&lt;Inputs!$F$423)</f>
        <v>0</v>
      </c>
      <c r="AI139" s="806">
        <f ca="1">$B139*AI138*(AI$3&lt;&gt;0)*((AI$3+QUOTIENT(Inputs!$D$10,monthsinyear))&lt;Inputs!$F$423)</f>
        <v>0</v>
      </c>
      <c r="AJ139" s="806">
        <f ca="1">$B139*AJ138*(AJ$3&lt;&gt;0)*((AJ$3+QUOTIENT(Inputs!$D$10,monthsinyear))&lt;Inputs!$F$423)</f>
        <v>0</v>
      </c>
      <c r="AK139" s="806">
        <f ca="1">$B139*AK138*(AK$3&lt;&gt;0)*((AK$3+QUOTIENT(Inputs!$D$10,monthsinyear))&lt;Inputs!$F$423)</f>
        <v>0</v>
      </c>
      <c r="AL139" s="806">
        <f ca="1">$B139*AL138*(AL$3&lt;&gt;0)*((AL$3+QUOTIENT(Inputs!$D$10,monthsinyear))&lt;Inputs!$F$423)</f>
        <v>0</v>
      </c>
      <c r="AM139" s="806">
        <f ca="1">$B139*AM138*(AM$3&lt;&gt;0)*((AM$3+QUOTIENT(Inputs!$D$10,monthsinyear))&lt;Inputs!$F$423)</f>
        <v>0</v>
      </c>
      <c r="AN139" s="806">
        <f ca="1">$B139*AN138*(AN$3&lt;&gt;0)*((AN$3+QUOTIENT(Inputs!$D$10,monthsinyear))&lt;Inputs!$F$423)</f>
        <v>0</v>
      </c>
      <c r="AO139" s="806">
        <f ca="1">$B139*AO138*(AO$3&lt;&gt;0)*((AO$3+QUOTIENT(Inputs!$D$10,monthsinyear))&lt;Inputs!$F$423)</f>
        <v>0</v>
      </c>
      <c r="AP139" s="806">
        <f ca="1">$B139*AP138*(AP$3&lt;&gt;0)*((AP$3+QUOTIENT(Inputs!$D$10,monthsinyear))&lt;Inputs!$F$423)</f>
        <v>0</v>
      </c>
      <c r="AQ139" s="806">
        <f ca="1">$B139*AQ138*(AQ$3&lt;&gt;0)*((AQ$3+QUOTIENT(Inputs!$D$10,monthsinyear))&lt;Inputs!$F$423)</f>
        <v>0</v>
      </c>
      <c r="AR139" s="806">
        <f ca="1">$B139*AR138*(AR$3&lt;&gt;0)*((AR$3+QUOTIENT(Inputs!$D$10,monthsinyear))&lt;Inputs!$F$423)</f>
        <v>0</v>
      </c>
      <c r="AS139" s="806">
        <f ca="1">$B139*AS138*(AS$3&lt;&gt;0)*((AS$3+QUOTIENT(Inputs!$D$10,monthsinyear))&lt;Inputs!$F$423)</f>
        <v>0</v>
      </c>
      <c r="AT139" s="806">
        <f ca="1">$B139*AT138*(AT$3&lt;&gt;0)*((AT$3+QUOTIENT(Inputs!$D$10,monthsinyear))&lt;Inputs!$F$423)</f>
        <v>0</v>
      </c>
      <c r="AU139" s="806">
        <f ca="1">$B139*AU138*(AU$3&lt;&gt;0)*((AU$3+QUOTIENT(Inputs!$D$10,monthsinyear))&lt;Inputs!$F$423)</f>
        <v>0</v>
      </c>
      <c r="AV139" s="806">
        <f ca="1">$B139*AV138*(AV$3&lt;&gt;0)*((AV$3+QUOTIENT(Inputs!$D$10,monthsinyear))&lt;Inputs!$F$423)</f>
        <v>0</v>
      </c>
      <c r="AW139" s="806">
        <f ca="1">$B139*AW138*(AW$3&lt;&gt;0)*((AW$3+QUOTIENT(Inputs!$D$10,monthsinyear))&lt;Inputs!$F$423)</f>
        <v>0</v>
      </c>
      <c r="AX139" s="806">
        <f ca="1">$B139*AX138*(AX$3&lt;&gt;0)*((AX$3+QUOTIENT(Inputs!$D$10,monthsinyear))&lt;Inputs!$F$423)</f>
        <v>0</v>
      </c>
      <c r="AY139" s="806">
        <f ca="1">$B139*AY138*(AY$3&lt;&gt;0)*((AY$3+QUOTIENT(Inputs!$D$10,monthsinyear))&lt;Inputs!$F$423)</f>
        <v>0</v>
      </c>
      <c r="AZ139" s="806">
        <f ca="1">$B139*AZ138*(AZ$3&lt;&gt;0)*((AZ$3+QUOTIENT(Inputs!$D$10,monthsinyear))&lt;Inputs!$F$423)</f>
        <v>0</v>
      </c>
      <c r="BA139" s="806">
        <f ca="1">$B139*BA138*(BA$3&lt;&gt;0)*((BA$3+QUOTIENT(Inputs!$D$10,monthsinyear))&lt;Inputs!$F$423)</f>
        <v>0</v>
      </c>
      <c r="BB139" s="806">
        <f ca="1">$B139*BB138*(BB$3&lt;&gt;0)*((BB$3+QUOTIENT(Inputs!$D$10,monthsinyear))&lt;Inputs!$F$423)</f>
        <v>0</v>
      </c>
      <c r="BC139" s="806">
        <f ca="1">$B139*BC138*(BC$3&lt;&gt;0)*((BC$3+QUOTIENT(Inputs!$D$10,monthsinyear))&lt;Inputs!$F$423)</f>
        <v>0</v>
      </c>
      <c r="BD139" s="806">
        <f ca="1">$B139*BD138*(BD$3&lt;&gt;0)*((BD$3+QUOTIENT(Inputs!$D$10,monthsinyear))&lt;Inputs!$F$423)</f>
        <v>0</v>
      </c>
      <c r="BE139" s="806">
        <f ca="1">$B139*BE138*(BE$3&lt;&gt;0)*((BE$3+QUOTIENT(Inputs!$D$10,monthsinyear))&lt;Inputs!$F$423)</f>
        <v>0</v>
      </c>
      <c r="BF139" s="806">
        <f ca="1">$B139*BF138*(BF$3&lt;&gt;0)*((BF$3+QUOTIENT(Inputs!$D$10,monthsinyear))&lt;Inputs!$F$423)</f>
        <v>0</v>
      </c>
      <c r="BG139" s="806">
        <f ca="1">$B139*BG138*(BG$3&lt;&gt;0)*((BG$3+QUOTIENT(Inputs!$D$10,monthsinyear))&lt;Inputs!$F$423)</f>
        <v>0</v>
      </c>
      <c r="BH139" s="806">
        <f ca="1">$B139*BH138*(BH$3&lt;&gt;0)*((BH$3+QUOTIENT(Inputs!$D$10,monthsinyear))&lt;Inputs!$F$423)</f>
        <v>0</v>
      </c>
      <c r="BI139" s="806">
        <f ca="1">$B139*BI138*(BI$3&lt;&gt;0)*((BI$3+QUOTIENT(Inputs!$D$10,monthsinyear))&lt;Inputs!$F$423)</f>
        <v>0</v>
      </c>
      <c r="BJ139" s="806">
        <f ca="1">$B139*BJ138*(BJ$3&lt;&gt;0)*((BJ$3+QUOTIENT(Inputs!$D$10,monthsinyear))&lt;Inputs!$F$423)</f>
        <v>0</v>
      </c>
      <c r="BK139" s="806">
        <f ca="1">$B139*BK138*(BK$3&lt;&gt;0)*((BK$3+QUOTIENT(Inputs!$D$10,monthsinyear))&lt;Inputs!$F$423)</f>
        <v>0</v>
      </c>
      <c r="BL139" s="806">
        <f ca="1">$B139*BL138*(BL$3&lt;&gt;0)*((BL$3+QUOTIENT(Inputs!$D$10,monthsinyear))&lt;Inputs!$F$423)</f>
        <v>0</v>
      </c>
      <c r="BM139" s="806">
        <f ca="1">$B139*BM138*(BM$3&lt;&gt;0)*((BM$3+QUOTIENT(Inputs!$D$10,monthsinyear))&lt;Inputs!$F$423)</f>
        <v>0</v>
      </c>
      <c r="BN139" s="806">
        <f ca="1">$B139*BN138*(BN$3&lt;&gt;0)*((BN$3+QUOTIENT(Inputs!$D$10,monthsinyear))&lt;Inputs!$F$423)</f>
        <v>0</v>
      </c>
      <c r="BO139" s="806">
        <f ca="1">$B139*BO138*(BO$3&lt;&gt;0)*((BO$3+QUOTIENT(Inputs!$D$10,monthsinyear))&lt;Inputs!$F$423)</f>
        <v>0</v>
      </c>
      <c r="BP139" s="806"/>
      <c r="BQ139" s="806"/>
      <c r="BR139" s="806"/>
      <c r="BS139" s="806"/>
      <c r="BT139" s="806"/>
      <c r="BU139" s="806"/>
      <c r="BV139" s="806"/>
      <c r="BW139" s="806"/>
      <c r="BX139" s="806"/>
      <c r="BY139" s="806"/>
      <c r="BZ139" s="806"/>
      <c r="CA139" s="806"/>
      <c r="CB139" s="806"/>
      <c r="CC139" s="806"/>
      <c r="CD139" s="806"/>
      <c r="CE139" s="806"/>
      <c r="CF139" s="806"/>
      <c r="CG139" s="806"/>
      <c r="CH139" s="806"/>
      <c r="CI139" s="806"/>
      <c r="CJ139" s="806"/>
      <c r="CK139" s="806"/>
      <c r="CL139" s="806"/>
      <c r="CM139" s="806"/>
      <c r="CN139" s="806"/>
      <c r="CO139" s="806"/>
      <c r="CP139" s="806"/>
      <c r="CQ139" s="806"/>
      <c r="CR139" s="806"/>
      <c r="CS139" s="806"/>
      <c r="CT139" s="806"/>
      <c r="CU139" s="806"/>
      <c r="CV139" s="806"/>
      <c r="CW139" s="806"/>
      <c r="CX139" s="806"/>
      <c r="CY139" s="806"/>
      <c r="CZ139" s="806"/>
      <c r="DA139" s="806"/>
      <c r="DB139" s="806"/>
      <c r="DC139" s="806"/>
      <c r="DD139" s="806"/>
      <c r="DE139" s="806"/>
      <c r="DF139" s="806"/>
      <c r="DG139" s="806"/>
      <c r="DH139" s="806"/>
      <c r="DI139" s="806"/>
      <c r="DJ139" s="806"/>
      <c r="DK139" s="806"/>
      <c r="DL139" s="806"/>
      <c r="DM139" s="806"/>
      <c r="DN139" s="806"/>
      <c r="DO139" s="806"/>
      <c r="DP139" s="806"/>
      <c r="DQ139" s="806"/>
      <c r="DR139" s="806"/>
      <c r="DS139" s="806"/>
      <c r="DT139" s="806"/>
      <c r="DU139" s="806"/>
      <c r="DV139" s="806"/>
      <c r="DW139" s="806"/>
      <c r="DX139" s="510"/>
      <c r="DY139" s="510"/>
      <c r="DZ139" s="510"/>
      <c r="EA139" s="510"/>
      <c r="EB139" s="510"/>
      <c r="EC139" s="510"/>
      <c r="ED139" s="510"/>
      <c r="EE139" s="510"/>
      <c r="EF139" s="510"/>
    </row>
    <row r="140" spans="1:148">
      <c r="A140" s="961" t="s">
        <v>227</v>
      </c>
      <c r="B140" s="704"/>
      <c r="C140" s="704"/>
      <c r="D140" s="510">
        <f ca="1">SUM(G140:DW140)</f>
        <v>26771.882877263175</v>
      </c>
      <c r="E140" s="396"/>
      <c r="F140" s="323"/>
      <c r="G140" s="510">
        <f ca="1">MAX(MIN(G136,G$120*G135),0)</f>
        <v>0</v>
      </c>
      <c r="H140" s="510">
        <f ca="1">MAX(MIN(H136,H$120*H135),0)</f>
        <v>0</v>
      </c>
      <c r="I140" s="510">
        <f t="shared" ref="I140:BO140" ca="1" si="474">MAX(MIN(I136,I$120*I135),0)</f>
        <v>0</v>
      </c>
      <c r="J140" s="510">
        <f t="shared" ca="1" si="474"/>
        <v>0</v>
      </c>
      <c r="K140" s="510">
        <f t="shared" ca="1" si="474"/>
        <v>0</v>
      </c>
      <c r="L140" s="510">
        <f t="shared" ca="1" si="474"/>
        <v>0</v>
      </c>
      <c r="M140" s="510">
        <f t="shared" ca="1" si="474"/>
        <v>0</v>
      </c>
      <c r="N140" s="510">
        <f t="shared" ca="1" si="474"/>
        <v>0</v>
      </c>
      <c r="O140" s="510">
        <f t="shared" ca="1" si="474"/>
        <v>0</v>
      </c>
      <c r="P140" s="510">
        <f t="shared" ca="1" si="474"/>
        <v>0</v>
      </c>
      <c r="Q140" s="510">
        <f t="shared" ca="1" si="474"/>
        <v>0</v>
      </c>
      <c r="R140" s="510">
        <f t="shared" ca="1" si="474"/>
        <v>0</v>
      </c>
      <c r="S140" s="510">
        <f t="shared" ca="1" si="474"/>
        <v>0</v>
      </c>
      <c r="T140" s="510">
        <f t="shared" ca="1" si="474"/>
        <v>0</v>
      </c>
      <c r="U140" s="510">
        <f t="shared" ca="1" si="474"/>
        <v>0</v>
      </c>
      <c r="V140" s="510">
        <f t="shared" ca="1" si="474"/>
        <v>0</v>
      </c>
      <c r="W140" s="510">
        <f t="shared" ca="1" si="474"/>
        <v>0</v>
      </c>
      <c r="X140" s="510">
        <f ca="1">MAX(MIN(X136,X$120*X135),0)</f>
        <v>0</v>
      </c>
      <c r="Y140" s="510">
        <f t="shared" ca="1" si="474"/>
        <v>0</v>
      </c>
      <c r="Z140" s="510">
        <f t="shared" ca="1" si="474"/>
        <v>0</v>
      </c>
      <c r="AA140" s="510">
        <f t="shared" ca="1" si="474"/>
        <v>0</v>
      </c>
      <c r="AB140" s="510">
        <f t="shared" ca="1" si="474"/>
        <v>0</v>
      </c>
      <c r="AC140" s="510">
        <f t="shared" ca="1" si="474"/>
        <v>0</v>
      </c>
      <c r="AD140" s="510">
        <f t="shared" ca="1" si="474"/>
        <v>0</v>
      </c>
      <c r="AE140" s="510">
        <f t="shared" ca="1" si="474"/>
        <v>0</v>
      </c>
      <c r="AF140" s="510">
        <f t="shared" ca="1" si="474"/>
        <v>224.11656791246105</v>
      </c>
      <c r="AG140" s="510">
        <f t="shared" ca="1" si="474"/>
        <v>83.211857946056625</v>
      </c>
      <c r="AH140" s="510">
        <f t="shared" ca="1" si="474"/>
        <v>258.70584794533193</v>
      </c>
      <c r="AI140" s="510">
        <f t="shared" ca="1" si="474"/>
        <v>115.04197823766867</v>
      </c>
      <c r="AJ140" s="510">
        <f t="shared" ca="1" si="474"/>
        <v>1942.3381457077382</v>
      </c>
      <c r="AK140" s="510">
        <f t="shared" ca="1" si="474"/>
        <v>1587.4167117684447</v>
      </c>
      <c r="AL140" s="510">
        <f t="shared" ca="1" si="474"/>
        <v>1956.8415567801817</v>
      </c>
      <c r="AM140" s="510">
        <f t="shared" ca="1" si="474"/>
        <v>1790.9756144230075</v>
      </c>
      <c r="AN140" s="510">
        <f t="shared" ca="1" si="474"/>
        <v>2164.099556102627</v>
      </c>
      <c r="AO140" s="510">
        <f t="shared" ca="1" si="474"/>
        <v>1991.9636321090975</v>
      </c>
      <c r="AP140" s="510">
        <f t="shared" ca="1" si="474"/>
        <v>2379.1458689431702</v>
      </c>
      <c r="AQ140" s="510">
        <f t="shared" ca="1" si="474"/>
        <v>2213.9248535273591</v>
      </c>
      <c r="AR140" s="510">
        <f t="shared" ca="1" si="474"/>
        <v>2626.6889330736199</v>
      </c>
      <c r="AS140" s="510">
        <f t="shared" ca="1" si="474"/>
        <v>2443.6094775465253</v>
      </c>
      <c r="AT140" s="510">
        <f t="shared" ca="1" si="474"/>
        <v>2885.635578779099</v>
      </c>
      <c r="AU140" s="510">
        <f t="shared" ca="1" si="474"/>
        <v>2108.1666964607866</v>
      </c>
      <c r="AV140" s="510">
        <f t="shared" ca="1" si="474"/>
        <v>0</v>
      </c>
      <c r="AW140" s="510">
        <f t="shared" ca="1" si="474"/>
        <v>0</v>
      </c>
      <c r="AX140" s="510">
        <f t="shared" ca="1" si="474"/>
        <v>0</v>
      </c>
      <c r="AY140" s="510">
        <f t="shared" ca="1" si="474"/>
        <v>0</v>
      </c>
      <c r="AZ140" s="510">
        <f t="shared" ca="1" si="474"/>
        <v>0</v>
      </c>
      <c r="BA140" s="510">
        <f t="shared" ca="1" si="474"/>
        <v>0</v>
      </c>
      <c r="BB140" s="510">
        <f t="shared" ca="1" si="474"/>
        <v>0</v>
      </c>
      <c r="BC140" s="510">
        <f t="shared" ca="1" si="474"/>
        <v>0</v>
      </c>
      <c r="BD140" s="510">
        <f t="shared" ca="1" si="474"/>
        <v>0</v>
      </c>
      <c r="BE140" s="510">
        <f t="shared" ca="1" si="474"/>
        <v>0</v>
      </c>
      <c r="BF140" s="510">
        <f t="shared" ca="1" si="474"/>
        <v>0</v>
      </c>
      <c r="BG140" s="510">
        <f t="shared" ca="1" si="474"/>
        <v>0</v>
      </c>
      <c r="BH140" s="510">
        <f t="shared" ca="1" si="474"/>
        <v>0</v>
      </c>
      <c r="BI140" s="510">
        <f t="shared" ca="1" si="474"/>
        <v>0</v>
      </c>
      <c r="BJ140" s="510">
        <f t="shared" ca="1" si="474"/>
        <v>0</v>
      </c>
      <c r="BK140" s="510">
        <f t="shared" ca="1" si="474"/>
        <v>0</v>
      </c>
      <c r="BL140" s="510">
        <f t="shared" ca="1" si="474"/>
        <v>0</v>
      </c>
      <c r="BM140" s="510">
        <f t="shared" ca="1" si="474"/>
        <v>0</v>
      </c>
      <c r="BN140" s="510">
        <f t="shared" ca="1" si="474"/>
        <v>0</v>
      </c>
      <c r="BO140" s="510">
        <f t="shared" ca="1" si="474"/>
        <v>0</v>
      </c>
      <c r="BP140" s="510"/>
      <c r="BQ140" s="510"/>
      <c r="BR140" s="510"/>
      <c r="BS140" s="510"/>
      <c r="BT140" s="510"/>
      <c r="BU140" s="510"/>
      <c r="BV140" s="510"/>
      <c r="BW140" s="510"/>
      <c r="BX140" s="510"/>
      <c r="BY140" s="510"/>
      <c r="BZ140" s="510"/>
      <c r="CA140" s="510"/>
      <c r="CB140" s="510"/>
      <c r="CC140" s="510"/>
      <c r="CD140" s="510"/>
      <c r="CE140" s="510"/>
      <c r="CF140" s="510"/>
      <c r="CG140" s="510"/>
      <c r="CH140" s="510"/>
      <c r="CI140" s="510"/>
      <c r="CJ140" s="510"/>
      <c r="CK140" s="510"/>
      <c r="CL140" s="510"/>
      <c r="CM140" s="510"/>
      <c r="CN140" s="510"/>
      <c r="CO140" s="510"/>
      <c r="CP140" s="510"/>
      <c r="CQ140" s="510"/>
      <c r="CR140" s="510"/>
      <c r="CS140" s="510"/>
      <c r="CT140" s="510"/>
      <c r="CU140" s="510"/>
      <c r="CV140" s="510"/>
      <c r="CW140" s="510"/>
      <c r="CX140" s="510"/>
      <c r="CY140" s="510"/>
      <c r="CZ140" s="510"/>
      <c r="DA140" s="510"/>
      <c r="DB140" s="510"/>
      <c r="DC140" s="510"/>
      <c r="DD140" s="510"/>
      <c r="DE140" s="510"/>
      <c r="DF140" s="510"/>
      <c r="DG140" s="510"/>
      <c r="DH140" s="510"/>
      <c r="DI140" s="510"/>
      <c r="DJ140" s="510"/>
      <c r="DK140" s="510"/>
      <c r="DL140" s="510"/>
      <c r="DM140" s="510"/>
      <c r="DN140" s="510"/>
      <c r="DO140" s="510"/>
      <c r="DP140" s="510"/>
      <c r="DQ140" s="510"/>
      <c r="DR140" s="510"/>
      <c r="DS140" s="510"/>
      <c r="DT140" s="510"/>
      <c r="DU140" s="510"/>
      <c r="DV140" s="510"/>
      <c r="DW140" s="510"/>
      <c r="DX140" s="510"/>
      <c r="DY140" s="510"/>
      <c r="DZ140" s="510"/>
      <c r="EA140" s="510"/>
      <c r="EB140" s="510"/>
      <c r="EC140" s="510"/>
      <c r="ED140" s="510"/>
      <c r="EE140" s="510"/>
      <c r="EF140" s="510"/>
    </row>
    <row r="141" spans="1:148">
      <c r="A141" s="881" t="s">
        <v>1247</v>
      </c>
      <c r="B141" s="704"/>
      <c r="C141" s="704"/>
      <c r="D141" s="510">
        <f ca="1">SUM(G141:DW141)</f>
        <v>12151.108982447558</v>
      </c>
      <c r="E141" s="396"/>
      <c r="F141" s="323"/>
      <c r="G141" s="459">
        <f ca="1">MAX(G138-G119*G135,0)</f>
        <v>1169.6619115852516</v>
      </c>
      <c r="H141" s="459">
        <f t="shared" ref="H141:AL141" ca="1" si="475">MAX(H138-H119*H135,0)</f>
        <v>300.93879648341112</v>
      </c>
      <c r="I141" s="459">
        <f t="shared" ca="1" si="475"/>
        <v>307.97079874811277</v>
      </c>
      <c r="J141" s="459">
        <f t="shared" ca="1" si="475"/>
        <v>325.28662889294276</v>
      </c>
      <c r="K141" s="459">
        <f t="shared" ca="1" si="475"/>
        <v>326.61088878938551</v>
      </c>
      <c r="L141" s="459">
        <f t="shared" ca="1" si="475"/>
        <v>343.6011932383675</v>
      </c>
      <c r="M141" s="459">
        <f t="shared" ca="1" si="475"/>
        <v>344.56388485621812</v>
      </c>
      <c r="N141" s="459">
        <f t="shared" ca="1" si="475"/>
        <v>366.17582561321183</v>
      </c>
      <c r="O141" s="459">
        <f t="shared" ca="1" si="475"/>
        <v>370.4617093004756</v>
      </c>
      <c r="P141" s="459">
        <f t="shared" ca="1" si="475"/>
        <v>390.62783863562129</v>
      </c>
      <c r="Q141" s="459">
        <f t="shared" ca="1" si="475"/>
        <v>398.36793115552564</v>
      </c>
      <c r="R141" s="459">
        <f t="shared" ca="1" si="475"/>
        <v>418.09594985133344</v>
      </c>
      <c r="S141" s="459">
        <f t="shared" ca="1" si="475"/>
        <v>431.78249306135433</v>
      </c>
      <c r="T141" s="459">
        <f t="shared" ca="1" si="475"/>
        <v>445.97344612675465</v>
      </c>
      <c r="U141" s="459">
        <f t="shared" ca="1" si="475"/>
        <v>461.23573839948006</v>
      </c>
      <c r="V141" s="459">
        <f t="shared" ca="1" si="475"/>
        <v>477.06530373492603</v>
      </c>
      <c r="W141" s="459">
        <f t="shared" ca="1" si="475"/>
        <v>496.4655669914647</v>
      </c>
      <c r="X141" s="459">
        <f t="shared" ca="1" si="475"/>
        <v>510.7498351535254</v>
      </c>
      <c r="Y141" s="459">
        <f t="shared" ca="1" si="475"/>
        <v>534.56891063532544</v>
      </c>
      <c r="Z141" s="459">
        <f t="shared" ca="1" si="475"/>
        <v>548.28993777213429</v>
      </c>
      <c r="AA141" s="459">
        <f t="shared" ca="1" si="475"/>
        <v>579.88759722570421</v>
      </c>
      <c r="AB141" s="459">
        <f t="shared" ca="1" si="475"/>
        <v>612.50040560092111</v>
      </c>
      <c r="AC141" s="459">
        <f t="shared" ca="1" si="475"/>
        <v>641.53740853910176</v>
      </c>
      <c r="AD141" s="459">
        <f t="shared" ca="1" si="475"/>
        <v>657.24432387558545</v>
      </c>
      <c r="AE141" s="459">
        <f t="shared" ca="1" si="475"/>
        <v>691.44465818142339</v>
      </c>
      <c r="AF141" s="459">
        <f t="shared" ca="1" si="475"/>
        <v>0</v>
      </c>
      <c r="AG141" s="459">
        <f t="shared" ca="1" si="475"/>
        <v>0</v>
      </c>
      <c r="AH141" s="459">
        <f t="shared" ca="1" si="475"/>
        <v>0</v>
      </c>
      <c r="AI141" s="459">
        <f t="shared" ca="1" si="475"/>
        <v>0</v>
      </c>
      <c r="AJ141" s="459">
        <f t="shared" ca="1" si="475"/>
        <v>0</v>
      </c>
      <c r="AK141" s="459">
        <f t="shared" ca="1" si="475"/>
        <v>0</v>
      </c>
      <c r="AL141" s="459">
        <f t="shared" ca="1" si="475"/>
        <v>0</v>
      </c>
      <c r="AM141" s="459">
        <f t="shared" ref="AM141:BO141" ca="1" si="476">MAX(AM138-AM119*AM135,0)</f>
        <v>0</v>
      </c>
      <c r="AN141" s="459">
        <f t="shared" ca="1" si="476"/>
        <v>0</v>
      </c>
      <c r="AO141" s="459">
        <f t="shared" ca="1" si="476"/>
        <v>0</v>
      </c>
      <c r="AP141" s="459">
        <f t="shared" ca="1" si="476"/>
        <v>0</v>
      </c>
      <c r="AQ141" s="459">
        <f t="shared" ca="1" si="476"/>
        <v>0</v>
      </c>
      <c r="AR141" s="459">
        <f t="shared" ca="1" si="476"/>
        <v>0</v>
      </c>
      <c r="AS141" s="459">
        <f t="shared" ca="1" si="476"/>
        <v>0</v>
      </c>
      <c r="AT141" s="459">
        <f t="shared" ca="1" si="476"/>
        <v>0</v>
      </c>
      <c r="AU141" s="459">
        <f t="shared" ca="1" si="476"/>
        <v>0</v>
      </c>
      <c r="AV141" s="459">
        <f t="shared" ca="1" si="476"/>
        <v>0</v>
      </c>
      <c r="AW141" s="459">
        <f t="shared" ca="1" si="476"/>
        <v>0</v>
      </c>
      <c r="AX141" s="459">
        <f t="shared" ca="1" si="476"/>
        <v>0</v>
      </c>
      <c r="AY141" s="459">
        <f t="shared" ca="1" si="476"/>
        <v>0</v>
      </c>
      <c r="AZ141" s="459">
        <f t="shared" ca="1" si="476"/>
        <v>0</v>
      </c>
      <c r="BA141" s="459">
        <f t="shared" ca="1" si="476"/>
        <v>0</v>
      </c>
      <c r="BB141" s="459">
        <f t="shared" ca="1" si="476"/>
        <v>0</v>
      </c>
      <c r="BC141" s="459">
        <f t="shared" ca="1" si="476"/>
        <v>0</v>
      </c>
      <c r="BD141" s="459">
        <f t="shared" ca="1" si="476"/>
        <v>0</v>
      </c>
      <c r="BE141" s="459">
        <f t="shared" ca="1" si="476"/>
        <v>0</v>
      </c>
      <c r="BF141" s="459">
        <f t="shared" ca="1" si="476"/>
        <v>0</v>
      </c>
      <c r="BG141" s="459">
        <f t="shared" ca="1" si="476"/>
        <v>0</v>
      </c>
      <c r="BH141" s="459">
        <f t="shared" ca="1" si="476"/>
        <v>0</v>
      </c>
      <c r="BI141" s="459">
        <f t="shared" ca="1" si="476"/>
        <v>0</v>
      </c>
      <c r="BJ141" s="459">
        <f t="shared" ca="1" si="476"/>
        <v>0</v>
      </c>
      <c r="BK141" s="459">
        <f t="shared" ca="1" si="476"/>
        <v>0</v>
      </c>
      <c r="BL141" s="459">
        <f t="shared" ca="1" si="476"/>
        <v>0</v>
      </c>
      <c r="BM141" s="459">
        <f t="shared" ca="1" si="476"/>
        <v>0</v>
      </c>
      <c r="BN141" s="459">
        <f t="shared" ca="1" si="476"/>
        <v>0</v>
      </c>
      <c r="BO141" s="459">
        <f t="shared" ca="1" si="476"/>
        <v>0</v>
      </c>
      <c r="BP141" s="459"/>
      <c r="BQ141" s="459"/>
      <c r="BR141" s="459"/>
      <c r="BS141" s="459"/>
      <c r="BT141" s="459"/>
      <c r="BU141" s="459"/>
      <c r="BV141" s="459"/>
      <c r="BW141" s="459"/>
      <c r="BX141" s="459"/>
      <c r="BY141" s="459"/>
      <c r="BZ141" s="459"/>
      <c r="CA141" s="459"/>
      <c r="CB141" s="459"/>
      <c r="CC141" s="459"/>
      <c r="CD141" s="459"/>
      <c r="CE141" s="459"/>
      <c r="CF141" s="459"/>
      <c r="CG141" s="459"/>
      <c r="CH141" s="459"/>
      <c r="CI141" s="459"/>
      <c r="CJ141" s="459"/>
      <c r="CK141" s="459"/>
      <c r="CL141" s="459"/>
      <c r="CM141" s="459"/>
      <c r="CN141" s="459"/>
      <c r="CO141" s="459"/>
      <c r="CP141" s="459"/>
      <c r="CQ141" s="459"/>
      <c r="CR141" s="459"/>
      <c r="CS141" s="459"/>
      <c r="CT141" s="459"/>
      <c r="CU141" s="459"/>
      <c r="CV141" s="459"/>
      <c r="CW141" s="459"/>
      <c r="CX141" s="459"/>
      <c r="CY141" s="459"/>
      <c r="CZ141" s="459"/>
      <c r="DA141" s="459"/>
      <c r="DB141" s="459"/>
      <c r="DC141" s="459"/>
      <c r="DD141" s="459"/>
      <c r="DE141" s="459"/>
      <c r="DF141" s="459"/>
      <c r="DG141" s="459"/>
      <c r="DH141" s="459"/>
      <c r="DI141" s="459"/>
      <c r="DJ141" s="459"/>
      <c r="DK141" s="459"/>
      <c r="DL141" s="459"/>
      <c r="DM141" s="459"/>
      <c r="DN141" s="459"/>
      <c r="DO141" s="459"/>
      <c r="DP141" s="459"/>
      <c r="DQ141" s="459"/>
      <c r="DR141" s="459"/>
      <c r="DS141" s="459"/>
      <c r="DT141" s="459"/>
      <c r="DU141" s="459"/>
      <c r="DV141" s="459"/>
      <c r="DW141" s="459"/>
      <c r="DX141" s="510"/>
      <c r="DY141" s="510"/>
      <c r="DZ141" s="510"/>
      <c r="EA141" s="510"/>
      <c r="EB141" s="510"/>
      <c r="EC141" s="510"/>
      <c r="ED141" s="510"/>
      <c r="EE141" s="510"/>
      <c r="EF141" s="510"/>
    </row>
    <row r="142" spans="1:148">
      <c r="A142" s="874" t="s">
        <v>1154</v>
      </c>
      <c r="B142" s="704"/>
      <c r="C142" s="704"/>
      <c r="D142" s="396"/>
      <c r="E142" s="396"/>
      <c r="F142" s="611"/>
      <c r="G142" s="459">
        <f ca="1">G136+G137-G140+G141</f>
        <v>15790.435806400885</v>
      </c>
      <c r="H142" s="459">
        <f ca="1">H136+H137-H140+H141</f>
        <v>16091.374602884296</v>
      </c>
      <c r="I142" s="459">
        <f t="shared" ref="I142:BO142" ca="1" si="477">I136+I137-I140+I141</f>
        <v>16399.34540163241</v>
      </c>
      <c r="J142" s="459">
        <f t="shared" ca="1" si="477"/>
        <v>16724.632030525354</v>
      </c>
      <c r="K142" s="459">
        <f t="shared" ca="1" si="477"/>
        <v>17051.24291931474</v>
      </c>
      <c r="L142" s="459">
        <f t="shared" ca="1" si="477"/>
        <v>17394.844112553106</v>
      </c>
      <c r="M142" s="459">
        <f t="shared" ca="1" si="477"/>
        <v>17739.407997409326</v>
      </c>
      <c r="N142" s="459">
        <f t="shared" ca="1" si="477"/>
        <v>18105.583823022538</v>
      </c>
      <c r="O142" s="459">
        <f t="shared" ca="1" si="477"/>
        <v>18476.045532323013</v>
      </c>
      <c r="P142" s="459">
        <f t="shared" ca="1" si="477"/>
        <v>18866.673370958633</v>
      </c>
      <c r="Q142" s="459">
        <f t="shared" ca="1" si="477"/>
        <v>19265.041302114158</v>
      </c>
      <c r="R142" s="459">
        <f t="shared" ca="1" si="477"/>
        <v>19683.137251965491</v>
      </c>
      <c r="S142" s="459">
        <f t="shared" ca="1" si="477"/>
        <v>20114.919745026844</v>
      </c>
      <c r="T142" s="459">
        <f t="shared" ca="1" si="477"/>
        <v>20560.893191153598</v>
      </c>
      <c r="U142" s="459">
        <f t="shared" ca="1" si="477"/>
        <v>21022.128929553077</v>
      </c>
      <c r="V142" s="459">
        <f t="shared" ca="1" si="477"/>
        <v>21499.194233288003</v>
      </c>
      <c r="W142" s="459">
        <f t="shared" ca="1" si="477"/>
        <v>21995.659800279467</v>
      </c>
      <c r="X142" s="459">
        <f t="shared" ca="1" si="477"/>
        <v>22506.409635432992</v>
      </c>
      <c r="Y142" s="459">
        <f t="shared" ca="1" si="477"/>
        <v>23040.978546068316</v>
      </c>
      <c r="Z142" s="459">
        <f t="shared" ca="1" si="477"/>
        <v>23589.268483840449</v>
      </c>
      <c r="AA142" s="459">
        <f t="shared" ca="1" si="477"/>
        <v>24169.156081066154</v>
      </c>
      <c r="AB142" s="459">
        <f t="shared" ca="1" si="477"/>
        <v>24781.656486667074</v>
      </c>
      <c r="AC142" s="459">
        <f t="shared" ca="1" si="477"/>
        <v>25423.193895206176</v>
      </c>
      <c r="AD142" s="459">
        <f t="shared" ca="1" si="477"/>
        <v>26080.43821908176</v>
      </c>
      <c r="AE142" s="459">
        <f t="shared" ca="1" si="477"/>
        <v>26771.882877263182</v>
      </c>
      <c r="AF142" s="459">
        <f t="shared" ca="1" si="477"/>
        <v>26547.766309350722</v>
      </c>
      <c r="AG142" s="459">
        <f t="shared" ca="1" si="477"/>
        <v>26464.554451404663</v>
      </c>
      <c r="AH142" s="459">
        <f t="shared" ca="1" si="477"/>
        <v>26205.84860345933</v>
      </c>
      <c r="AI142" s="459">
        <f t="shared" ca="1" si="477"/>
        <v>26090.806625221659</v>
      </c>
      <c r="AJ142" s="459">
        <f t="shared" ca="1" si="477"/>
        <v>24148.468479513922</v>
      </c>
      <c r="AK142" s="459">
        <f t="shared" ca="1" si="477"/>
        <v>22561.051767745477</v>
      </c>
      <c r="AL142" s="459">
        <f t="shared" ca="1" si="477"/>
        <v>20604.210210965295</v>
      </c>
      <c r="AM142" s="459">
        <f t="shared" ca="1" si="477"/>
        <v>18813.234596542286</v>
      </c>
      <c r="AN142" s="459">
        <f t="shared" ca="1" si="477"/>
        <v>16649.135040439658</v>
      </c>
      <c r="AO142" s="459">
        <f t="shared" ca="1" si="477"/>
        <v>14657.17140833056</v>
      </c>
      <c r="AP142" s="459">
        <f t="shared" ca="1" si="477"/>
        <v>12278.025539387389</v>
      </c>
      <c r="AQ142" s="459">
        <f t="shared" ca="1" si="477"/>
        <v>10064.10068586003</v>
      </c>
      <c r="AR142" s="459">
        <f t="shared" ca="1" si="477"/>
        <v>7437.4117527864109</v>
      </c>
      <c r="AS142" s="459">
        <f t="shared" ca="1" si="477"/>
        <v>4993.8022752398856</v>
      </c>
      <c r="AT142" s="459">
        <f t="shared" ca="1" si="477"/>
        <v>2108.1666964607866</v>
      </c>
      <c r="AU142" s="459">
        <f t="shared" ca="1" si="477"/>
        <v>0</v>
      </c>
      <c r="AV142" s="459">
        <f t="shared" ca="1" si="477"/>
        <v>0</v>
      </c>
      <c r="AW142" s="459">
        <f t="shared" ca="1" si="477"/>
        <v>0</v>
      </c>
      <c r="AX142" s="459">
        <f t="shared" ca="1" si="477"/>
        <v>0</v>
      </c>
      <c r="AY142" s="459">
        <f t="shared" ca="1" si="477"/>
        <v>0</v>
      </c>
      <c r="AZ142" s="459">
        <f t="shared" ca="1" si="477"/>
        <v>0</v>
      </c>
      <c r="BA142" s="459">
        <f t="shared" ca="1" si="477"/>
        <v>0</v>
      </c>
      <c r="BB142" s="459">
        <f t="shared" ca="1" si="477"/>
        <v>0</v>
      </c>
      <c r="BC142" s="459">
        <f t="shared" ca="1" si="477"/>
        <v>0</v>
      </c>
      <c r="BD142" s="459">
        <f t="shared" ca="1" si="477"/>
        <v>0</v>
      </c>
      <c r="BE142" s="459">
        <f t="shared" ca="1" si="477"/>
        <v>0</v>
      </c>
      <c r="BF142" s="459">
        <f t="shared" ca="1" si="477"/>
        <v>0</v>
      </c>
      <c r="BG142" s="459">
        <f t="shared" ca="1" si="477"/>
        <v>0</v>
      </c>
      <c r="BH142" s="459">
        <f t="shared" ca="1" si="477"/>
        <v>0</v>
      </c>
      <c r="BI142" s="459">
        <f t="shared" ca="1" si="477"/>
        <v>0</v>
      </c>
      <c r="BJ142" s="459">
        <f t="shared" ca="1" si="477"/>
        <v>0</v>
      </c>
      <c r="BK142" s="459">
        <f t="shared" ca="1" si="477"/>
        <v>0</v>
      </c>
      <c r="BL142" s="459">
        <f t="shared" ca="1" si="477"/>
        <v>0</v>
      </c>
      <c r="BM142" s="459">
        <f t="shared" ca="1" si="477"/>
        <v>0</v>
      </c>
      <c r="BN142" s="459">
        <f t="shared" ca="1" si="477"/>
        <v>0</v>
      </c>
      <c r="BO142" s="459">
        <f t="shared" ca="1" si="477"/>
        <v>0</v>
      </c>
      <c r="BP142" s="459"/>
      <c r="BQ142" s="459"/>
      <c r="BR142" s="459"/>
      <c r="BS142" s="459"/>
      <c r="BT142" s="459"/>
      <c r="BU142" s="459"/>
      <c r="BV142" s="459"/>
      <c r="BW142" s="459"/>
      <c r="BX142" s="459"/>
      <c r="BY142" s="459"/>
      <c r="BZ142" s="459"/>
      <c r="CA142" s="459"/>
      <c r="CB142" s="459"/>
      <c r="CC142" s="459"/>
      <c r="CD142" s="459"/>
      <c r="CE142" s="459"/>
      <c r="CF142" s="459"/>
      <c r="CG142" s="459"/>
      <c r="CH142" s="459"/>
      <c r="CI142" s="459"/>
      <c r="CJ142" s="459"/>
      <c r="CK142" s="459"/>
      <c r="CL142" s="459"/>
      <c r="CM142" s="459"/>
      <c r="CN142" s="459"/>
      <c r="CO142" s="459"/>
      <c r="CP142" s="459"/>
      <c r="CQ142" s="459"/>
      <c r="CR142" s="459"/>
      <c r="CS142" s="459"/>
      <c r="CT142" s="459"/>
      <c r="CU142" s="459"/>
      <c r="CV142" s="459"/>
      <c r="CW142" s="459"/>
      <c r="CX142" s="459"/>
      <c r="CY142" s="459"/>
      <c r="CZ142" s="459"/>
      <c r="DA142" s="459"/>
      <c r="DB142" s="459"/>
      <c r="DC142" s="459"/>
      <c r="DD142" s="459"/>
      <c r="DE142" s="459"/>
      <c r="DF142" s="459"/>
      <c r="DG142" s="459"/>
      <c r="DH142" s="459"/>
      <c r="DI142" s="459"/>
      <c r="DJ142" s="459"/>
      <c r="DK142" s="459"/>
      <c r="DL142" s="459"/>
      <c r="DM142" s="459"/>
      <c r="DN142" s="459"/>
      <c r="DO142" s="459"/>
      <c r="DP142" s="459"/>
      <c r="DQ142" s="459"/>
      <c r="DR142" s="459"/>
      <c r="DS142" s="459"/>
      <c r="DT142" s="459"/>
      <c r="DU142" s="459"/>
      <c r="DV142" s="459"/>
      <c r="DW142" s="459"/>
      <c r="DX142" s="510"/>
      <c r="DY142" s="510"/>
      <c r="DZ142" s="510"/>
      <c r="EA142" s="510"/>
      <c r="EB142" s="510"/>
      <c r="EC142" s="510"/>
      <c r="ED142" s="510"/>
      <c r="EE142" s="510"/>
      <c r="EF142" s="510"/>
    </row>
    <row r="143" spans="1:148">
      <c r="A143" s="344" t="str">
        <f>A134</f>
        <v>Sponsor</v>
      </c>
      <c r="B143" s="708"/>
      <c r="C143" s="708"/>
      <c r="D143" s="396"/>
      <c r="E143" s="396"/>
      <c r="F143" s="323"/>
      <c r="G143" s="513">
        <f ca="1">SUM(G138:G140)</f>
        <v>1169.6619115852516</v>
      </c>
      <c r="H143" s="513">
        <f t="shared" ref="H143" ca="1" si="478">SUM(H138:H140)</f>
        <v>636.80880841156454</v>
      </c>
      <c r="I143" s="513">
        <f t="shared" ref="I143:BO143" ca="1" si="479">SUM(I138:I140)</f>
        <v>638.36466917743735</v>
      </c>
      <c r="J143" s="513">
        <f t="shared" ca="1" si="479"/>
        <v>661.36538167679203</v>
      </c>
      <c r="K143" s="513">
        <f t="shared" ca="1" si="479"/>
        <v>667.15244483410731</v>
      </c>
      <c r="L143" s="513">
        <f t="shared" ca="1" si="479"/>
        <v>687.65560485565209</v>
      </c>
      <c r="M143" s="513">
        <f t="shared" ca="1" si="479"/>
        <v>690.07491164320265</v>
      </c>
      <c r="N143" s="513">
        <f t="shared" ca="1" si="479"/>
        <v>715.40845403250773</v>
      </c>
      <c r="O143" s="513">
        <f t="shared" ca="1" si="479"/>
        <v>718.27083221196267</v>
      </c>
      <c r="P143" s="513">
        <f t="shared" ca="1" si="479"/>
        <v>745.11613763231446</v>
      </c>
      <c r="Q143" s="513">
        <f t="shared" ca="1" si="479"/>
        <v>748.46419290816721</v>
      </c>
      <c r="R143" s="513">
        <f t="shared" ca="1" si="479"/>
        <v>776.93536429348069</v>
      </c>
      <c r="S143" s="513">
        <f t="shared" ca="1" si="479"/>
        <v>785.1684339414179</v>
      </c>
      <c r="T143" s="513">
        <f t="shared" ca="1" si="479"/>
        <v>811.20991410080865</v>
      </c>
      <c r="U143" s="513">
        <f t="shared" ca="1" si="479"/>
        <v>815.67598193946344</v>
      </c>
      <c r="V143" s="513">
        <f t="shared" ca="1" si="479"/>
        <v>847.79654203567486</v>
      </c>
      <c r="W143" s="513">
        <f t="shared" ca="1" si="479"/>
        <v>852.89954109043913</v>
      </c>
      <c r="X143" s="513">
        <f t="shared" ca="1" si="479"/>
        <v>887.05784180853095</v>
      </c>
      <c r="Y143" s="513">
        <f t="shared" ca="1" si="479"/>
        <v>892.8570178659445</v>
      </c>
      <c r="Z143" s="513">
        <f t="shared" ca="1" si="479"/>
        <v>929.21425807705657</v>
      </c>
      <c r="AA143" s="513">
        <f t="shared" ca="1" si="479"/>
        <v>940.98561404032034</v>
      </c>
      <c r="AB143" s="513">
        <f t="shared" ca="1" si="479"/>
        <v>974.71226715970897</v>
      </c>
      <c r="AC143" s="513">
        <f t="shared" ca="1" si="479"/>
        <v>983.11886555325827</v>
      </c>
      <c r="AD143" s="513">
        <f t="shared" ca="1" si="479"/>
        <v>1025.2860661299587</v>
      </c>
      <c r="AE143" s="513">
        <f t="shared" ca="1" si="479"/>
        <v>1034.6431381159011</v>
      </c>
      <c r="AF143" s="513">
        <f t="shared" ca="1" si="479"/>
        <v>1303.7935979215406</v>
      </c>
      <c r="AG143" s="513">
        <f t="shared" ca="1" si="479"/>
        <v>1136.394477560847</v>
      </c>
      <c r="AH143" s="513">
        <f t="shared" ca="1" si="479"/>
        <v>1325.9887014375968</v>
      </c>
      <c r="AI143" s="513">
        <f t="shared" ca="1" si="479"/>
        <v>1160.4040485564847</v>
      </c>
      <c r="AJ143" s="513">
        <f t="shared" ca="1" si="479"/>
        <v>2994.5482101550338</v>
      </c>
      <c r="AK143" s="513">
        <f t="shared" ca="1" si="479"/>
        <v>2545.4162284351887</v>
      </c>
      <c r="AL143" s="513">
        <f t="shared" ca="1" si="479"/>
        <v>2866.7009595780269</v>
      </c>
      <c r="AM143" s="513">
        <f t="shared" ca="1" si="479"/>
        <v>2608.3700359429458</v>
      </c>
      <c r="AN143" s="513">
        <f t="shared" ca="1" si="479"/>
        <v>2922.8141129823598</v>
      </c>
      <c r="AO143" s="513">
        <f t="shared" ca="1" si="479"/>
        <v>2652.4553454942106</v>
      </c>
      <c r="AP143" s="513">
        <f t="shared" ca="1" si="479"/>
        <v>2970.2515213558436</v>
      </c>
      <c r="AQ143" s="513">
        <f t="shared" ca="1" si="479"/>
        <v>2703.7003380574424</v>
      </c>
      <c r="AR143" s="513">
        <f t="shared" ca="1" si="479"/>
        <v>3032.5617059389888</v>
      </c>
      <c r="AS143" s="513">
        <f t="shared" ca="1" si="479"/>
        <v>2738.6607711913121</v>
      </c>
      <c r="AT143" s="513">
        <f t="shared" ca="1" si="479"/>
        <v>3087.0294677969923</v>
      </c>
      <c r="AU143" s="513">
        <f t="shared" ca="1" si="479"/>
        <v>2191.8002684190119</v>
      </c>
      <c r="AV143" s="513">
        <f t="shared" ca="1" si="479"/>
        <v>0</v>
      </c>
      <c r="AW143" s="513">
        <f t="shared" ca="1" si="479"/>
        <v>0</v>
      </c>
      <c r="AX143" s="513">
        <f t="shared" ca="1" si="479"/>
        <v>0</v>
      </c>
      <c r="AY143" s="513">
        <f t="shared" ca="1" si="479"/>
        <v>0</v>
      </c>
      <c r="AZ143" s="513">
        <f t="shared" ca="1" si="479"/>
        <v>0</v>
      </c>
      <c r="BA143" s="513">
        <f t="shared" ca="1" si="479"/>
        <v>0</v>
      </c>
      <c r="BB143" s="513">
        <f t="shared" ca="1" si="479"/>
        <v>0</v>
      </c>
      <c r="BC143" s="513">
        <f t="shared" ca="1" si="479"/>
        <v>0</v>
      </c>
      <c r="BD143" s="513">
        <f t="shared" ca="1" si="479"/>
        <v>0</v>
      </c>
      <c r="BE143" s="513">
        <f t="shared" ca="1" si="479"/>
        <v>0</v>
      </c>
      <c r="BF143" s="513">
        <f t="shared" ca="1" si="479"/>
        <v>0</v>
      </c>
      <c r="BG143" s="513">
        <f t="shared" ca="1" si="479"/>
        <v>0</v>
      </c>
      <c r="BH143" s="513">
        <f t="shared" ca="1" si="479"/>
        <v>0</v>
      </c>
      <c r="BI143" s="513">
        <f t="shared" ca="1" si="479"/>
        <v>0</v>
      </c>
      <c r="BJ143" s="513">
        <f t="shared" ca="1" si="479"/>
        <v>0</v>
      </c>
      <c r="BK143" s="513">
        <f t="shared" ca="1" si="479"/>
        <v>0</v>
      </c>
      <c r="BL143" s="513">
        <f t="shared" ca="1" si="479"/>
        <v>0</v>
      </c>
      <c r="BM143" s="513">
        <f t="shared" ca="1" si="479"/>
        <v>0</v>
      </c>
      <c r="BN143" s="513">
        <f t="shared" ca="1" si="479"/>
        <v>0</v>
      </c>
      <c r="BO143" s="513">
        <f t="shared" ca="1" si="479"/>
        <v>0</v>
      </c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0"/>
      <c r="DY143" s="510"/>
      <c r="DZ143" s="510"/>
      <c r="EA143" s="510"/>
      <c r="EB143" s="510"/>
      <c r="EC143" s="510"/>
      <c r="ED143" s="510"/>
      <c r="EE143" s="510"/>
      <c r="EF143" s="510"/>
    </row>
    <row r="144" spans="1:148">
      <c r="D144" s="396"/>
      <c r="E144" s="396"/>
      <c r="F144" s="323"/>
      <c r="G144" s="510"/>
      <c r="H144" s="510"/>
      <c r="I144" s="510"/>
      <c r="J144" s="510"/>
      <c r="K144" s="510"/>
      <c r="L144" s="510"/>
      <c r="M144" s="510"/>
      <c r="N144" s="510"/>
      <c r="O144" s="510"/>
      <c r="P144" s="510"/>
      <c r="Q144" s="510"/>
      <c r="R144" s="510"/>
      <c r="S144" s="510"/>
      <c r="T144" s="510"/>
      <c r="U144" s="510"/>
      <c r="V144" s="510"/>
      <c r="W144" s="510"/>
      <c r="X144" s="510"/>
      <c r="Y144" s="510"/>
      <c r="Z144" s="510"/>
      <c r="AA144" s="510"/>
      <c r="AB144" s="510"/>
      <c r="AC144" s="510"/>
      <c r="AD144" s="510"/>
      <c r="AE144" s="510"/>
      <c r="AF144" s="510"/>
      <c r="AG144" s="510"/>
      <c r="AH144" s="510"/>
      <c r="AI144" s="510"/>
      <c r="AJ144" s="510"/>
      <c r="AK144" s="510"/>
      <c r="AL144" s="510"/>
      <c r="AM144" s="510"/>
      <c r="AN144" s="510"/>
      <c r="AO144" s="510"/>
      <c r="AP144" s="510"/>
      <c r="AQ144" s="510"/>
      <c r="AR144" s="510"/>
      <c r="AS144" s="510"/>
      <c r="AT144" s="510"/>
      <c r="AU144" s="510"/>
      <c r="AV144" s="510"/>
      <c r="AW144" s="510"/>
      <c r="AX144" s="510"/>
      <c r="AY144" s="510"/>
      <c r="AZ144" s="510"/>
      <c r="BA144" s="510"/>
      <c r="BB144" s="510"/>
      <c r="BC144" s="510"/>
      <c r="BD144" s="510"/>
      <c r="BE144" s="510"/>
      <c r="BF144" s="510"/>
      <c r="BG144" s="510"/>
      <c r="BH144" s="510"/>
      <c r="BI144" s="510"/>
      <c r="BJ144" s="510"/>
      <c r="BK144" s="510"/>
      <c r="BL144" s="510"/>
      <c r="BM144" s="510"/>
      <c r="BN144" s="510"/>
      <c r="BO144" s="510"/>
      <c r="BP144" s="510"/>
      <c r="BQ144" s="510"/>
      <c r="BR144" s="510"/>
      <c r="BS144" s="510"/>
      <c r="BT144" s="510"/>
      <c r="BU144" s="510"/>
      <c r="BV144" s="510"/>
      <c r="BW144" s="510"/>
      <c r="BX144" s="510"/>
      <c r="BY144" s="510"/>
      <c r="BZ144" s="510"/>
      <c r="CA144" s="510"/>
      <c r="CB144" s="510"/>
      <c r="CC144" s="510"/>
      <c r="CD144" s="510"/>
      <c r="CE144" s="510"/>
      <c r="CF144" s="510"/>
      <c r="CG144" s="510"/>
      <c r="CH144" s="510"/>
      <c r="CI144" s="510"/>
      <c r="CJ144" s="510"/>
      <c r="CK144" s="510"/>
      <c r="CL144" s="510"/>
      <c r="CM144" s="510"/>
      <c r="CN144" s="510"/>
      <c r="CO144" s="510"/>
      <c r="CP144" s="510"/>
      <c r="CQ144" s="510"/>
      <c r="CR144" s="510"/>
      <c r="CS144" s="510"/>
      <c r="CT144" s="510"/>
      <c r="CU144" s="510"/>
      <c r="CV144" s="510"/>
      <c r="CW144" s="510"/>
      <c r="CX144" s="510"/>
      <c r="CY144" s="510"/>
      <c r="CZ144" s="510"/>
      <c r="DA144" s="510"/>
      <c r="DB144" s="510"/>
      <c r="DC144" s="510"/>
      <c r="DD144" s="510"/>
      <c r="DE144" s="510"/>
      <c r="DF144" s="510"/>
      <c r="DG144" s="510"/>
      <c r="DH144" s="510"/>
      <c r="DI144" s="510"/>
      <c r="DJ144" s="510"/>
      <c r="DK144" s="510"/>
      <c r="DL144" s="510"/>
      <c r="DM144" s="510"/>
      <c r="DN144" s="510"/>
      <c r="DO144" s="510"/>
      <c r="DP144" s="510"/>
      <c r="DQ144" s="510"/>
      <c r="DR144" s="510"/>
      <c r="DS144" s="510"/>
      <c r="DT144" s="510"/>
      <c r="DU144" s="510"/>
      <c r="DV144" s="510"/>
      <c r="DW144" s="510"/>
      <c r="DX144" s="510"/>
      <c r="DY144" s="510"/>
      <c r="DZ144" s="510"/>
      <c r="EA144" s="510"/>
      <c r="EB144" s="510"/>
      <c r="EC144" s="510"/>
      <c r="ED144" s="510"/>
      <c r="EE144" s="510"/>
      <c r="EF144" s="510"/>
    </row>
    <row r="145" spans="1:143">
      <c r="A145" s="344" t="str">
        <f>Inputs!$A$317</f>
        <v>Investor 1</v>
      </c>
      <c r="B145" s="970">
        <f>Inputs!$F$330</f>
        <v>0.08</v>
      </c>
      <c r="C145" s="970"/>
      <c r="F145" s="323"/>
      <c r="G145" s="518"/>
      <c r="H145" s="518"/>
      <c r="I145" s="518"/>
      <c r="J145" s="518"/>
      <c r="K145" s="518"/>
      <c r="L145" s="518"/>
      <c r="M145" s="518"/>
      <c r="N145" s="518"/>
      <c r="O145" s="518"/>
      <c r="P145" s="518"/>
      <c r="Q145" s="518"/>
      <c r="R145" s="518"/>
      <c r="S145" s="518"/>
      <c r="T145" s="518"/>
      <c r="U145" s="518"/>
      <c r="V145" s="518"/>
      <c r="W145" s="518"/>
      <c r="X145" s="518"/>
      <c r="Y145" s="518"/>
      <c r="Z145" s="518"/>
      <c r="AA145" s="518"/>
      <c r="AB145" s="518"/>
      <c r="AC145" s="518"/>
      <c r="AD145" s="518"/>
      <c r="AE145" s="518"/>
      <c r="AF145" s="518"/>
      <c r="AG145" s="518"/>
      <c r="AH145" s="518"/>
      <c r="AI145" s="518"/>
      <c r="AJ145" s="518"/>
      <c r="AK145" s="518"/>
      <c r="AL145" s="518"/>
      <c r="AM145" s="518"/>
      <c r="AN145" s="518"/>
      <c r="AO145" s="518"/>
      <c r="AP145" s="518"/>
      <c r="AQ145" s="518"/>
      <c r="AR145" s="518"/>
      <c r="AS145" s="518"/>
      <c r="AT145" s="518"/>
      <c r="AU145" s="518"/>
      <c r="AV145" s="518"/>
      <c r="AW145" s="518"/>
      <c r="AX145" s="518"/>
      <c r="AY145" s="518"/>
      <c r="AZ145" s="518"/>
      <c r="BA145" s="518"/>
      <c r="BB145" s="518"/>
      <c r="BC145" s="518"/>
      <c r="BD145" s="518"/>
      <c r="BE145" s="518"/>
      <c r="BF145" s="518"/>
      <c r="BG145" s="518"/>
      <c r="BH145" s="518"/>
      <c r="BI145" s="518"/>
      <c r="BJ145" s="518"/>
      <c r="BK145" s="518"/>
      <c r="BL145" s="518"/>
      <c r="BM145" s="518"/>
      <c r="BN145" s="518"/>
      <c r="BO145" s="518"/>
      <c r="BP145" s="518"/>
      <c r="BQ145" s="518"/>
      <c r="BR145" s="518"/>
      <c r="BS145" s="518"/>
      <c r="BT145" s="518"/>
      <c r="BU145" s="518"/>
      <c r="BV145" s="518"/>
      <c r="BW145" s="518"/>
      <c r="BX145" s="518"/>
      <c r="BY145" s="518"/>
      <c r="BZ145" s="518"/>
      <c r="CA145" s="518"/>
      <c r="CB145" s="518"/>
      <c r="CC145" s="518"/>
      <c r="CD145" s="518"/>
      <c r="CE145" s="518"/>
      <c r="CF145" s="518"/>
      <c r="CG145" s="518"/>
      <c r="CH145" s="518"/>
      <c r="CI145" s="518"/>
      <c r="CJ145" s="518"/>
      <c r="CK145" s="518"/>
      <c r="CL145" s="518"/>
      <c r="CM145" s="518"/>
      <c r="CN145" s="518"/>
      <c r="CO145" s="518"/>
      <c r="CP145" s="518"/>
      <c r="CQ145" s="518"/>
      <c r="CR145" s="518"/>
      <c r="CS145" s="518"/>
      <c r="CT145" s="518"/>
      <c r="CU145" s="518"/>
      <c r="CV145" s="518"/>
      <c r="CW145" s="518"/>
      <c r="CX145" s="518"/>
      <c r="CY145" s="518"/>
      <c r="CZ145" s="518"/>
      <c r="DA145" s="518"/>
      <c r="DB145" s="518"/>
      <c r="DC145" s="518"/>
      <c r="DD145" s="518"/>
      <c r="DE145" s="518"/>
      <c r="DF145" s="518"/>
      <c r="DG145" s="518"/>
      <c r="DH145" s="518"/>
      <c r="DI145" s="518"/>
      <c r="DJ145" s="518"/>
      <c r="DK145" s="518"/>
      <c r="DL145" s="518"/>
      <c r="DM145" s="518"/>
      <c r="DN145" s="518"/>
      <c r="DO145" s="518"/>
      <c r="DP145" s="518"/>
      <c r="DQ145" s="518"/>
      <c r="DR145" s="518"/>
      <c r="DS145" s="518"/>
      <c r="DT145" s="518"/>
      <c r="DU145" s="518"/>
      <c r="DV145" s="518"/>
      <c r="DW145" s="518"/>
      <c r="DX145" s="510"/>
      <c r="DY145" s="510"/>
      <c r="DZ145" s="510"/>
      <c r="EA145" s="510"/>
      <c r="EB145" s="510"/>
      <c r="EC145" s="510"/>
      <c r="ED145" s="510"/>
      <c r="EE145" s="510"/>
      <c r="EF145" s="510"/>
    </row>
    <row r="146" spans="1:143">
      <c r="A146" s="617" t="str">
        <f>A135</f>
        <v>%outstanding principal n-1</v>
      </c>
      <c r="B146" s="704"/>
      <c r="C146" s="704"/>
      <c r="D146" s="966"/>
      <c r="E146" s="624"/>
      <c r="G146" s="370">
        <f t="shared" ref="G146:AL146" ca="1" si="480">IF(G$3=0,G148/G$124,IF(F$129=0,0,F153/F$129))</f>
        <v>0</v>
      </c>
      <c r="H146" s="370">
        <f t="shared" ca="1" si="480"/>
        <v>0</v>
      </c>
      <c r="I146" s="370">
        <f t="shared" ca="1" si="480"/>
        <v>0</v>
      </c>
      <c r="J146" s="370">
        <f t="shared" ca="1" si="480"/>
        <v>0</v>
      </c>
      <c r="K146" s="370">
        <f t="shared" ca="1" si="480"/>
        <v>0</v>
      </c>
      <c r="L146" s="370">
        <f t="shared" ca="1" si="480"/>
        <v>0</v>
      </c>
      <c r="M146" s="370">
        <f t="shared" ca="1" si="480"/>
        <v>0</v>
      </c>
      <c r="N146" s="370">
        <f t="shared" ca="1" si="480"/>
        <v>0</v>
      </c>
      <c r="O146" s="370">
        <f t="shared" ca="1" si="480"/>
        <v>0</v>
      </c>
      <c r="P146" s="370">
        <f t="shared" ca="1" si="480"/>
        <v>0</v>
      </c>
      <c r="Q146" s="370">
        <f t="shared" ca="1" si="480"/>
        <v>0</v>
      </c>
      <c r="R146" s="370">
        <f t="shared" ca="1" si="480"/>
        <v>0</v>
      </c>
      <c r="S146" s="370">
        <f t="shared" ca="1" si="480"/>
        <v>0</v>
      </c>
      <c r="T146" s="370">
        <f t="shared" ca="1" si="480"/>
        <v>0</v>
      </c>
      <c r="U146" s="370">
        <f t="shared" ca="1" si="480"/>
        <v>0</v>
      </c>
      <c r="V146" s="370">
        <f t="shared" ca="1" si="480"/>
        <v>0</v>
      </c>
      <c r="W146" s="370">
        <f t="shared" ca="1" si="480"/>
        <v>0</v>
      </c>
      <c r="X146" s="370">
        <f t="shared" ca="1" si="480"/>
        <v>0</v>
      </c>
      <c r="Y146" s="370">
        <f t="shared" ca="1" si="480"/>
        <v>0</v>
      </c>
      <c r="Z146" s="370">
        <f t="shared" ca="1" si="480"/>
        <v>0</v>
      </c>
      <c r="AA146" s="370">
        <f t="shared" ca="1" si="480"/>
        <v>0</v>
      </c>
      <c r="AB146" s="370">
        <f t="shared" ca="1" si="480"/>
        <v>0</v>
      </c>
      <c r="AC146" s="370">
        <f t="shared" ca="1" si="480"/>
        <v>0</v>
      </c>
      <c r="AD146" s="370">
        <f t="shared" ca="1" si="480"/>
        <v>0</v>
      </c>
      <c r="AE146" s="370">
        <f t="shared" ca="1" si="480"/>
        <v>0</v>
      </c>
      <c r="AF146" s="370">
        <f t="shared" ca="1" si="480"/>
        <v>0</v>
      </c>
      <c r="AG146" s="370">
        <f t="shared" ca="1" si="480"/>
        <v>0</v>
      </c>
      <c r="AH146" s="370">
        <f t="shared" ca="1" si="480"/>
        <v>0</v>
      </c>
      <c r="AI146" s="370">
        <f t="shared" ca="1" si="480"/>
        <v>0</v>
      </c>
      <c r="AJ146" s="370">
        <f t="shared" ca="1" si="480"/>
        <v>0</v>
      </c>
      <c r="AK146" s="370">
        <f t="shared" ca="1" si="480"/>
        <v>0</v>
      </c>
      <c r="AL146" s="370">
        <f t="shared" ca="1" si="480"/>
        <v>0</v>
      </c>
      <c r="AM146" s="370">
        <f t="shared" ref="AM146:BO146" ca="1" si="481">IF(AM$3=0,AM148/AM$124,IF(AL$129=0,0,AL153/AL$129))</f>
        <v>0</v>
      </c>
      <c r="AN146" s="370">
        <f t="shared" ca="1" si="481"/>
        <v>0</v>
      </c>
      <c r="AO146" s="370">
        <f t="shared" ca="1" si="481"/>
        <v>0</v>
      </c>
      <c r="AP146" s="370">
        <f t="shared" ca="1" si="481"/>
        <v>0</v>
      </c>
      <c r="AQ146" s="370">
        <f t="shared" ca="1" si="481"/>
        <v>0</v>
      </c>
      <c r="AR146" s="370">
        <f t="shared" ca="1" si="481"/>
        <v>0</v>
      </c>
      <c r="AS146" s="370">
        <f t="shared" ca="1" si="481"/>
        <v>0</v>
      </c>
      <c r="AT146" s="370">
        <f t="shared" ca="1" si="481"/>
        <v>0</v>
      </c>
      <c r="AU146" s="370">
        <f t="shared" ca="1" si="481"/>
        <v>0</v>
      </c>
      <c r="AV146" s="370">
        <f t="shared" ca="1" si="481"/>
        <v>0</v>
      </c>
      <c r="AW146" s="370">
        <f t="shared" ca="1" si="481"/>
        <v>0</v>
      </c>
      <c r="AX146" s="370">
        <f t="shared" ca="1" si="481"/>
        <v>0</v>
      </c>
      <c r="AY146" s="370">
        <f t="shared" ca="1" si="481"/>
        <v>0</v>
      </c>
      <c r="AZ146" s="370">
        <f t="shared" ca="1" si="481"/>
        <v>0</v>
      </c>
      <c r="BA146" s="370">
        <f t="shared" ca="1" si="481"/>
        <v>0</v>
      </c>
      <c r="BB146" s="370">
        <f t="shared" ca="1" si="481"/>
        <v>0</v>
      </c>
      <c r="BC146" s="370">
        <f t="shared" ca="1" si="481"/>
        <v>0</v>
      </c>
      <c r="BD146" s="370">
        <f t="shared" ca="1" si="481"/>
        <v>0</v>
      </c>
      <c r="BE146" s="370">
        <f t="shared" ca="1" si="481"/>
        <v>0</v>
      </c>
      <c r="BF146" s="370">
        <f t="shared" ca="1" si="481"/>
        <v>0</v>
      </c>
      <c r="BG146" s="370">
        <f t="shared" ca="1" si="481"/>
        <v>0</v>
      </c>
      <c r="BH146" s="370">
        <f t="shared" ca="1" si="481"/>
        <v>0</v>
      </c>
      <c r="BI146" s="370">
        <f t="shared" ca="1" si="481"/>
        <v>0</v>
      </c>
      <c r="BJ146" s="370">
        <f t="shared" ca="1" si="481"/>
        <v>0</v>
      </c>
      <c r="BK146" s="370">
        <f t="shared" ca="1" si="481"/>
        <v>0</v>
      </c>
      <c r="BL146" s="370">
        <f t="shared" ca="1" si="481"/>
        <v>0</v>
      </c>
      <c r="BM146" s="370">
        <f t="shared" ca="1" si="481"/>
        <v>0</v>
      </c>
      <c r="BN146" s="370">
        <f t="shared" ca="1" si="481"/>
        <v>0</v>
      </c>
      <c r="BO146" s="370">
        <f t="shared" ca="1" si="481"/>
        <v>0</v>
      </c>
      <c r="BP146" s="370"/>
      <c r="BQ146" s="370"/>
      <c r="BR146" s="370"/>
      <c r="BS146" s="370"/>
      <c r="BT146" s="370"/>
      <c r="BU146" s="370"/>
      <c r="BV146" s="370"/>
      <c r="BW146" s="370"/>
      <c r="BX146" s="370"/>
      <c r="BY146" s="370"/>
      <c r="BZ146" s="370"/>
      <c r="CA146" s="370"/>
      <c r="CB146" s="370"/>
      <c r="CC146" s="370"/>
      <c r="CD146" s="370"/>
      <c r="CE146" s="370"/>
      <c r="CF146" s="370"/>
      <c r="CG146" s="370"/>
      <c r="CH146" s="370"/>
      <c r="CI146" s="370"/>
      <c r="CJ146" s="370"/>
      <c r="CK146" s="370"/>
      <c r="CL146" s="370"/>
      <c r="CM146" s="370"/>
      <c r="CN146" s="370"/>
      <c r="CO146" s="370"/>
      <c r="CP146" s="370"/>
      <c r="CQ146" s="370"/>
      <c r="CR146" s="370"/>
      <c r="CS146" s="370"/>
      <c r="CT146" s="370"/>
      <c r="CU146" s="370"/>
      <c r="CV146" s="370"/>
      <c r="CW146" s="370"/>
      <c r="CX146" s="370"/>
      <c r="CY146" s="370"/>
      <c r="CZ146" s="370"/>
      <c r="DA146" s="370"/>
      <c r="DB146" s="370"/>
      <c r="DC146" s="370"/>
      <c r="DD146" s="370"/>
      <c r="DE146" s="370"/>
      <c r="DF146" s="370"/>
      <c r="DG146" s="370"/>
      <c r="DH146" s="370"/>
      <c r="DI146" s="370"/>
      <c r="DJ146" s="370"/>
      <c r="DK146" s="370"/>
      <c r="DL146" s="370"/>
      <c r="DM146" s="370"/>
      <c r="DN146" s="370"/>
      <c r="DO146" s="370"/>
      <c r="DP146" s="370"/>
      <c r="DQ146" s="370"/>
      <c r="DR146" s="370"/>
      <c r="DS146" s="370"/>
      <c r="DT146" s="370"/>
      <c r="DU146" s="370"/>
      <c r="DV146" s="370"/>
      <c r="DW146" s="370"/>
      <c r="DX146" s="510"/>
      <c r="DY146" s="510"/>
      <c r="DZ146" s="510"/>
      <c r="EA146" s="510"/>
      <c r="EB146" s="510"/>
      <c r="EC146" s="510"/>
      <c r="ED146" s="510"/>
      <c r="EE146" s="510"/>
      <c r="EF146" s="510"/>
    </row>
    <row r="147" spans="1:143">
      <c r="A147" s="874" t="str">
        <f>A136</f>
        <v>Beginning</v>
      </c>
      <c r="B147" s="704"/>
      <c r="C147" s="704"/>
      <c r="D147" s="396"/>
      <c r="E147" s="396"/>
      <c r="F147" s="323"/>
      <c r="G147" s="459">
        <f t="shared" ref="G147:H147" si="482">F153</f>
        <v>0</v>
      </c>
      <c r="H147" s="459">
        <f t="shared" ca="1" si="482"/>
        <v>0</v>
      </c>
      <c r="I147" s="459">
        <f t="shared" ref="I147" ca="1" si="483">H153</f>
        <v>0</v>
      </c>
      <c r="J147" s="459">
        <f t="shared" ref="J147" ca="1" si="484">I153</f>
        <v>0</v>
      </c>
      <c r="K147" s="459">
        <f t="shared" ref="K147" ca="1" si="485">J153</f>
        <v>0</v>
      </c>
      <c r="L147" s="459">
        <f t="shared" ref="L147" ca="1" si="486">K153</f>
        <v>0</v>
      </c>
      <c r="M147" s="459">
        <f t="shared" ref="M147" ca="1" si="487">L153</f>
        <v>0</v>
      </c>
      <c r="N147" s="459">
        <f t="shared" ref="N147" ca="1" si="488">M153</f>
        <v>0</v>
      </c>
      <c r="O147" s="459">
        <f t="shared" ref="O147" ca="1" si="489">N153</f>
        <v>0</v>
      </c>
      <c r="P147" s="459">
        <f t="shared" ref="P147" ca="1" si="490">O153</f>
        <v>0</v>
      </c>
      <c r="Q147" s="459">
        <f t="shared" ref="Q147" ca="1" si="491">P153</f>
        <v>0</v>
      </c>
      <c r="R147" s="459">
        <f t="shared" ref="R147" ca="1" si="492">Q153</f>
        <v>0</v>
      </c>
      <c r="S147" s="459">
        <f t="shared" ref="S147" ca="1" si="493">R153</f>
        <v>0</v>
      </c>
      <c r="T147" s="459">
        <f t="shared" ref="T147" ca="1" si="494">S153</f>
        <v>0</v>
      </c>
      <c r="U147" s="459">
        <f t="shared" ref="U147" ca="1" si="495">T153</f>
        <v>0</v>
      </c>
      <c r="V147" s="459">
        <f t="shared" ref="V147" ca="1" si="496">U153</f>
        <v>0</v>
      </c>
      <c r="W147" s="459">
        <f t="shared" ref="W147" ca="1" si="497">V153</f>
        <v>0</v>
      </c>
      <c r="X147" s="459">
        <f t="shared" ref="X147" ca="1" si="498">W153</f>
        <v>0</v>
      </c>
      <c r="Y147" s="459">
        <f t="shared" ref="Y147" ca="1" si="499">X153</f>
        <v>0</v>
      </c>
      <c r="Z147" s="459">
        <f t="shared" ref="Z147" ca="1" si="500">Y153</f>
        <v>0</v>
      </c>
      <c r="AA147" s="459">
        <f t="shared" ref="AA147" ca="1" si="501">Z153</f>
        <v>0</v>
      </c>
      <c r="AB147" s="459">
        <f t="shared" ref="AB147" ca="1" si="502">AA153</f>
        <v>0</v>
      </c>
      <c r="AC147" s="459">
        <f t="shared" ref="AC147" ca="1" si="503">AB153</f>
        <v>0</v>
      </c>
      <c r="AD147" s="459">
        <f t="shared" ref="AD147" ca="1" si="504">AC153</f>
        <v>0</v>
      </c>
      <c r="AE147" s="459">
        <f t="shared" ref="AE147" ca="1" si="505">AD153</f>
        <v>0</v>
      </c>
      <c r="AF147" s="459">
        <f t="shared" ref="AF147" ca="1" si="506">AE153</f>
        <v>0</v>
      </c>
      <c r="AG147" s="459">
        <f t="shared" ref="AG147" ca="1" si="507">AF153</f>
        <v>0</v>
      </c>
      <c r="AH147" s="459">
        <f t="shared" ref="AH147" ca="1" si="508">AG153</f>
        <v>0</v>
      </c>
      <c r="AI147" s="459">
        <f t="shared" ref="AI147" ca="1" si="509">AH153</f>
        <v>0</v>
      </c>
      <c r="AJ147" s="459">
        <f t="shared" ref="AJ147" ca="1" si="510">AI153</f>
        <v>0</v>
      </c>
      <c r="AK147" s="459">
        <f t="shared" ref="AK147" ca="1" si="511">AJ153</f>
        <v>0</v>
      </c>
      <c r="AL147" s="459">
        <f t="shared" ref="AL147" ca="1" si="512">AK153</f>
        <v>0</v>
      </c>
      <c r="AM147" s="459">
        <f t="shared" ref="AM147" ca="1" si="513">AL153</f>
        <v>0</v>
      </c>
      <c r="AN147" s="459">
        <f t="shared" ref="AN147" ca="1" si="514">AM153</f>
        <v>0</v>
      </c>
      <c r="AO147" s="459">
        <f t="shared" ref="AO147" ca="1" si="515">AN153</f>
        <v>0</v>
      </c>
      <c r="AP147" s="459">
        <f t="shared" ref="AP147" ca="1" si="516">AO153</f>
        <v>0</v>
      </c>
      <c r="AQ147" s="459">
        <f t="shared" ref="AQ147" ca="1" si="517">AP153</f>
        <v>0</v>
      </c>
      <c r="AR147" s="459">
        <f t="shared" ref="AR147" ca="1" si="518">AQ153</f>
        <v>0</v>
      </c>
      <c r="AS147" s="459">
        <f t="shared" ref="AS147" ca="1" si="519">AR153</f>
        <v>0</v>
      </c>
      <c r="AT147" s="459">
        <f t="shared" ref="AT147" ca="1" si="520">AS153</f>
        <v>0</v>
      </c>
      <c r="AU147" s="459">
        <f t="shared" ref="AU147" ca="1" si="521">AT153</f>
        <v>0</v>
      </c>
      <c r="AV147" s="459">
        <f t="shared" ref="AV147" ca="1" si="522">AU153</f>
        <v>0</v>
      </c>
      <c r="AW147" s="459">
        <f t="shared" ref="AW147" ca="1" si="523">AV153</f>
        <v>0</v>
      </c>
      <c r="AX147" s="459">
        <f t="shared" ref="AX147" ca="1" si="524">AW153</f>
        <v>0</v>
      </c>
      <c r="AY147" s="459">
        <f t="shared" ref="AY147" ca="1" si="525">AX153</f>
        <v>0</v>
      </c>
      <c r="AZ147" s="459">
        <f t="shared" ref="AZ147" ca="1" si="526">AY153</f>
        <v>0</v>
      </c>
      <c r="BA147" s="459">
        <f t="shared" ref="BA147" ca="1" si="527">AZ153</f>
        <v>0</v>
      </c>
      <c r="BB147" s="459">
        <f t="shared" ref="BB147" ca="1" si="528">BA153</f>
        <v>0</v>
      </c>
      <c r="BC147" s="459">
        <f t="shared" ref="BC147" ca="1" si="529">BB153</f>
        <v>0</v>
      </c>
      <c r="BD147" s="459">
        <f t="shared" ref="BD147" ca="1" si="530">BC153</f>
        <v>0</v>
      </c>
      <c r="BE147" s="459">
        <f t="shared" ref="BE147" ca="1" si="531">BD153</f>
        <v>0</v>
      </c>
      <c r="BF147" s="459">
        <f t="shared" ref="BF147" ca="1" si="532">BE153</f>
        <v>0</v>
      </c>
      <c r="BG147" s="459">
        <f t="shared" ref="BG147" ca="1" si="533">BF153</f>
        <v>0</v>
      </c>
      <c r="BH147" s="459">
        <f t="shared" ref="BH147" ca="1" si="534">BG153</f>
        <v>0</v>
      </c>
      <c r="BI147" s="459">
        <f t="shared" ref="BI147" ca="1" si="535">BH153</f>
        <v>0</v>
      </c>
      <c r="BJ147" s="459">
        <f t="shared" ref="BJ147" ca="1" si="536">BI153</f>
        <v>0</v>
      </c>
      <c r="BK147" s="459">
        <f t="shared" ref="BK147" ca="1" si="537">BJ153</f>
        <v>0</v>
      </c>
      <c r="BL147" s="459">
        <f t="shared" ref="BL147" ca="1" si="538">BK153</f>
        <v>0</v>
      </c>
      <c r="BM147" s="459">
        <f t="shared" ref="BM147" ca="1" si="539">BL153</f>
        <v>0</v>
      </c>
      <c r="BN147" s="459">
        <f t="shared" ref="BN147" ca="1" si="540">BM153</f>
        <v>0</v>
      </c>
      <c r="BO147" s="459">
        <f t="shared" ref="BO147" ca="1" si="541">BN153</f>
        <v>0</v>
      </c>
      <c r="BP147" s="459"/>
      <c r="BQ147" s="459"/>
      <c r="BR147" s="459"/>
      <c r="BS147" s="459"/>
      <c r="BT147" s="459"/>
      <c r="BU147" s="459"/>
      <c r="BV147" s="459"/>
      <c r="BW147" s="459"/>
      <c r="BX147" s="459"/>
      <c r="BY147" s="459"/>
      <c r="BZ147" s="459"/>
      <c r="CA147" s="459"/>
      <c r="CB147" s="459"/>
      <c r="CC147" s="459"/>
      <c r="CD147" s="459"/>
      <c r="CE147" s="459"/>
      <c r="CF147" s="459"/>
      <c r="CG147" s="459"/>
      <c r="CH147" s="459"/>
      <c r="CI147" s="459"/>
      <c r="CJ147" s="459"/>
      <c r="CK147" s="459"/>
      <c r="CL147" s="459"/>
      <c r="CM147" s="459"/>
      <c r="CN147" s="459"/>
      <c r="CO147" s="459"/>
      <c r="CP147" s="459"/>
      <c r="CQ147" s="459"/>
      <c r="CR147" s="459"/>
      <c r="CS147" s="459"/>
      <c r="CT147" s="459"/>
      <c r="CU147" s="459"/>
      <c r="CV147" s="459"/>
      <c r="CW147" s="459"/>
      <c r="CX147" s="459"/>
      <c r="CY147" s="459"/>
      <c r="CZ147" s="459"/>
      <c r="DA147" s="459"/>
      <c r="DB147" s="459"/>
      <c r="DC147" s="459"/>
      <c r="DD147" s="459"/>
      <c r="DE147" s="459"/>
      <c r="DF147" s="459"/>
      <c r="DG147" s="459"/>
      <c r="DH147" s="459"/>
      <c r="DI147" s="459"/>
      <c r="DJ147" s="459"/>
      <c r="DK147" s="459"/>
      <c r="DL147" s="459"/>
      <c r="DM147" s="459"/>
      <c r="DN147" s="459"/>
      <c r="DO147" s="459"/>
      <c r="DP147" s="459"/>
      <c r="DQ147" s="459"/>
      <c r="DR147" s="459"/>
      <c r="DS147" s="459"/>
      <c r="DT147" s="459"/>
      <c r="DU147" s="459"/>
      <c r="DV147" s="459"/>
      <c r="DW147" s="459"/>
      <c r="DX147" s="510"/>
      <c r="DY147" s="510"/>
      <c r="DZ147" s="510"/>
      <c r="EA147" s="510"/>
      <c r="EB147" s="510"/>
      <c r="EC147" s="510"/>
      <c r="ED147" s="510"/>
      <c r="EE147" s="510"/>
      <c r="EF147" s="510"/>
    </row>
    <row r="148" spans="1:143">
      <c r="A148" s="881" t="str">
        <f>A137</f>
        <v>Funding</v>
      </c>
      <c r="B148" s="810">
        <f ca="1">Inputs!$D$330</f>
        <v>0</v>
      </c>
      <c r="C148" s="810"/>
      <c r="D148" s="396"/>
      <c r="E148" s="396"/>
      <c r="F148" s="323"/>
      <c r="G148" s="459">
        <f t="shared" ref="G148:BO148" ca="1" si="542">$B148*(G$3=0)</f>
        <v>0</v>
      </c>
      <c r="H148" s="459">
        <f t="shared" ca="1" si="542"/>
        <v>0</v>
      </c>
      <c r="I148" s="459">
        <f t="shared" ca="1" si="542"/>
        <v>0</v>
      </c>
      <c r="J148" s="459">
        <f t="shared" ca="1" si="542"/>
        <v>0</v>
      </c>
      <c r="K148" s="459">
        <f t="shared" ca="1" si="542"/>
        <v>0</v>
      </c>
      <c r="L148" s="459">
        <f t="shared" ca="1" si="542"/>
        <v>0</v>
      </c>
      <c r="M148" s="459">
        <f t="shared" ca="1" si="542"/>
        <v>0</v>
      </c>
      <c r="N148" s="459">
        <f t="shared" ca="1" si="542"/>
        <v>0</v>
      </c>
      <c r="O148" s="459">
        <f t="shared" ca="1" si="542"/>
        <v>0</v>
      </c>
      <c r="P148" s="459">
        <f t="shared" ca="1" si="542"/>
        <v>0</v>
      </c>
      <c r="Q148" s="459">
        <f t="shared" ca="1" si="542"/>
        <v>0</v>
      </c>
      <c r="R148" s="459">
        <f t="shared" ca="1" si="542"/>
        <v>0</v>
      </c>
      <c r="S148" s="459">
        <f t="shared" ca="1" si="542"/>
        <v>0</v>
      </c>
      <c r="T148" s="459">
        <f t="shared" ca="1" si="542"/>
        <v>0</v>
      </c>
      <c r="U148" s="459">
        <f t="shared" ca="1" si="542"/>
        <v>0</v>
      </c>
      <c r="V148" s="459">
        <f t="shared" ca="1" si="542"/>
        <v>0</v>
      </c>
      <c r="W148" s="459">
        <f t="shared" ca="1" si="542"/>
        <v>0</v>
      </c>
      <c r="X148" s="459">
        <f t="shared" ca="1" si="542"/>
        <v>0</v>
      </c>
      <c r="Y148" s="459">
        <f t="shared" ca="1" si="542"/>
        <v>0</v>
      </c>
      <c r="Z148" s="459">
        <f t="shared" ca="1" si="542"/>
        <v>0</v>
      </c>
      <c r="AA148" s="459">
        <f t="shared" ca="1" si="542"/>
        <v>0</v>
      </c>
      <c r="AB148" s="459">
        <f t="shared" ca="1" si="542"/>
        <v>0</v>
      </c>
      <c r="AC148" s="459">
        <f t="shared" ca="1" si="542"/>
        <v>0</v>
      </c>
      <c r="AD148" s="459">
        <f t="shared" ca="1" si="542"/>
        <v>0</v>
      </c>
      <c r="AE148" s="459">
        <f t="shared" ca="1" si="542"/>
        <v>0</v>
      </c>
      <c r="AF148" s="459">
        <f t="shared" ca="1" si="542"/>
        <v>0</v>
      </c>
      <c r="AG148" s="459">
        <f t="shared" ca="1" si="542"/>
        <v>0</v>
      </c>
      <c r="AH148" s="459">
        <f t="shared" ca="1" si="542"/>
        <v>0</v>
      </c>
      <c r="AI148" s="459">
        <f t="shared" ca="1" si="542"/>
        <v>0</v>
      </c>
      <c r="AJ148" s="459">
        <f t="shared" ca="1" si="542"/>
        <v>0</v>
      </c>
      <c r="AK148" s="459">
        <f t="shared" ca="1" si="542"/>
        <v>0</v>
      </c>
      <c r="AL148" s="459">
        <f t="shared" ca="1" si="542"/>
        <v>0</v>
      </c>
      <c r="AM148" s="459">
        <f t="shared" ca="1" si="542"/>
        <v>0</v>
      </c>
      <c r="AN148" s="459">
        <f t="shared" ca="1" si="542"/>
        <v>0</v>
      </c>
      <c r="AO148" s="459">
        <f t="shared" ca="1" si="542"/>
        <v>0</v>
      </c>
      <c r="AP148" s="459">
        <f t="shared" ca="1" si="542"/>
        <v>0</v>
      </c>
      <c r="AQ148" s="459">
        <f t="shared" ca="1" si="542"/>
        <v>0</v>
      </c>
      <c r="AR148" s="459">
        <f t="shared" ca="1" si="542"/>
        <v>0</v>
      </c>
      <c r="AS148" s="459">
        <f t="shared" ca="1" si="542"/>
        <v>0</v>
      </c>
      <c r="AT148" s="459">
        <f t="shared" ca="1" si="542"/>
        <v>0</v>
      </c>
      <c r="AU148" s="459">
        <f t="shared" ca="1" si="542"/>
        <v>0</v>
      </c>
      <c r="AV148" s="459">
        <f t="shared" ca="1" si="542"/>
        <v>0</v>
      </c>
      <c r="AW148" s="459">
        <f t="shared" ca="1" si="542"/>
        <v>0</v>
      </c>
      <c r="AX148" s="459">
        <f t="shared" ca="1" si="542"/>
        <v>0</v>
      </c>
      <c r="AY148" s="459">
        <f t="shared" ca="1" si="542"/>
        <v>0</v>
      </c>
      <c r="AZ148" s="459">
        <f t="shared" ca="1" si="542"/>
        <v>0</v>
      </c>
      <c r="BA148" s="459">
        <f t="shared" ca="1" si="542"/>
        <v>0</v>
      </c>
      <c r="BB148" s="459">
        <f t="shared" ca="1" si="542"/>
        <v>0</v>
      </c>
      <c r="BC148" s="459">
        <f t="shared" ca="1" si="542"/>
        <v>0</v>
      </c>
      <c r="BD148" s="459">
        <f t="shared" ca="1" si="542"/>
        <v>0</v>
      </c>
      <c r="BE148" s="459">
        <f t="shared" ca="1" si="542"/>
        <v>0</v>
      </c>
      <c r="BF148" s="459">
        <f t="shared" ca="1" si="542"/>
        <v>0</v>
      </c>
      <c r="BG148" s="459">
        <f t="shared" ca="1" si="542"/>
        <v>0</v>
      </c>
      <c r="BH148" s="459">
        <f t="shared" ca="1" si="542"/>
        <v>0</v>
      </c>
      <c r="BI148" s="459">
        <f t="shared" ca="1" si="542"/>
        <v>0</v>
      </c>
      <c r="BJ148" s="459">
        <f t="shared" ca="1" si="542"/>
        <v>0</v>
      </c>
      <c r="BK148" s="459">
        <f t="shared" ca="1" si="542"/>
        <v>0</v>
      </c>
      <c r="BL148" s="459">
        <f t="shared" ca="1" si="542"/>
        <v>0</v>
      </c>
      <c r="BM148" s="459">
        <f t="shared" ca="1" si="542"/>
        <v>0</v>
      </c>
      <c r="BN148" s="459">
        <f t="shared" ca="1" si="542"/>
        <v>0</v>
      </c>
      <c r="BO148" s="459">
        <f t="shared" ca="1" si="542"/>
        <v>0</v>
      </c>
      <c r="BP148" s="459"/>
      <c r="BQ148" s="459"/>
      <c r="BR148" s="459"/>
      <c r="BS148" s="459"/>
      <c r="BT148" s="459"/>
      <c r="BU148" s="459"/>
      <c r="BV148" s="459"/>
      <c r="BW148" s="459"/>
      <c r="BX148" s="459"/>
      <c r="BY148" s="459"/>
      <c r="BZ148" s="459"/>
      <c r="CA148" s="459"/>
      <c r="CB148" s="459"/>
      <c r="CC148" s="459"/>
      <c r="CD148" s="459"/>
      <c r="CE148" s="459"/>
      <c r="CF148" s="459"/>
      <c r="CG148" s="459"/>
      <c r="CH148" s="459"/>
      <c r="CI148" s="459"/>
      <c r="CJ148" s="459"/>
      <c r="CK148" s="459"/>
      <c r="CL148" s="459"/>
      <c r="CM148" s="459"/>
      <c r="CN148" s="459"/>
      <c r="CO148" s="459"/>
      <c r="CP148" s="459"/>
      <c r="CQ148" s="459"/>
      <c r="CR148" s="459"/>
      <c r="CS148" s="459"/>
      <c r="CT148" s="459"/>
      <c r="CU148" s="459"/>
      <c r="CV148" s="459"/>
      <c r="CW148" s="459"/>
      <c r="CX148" s="459"/>
      <c r="CY148" s="459"/>
      <c r="CZ148" s="459"/>
      <c r="DA148" s="459"/>
      <c r="DB148" s="459"/>
      <c r="DC148" s="459"/>
      <c r="DD148" s="459"/>
      <c r="DE148" s="459"/>
      <c r="DF148" s="459"/>
      <c r="DG148" s="459"/>
      <c r="DH148" s="459"/>
      <c r="DI148" s="459"/>
      <c r="DJ148" s="459"/>
      <c r="DK148" s="459"/>
      <c r="DL148" s="459"/>
      <c r="DM148" s="459"/>
      <c r="DN148" s="459"/>
      <c r="DO148" s="459"/>
      <c r="DP148" s="459"/>
      <c r="DQ148" s="459"/>
      <c r="DR148" s="459"/>
      <c r="DS148" s="459"/>
      <c r="DT148" s="459"/>
      <c r="DU148" s="459"/>
      <c r="DV148" s="459"/>
      <c r="DW148" s="459"/>
      <c r="DX148" s="510"/>
      <c r="DY148" s="510"/>
      <c r="DZ148" s="510"/>
      <c r="EA148" s="510"/>
      <c r="EB148" s="510"/>
      <c r="EC148" s="510"/>
      <c r="ED148" s="510"/>
      <c r="EE148" s="510"/>
      <c r="EF148" s="510"/>
    </row>
    <row r="149" spans="1:143">
      <c r="A149" s="881" t="s">
        <v>1246</v>
      </c>
      <c r="B149" s="810">
        <f ca="1">+IDC!$D$52</f>
        <v>0</v>
      </c>
      <c r="C149" s="810"/>
      <c r="D149" s="510">
        <f ca="1">SUM(G149:DW149)</f>
        <v>0</v>
      </c>
      <c r="E149" s="866"/>
      <c r="F149" s="323"/>
      <c r="G149" s="459">
        <f t="shared" ref="G149:AL149" ca="1" si="543">G147*G$14*$B145+$B149*(G$3=0)</f>
        <v>0</v>
      </c>
      <c r="H149" s="459">
        <f t="shared" ca="1" si="543"/>
        <v>0</v>
      </c>
      <c r="I149" s="459">
        <f t="shared" ca="1" si="543"/>
        <v>0</v>
      </c>
      <c r="J149" s="459">
        <f t="shared" ca="1" si="543"/>
        <v>0</v>
      </c>
      <c r="K149" s="459">
        <f t="shared" ca="1" si="543"/>
        <v>0</v>
      </c>
      <c r="L149" s="459">
        <f t="shared" ca="1" si="543"/>
        <v>0</v>
      </c>
      <c r="M149" s="459">
        <f t="shared" ca="1" si="543"/>
        <v>0</v>
      </c>
      <c r="N149" s="459">
        <f t="shared" ca="1" si="543"/>
        <v>0</v>
      </c>
      <c r="O149" s="459">
        <f t="shared" ca="1" si="543"/>
        <v>0</v>
      </c>
      <c r="P149" s="459">
        <f t="shared" ca="1" si="543"/>
        <v>0</v>
      </c>
      <c r="Q149" s="459">
        <f t="shared" ca="1" si="543"/>
        <v>0</v>
      </c>
      <c r="R149" s="459">
        <f t="shared" ca="1" si="543"/>
        <v>0</v>
      </c>
      <c r="S149" s="459">
        <f t="shared" ca="1" si="543"/>
        <v>0</v>
      </c>
      <c r="T149" s="459">
        <f t="shared" ca="1" si="543"/>
        <v>0</v>
      </c>
      <c r="U149" s="459">
        <f t="shared" ca="1" si="543"/>
        <v>0</v>
      </c>
      <c r="V149" s="459">
        <f t="shared" ca="1" si="543"/>
        <v>0</v>
      </c>
      <c r="W149" s="459">
        <f t="shared" ca="1" si="543"/>
        <v>0</v>
      </c>
      <c r="X149" s="459">
        <f t="shared" ca="1" si="543"/>
        <v>0</v>
      </c>
      <c r="Y149" s="459">
        <f t="shared" ca="1" si="543"/>
        <v>0</v>
      </c>
      <c r="Z149" s="459">
        <f t="shared" ca="1" si="543"/>
        <v>0</v>
      </c>
      <c r="AA149" s="459">
        <f t="shared" ca="1" si="543"/>
        <v>0</v>
      </c>
      <c r="AB149" s="459">
        <f t="shared" ca="1" si="543"/>
        <v>0</v>
      </c>
      <c r="AC149" s="459">
        <f t="shared" ca="1" si="543"/>
        <v>0</v>
      </c>
      <c r="AD149" s="459">
        <f t="shared" ca="1" si="543"/>
        <v>0</v>
      </c>
      <c r="AE149" s="459">
        <f t="shared" ca="1" si="543"/>
        <v>0</v>
      </c>
      <c r="AF149" s="459">
        <f t="shared" ca="1" si="543"/>
        <v>0</v>
      </c>
      <c r="AG149" s="459">
        <f t="shared" ca="1" si="543"/>
        <v>0</v>
      </c>
      <c r="AH149" s="459">
        <f t="shared" ca="1" si="543"/>
        <v>0</v>
      </c>
      <c r="AI149" s="459">
        <f t="shared" ca="1" si="543"/>
        <v>0</v>
      </c>
      <c r="AJ149" s="459">
        <f t="shared" ca="1" si="543"/>
        <v>0</v>
      </c>
      <c r="AK149" s="459">
        <f t="shared" ca="1" si="543"/>
        <v>0</v>
      </c>
      <c r="AL149" s="459">
        <f t="shared" ca="1" si="543"/>
        <v>0</v>
      </c>
      <c r="AM149" s="459">
        <f t="shared" ref="AM149:BO149" ca="1" si="544">AM147*AM$14*$B145+$B149*(AM$3=0)</f>
        <v>0</v>
      </c>
      <c r="AN149" s="459">
        <f t="shared" ca="1" si="544"/>
        <v>0</v>
      </c>
      <c r="AO149" s="459">
        <f t="shared" ca="1" si="544"/>
        <v>0</v>
      </c>
      <c r="AP149" s="459">
        <f t="shared" ca="1" si="544"/>
        <v>0</v>
      </c>
      <c r="AQ149" s="459">
        <f t="shared" ca="1" si="544"/>
        <v>0</v>
      </c>
      <c r="AR149" s="459">
        <f t="shared" ca="1" si="544"/>
        <v>0</v>
      </c>
      <c r="AS149" s="459">
        <f t="shared" ca="1" si="544"/>
        <v>0</v>
      </c>
      <c r="AT149" s="459">
        <f t="shared" ca="1" si="544"/>
        <v>0</v>
      </c>
      <c r="AU149" s="459">
        <f t="shared" ca="1" si="544"/>
        <v>0</v>
      </c>
      <c r="AV149" s="459">
        <f t="shared" ca="1" si="544"/>
        <v>0</v>
      </c>
      <c r="AW149" s="459">
        <f t="shared" ca="1" si="544"/>
        <v>0</v>
      </c>
      <c r="AX149" s="459">
        <f t="shared" ca="1" si="544"/>
        <v>0</v>
      </c>
      <c r="AY149" s="459">
        <f t="shared" ca="1" si="544"/>
        <v>0</v>
      </c>
      <c r="AZ149" s="459">
        <f t="shared" ca="1" si="544"/>
        <v>0</v>
      </c>
      <c r="BA149" s="459">
        <f t="shared" ca="1" si="544"/>
        <v>0</v>
      </c>
      <c r="BB149" s="459">
        <f t="shared" ca="1" si="544"/>
        <v>0</v>
      </c>
      <c r="BC149" s="459">
        <f t="shared" ca="1" si="544"/>
        <v>0</v>
      </c>
      <c r="BD149" s="459">
        <f t="shared" ca="1" si="544"/>
        <v>0</v>
      </c>
      <c r="BE149" s="459">
        <f t="shared" ca="1" si="544"/>
        <v>0</v>
      </c>
      <c r="BF149" s="459">
        <f t="shared" ca="1" si="544"/>
        <v>0</v>
      </c>
      <c r="BG149" s="459">
        <f t="shared" ca="1" si="544"/>
        <v>0</v>
      </c>
      <c r="BH149" s="459">
        <f t="shared" ca="1" si="544"/>
        <v>0</v>
      </c>
      <c r="BI149" s="459">
        <f t="shared" ca="1" si="544"/>
        <v>0</v>
      </c>
      <c r="BJ149" s="459">
        <f t="shared" ca="1" si="544"/>
        <v>0</v>
      </c>
      <c r="BK149" s="459">
        <f t="shared" ca="1" si="544"/>
        <v>0</v>
      </c>
      <c r="BL149" s="459">
        <f t="shared" ca="1" si="544"/>
        <v>0</v>
      </c>
      <c r="BM149" s="459">
        <f t="shared" ca="1" si="544"/>
        <v>0</v>
      </c>
      <c r="BN149" s="459">
        <f t="shared" ca="1" si="544"/>
        <v>0</v>
      </c>
      <c r="BO149" s="459">
        <f t="shared" ca="1" si="544"/>
        <v>0</v>
      </c>
      <c r="BP149" s="459"/>
      <c r="BQ149" s="459"/>
      <c r="BR149" s="459"/>
      <c r="BS149" s="459"/>
      <c r="BT149" s="459"/>
      <c r="BU149" s="459"/>
      <c r="BV149" s="459"/>
      <c r="BW149" s="459"/>
      <c r="BX149" s="459"/>
      <c r="BY149" s="459"/>
      <c r="BZ149" s="459"/>
      <c r="CA149" s="459"/>
      <c r="CB149" s="459"/>
      <c r="CC149" s="459"/>
      <c r="CD149" s="459"/>
      <c r="CE149" s="459"/>
      <c r="CF149" s="459"/>
      <c r="CG149" s="459"/>
      <c r="CH149" s="459"/>
      <c r="CI149" s="459"/>
      <c r="CJ149" s="459"/>
      <c r="CK149" s="459"/>
      <c r="CL149" s="459"/>
      <c r="CM149" s="459"/>
      <c r="CN149" s="459"/>
      <c r="CO149" s="459"/>
      <c r="CP149" s="459"/>
      <c r="CQ149" s="459"/>
      <c r="CR149" s="459"/>
      <c r="CS149" s="459"/>
      <c r="CT149" s="459"/>
      <c r="CU149" s="459"/>
      <c r="CV149" s="459"/>
      <c r="CW149" s="459"/>
      <c r="CX149" s="459"/>
      <c r="CY149" s="459"/>
      <c r="CZ149" s="459"/>
      <c r="DA149" s="459"/>
      <c r="DB149" s="459"/>
      <c r="DC149" s="459"/>
      <c r="DD149" s="459"/>
      <c r="DE149" s="459"/>
      <c r="DF149" s="459"/>
      <c r="DG149" s="459"/>
      <c r="DH149" s="459"/>
      <c r="DI149" s="459"/>
      <c r="DJ149" s="459"/>
      <c r="DK149" s="459"/>
      <c r="DL149" s="459"/>
      <c r="DM149" s="459"/>
      <c r="DN149" s="459"/>
      <c r="DO149" s="459"/>
      <c r="DP149" s="459"/>
      <c r="DQ149" s="459"/>
      <c r="DR149" s="459"/>
      <c r="DS149" s="459"/>
      <c r="DT149" s="459"/>
      <c r="DU149" s="459"/>
      <c r="DV149" s="459"/>
      <c r="DW149" s="459"/>
      <c r="DX149" s="510"/>
      <c r="DY149" s="510"/>
      <c r="DZ149" s="510"/>
      <c r="EA149" s="510"/>
      <c r="EB149" s="510"/>
      <c r="EC149" s="510"/>
      <c r="ED149" s="510"/>
      <c r="EE149" s="510"/>
      <c r="EF149" s="510"/>
    </row>
    <row r="150" spans="1:143">
      <c r="A150" s="961" t="str">
        <f>A126</f>
        <v>Withholding Tax</v>
      </c>
      <c r="B150" s="970">
        <f>Inputs!$D$424/(1-Inputs!$D$424)</f>
        <v>0</v>
      </c>
      <c r="C150" s="970"/>
      <c r="D150" s="510"/>
      <c r="E150" s="396"/>
      <c r="F150" s="323"/>
      <c r="G150" s="622">
        <f ca="1">$B150*G149*(G$3&lt;&gt;0)*((G$3+QUOTIENT(Inputs!$D$10,monthsinyear))&lt;Inputs!$F$424)</f>
        <v>0</v>
      </c>
      <c r="H150" s="622">
        <f ca="1">$B150*H149*(H$3&lt;&gt;0)*((H$3+QUOTIENT(Inputs!$D$10,monthsinyear))&lt;Inputs!$F$424)</f>
        <v>0</v>
      </c>
      <c r="I150" s="622">
        <f ca="1">$B150*I149*(I$3&lt;&gt;0)*((I$3+QUOTIENT(Inputs!$D$10,monthsinyear))&lt;Inputs!$F$424)</f>
        <v>0</v>
      </c>
      <c r="J150" s="622">
        <f ca="1">$B150*J149*(J$3&lt;&gt;0)*((J$3+QUOTIENT(Inputs!$D$10,monthsinyear))&lt;Inputs!$F$424)</f>
        <v>0</v>
      </c>
      <c r="K150" s="622">
        <f ca="1">$B150*K149*(K$3&lt;&gt;0)*((K$3+QUOTIENT(Inputs!$D$10,monthsinyear))&lt;Inputs!$F$424)</f>
        <v>0</v>
      </c>
      <c r="L150" s="622">
        <f ca="1">$B150*L149*(L$3&lt;&gt;0)*((L$3+QUOTIENT(Inputs!$D$10,monthsinyear))&lt;Inputs!$F$424)</f>
        <v>0</v>
      </c>
      <c r="M150" s="622">
        <f ca="1">$B150*M149*(M$3&lt;&gt;0)*((M$3+QUOTIENT(Inputs!$D$10,monthsinyear))&lt;Inputs!$F$424)</f>
        <v>0</v>
      </c>
      <c r="N150" s="622">
        <f ca="1">$B150*N149*(N$3&lt;&gt;0)*((N$3+QUOTIENT(Inputs!$D$10,monthsinyear))&lt;Inputs!$F$424)</f>
        <v>0</v>
      </c>
      <c r="O150" s="622">
        <f ca="1">$B150*O149*(O$3&lt;&gt;0)*((O$3+QUOTIENT(Inputs!$D$10,monthsinyear))&lt;Inputs!$F$424)</f>
        <v>0</v>
      </c>
      <c r="P150" s="622">
        <f ca="1">$B150*P149*(P$3&lt;&gt;0)*((P$3+QUOTIENT(Inputs!$D$10,monthsinyear))&lt;Inputs!$F$424)</f>
        <v>0</v>
      </c>
      <c r="Q150" s="622">
        <f ca="1">$B150*Q149*(Q$3&lt;&gt;0)*((Q$3+QUOTIENT(Inputs!$D$10,monthsinyear))&lt;Inputs!$F$424)</f>
        <v>0</v>
      </c>
      <c r="R150" s="622">
        <f ca="1">$B150*R149*(R$3&lt;&gt;0)*((R$3+QUOTIENT(Inputs!$D$10,monthsinyear))&lt;Inputs!$F$424)</f>
        <v>0</v>
      </c>
      <c r="S150" s="622">
        <f ca="1">$B150*S149*(S$3&lt;&gt;0)*((S$3+QUOTIENT(Inputs!$D$10,monthsinyear))&lt;Inputs!$F$424)</f>
        <v>0</v>
      </c>
      <c r="T150" s="622">
        <f ca="1">$B150*T149*(T$3&lt;&gt;0)*((T$3+QUOTIENT(Inputs!$D$10,monthsinyear))&lt;Inputs!$F$424)</f>
        <v>0</v>
      </c>
      <c r="U150" s="622">
        <f ca="1">$B150*U149*(U$3&lt;&gt;0)*((U$3+QUOTIENT(Inputs!$D$10,monthsinyear))&lt;Inputs!$F$424)</f>
        <v>0</v>
      </c>
      <c r="V150" s="622">
        <f ca="1">$B150*V149*(V$3&lt;&gt;0)*((V$3+QUOTIENT(Inputs!$D$10,monthsinyear))&lt;Inputs!$F$424)</f>
        <v>0</v>
      </c>
      <c r="W150" s="622">
        <f ca="1">$B150*W149*(W$3&lt;&gt;0)*((W$3+QUOTIENT(Inputs!$D$10,monthsinyear))&lt;Inputs!$F$424)</f>
        <v>0</v>
      </c>
      <c r="X150" s="622">
        <f ca="1">$B150*X149*(X$3&lt;&gt;0)*((X$3+QUOTIENT(Inputs!$D$10,monthsinyear))&lt;Inputs!$F$424)</f>
        <v>0</v>
      </c>
      <c r="Y150" s="622">
        <f ca="1">$B150*Y149*(Y$3&lt;&gt;0)*((Y$3+QUOTIENT(Inputs!$D$10,monthsinyear))&lt;Inputs!$F$424)</f>
        <v>0</v>
      </c>
      <c r="Z150" s="622">
        <f ca="1">$B150*Z149*(Z$3&lt;&gt;0)*((Z$3+QUOTIENT(Inputs!$D$10,monthsinyear))&lt;Inputs!$F$424)</f>
        <v>0</v>
      </c>
      <c r="AA150" s="622">
        <f ca="1">$B150*AA149*(AA$3&lt;&gt;0)*((AA$3+QUOTIENT(Inputs!$D$10,monthsinyear))&lt;Inputs!$F$424)</f>
        <v>0</v>
      </c>
      <c r="AB150" s="622">
        <f ca="1">$B150*AB149*(AB$3&lt;&gt;0)*((AB$3+QUOTIENT(Inputs!$D$10,monthsinyear))&lt;Inputs!$F$424)</f>
        <v>0</v>
      </c>
      <c r="AC150" s="622">
        <f ca="1">$B150*AC149*(AC$3&lt;&gt;0)*((AC$3+QUOTIENT(Inputs!$D$10,monthsinyear))&lt;Inputs!$F$424)</f>
        <v>0</v>
      </c>
      <c r="AD150" s="622">
        <f ca="1">$B150*AD149*(AD$3&lt;&gt;0)*((AD$3+QUOTIENT(Inputs!$D$10,monthsinyear))&lt;Inputs!$F$424)</f>
        <v>0</v>
      </c>
      <c r="AE150" s="622">
        <f ca="1">$B150*AE149*(AE$3&lt;&gt;0)*((AE$3+QUOTIENT(Inputs!$D$10,monthsinyear))&lt;Inputs!$F$424)</f>
        <v>0</v>
      </c>
      <c r="AF150" s="622">
        <f ca="1">$B150*AF149*(AF$3&lt;&gt;0)*((AF$3+QUOTIENT(Inputs!$D$10,monthsinyear))&lt;Inputs!$F$424)</f>
        <v>0</v>
      </c>
      <c r="AG150" s="622">
        <f ca="1">$B150*AG149*(AG$3&lt;&gt;0)*((AG$3+QUOTIENT(Inputs!$D$10,monthsinyear))&lt;Inputs!$F$424)</f>
        <v>0</v>
      </c>
      <c r="AH150" s="622">
        <f ca="1">$B150*AH149*(AH$3&lt;&gt;0)*((AH$3+QUOTIENT(Inputs!$D$10,monthsinyear))&lt;Inputs!$F$424)</f>
        <v>0</v>
      </c>
      <c r="AI150" s="622">
        <f ca="1">$B150*AI149*(AI$3&lt;&gt;0)*((AI$3+QUOTIENT(Inputs!$D$10,monthsinyear))&lt;Inputs!$F$424)</f>
        <v>0</v>
      </c>
      <c r="AJ150" s="622">
        <f ca="1">$B150*AJ149*(AJ$3&lt;&gt;0)*((AJ$3+QUOTIENT(Inputs!$D$10,monthsinyear))&lt;Inputs!$F$424)</f>
        <v>0</v>
      </c>
      <c r="AK150" s="622">
        <f ca="1">$B150*AK149*(AK$3&lt;&gt;0)*((AK$3+QUOTIENT(Inputs!$D$10,monthsinyear))&lt;Inputs!$F$424)</f>
        <v>0</v>
      </c>
      <c r="AL150" s="622">
        <f ca="1">$B150*AL149*(AL$3&lt;&gt;0)*((AL$3+QUOTIENT(Inputs!$D$10,monthsinyear))&lt;Inputs!$F$424)</f>
        <v>0</v>
      </c>
      <c r="AM150" s="622">
        <f ca="1">$B150*AM149*(AM$3&lt;&gt;0)*((AM$3+QUOTIENT(Inputs!$D$10,monthsinyear))&lt;Inputs!$F$424)</f>
        <v>0</v>
      </c>
      <c r="AN150" s="622">
        <f ca="1">$B150*AN149*(AN$3&lt;&gt;0)*((AN$3+QUOTIENT(Inputs!$D$10,monthsinyear))&lt;Inputs!$F$424)</f>
        <v>0</v>
      </c>
      <c r="AO150" s="622">
        <f ca="1">$B150*AO149*(AO$3&lt;&gt;0)*((AO$3+QUOTIENT(Inputs!$D$10,monthsinyear))&lt;Inputs!$F$424)</f>
        <v>0</v>
      </c>
      <c r="AP150" s="622">
        <f ca="1">$B150*AP149*(AP$3&lt;&gt;0)*((AP$3+QUOTIENT(Inputs!$D$10,monthsinyear))&lt;Inputs!$F$424)</f>
        <v>0</v>
      </c>
      <c r="AQ150" s="622">
        <f ca="1">$B150*AQ149*(AQ$3&lt;&gt;0)*((AQ$3+QUOTIENT(Inputs!$D$10,monthsinyear))&lt;Inputs!$F$424)</f>
        <v>0</v>
      </c>
      <c r="AR150" s="622">
        <f ca="1">$B150*AR149*(AR$3&lt;&gt;0)*((AR$3+QUOTIENT(Inputs!$D$10,monthsinyear))&lt;Inputs!$F$424)</f>
        <v>0</v>
      </c>
      <c r="AS150" s="622">
        <f ca="1">$B150*AS149*(AS$3&lt;&gt;0)*((AS$3+QUOTIENT(Inputs!$D$10,monthsinyear))&lt;Inputs!$F$424)</f>
        <v>0</v>
      </c>
      <c r="AT150" s="622">
        <f ca="1">$B150*AT149*(AT$3&lt;&gt;0)*((AT$3+QUOTIENT(Inputs!$D$10,monthsinyear))&lt;Inputs!$F$424)</f>
        <v>0</v>
      </c>
      <c r="AU150" s="622">
        <f ca="1">$B150*AU149*(AU$3&lt;&gt;0)*((AU$3+QUOTIENT(Inputs!$D$10,monthsinyear))&lt;Inputs!$F$424)</f>
        <v>0</v>
      </c>
      <c r="AV150" s="622">
        <f ca="1">$B150*AV149*(AV$3&lt;&gt;0)*((AV$3+QUOTIENT(Inputs!$D$10,monthsinyear))&lt;Inputs!$F$424)</f>
        <v>0</v>
      </c>
      <c r="AW150" s="622">
        <f ca="1">$B150*AW149*(AW$3&lt;&gt;0)*((AW$3+QUOTIENT(Inputs!$D$10,monthsinyear))&lt;Inputs!$F$424)</f>
        <v>0</v>
      </c>
      <c r="AX150" s="622">
        <f ca="1">$B150*AX149*(AX$3&lt;&gt;0)*((AX$3+QUOTIENT(Inputs!$D$10,monthsinyear))&lt;Inputs!$F$424)</f>
        <v>0</v>
      </c>
      <c r="AY150" s="622">
        <f ca="1">$B150*AY149*(AY$3&lt;&gt;0)*((AY$3+QUOTIENT(Inputs!$D$10,monthsinyear))&lt;Inputs!$F$424)</f>
        <v>0</v>
      </c>
      <c r="AZ150" s="622">
        <f ca="1">$B150*AZ149*(AZ$3&lt;&gt;0)*((AZ$3+QUOTIENT(Inputs!$D$10,monthsinyear))&lt;Inputs!$F$424)</f>
        <v>0</v>
      </c>
      <c r="BA150" s="622">
        <f ca="1">$B150*BA149*(BA$3&lt;&gt;0)*((BA$3+QUOTIENT(Inputs!$D$10,monthsinyear))&lt;Inputs!$F$424)</f>
        <v>0</v>
      </c>
      <c r="BB150" s="622">
        <f ca="1">$B150*BB149*(BB$3&lt;&gt;0)*((BB$3+QUOTIENT(Inputs!$D$10,monthsinyear))&lt;Inputs!$F$424)</f>
        <v>0</v>
      </c>
      <c r="BC150" s="622">
        <f ca="1">$B150*BC149*(BC$3&lt;&gt;0)*((BC$3+QUOTIENT(Inputs!$D$10,monthsinyear))&lt;Inputs!$F$424)</f>
        <v>0</v>
      </c>
      <c r="BD150" s="622">
        <f ca="1">$B150*BD149*(BD$3&lt;&gt;0)*((BD$3+QUOTIENT(Inputs!$D$10,monthsinyear))&lt;Inputs!$F$424)</f>
        <v>0</v>
      </c>
      <c r="BE150" s="622">
        <f ca="1">$B150*BE149*(BE$3&lt;&gt;0)*((BE$3+QUOTIENT(Inputs!$D$10,monthsinyear))&lt;Inputs!$F$424)</f>
        <v>0</v>
      </c>
      <c r="BF150" s="622">
        <f ca="1">$B150*BF149*(BF$3&lt;&gt;0)*((BF$3+QUOTIENT(Inputs!$D$10,monthsinyear))&lt;Inputs!$F$424)</f>
        <v>0</v>
      </c>
      <c r="BG150" s="622">
        <f ca="1">$B150*BG149*(BG$3&lt;&gt;0)*((BG$3+QUOTIENT(Inputs!$D$10,monthsinyear))&lt;Inputs!$F$424)</f>
        <v>0</v>
      </c>
      <c r="BH150" s="622">
        <f ca="1">$B150*BH149*(BH$3&lt;&gt;0)*((BH$3+QUOTIENT(Inputs!$D$10,monthsinyear))&lt;Inputs!$F$424)</f>
        <v>0</v>
      </c>
      <c r="BI150" s="622">
        <f ca="1">$B150*BI149*(BI$3&lt;&gt;0)*((BI$3+QUOTIENT(Inputs!$D$10,monthsinyear))&lt;Inputs!$F$424)</f>
        <v>0</v>
      </c>
      <c r="BJ150" s="622">
        <f ca="1">$B150*BJ149*(BJ$3&lt;&gt;0)*((BJ$3+QUOTIENT(Inputs!$D$10,monthsinyear))&lt;Inputs!$F$424)</f>
        <v>0</v>
      </c>
      <c r="BK150" s="622">
        <f ca="1">$B150*BK149*(BK$3&lt;&gt;0)*((BK$3+QUOTIENT(Inputs!$D$10,monthsinyear))&lt;Inputs!$F$424)</f>
        <v>0</v>
      </c>
      <c r="BL150" s="622">
        <f ca="1">$B150*BL149*(BL$3&lt;&gt;0)*((BL$3+QUOTIENT(Inputs!$D$10,monthsinyear))&lt;Inputs!$F$424)</f>
        <v>0</v>
      </c>
      <c r="BM150" s="622">
        <f ca="1">$B150*BM149*(BM$3&lt;&gt;0)*((BM$3+QUOTIENT(Inputs!$D$10,monthsinyear))&lt;Inputs!$F$424)</f>
        <v>0</v>
      </c>
      <c r="BN150" s="622">
        <f ca="1">$B150*BN149*(BN$3&lt;&gt;0)*((BN$3+QUOTIENT(Inputs!$D$10,monthsinyear))&lt;Inputs!$F$424)</f>
        <v>0</v>
      </c>
      <c r="BO150" s="622">
        <f ca="1">$B150*BO149*(BO$3&lt;&gt;0)*((BO$3+QUOTIENT(Inputs!$D$10,monthsinyear))&lt;Inputs!$F$424)</f>
        <v>0</v>
      </c>
      <c r="BP150" s="622"/>
      <c r="BQ150" s="622"/>
      <c r="BR150" s="622"/>
      <c r="BS150" s="622"/>
      <c r="BT150" s="622"/>
      <c r="BU150" s="622"/>
      <c r="BV150" s="622"/>
      <c r="BW150" s="622"/>
      <c r="BX150" s="622"/>
      <c r="BY150" s="622"/>
      <c r="BZ150" s="622"/>
      <c r="CA150" s="622"/>
      <c r="CB150" s="622"/>
      <c r="CC150" s="622"/>
      <c r="CD150" s="622"/>
      <c r="CE150" s="622"/>
      <c r="CF150" s="622"/>
      <c r="CG150" s="622"/>
      <c r="CH150" s="622"/>
      <c r="CI150" s="622"/>
      <c r="CJ150" s="622"/>
      <c r="CK150" s="622"/>
      <c r="CL150" s="622"/>
      <c r="CM150" s="622"/>
      <c r="CN150" s="622"/>
      <c r="CO150" s="622"/>
      <c r="CP150" s="622"/>
      <c r="CQ150" s="622"/>
      <c r="CR150" s="622"/>
      <c r="CS150" s="622"/>
      <c r="CT150" s="622"/>
      <c r="CU150" s="622"/>
      <c r="CV150" s="622"/>
      <c r="CW150" s="622"/>
      <c r="CX150" s="622"/>
      <c r="CY150" s="622"/>
      <c r="CZ150" s="622"/>
      <c r="DA150" s="622"/>
      <c r="DB150" s="622"/>
      <c r="DC150" s="622"/>
      <c r="DD150" s="622"/>
      <c r="DE150" s="622"/>
      <c r="DF150" s="622"/>
      <c r="DG150" s="622"/>
      <c r="DH150" s="622"/>
      <c r="DI150" s="622"/>
      <c r="DJ150" s="622"/>
      <c r="DK150" s="622"/>
      <c r="DL150" s="622"/>
      <c r="DM150" s="622"/>
      <c r="DN150" s="622"/>
      <c r="DO150" s="622"/>
      <c r="DP150" s="622"/>
      <c r="DQ150" s="622"/>
      <c r="DR150" s="622"/>
      <c r="DS150" s="622"/>
      <c r="DT150" s="622"/>
      <c r="DU150" s="622"/>
      <c r="DV150" s="622"/>
      <c r="DW150" s="622"/>
      <c r="DX150" s="510"/>
      <c r="DY150" s="510"/>
      <c r="DZ150" s="510"/>
      <c r="EA150" s="510"/>
      <c r="EB150" s="510"/>
      <c r="EC150" s="510"/>
      <c r="ED150" s="510"/>
      <c r="EE150" s="510"/>
      <c r="EF150" s="510"/>
    </row>
    <row r="151" spans="1:143">
      <c r="A151" s="961" t="str">
        <f>A140</f>
        <v>Principal</v>
      </c>
      <c r="B151" s="704"/>
      <c r="C151" s="704"/>
      <c r="D151" s="510">
        <f ca="1">SUM(G151:DW151)</f>
        <v>0</v>
      </c>
      <c r="E151" s="866"/>
      <c r="F151" s="323"/>
      <c r="G151" s="510">
        <f ca="1">MAX(MIN(G147,G$120*G146),0)</f>
        <v>0</v>
      </c>
      <c r="H151" s="510">
        <f ca="1">MAX(MIN(H147,H$120*H146),0)</f>
        <v>0</v>
      </c>
      <c r="I151" s="510">
        <f t="shared" ref="I151:BO151" ca="1" si="545">MAX(MIN(I147,I$120*I146),0)</f>
        <v>0</v>
      </c>
      <c r="J151" s="510">
        <f t="shared" ca="1" si="545"/>
        <v>0</v>
      </c>
      <c r="K151" s="510">
        <f t="shared" ca="1" si="545"/>
        <v>0</v>
      </c>
      <c r="L151" s="510">
        <f t="shared" ca="1" si="545"/>
        <v>0</v>
      </c>
      <c r="M151" s="510">
        <f t="shared" ca="1" si="545"/>
        <v>0</v>
      </c>
      <c r="N151" s="510">
        <f t="shared" ca="1" si="545"/>
        <v>0</v>
      </c>
      <c r="O151" s="510">
        <f t="shared" ca="1" si="545"/>
        <v>0</v>
      </c>
      <c r="P151" s="510">
        <f t="shared" ca="1" si="545"/>
        <v>0</v>
      </c>
      <c r="Q151" s="510">
        <f t="shared" ca="1" si="545"/>
        <v>0</v>
      </c>
      <c r="R151" s="510">
        <f t="shared" ca="1" si="545"/>
        <v>0</v>
      </c>
      <c r="S151" s="510">
        <f t="shared" ca="1" si="545"/>
        <v>0</v>
      </c>
      <c r="T151" s="510">
        <f t="shared" ca="1" si="545"/>
        <v>0</v>
      </c>
      <c r="U151" s="510">
        <f t="shared" ca="1" si="545"/>
        <v>0</v>
      </c>
      <c r="V151" s="510">
        <f t="shared" ca="1" si="545"/>
        <v>0</v>
      </c>
      <c r="W151" s="510">
        <f t="shared" ca="1" si="545"/>
        <v>0</v>
      </c>
      <c r="X151" s="510">
        <f t="shared" ca="1" si="545"/>
        <v>0</v>
      </c>
      <c r="Y151" s="510">
        <f t="shared" ca="1" si="545"/>
        <v>0</v>
      </c>
      <c r="Z151" s="510">
        <f t="shared" ca="1" si="545"/>
        <v>0</v>
      </c>
      <c r="AA151" s="510">
        <f t="shared" ca="1" si="545"/>
        <v>0</v>
      </c>
      <c r="AB151" s="510">
        <f t="shared" ca="1" si="545"/>
        <v>0</v>
      </c>
      <c r="AC151" s="510">
        <f t="shared" ca="1" si="545"/>
        <v>0</v>
      </c>
      <c r="AD151" s="510">
        <f t="shared" ca="1" si="545"/>
        <v>0</v>
      </c>
      <c r="AE151" s="510">
        <f t="shared" ca="1" si="545"/>
        <v>0</v>
      </c>
      <c r="AF151" s="510">
        <f t="shared" ca="1" si="545"/>
        <v>0</v>
      </c>
      <c r="AG151" s="510">
        <f t="shared" ca="1" si="545"/>
        <v>0</v>
      </c>
      <c r="AH151" s="510">
        <f t="shared" ca="1" si="545"/>
        <v>0</v>
      </c>
      <c r="AI151" s="510">
        <f t="shared" ca="1" si="545"/>
        <v>0</v>
      </c>
      <c r="AJ151" s="510">
        <f t="shared" ca="1" si="545"/>
        <v>0</v>
      </c>
      <c r="AK151" s="510">
        <f t="shared" ca="1" si="545"/>
        <v>0</v>
      </c>
      <c r="AL151" s="510">
        <f t="shared" ca="1" si="545"/>
        <v>0</v>
      </c>
      <c r="AM151" s="510">
        <f t="shared" ca="1" si="545"/>
        <v>0</v>
      </c>
      <c r="AN151" s="510">
        <f t="shared" ca="1" si="545"/>
        <v>0</v>
      </c>
      <c r="AO151" s="510">
        <f t="shared" ca="1" si="545"/>
        <v>0</v>
      </c>
      <c r="AP151" s="510">
        <f t="shared" ca="1" si="545"/>
        <v>0</v>
      </c>
      <c r="AQ151" s="510">
        <f t="shared" ca="1" si="545"/>
        <v>0</v>
      </c>
      <c r="AR151" s="510">
        <f t="shared" ca="1" si="545"/>
        <v>0</v>
      </c>
      <c r="AS151" s="510">
        <f t="shared" ca="1" si="545"/>
        <v>0</v>
      </c>
      <c r="AT151" s="510">
        <f t="shared" ca="1" si="545"/>
        <v>0</v>
      </c>
      <c r="AU151" s="510">
        <f t="shared" ca="1" si="545"/>
        <v>0</v>
      </c>
      <c r="AV151" s="510">
        <f t="shared" ca="1" si="545"/>
        <v>0</v>
      </c>
      <c r="AW151" s="510">
        <f t="shared" ca="1" si="545"/>
        <v>0</v>
      </c>
      <c r="AX151" s="510">
        <f t="shared" ca="1" si="545"/>
        <v>0</v>
      </c>
      <c r="AY151" s="510">
        <f t="shared" ca="1" si="545"/>
        <v>0</v>
      </c>
      <c r="AZ151" s="510">
        <f t="shared" ca="1" si="545"/>
        <v>0</v>
      </c>
      <c r="BA151" s="510">
        <f t="shared" ca="1" si="545"/>
        <v>0</v>
      </c>
      <c r="BB151" s="510">
        <f t="shared" ca="1" si="545"/>
        <v>0</v>
      </c>
      <c r="BC151" s="510">
        <f t="shared" ca="1" si="545"/>
        <v>0</v>
      </c>
      <c r="BD151" s="510">
        <f t="shared" ca="1" si="545"/>
        <v>0</v>
      </c>
      <c r="BE151" s="510">
        <f t="shared" ca="1" si="545"/>
        <v>0</v>
      </c>
      <c r="BF151" s="510">
        <f t="shared" ca="1" si="545"/>
        <v>0</v>
      </c>
      <c r="BG151" s="510">
        <f t="shared" ca="1" si="545"/>
        <v>0</v>
      </c>
      <c r="BH151" s="510">
        <f t="shared" ca="1" si="545"/>
        <v>0</v>
      </c>
      <c r="BI151" s="510">
        <f t="shared" ca="1" si="545"/>
        <v>0</v>
      </c>
      <c r="BJ151" s="510">
        <f t="shared" ca="1" si="545"/>
        <v>0</v>
      </c>
      <c r="BK151" s="510">
        <f t="shared" ca="1" si="545"/>
        <v>0</v>
      </c>
      <c r="BL151" s="510">
        <f t="shared" ca="1" si="545"/>
        <v>0</v>
      </c>
      <c r="BM151" s="510">
        <f t="shared" ca="1" si="545"/>
        <v>0</v>
      </c>
      <c r="BN151" s="510">
        <f t="shared" ca="1" si="545"/>
        <v>0</v>
      </c>
      <c r="BO151" s="510">
        <f t="shared" ca="1" si="545"/>
        <v>0</v>
      </c>
      <c r="BP151" s="510"/>
      <c r="BQ151" s="510"/>
      <c r="BR151" s="510"/>
      <c r="BS151" s="510"/>
      <c r="BT151" s="510"/>
      <c r="BU151" s="510"/>
      <c r="BV151" s="510"/>
      <c r="BW151" s="510"/>
      <c r="BX151" s="510"/>
      <c r="BY151" s="510"/>
      <c r="BZ151" s="510"/>
      <c r="CA151" s="510"/>
      <c r="CB151" s="510"/>
      <c r="CC151" s="510"/>
      <c r="CD151" s="510"/>
      <c r="CE151" s="510"/>
      <c r="CF151" s="510"/>
      <c r="CG151" s="510"/>
      <c r="CH151" s="510"/>
      <c r="CI151" s="510"/>
      <c r="CJ151" s="510"/>
      <c r="CK151" s="510"/>
      <c r="CL151" s="510"/>
      <c r="CM151" s="510"/>
      <c r="CN151" s="510"/>
      <c r="CO151" s="510"/>
      <c r="CP151" s="510"/>
      <c r="CQ151" s="510"/>
      <c r="CR151" s="510"/>
      <c r="CS151" s="510"/>
      <c r="CT151" s="510"/>
      <c r="CU151" s="510"/>
      <c r="CV151" s="510"/>
      <c r="CW151" s="510"/>
      <c r="CX151" s="510"/>
      <c r="CY151" s="510"/>
      <c r="CZ151" s="510"/>
      <c r="DA151" s="510"/>
      <c r="DB151" s="510"/>
      <c r="DC151" s="510"/>
      <c r="DD151" s="510"/>
      <c r="DE151" s="510"/>
      <c r="DF151" s="510"/>
      <c r="DG151" s="510"/>
      <c r="DH151" s="510"/>
      <c r="DI151" s="510"/>
      <c r="DJ151" s="510"/>
      <c r="DK151" s="510"/>
      <c r="DL151" s="510"/>
      <c r="DM151" s="510"/>
      <c r="DN151" s="510"/>
      <c r="DO151" s="510"/>
      <c r="DP151" s="510"/>
      <c r="DQ151" s="510"/>
      <c r="DR151" s="510"/>
      <c r="DS151" s="510"/>
      <c r="DT151" s="510"/>
      <c r="DU151" s="510"/>
      <c r="DV151" s="510"/>
      <c r="DW151" s="510"/>
      <c r="DX151" s="510"/>
      <c r="DY151" s="510"/>
      <c r="DZ151" s="510"/>
      <c r="EA151" s="510"/>
      <c r="EB151" s="510"/>
      <c r="EC151" s="510"/>
      <c r="ED151" s="510"/>
      <c r="EE151" s="510"/>
      <c r="EF151" s="510"/>
    </row>
    <row r="152" spans="1:143">
      <c r="A152" s="881" t="str">
        <f>A141</f>
        <v>Interests to capitalize</v>
      </c>
      <c r="B152" s="704"/>
      <c r="C152" s="704"/>
      <c r="D152" s="510">
        <f ca="1">SUM(G152:DW152)</f>
        <v>0</v>
      </c>
      <c r="E152" s="866"/>
      <c r="F152" s="323"/>
      <c r="G152" s="459">
        <f t="shared" ref="G152:AL152" ca="1" si="546">MAX(G149-G119*G146,0)</f>
        <v>0</v>
      </c>
      <c r="H152" s="459">
        <f t="shared" ca="1" si="546"/>
        <v>0</v>
      </c>
      <c r="I152" s="459">
        <f t="shared" ca="1" si="546"/>
        <v>0</v>
      </c>
      <c r="J152" s="459">
        <f t="shared" ca="1" si="546"/>
        <v>0</v>
      </c>
      <c r="K152" s="459">
        <f t="shared" ca="1" si="546"/>
        <v>0</v>
      </c>
      <c r="L152" s="459">
        <f t="shared" ca="1" si="546"/>
        <v>0</v>
      </c>
      <c r="M152" s="459">
        <f t="shared" ca="1" si="546"/>
        <v>0</v>
      </c>
      <c r="N152" s="459">
        <f t="shared" ca="1" si="546"/>
        <v>0</v>
      </c>
      <c r="O152" s="459">
        <f t="shared" ca="1" si="546"/>
        <v>0</v>
      </c>
      <c r="P152" s="459">
        <f t="shared" ca="1" si="546"/>
        <v>0</v>
      </c>
      <c r="Q152" s="459">
        <f t="shared" ca="1" si="546"/>
        <v>0</v>
      </c>
      <c r="R152" s="459">
        <f t="shared" ca="1" si="546"/>
        <v>0</v>
      </c>
      <c r="S152" s="459">
        <f t="shared" ca="1" si="546"/>
        <v>0</v>
      </c>
      <c r="T152" s="459">
        <f t="shared" ca="1" si="546"/>
        <v>0</v>
      </c>
      <c r="U152" s="459">
        <f t="shared" ca="1" si="546"/>
        <v>0</v>
      </c>
      <c r="V152" s="459">
        <f t="shared" ca="1" si="546"/>
        <v>0</v>
      </c>
      <c r="W152" s="459">
        <f t="shared" ca="1" si="546"/>
        <v>0</v>
      </c>
      <c r="X152" s="459">
        <f t="shared" ca="1" si="546"/>
        <v>0</v>
      </c>
      <c r="Y152" s="459">
        <f t="shared" ca="1" si="546"/>
        <v>0</v>
      </c>
      <c r="Z152" s="459">
        <f t="shared" ca="1" si="546"/>
        <v>0</v>
      </c>
      <c r="AA152" s="459">
        <f t="shared" ca="1" si="546"/>
        <v>0</v>
      </c>
      <c r="AB152" s="459">
        <f t="shared" ca="1" si="546"/>
        <v>0</v>
      </c>
      <c r="AC152" s="459">
        <f t="shared" ca="1" si="546"/>
        <v>0</v>
      </c>
      <c r="AD152" s="459">
        <f t="shared" ca="1" si="546"/>
        <v>0</v>
      </c>
      <c r="AE152" s="459">
        <f t="shared" ca="1" si="546"/>
        <v>0</v>
      </c>
      <c r="AF152" s="459">
        <f t="shared" ca="1" si="546"/>
        <v>0</v>
      </c>
      <c r="AG152" s="459">
        <f t="shared" ca="1" si="546"/>
        <v>0</v>
      </c>
      <c r="AH152" s="459">
        <f t="shared" ca="1" si="546"/>
        <v>0</v>
      </c>
      <c r="AI152" s="459">
        <f t="shared" ca="1" si="546"/>
        <v>0</v>
      </c>
      <c r="AJ152" s="459">
        <f t="shared" ca="1" si="546"/>
        <v>0</v>
      </c>
      <c r="AK152" s="459">
        <f t="shared" ca="1" si="546"/>
        <v>0</v>
      </c>
      <c r="AL152" s="459">
        <f t="shared" ca="1" si="546"/>
        <v>0</v>
      </c>
      <c r="AM152" s="459">
        <f t="shared" ref="AM152:BO152" ca="1" si="547">MAX(AM149-AM119*AM146,0)</f>
        <v>0</v>
      </c>
      <c r="AN152" s="459">
        <f t="shared" ca="1" si="547"/>
        <v>0</v>
      </c>
      <c r="AO152" s="459">
        <f t="shared" ca="1" si="547"/>
        <v>0</v>
      </c>
      <c r="AP152" s="459">
        <f t="shared" ca="1" si="547"/>
        <v>0</v>
      </c>
      <c r="AQ152" s="459">
        <f t="shared" ca="1" si="547"/>
        <v>0</v>
      </c>
      <c r="AR152" s="459">
        <f t="shared" ca="1" si="547"/>
        <v>0</v>
      </c>
      <c r="AS152" s="459">
        <f t="shared" ca="1" si="547"/>
        <v>0</v>
      </c>
      <c r="AT152" s="459">
        <f t="shared" ca="1" si="547"/>
        <v>0</v>
      </c>
      <c r="AU152" s="459">
        <f t="shared" ca="1" si="547"/>
        <v>0</v>
      </c>
      <c r="AV152" s="459">
        <f t="shared" ca="1" si="547"/>
        <v>0</v>
      </c>
      <c r="AW152" s="459">
        <f t="shared" ca="1" si="547"/>
        <v>0</v>
      </c>
      <c r="AX152" s="459">
        <f t="shared" ca="1" si="547"/>
        <v>0</v>
      </c>
      <c r="AY152" s="459">
        <f t="shared" ca="1" si="547"/>
        <v>0</v>
      </c>
      <c r="AZ152" s="459">
        <f t="shared" ca="1" si="547"/>
        <v>0</v>
      </c>
      <c r="BA152" s="459">
        <f t="shared" ca="1" si="547"/>
        <v>0</v>
      </c>
      <c r="BB152" s="459">
        <f t="shared" ca="1" si="547"/>
        <v>0</v>
      </c>
      <c r="BC152" s="459">
        <f t="shared" ca="1" si="547"/>
        <v>0</v>
      </c>
      <c r="BD152" s="459">
        <f t="shared" ca="1" si="547"/>
        <v>0</v>
      </c>
      <c r="BE152" s="459">
        <f t="shared" ca="1" si="547"/>
        <v>0</v>
      </c>
      <c r="BF152" s="459">
        <f t="shared" ca="1" si="547"/>
        <v>0</v>
      </c>
      <c r="BG152" s="459">
        <f t="shared" ca="1" si="547"/>
        <v>0</v>
      </c>
      <c r="BH152" s="459">
        <f t="shared" ca="1" si="547"/>
        <v>0</v>
      </c>
      <c r="BI152" s="459">
        <f t="shared" ca="1" si="547"/>
        <v>0</v>
      </c>
      <c r="BJ152" s="459">
        <f t="shared" ca="1" si="547"/>
        <v>0</v>
      </c>
      <c r="BK152" s="459">
        <f t="shared" ca="1" si="547"/>
        <v>0</v>
      </c>
      <c r="BL152" s="459">
        <f t="shared" ca="1" si="547"/>
        <v>0</v>
      </c>
      <c r="BM152" s="459">
        <f t="shared" ca="1" si="547"/>
        <v>0</v>
      </c>
      <c r="BN152" s="459">
        <f t="shared" ca="1" si="547"/>
        <v>0</v>
      </c>
      <c r="BO152" s="459">
        <f t="shared" ca="1" si="547"/>
        <v>0</v>
      </c>
      <c r="BP152" s="459"/>
      <c r="BQ152" s="459"/>
      <c r="BR152" s="459"/>
      <c r="BS152" s="459"/>
      <c r="BT152" s="459"/>
      <c r="BU152" s="459"/>
      <c r="BV152" s="459"/>
      <c r="BW152" s="459"/>
      <c r="BX152" s="459"/>
      <c r="BY152" s="459"/>
      <c r="BZ152" s="459"/>
      <c r="CA152" s="459"/>
      <c r="CB152" s="459"/>
      <c r="CC152" s="459"/>
      <c r="CD152" s="459"/>
      <c r="CE152" s="459"/>
      <c r="CF152" s="459"/>
      <c r="CG152" s="459"/>
      <c r="CH152" s="459"/>
      <c r="CI152" s="459"/>
      <c r="CJ152" s="459"/>
      <c r="CK152" s="459"/>
      <c r="CL152" s="459"/>
      <c r="CM152" s="459"/>
      <c r="CN152" s="459"/>
      <c r="CO152" s="459"/>
      <c r="CP152" s="459"/>
      <c r="CQ152" s="459"/>
      <c r="CR152" s="459"/>
      <c r="CS152" s="459"/>
      <c r="CT152" s="459"/>
      <c r="CU152" s="459"/>
      <c r="CV152" s="459"/>
      <c r="CW152" s="459"/>
      <c r="CX152" s="459"/>
      <c r="CY152" s="459"/>
      <c r="CZ152" s="459"/>
      <c r="DA152" s="459"/>
      <c r="DB152" s="459"/>
      <c r="DC152" s="459"/>
      <c r="DD152" s="459"/>
      <c r="DE152" s="459"/>
      <c r="DF152" s="459"/>
      <c r="DG152" s="459"/>
      <c r="DH152" s="459"/>
      <c r="DI152" s="459"/>
      <c r="DJ152" s="459"/>
      <c r="DK152" s="459"/>
      <c r="DL152" s="459"/>
      <c r="DM152" s="459"/>
      <c r="DN152" s="459"/>
      <c r="DO152" s="459"/>
      <c r="DP152" s="459"/>
      <c r="DQ152" s="459"/>
      <c r="DR152" s="459"/>
      <c r="DS152" s="459"/>
      <c r="DT152" s="459"/>
      <c r="DU152" s="459"/>
      <c r="DV152" s="459"/>
      <c r="DW152" s="459"/>
      <c r="DX152" s="510"/>
      <c r="DY152" s="510"/>
      <c r="DZ152" s="510"/>
      <c r="EA152" s="510"/>
      <c r="EB152" s="510"/>
      <c r="EC152" s="510"/>
      <c r="ED152" s="510"/>
      <c r="EE152" s="510"/>
      <c r="EF152" s="510"/>
    </row>
    <row r="153" spans="1:143">
      <c r="A153" s="874" t="str">
        <f>A142</f>
        <v>End</v>
      </c>
      <c r="B153" s="704"/>
      <c r="C153" s="704"/>
      <c r="D153" s="396"/>
      <c r="E153" s="396"/>
      <c r="F153" s="611"/>
      <c r="G153" s="459">
        <f ca="1">SUM(G147:G148,G152)-G151</f>
        <v>0</v>
      </c>
      <c r="H153" s="459">
        <f ca="1">SUM(H147:H148,H152)-H151</f>
        <v>0</v>
      </c>
      <c r="I153" s="459">
        <f t="shared" ref="I153:BO153" ca="1" si="548">SUM(I147:I148,I152)-I151</f>
        <v>0</v>
      </c>
      <c r="J153" s="459">
        <f t="shared" ca="1" si="548"/>
        <v>0</v>
      </c>
      <c r="K153" s="459">
        <f t="shared" ca="1" si="548"/>
        <v>0</v>
      </c>
      <c r="L153" s="459">
        <f t="shared" ca="1" si="548"/>
        <v>0</v>
      </c>
      <c r="M153" s="459">
        <f t="shared" ca="1" si="548"/>
        <v>0</v>
      </c>
      <c r="N153" s="459">
        <f t="shared" ca="1" si="548"/>
        <v>0</v>
      </c>
      <c r="O153" s="459">
        <f t="shared" ca="1" si="548"/>
        <v>0</v>
      </c>
      <c r="P153" s="459">
        <f t="shared" ca="1" si="548"/>
        <v>0</v>
      </c>
      <c r="Q153" s="459">
        <f t="shared" ca="1" si="548"/>
        <v>0</v>
      </c>
      <c r="R153" s="459">
        <f t="shared" ca="1" si="548"/>
        <v>0</v>
      </c>
      <c r="S153" s="459">
        <f t="shared" ca="1" si="548"/>
        <v>0</v>
      </c>
      <c r="T153" s="459">
        <f t="shared" ca="1" si="548"/>
        <v>0</v>
      </c>
      <c r="U153" s="459">
        <f t="shared" ca="1" si="548"/>
        <v>0</v>
      </c>
      <c r="V153" s="459">
        <f t="shared" ca="1" si="548"/>
        <v>0</v>
      </c>
      <c r="W153" s="459">
        <f t="shared" ca="1" si="548"/>
        <v>0</v>
      </c>
      <c r="X153" s="459">
        <f t="shared" ca="1" si="548"/>
        <v>0</v>
      </c>
      <c r="Y153" s="459">
        <f t="shared" ca="1" si="548"/>
        <v>0</v>
      </c>
      <c r="Z153" s="459">
        <f t="shared" ca="1" si="548"/>
        <v>0</v>
      </c>
      <c r="AA153" s="459">
        <f t="shared" ca="1" si="548"/>
        <v>0</v>
      </c>
      <c r="AB153" s="459">
        <f t="shared" ca="1" si="548"/>
        <v>0</v>
      </c>
      <c r="AC153" s="459">
        <f t="shared" ca="1" si="548"/>
        <v>0</v>
      </c>
      <c r="AD153" s="459">
        <f t="shared" ca="1" si="548"/>
        <v>0</v>
      </c>
      <c r="AE153" s="459">
        <f t="shared" ca="1" si="548"/>
        <v>0</v>
      </c>
      <c r="AF153" s="459">
        <f t="shared" ca="1" si="548"/>
        <v>0</v>
      </c>
      <c r="AG153" s="459">
        <f t="shared" ca="1" si="548"/>
        <v>0</v>
      </c>
      <c r="AH153" s="459">
        <f t="shared" ca="1" si="548"/>
        <v>0</v>
      </c>
      <c r="AI153" s="459">
        <f t="shared" ca="1" si="548"/>
        <v>0</v>
      </c>
      <c r="AJ153" s="459">
        <f t="shared" ca="1" si="548"/>
        <v>0</v>
      </c>
      <c r="AK153" s="459">
        <f t="shared" ca="1" si="548"/>
        <v>0</v>
      </c>
      <c r="AL153" s="459">
        <f t="shared" ca="1" si="548"/>
        <v>0</v>
      </c>
      <c r="AM153" s="459">
        <f t="shared" ca="1" si="548"/>
        <v>0</v>
      </c>
      <c r="AN153" s="459">
        <f t="shared" ca="1" si="548"/>
        <v>0</v>
      </c>
      <c r="AO153" s="459">
        <f t="shared" ca="1" si="548"/>
        <v>0</v>
      </c>
      <c r="AP153" s="459">
        <f t="shared" ca="1" si="548"/>
        <v>0</v>
      </c>
      <c r="AQ153" s="459">
        <f t="shared" ca="1" si="548"/>
        <v>0</v>
      </c>
      <c r="AR153" s="459">
        <f t="shared" ca="1" si="548"/>
        <v>0</v>
      </c>
      <c r="AS153" s="459">
        <f t="shared" ca="1" si="548"/>
        <v>0</v>
      </c>
      <c r="AT153" s="459">
        <f t="shared" ca="1" si="548"/>
        <v>0</v>
      </c>
      <c r="AU153" s="459">
        <f t="shared" ca="1" si="548"/>
        <v>0</v>
      </c>
      <c r="AV153" s="459">
        <f t="shared" ca="1" si="548"/>
        <v>0</v>
      </c>
      <c r="AW153" s="459">
        <f t="shared" ca="1" si="548"/>
        <v>0</v>
      </c>
      <c r="AX153" s="459">
        <f t="shared" ca="1" si="548"/>
        <v>0</v>
      </c>
      <c r="AY153" s="459">
        <f t="shared" ca="1" si="548"/>
        <v>0</v>
      </c>
      <c r="AZ153" s="459">
        <f t="shared" ca="1" si="548"/>
        <v>0</v>
      </c>
      <c r="BA153" s="459">
        <f t="shared" ca="1" si="548"/>
        <v>0</v>
      </c>
      <c r="BB153" s="459">
        <f t="shared" ca="1" si="548"/>
        <v>0</v>
      </c>
      <c r="BC153" s="459">
        <f t="shared" ca="1" si="548"/>
        <v>0</v>
      </c>
      <c r="BD153" s="459">
        <f t="shared" ca="1" si="548"/>
        <v>0</v>
      </c>
      <c r="BE153" s="459">
        <f t="shared" ca="1" si="548"/>
        <v>0</v>
      </c>
      <c r="BF153" s="459">
        <f t="shared" ca="1" si="548"/>
        <v>0</v>
      </c>
      <c r="BG153" s="459">
        <f t="shared" ca="1" si="548"/>
        <v>0</v>
      </c>
      <c r="BH153" s="459">
        <f t="shared" ca="1" si="548"/>
        <v>0</v>
      </c>
      <c r="BI153" s="459">
        <f t="shared" ca="1" si="548"/>
        <v>0</v>
      </c>
      <c r="BJ153" s="459">
        <f t="shared" ca="1" si="548"/>
        <v>0</v>
      </c>
      <c r="BK153" s="459">
        <f t="shared" ca="1" si="548"/>
        <v>0</v>
      </c>
      <c r="BL153" s="459">
        <f t="shared" ca="1" si="548"/>
        <v>0</v>
      </c>
      <c r="BM153" s="459">
        <f t="shared" ca="1" si="548"/>
        <v>0</v>
      </c>
      <c r="BN153" s="459">
        <f t="shared" ca="1" si="548"/>
        <v>0</v>
      </c>
      <c r="BO153" s="459">
        <f t="shared" ca="1" si="548"/>
        <v>0</v>
      </c>
      <c r="BP153" s="459"/>
      <c r="BQ153" s="459"/>
      <c r="BR153" s="459"/>
      <c r="BS153" s="459"/>
      <c r="BT153" s="459"/>
      <c r="BU153" s="459"/>
      <c r="BV153" s="459"/>
      <c r="BW153" s="459"/>
      <c r="BX153" s="459"/>
      <c r="BY153" s="459"/>
      <c r="BZ153" s="459"/>
      <c r="CA153" s="459"/>
      <c r="CB153" s="459"/>
      <c r="CC153" s="459"/>
      <c r="CD153" s="459"/>
      <c r="CE153" s="459"/>
      <c r="CF153" s="459"/>
      <c r="CG153" s="459"/>
      <c r="CH153" s="459"/>
      <c r="CI153" s="459"/>
      <c r="CJ153" s="459"/>
      <c r="CK153" s="459"/>
      <c r="CL153" s="459"/>
      <c r="CM153" s="459"/>
      <c r="CN153" s="459"/>
      <c r="CO153" s="459"/>
      <c r="CP153" s="459"/>
      <c r="CQ153" s="459"/>
      <c r="CR153" s="459"/>
      <c r="CS153" s="459"/>
      <c r="CT153" s="459"/>
      <c r="CU153" s="459"/>
      <c r="CV153" s="459"/>
      <c r="CW153" s="459"/>
      <c r="CX153" s="459"/>
      <c r="CY153" s="459"/>
      <c r="CZ153" s="459"/>
      <c r="DA153" s="459"/>
      <c r="DB153" s="459"/>
      <c r="DC153" s="459"/>
      <c r="DD153" s="459"/>
      <c r="DE153" s="459"/>
      <c r="DF153" s="459"/>
      <c r="DG153" s="459"/>
      <c r="DH153" s="459"/>
      <c r="DI153" s="459"/>
      <c r="DJ153" s="459"/>
      <c r="DK153" s="459"/>
      <c r="DL153" s="459"/>
      <c r="DM153" s="459"/>
      <c r="DN153" s="459"/>
      <c r="DO153" s="459"/>
      <c r="DP153" s="459"/>
      <c r="DQ153" s="459"/>
      <c r="DR153" s="459"/>
      <c r="DS153" s="459"/>
      <c r="DT153" s="459"/>
      <c r="DU153" s="459"/>
      <c r="DV153" s="459"/>
      <c r="DW153" s="459"/>
      <c r="DX153" s="510"/>
      <c r="DY153" s="510"/>
      <c r="DZ153" s="510"/>
      <c r="EA153" s="510"/>
      <c r="EB153" s="510"/>
      <c r="EC153" s="510"/>
      <c r="ED153" s="510"/>
      <c r="EE153" s="510"/>
      <c r="EF153" s="510"/>
    </row>
    <row r="154" spans="1:143">
      <c r="A154" s="344" t="str">
        <f>A145</f>
        <v>Investor 1</v>
      </c>
      <c r="B154" s="708"/>
      <c r="C154" s="708"/>
      <c r="D154" s="396"/>
      <c r="E154" s="396"/>
      <c r="F154" s="323"/>
      <c r="G154" s="513">
        <f ca="1">SUM(G149:G151)</f>
        <v>0</v>
      </c>
      <c r="H154" s="513">
        <f t="shared" ref="H154" ca="1" si="549">SUM(H149:H151)</f>
        <v>0</v>
      </c>
      <c r="I154" s="513">
        <f t="shared" ref="I154:BO154" ca="1" si="550">SUM(I149:I151)</f>
        <v>0</v>
      </c>
      <c r="J154" s="513">
        <f t="shared" ca="1" si="550"/>
        <v>0</v>
      </c>
      <c r="K154" s="513">
        <f t="shared" ca="1" si="550"/>
        <v>0</v>
      </c>
      <c r="L154" s="513">
        <f t="shared" ca="1" si="550"/>
        <v>0</v>
      </c>
      <c r="M154" s="513">
        <f t="shared" ca="1" si="550"/>
        <v>0</v>
      </c>
      <c r="N154" s="513">
        <f t="shared" ca="1" si="550"/>
        <v>0</v>
      </c>
      <c r="O154" s="513">
        <f t="shared" ca="1" si="550"/>
        <v>0</v>
      </c>
      <c r="P154" s="513">
        <f t="shared" ca="1" si="550"/>
        <v>0</v>
      </c>
      <c r="Q154" s="513">
        <f t="shared" ca="1" si="550"/>
        <v>0</v>
      </c>
      <c r="R154" s="513">
        <f t="shared" ca="1" si="550"/>
        <v>0</v>
      </c>
      <c r="S154" s="513">
        <f t="shared" ca="1" si="550"/>
        <v>0</v>
      </c>
      <c r="T154" s="513">
        <f t="shared" ca="1" si="550"/>
        <v>0</v>
      </c>
      <c r="U154" s="513">
        <f t="shared" ca="1" si="550"/>
        <v>0</v>
      </c>
      <c r="V154" s="513">
        <f t="shared" ca="1" si="550"/>
        <v>0</v>
      </c>
      <c r="W154" s="513">
        <f t="shared" ca="1" si="550"/>
        <v>0</v>
      </c>
      <c r="X154" s="513">
        <f t="shared" ca="1" si="550"/>
        <v>0</v>
      </c>
      <c r="Y154" s="513">
        <f t="shared" ca="1" si="550"/>
        <v>0</v>
      </c>
      <c r="Z154" s="513">
        <f t="shared" ca="1" si="550"/>
        <v>0</v>
      </c>
      <c r="AA154" s="513">
        <f t="shared" ca="1" si="550"/>
        <v>0</v>
      </c>
      <c r="AB154" s="513">
        <f t="shared" ca="1" si="550"/>
        <v>0</v>
      </c>
      <c r="AC154" s="513">
        <f t="shared" ca="1" si="550"/>
        <v>0</v>
      </c>
      <c r="AD154" s="513">
        <f t="shared" ca="1" si="550"/>
        <v>0</v>
      </c>
      <c r="AE154" s="513">
        <f t="shared" ca="1" si="550"/>
        <v>0</v>
      </c>
      <c r="AF154" s="513">
        <f t="shared" ca="1" si="550"/>
        <v>0</v>
      </c>
      <c r="AG154" s="513">
        <f t="shared" ca="1" si="550"/>
        <v>0</v>
      </c>
      <c r="AH154" s="513">
        <f t="shared" ca="1" si="550"/>
        <v>0</v>
      </c>
      <c r="AI154" s="513">
        <f t="shared" ca="1" si="550"/>
        <v>0</v>
      </c>
      <c r="AJ154" s="513">
        <f t="shared" ca="1" si="550"/>
        <v>0</v>
      </c>
      <c r="AK154" s="513">
        <f t="shared" ca="1" si="550"/>
        <v>0</v>
      </c>
      <c r="AL154" s="513">
        <f t="shared" ca="1" si="550"/>
        <v>0</v>
      </c>
      <c r="AM154" s="513">
        <f t="shared" ca="1" si="550"/>
        <v>0</v>
      </c>
      <c r="AN154" s="513">
        <f t="shared" ca="1" si="550"/>
        <v>0</v>
      </c>
      <c r="AO154" s="513">
        <f t="shared" ca="1" si="550"/>
        <v>0</v>
      </c>
      <c r="AP154" s="513">
        <f t="shared" ca="1" si="550"/>
        <v>0</v>
      </c>
      <c r="AQ154" s="513">
        <f t="shared" ca="1" si="550"/>
        <v>0</v>
      </c>
      <c r="AR154" s="513">
        <f t="shared" ca="1" si="550"/>
        <v>0</v>
      </c>
      <c r="AS154" s="513">
        <f t="shared" ca="1" si="550"/>
        <v>0</v>
      </c>
      <c r="AT154" s="513">
        <f t="shared" ca="1" si="550"/>
        <v>0</v>
      </c>
      <c r="AU154" s="513">
        <f t="shared" ca="1" si="550"/>
        <v>0</v>
      </c>
      <c r="AV154" s="513">
        <f t="shared" ca="1" si="550"/>
        <v>0</v>
      </c>
      <c r="AW154" s="513">
        <f t="shared" ca="1" si="550"/>
        <v>0</v>
      </c>
      <c r="AX154" s="513">
        <f t="shared" ca="1" si="550"/>
        <v>0</v>
      </c>
      <c r="AY154" s="513">
        <f t="shared" ca="1" si="550"/>
        <v>0</v>
      </c>
      <c r="AZ154" s="513">
        <f t="shared" ca="1" si="550"/>
        <v>0</v>
      </c>
      <c r="BA154" s="513">
        <f t="shared" ca="1" si="550"/>
        <v>0</v>
      </c>
      <c r="BB154" s="513">
        <f t="shared" ca="1" si="550"/>
        <v>0</v>
      </c>
      <c r="BC154" s="513">
        <f t="shared" ca="1" si="550"/>
        <v>0</v>
      </c>
      <c r="BD154" s="513">
        <f t="shared" ca="1" si="550"/>
        <v>0</v>
      </c>
      <c r="BE154" s="513">
        <f t="shared" ca="1" si="550"/>
        <v>0</v>
      </c>
      <c r="BF154" s="513">
        <f t="shared" ca="1" si="550"/>
        <v>0</v>
      </c>
      <c r="BG154" s="513">
        <f t="shared" ca="1" si="550"/>
        <v>0</v>
      </c>
      <c r="BH154" s="513">
        <f t="shared" ca="1" si="550"/>
        <v>0</v>
      </c>
      <c r="BI154" s="513">
        <f t="shared" ca="1" si="550"/>
        <v>0</v>
      </c>
      <c r="BJ154" s="513">
        <f t="shared" ca="1" si="550"/>
        <v>0</v>
      </c>
      <c r="BK154" s="513">
        <f t="shared" ca="1" si="550"/>
        <v>0</v>
      </c>
      <c r="BL154" s="513">
        <f t="shared" ca="1" si="550"/>
        <v>0</v>
      </c>
      <c r="BM154" s="513">
        <f t="shared" ca="1" si="550"/>
        <v>0</v>
      </c>
      <c r="BN154" s="513">
        <f t="shared" ca="1" si="550"/>
        <v>0</v>
      </c>
      <c r="BO154" s="513">
        <f t="shared" ca="1" si="550"/>
        <v>0</v>
      </c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0"/>
      <c r="DY154" s="510"/>
      <c r="DZ154" s="510"/>
      <c r="EA154" s="510"/>
      <c r="EB154" s="510"/>
      <c r="EC154" s="510"/>
      <c r="ED154" s="510"/>
      <c r="EE154" s="510"/>
      <c r="EF154" s="510"/>
    </row>
    <row r="155" spans="1:143">
      <c r="D155" s="396"/>
      <c r="E155" s="396"/>
      <c r="F155" s="323"/>
    </row>
    <row r="156" spans="1:143">
      <c r="A156" s="344" t="str">
        <f>Inputs!$A$318</f>
        <v>Investor 2</v>
      </c>
      <c r="B156" s="970">
        <f>Inputs!$F$331</f>
        <v>0.08</v>
      </c>
      <c r="C156" s="970"/>
      <c r="F156" s="323"/>
      <c r="G156" s="518"/>
      <c r="H156" s="518"/>
      <c r="I156" s="518"/>
      <c r="J156" s="518"/>
      <c r="K156" s="518"/>
      <c r="L156" s="518"/>
      <c r="M156" s="518"/>
      <c r="N156" s="518"/>
      <c r="O156" s="518"/>
      <c r="P156" s="518"/>
      <c r="Q156" s="518"/>
      <c r="R156" s="518"/>
      <c r="S156" s="518"/>
      <c r="T156" s="518"/>
      <c r="U156" s="518"/>
      <c r="V156" s="518"/>
      <c r="W156" s="518"/>
      <c r="X156" s="518"/>
      <c r="Y156" s="518"/>
      <c r="Z156" s="518"/>
      <c r="AA156" s="518"/>
      <c r="AB156" s="518"/>
      <c r="AC156" s="518"/>
      <c r="AD156" s="518"/>
      <c r="AE156" s="518"/>
      <c r="AF156" s="518"/>
      <c r="AG156" s="518"/>
      <c r="AH156" s="518"/>
      <c r="AI156" s="518"/>
      <c r="AJ156" s="518"/>
      <c r="AK156" s="518"/>
      <c r="AL156" s="518"/>
      <c r="AM156" s="518"/>
      <c r="AN156" s="518"/>
      <c r="AO156" s="518"/>
      <c r="AP156" s="518"/>
      <c r="AQ156" s="518"/>
      <c r="AR156" s="518"/>
      <c r="AS156" s="518"/>
      <c r="AT156" s="518"/>
      <c r="AU156" s="518"/>
      <c r="AV156" s="518"/>
      <c r="AW156" s="518"/>
      <c r="AX156" s="518"/>
      <c r="AY156" s="518"/>
      <c r="AZ156" s="518"/>
      <c r="BA156" s="518"/>
      <c r="BB156" s="518"/>
      <c r="BC156" s="518"/>
      <c r="BD156" s="518"/>
      <c r="BE156" s="518"/>
      <c r="BF156" s="518"/>
      <c r="BG156" s="518"/>
      <c r="BH156" s="518"/>
      <c r="BI156" s="518"/>
      <c r="BJ156" s="518"/>
      <c r="BK156" s="518"/>
      <c r="BL156" s="518"/>
      <c r="BM156" s="518"/>
      <c r="BN156" s="518"/>
      <c r="BO156" s="518"/>
      <c r="BP156" s="518"/>
      <c r="BQ156" s="518"/>
      <c r="BR156" s="518"/>
      <c r="BS156" s="518"/>
      <c r="BT156" s="518"/>
      <c r="BU156" s="518"/>
      <c r="BV156" s="518"/>
      <c r="BW156" s="518"/>
      <c r="BX156" s="518"/>
      <c r="BY156" s="518"/>
      <c r="BZ156" s="518"/>
      <c r="CA156" s="518"/>
      <c r="CB156" s="518"/>
      <c r="CC156" s="518"/>
      <c r="CD156" s="518"/>
      <c r="CE156" s="518"/>
      <c r="CF156" s="518"/>
      <c r="CG156" s="518"/>
      <c r="CH156" s="518"/>
      <c r="CI156" s="518"/>
      <c r="CJ156" s="518"/>
      <c r="CK156" s="518"/>
      <c r="CL156" s="518"/>
      <c r="CM156" s="518"/>
      <c r="CN156" s="518"/>
      <c r="CO156" s="518"/>
      <c r="CP156" s="518"/>
      <c r="CQ156" s="518"/>
      <c r="CR156" s="518"/>
      <c r="CS156" s="518"/>
      <c r="CT156" s="518"/>
      <c r="CU156" s="518"/>
      <c r="CV156" s="518"/>
      <c r="CW156" s="518"/>
      <c r="CX156" s="518"/>
      <c r="CY156" s="518"/>
      <c r="CZ156" s="518"/>
      <c r="DA156" s="518"/>
      <c r="DB156" s="518"/>
      <c r="DC156" s="518"/>
      <c r="DD156" s="518"/>
      <c r="DE156" s="518"/>
      <c r="DF156" s="518"/>
      <c r="DG156" s="518"/>
      <c r="DH156" s="518"/>
      <c r="DI156" s="518"/>
      <c r="DJ156" s="518"/>
      <c r="DK156" s="518"/>
      <c r="DL156" s="518"/>
      <c r="DM156" s="518"/>
      <c r="DN156" s="518"/>
      <c r="DO156" s="518"/>
      <c r="DP156" s="518"/>
      <c r="DQ156" s="518"/>
      <c r="DR156" s="518"/>
      <c r="DS156" s="518"/>
      <c r="DT156" s="518"/>
      <c r="DU156" s="518"/>
      <c r="DV156" s="518"/>
      <c r="DW156" s="518"/>
      <c r="DX156" s="510"/>
      <c r="DY156" s="510"/>
      <c r="DZ156" s="510"/>
      <c r="EA156" s="510"/>
      <c r="EB156" s="510"/>
      <c r="EC156" s="510"/>
      <c r="ED156" s="510"/>
      <c r="EE156" s="510"/>
      <c r="EF156" s="510"/>
      <c r="EG156" s="510"/>
      <c r="EH156" s="510"/>
      <c r="EI156" s="510"/>
      <c r="EJ156" s="510"/>
      <c r="EK156" s="510"/>
      <c r="EL156" s="510"/>
      <c r="EM156" s="510"/>
    </row>
    <row r="157" spans="1:143">
      <c r="A157" s="617" t="str">
        <f>A146</f>
        <v>%outstanding principal n-1</v>
      </c>
      <c r="B157" s="704"/>
      <c r="C157" s="704"/>
      <c r="D157" s="966"/>
      <c r="E157" s="624"/>
      <c r="G157" s="370">
        <f t="shared" ref="G157:AL157" ca="1" si="551">IF(G$3=0,G159/G$124,IF(F$129=0,0,F164/F$129))</f>
        <v>0</v>
      </c>
      <c r="H157" s="370">
        <f t="shared" ca="1" si="551"/>
        <v>0</v>
      </c>
      <c r="I157" s="370">
        <f t="shared" ca="1" si="551"/>
        <v>0</v>
      </c>
      <c r="J157" s="370">
        <f t="shared" ca="1" si="551"/>
        <v>0</v>
      </c>
      <c r="K157" s="370">
        <f t="shared" ca="1" si="551"/>
        <v>0</v>
      </c>
      <c r="L157" s="370">
        <f t="shared" ca="1" si="551"/>
        <v>0</v>
      </c>
      <c r="M157" s="370">
        <f t="shared" ca="1" si="551"/>
        <v>0</v>
      </c>
      <c r="N157" s="370">
        <f t="shared" ca="1" si="551"/>
        <v>0</v>
      </c>
      <c r="O157" s="370">
        <f t="shared" ca="1" si="551"/>
        <v>0</v>
      </c>
      <c r="P157" s="370">
        <f t="shared" ca="1" si="551"/>
        <v>0</v>
      </c>
      <c r="Q157" s="370">
        <f t="shared" ca="1" si="551"/>
        <v>0</v>
      </c>
      <c r="R157" s="370">
        <f t="shared" ca="1" si="551"/>
        <v>0</v>
      </c>
      <c r="S157" s="370">
        <f t="shared" ca="1" si="551"/>
        <v>0</v>
      </c>
      <c r="T157" s="370">
        <f t="shared" ca="1" si="551"/>
        <v>0</v>
      </c>
      <c r="U157" s="370">
        <f t="shared" ca="1" si="551"/>
        <v>0</v>
      </c>
      <c r="V157" s="370">
        <f t="shared" ca="1" si="551"/>
        <v>0</v>
      </c>
      <c r="W157" s="370">
        <f t="shared" ca="1" si="551"/>
        <v>0</v>
      </c>
      <c r="X157" s="370">
        <f t="shared" ca="1" si="551"/>
        <v>0</v>
      </c>
      <c r="Y157" s="370">
        <f t="shared" ca="1" si="551"/>
        <v>0</v>
      </c>
      <c r="Z157" s="370">
        <f t="shared" ca="1" si="551"/>
        <v>0</v>
      </c>
      <c r="AA157" s="370">
        <f t="shared" ca="1" si="551"/>
        <v>0</v>
      </c>
      <c r="AB157" s="370">
        <f t="shared" ca="1" si="551"/>
        <v>0</v>
      </c>
      <c r="AC157" s="370">
        <f t="shared" ca="1" si="551"/>
        <v>0</v>
      </c>
      <c r="AD157" s="370">
        <f t="shared" ca="1" si="551"/>
        <v>0</v>
      </c>
      <c r="AE157" s="370">
        <f t="shared" ca="1" si="551"/>
        <v>0</v>
      </c>
      <c r="AF157" s="370">
        <f t="shared" ca="1" si="551"/>
        <v>0</v>
      </c>
      <c r="AG157" s="370">
        <f t="shared" ca="1" si="551"/>
        <v>0</v>
      </c>
      <c r="AH157" s="370">
        <f t="shared" ca="1" si="551"/>
        <v>0</v>
      </c>
      <c r="AI157" s="370">
        <f t="shared" ca="1" si="551"/>
        <v>0</v>
      </c>
      <c r="AJ157" s="370">
        <f t="shared" ca="1" si="551"/>
        <v>0</v>
      </c>
      <c r="AK157" s="370">
        <f t="shared" ca="1" si="551"/>
        <v>0</v>
      </c>
      <c r="AL157" s="370">
        <f t="shared" ca="1" si="551"/>
        <v>0</v>
      </c>
      <c r="AM157" s="370">
        <f t="shared" ref="AM157:BO157" ca="1" si="552">IF(AM$3=0,AM159/AM$124,IF(AL$129=0,0,AL164/AL$129))</f>
        <v>0</v>
      </c>
      <c r="AN157" s="370">
        <f t="shared" ca="1" si="552"/>
        <v>0</v>
      </c>
      <c r="AO157" s="370">
        <f t="shared" ca="1" si="552"/>
        <v>0</v>
      </c>
      <c r="AP157" s="370">
        <f t="shared" ca="1" si="552"/>
        <v>0</v>
      </c>
      <c r="AQ157" s="370">
        <f t="shared" ca="1" si="552"/>
        <v>0</v>
      </c>
      <c r="AR157" s="370">
        <f t="shared" ca="1" si="552"/>
        <v>0</v>
      </c>
      <c r="AS157" s="370">
        <f t="shared" ca="1" si="552"/>
        <v>0</v>
      </c>
      <c r="AT157" s="370">
        <f t="shared" ca="1" si="552"/>
        <v>0</v>
      </c>
      <c r="AU157" s="370">
        <f t="shared" ca="1" si="552"/>
        <v>0</v>
      </c>
      <c r="AV157" s="370">
        <f t="shared" ca="1" si="552"/>
        <v>0</v>
      </c>
      <c r="AW157" s="370">
        <f t="shared" ca="1" si="552"/>
        <v>0</v>
      </c>
      <c r="AX157" s="370">
        <f t="shared" ca="1" si="552"/>
        <v>0</v>
      </c>
      <c r="AY157" s="370">
        <f t="shared" ca="1" si="552"/>
        <v>0</v>
      </c>
      <c r="AZ157" s="370">
        <f t="shared" ca="1" si="552"/>
        <v>0</v>
      </c>
      <c r="BA157" s="370">
        <f t="shared" ca="1" si="552"/>
        <v>0</v>
      </c>
      <c r="BB157" s="370">
        <f t="shared" ca="1" si="552"/>
        <v>0</v>
      </c>
      <c r="BC157" s="370">
        <f t="shared" ca="1" si="552"/>
        <v>0</v>
      </c>
      <c r="BD157" s="370">
        <f t="shared" ca="1" si="552"/>
        <v>0</v>
      </c>
      <c r="BE157" s="370">
        <f t="shared" ca="1" si="552"/>
        <v>0</v>
      </c>
      <c r="BF157" s="370">
        <f t="shared" ca="1" si="552"/>
        <v>0</v>
      </c>
      <c r="BG157" s="370">
        <f t="shared" ca="1" si="552"/>
        <v>0</v>
      </c>
      <c r="BH157" s="370">
        <f t="shared" ca="1" si="552"/>
        <v>0</v>
      </c>
      <c r="BI157" s="370">
        <f t="shared" ca="1" si="552"/>
        <v>0</v>
      </c>
      <c r="BJ157" s="370">
        <f t="shared" ca="1" si="552"/>
        <v>0</v>
      </c>
      <c r="BK157" s="370">
        <f t="shared" ca="1" si="552"/>
        <v>0</v>
      </c>
      <c r="BL157" s="370">
        <f t="shared" ca="1" si="552"/>
        <v>0</v>
      </c>
      <c r="BM157" s="370">
        <f t="shared" ca="1" si="552"/>
        <v>0</v>
      </c>
      <c r="BN157" s="370">
        <f t="shared" ca="1" si="552"/>
        <v>0</v>
      </c>
      <c r="BO157" s="370">
        <f t="shared" ca="1" si="552"/>
        <v>0</v>
      </c>
      <c r="BP157" s="370"/>
      <c r="BQ157" s="370"/>
      <c r="BR157" s="370"/>
      <c r="BS157" s="370"/>
      <c r="BT157" s="370"/>
      <c r="BU157" s="370"/>
      <c r="BV157" s="370"/>
      <c r="BW157" s="370"/>
      <c r="BX157" s="370"/>
      <c r="BY157" s="370"/>
      <c r="BZ157" s="370"/>
      <c r="CA157" s="370"/>
      <c r="CB157" s="370"/>
      <c r="CC157" s="370"/>
      <c r="CD157" s="370"/>
      <c r="CE157" s="370"/>
      <c r="CF157" s="370"/>
      <c r="CG157" s="370"/>
      <c r="CH157" s="370"/>
      <c r="CI157" s="370"/>
      <c r="CJ157" s="370"/>
      <c r="CK157" s="370"/>
      <c r="CL157" s="370"/>
      <c r="CM157" s="370"/>
      <c r="CN157" s="370"/>
      <c r="CO157" s="370"/>
      <c r="CP157" s="370"/>
      <c r="CQ157" s="370"/>
      <c r="CR157" s="370"/>
      <c r="CS157" s="370"/>
      <c r="CT157" s="370"/>
      <c r="CU157" s="370"/>
      <c r="CV157" s="370"/>
      <c r="CW157" s="370"/>
      <c r="CX157" s="370"/>
      <c r="CY157" s="370"/>
      <c r="CZ157" s="370"/>
      <c r="DA157" s="370"/>
      <c r="DB157" s="370"/>
      <c r="DC157" s="370"/>
      <c r="DD157" s="370"/>
      <c r="DE157" s="370"/>
      <c r="DF157" s="370"/>
      <c r="DG157" s="370"/>
      <c r="DH157" s="370"/>
      <c r="DI157" s="370"/>
      <c r="DJ157" s="370"/>
      <c r="DK157" s="370"/>
      <c r="DL157" s="370"/>
      <c r="DM157" s="370"/>
      <c r="DN157" s="370"/>
      <c r="DO157" s="370"/>
      <c r="DP157" s="370"/>
      <c r="DQ157" s="370"/>
      <c r="DR157" s="370"/>
      <c r="DS157" s="370"/>
      <c r="DT157" s="370"/>
      <c r="DU157" s="370"/>
      <c r="DV157" s="370"/>
      <c r="DW157" s="370"/>
      <c r="DX157" s="510"/>
      <c r="DY157" s="510"/>
      <c r="DZ157" s="510"/>
      <c r="EA157" s="510"/>
      <c r="EB157" s="510"/>
      <c r="EC157" s="510"/>
      <c r="ED157" s="510"/>
      <c r="EE157" s="510"/>
      <c r="EF157" s="510"/>
      <c r="EG157" s="510"/>
      <c r="EH157" s="510"/>
      <c r="EI157" s="510"/>
      <c r="EJ157" s="510"/>
      <c r="EK157" s="510"/>
      <c r="EL157" s="510"/>
      <c r="EM157" s="510"/>
    </row>
    <row r="158" spans="1:143">
      <c r="A158" s="874" t="str">
        <f>A147</f>
        <v>Beginning</v>
      </c>
      <c r="B158" s="704"/>
      <c r="C158" s="704"/>
      <c r="D158" s="396"/>
      <c r="E158" s="396"/>
      <c r="G158" s="459">
        <f t="shared" ref="G158:H158" si="553">F164</f>
        <v>0</v>
      </c>
      <c r="H158" s="459">
        <f t="shared" ca="1" si="553"/>
        <v>0</v>
      </c>
      <c r="I158" s="459">
        <f t="shared" ref="I158" ca="1" si="554">H164</f>
        <v>0</v>
      </c>
      <c r="J158" s="459">
        <f t="shared" ref="J158" ca="1" si="555">I164</f>
        <v>0</v>
      </c>
      <c r="K158" s="459">
        <f t="shared" ref="K158" ca="1" si="556">J164</f>
        <v>0</v>
      </c>
      <c r="L158" s="459">
        <f t="shared" ref="L158" ca="1" si="557">K164</f>
        <v>0</v>
      </c>
      <c r="M158" s="459">
        <f t="shared" ref="M158" ca="1" si="558">L164</f>
        <v>0</v>
      </c>
      <c r="N158" s="459">
        <f t="shared" ref="N158" ca="1" si="559">M164</f>
        <v>0</v>
      </c>
      <c r="O158" s="459">
        <f t="shared" ref="O158" ca="1" si="560">N164</f>
        <v>0</v>
      </c>
      <c r="P158" s="459">
        <f t="shared" ref="P158" ca="1" si="561">O164</f>
        <v>0</v>
      </c>
      <c r="Q158" s="459">
        <f t="shared" ref="Q158" ca="1" si="562">P164</f>
        <v>0</v>
      </c>
      <c r="R158" s="459">
        <f t="shared" ref="R158" ca="1" si="563">Q164</f>
        <v>0</v>
      </c>
      <c r="S158" s="459">
        <f t="shared" ref="S158" ca="1" si="564">R164</f>
        <v>0</v>
      </c>
      <c r="T158" s="459">
        <f t="shared" ref="T158" ca="1" si="565">S164</f>
        <v>0</v>
      </c>
      <c r="U158" s="459">
        <f t="shared" ref="U158" ca="1" si="566">T164</f>
        <v>0</v>
      </c>
      <c r="V158" s="459">
        <f t="shared" ref="V158" ca="1" si="567">U164</f>
        <v>0</v>
      </c>
      <c r="W158" s="459">
        <f t="shared" ref="W158" ca="1" si="568">V164</f>
        <v>0</v>
      </c>
      <c r="X158" s="459">
        <f t="shared" ref="X158" ca="1" si="569">W164</f>
        <v>0</v>
      </c>
      <c r="Y158" s="459">
        <f t="shared" ref="Y158" ca="1" si="570">X164</f>
        <v>0</v>
      </c>
      <c r="Z158" s="459">
        <f t="shared" ref="Z158" ca="1" si="571">Y164</f>
        <v>0</v>
      </c>
      <c r="AA158" s="459">
        <f t="shared" ref="AA158" ca="1" si="572">Z164</f>
        <v>0</v>
      </c>
      <c r="AB158" s="459">
        <f t="shared" ref="AB158" ca="1" si="573">AA164</f>
        <v>0</v>
      </c>
      <c r="AC158" s="459">
        <f t="shared" ref="AC158" ca="1" si="574">AB164</f>
        <v>0</v>
      </c>
      <c r="AD158" s="459">
        <f t="shared" ref="AD158" ca="1" si="575">AC164</f>
        <v>0</v>
      </c>
      <c r="AE158" s="459">
        <f t="shared" ref="AE158" ca="1" si="576">AD164</f>
        <v>0</v>
      </c>
      <c r="AF158" s="459">
        <f t="shared" ref="AF158" ca="1" si="577">AE164</f>
        <v>0</v>
      </c>
      <c r="AG158" s="459">
        <f t="shared" ref="AG158" ca="1" si="578">AF164</f>
        <v>0</v>
      </c>
      <c r="AH158" s="459">
        <f t="shared" ref="AH158" ca="1" si="579">AG164</f>
        <v>0</v>
      </c>
      <c r="AI158" s="459">
        <f t="shared" ref="AI158" ca="1" si="580">AH164</f>
        <v>0</v>
      </c>
      <c r="AJ158" s="459">
        <f t="shared" ref="AJ158" ca="1" si="581">AI164</f>
        <v>0</v>
      </c>
      <c r="AK158" s="459">
        <f t="shared" ref="AK158" ca="1" si="582">AJ164</f>
        <v>0</v>
      </c>
      <c r="AL158" s="459">
        <f t="shared" ref="AL158" ca="1" si="583">AK164</f>
        <v>0</v>
      </c>
      <c r="AM158" s="459">
        <f t="shared" ref="AM158" ca="1" si="584">AL164</f>
        <v>0</v>
      </c>
      <c r="AN158" s="459">
        <f t="shared" ref="AN158" ca="1" si="585">AM164</f>
        <v>0</v>
      </c>
      <c r="AO158" s="459">
        <f t="shared" ref="AO158" ca="1" si="586">AN164</f>
        <v>0</v>
      </c>
      <c r="AP158" s="459">
        <f t="shared" ref="AP158" ca="1" si="587">AO164</f>
        <v>0</v>
      </c>
      <c r="AQ158" s="459">
        <f t="shared" ref="AQ158" ca="1" si="588">AP164</f>
        <v>0</v>
      </c>
      <c r="AR158" s="459">
        <f t="shared" ref="AR158" ca="1" si="589">AQ164</f>
        <v>0</v>
      </c>
      <c r="AS158" s="459">
        <f t="shared" ref="AS158" ca="1" si="590">AR164</f>
        <v>0</v>
      </c>
      <c r="AT158" s="459">
        <f t="shared" ref="AT158" ca="1" si="591">AS164</f>
        <v>0</v>
      </c>
      <c r="AU158" s="459">
        <f t="shared" ref="AU158" ca="1" si="592">AT164</f>
        <v>0</v>
      </c>
      <c r="AV158" s="459">
        <f t="shared" ref="AV158" ca="1" si="593">AU164</f>
        <v>0</v>
      </c>
      <c r="AW158" s="459">
        <f t="shared" ref="AW158" ca="1" si="594">AV164</f>
        <v>0</v>
      </c>
      <c r="AX158" s="459">
        <f t="shared" ref="AX158" ca="1" si="595">AW164</f>
        <v>0</v>
      </c>
      <c r="AY158" s="459">
        <f t="shared" ref="AY158" ca="1" si="596">AX164</f>
        <v>0</v>
      </c>
      <c r="AZ158" s="459">
        <f t="shared" ref="AZ158" ca="1" si="597">AY164</f>
        <v>0</v>
      </c>
      <c r="BA158" s="459">
        <f t="shared" ref="BA158" ca="1" si="598">AZ164</f>
        <v>0</v>
      </c>
      <c r="BB158" s="459">
        <f t="shared" ref="BB158" ca="1" si="599">BA164</f>
        <v>0</v>
      </c>
      <c r="BC158" s="459">
        <f t="shared" ref="BC158" ca="1" si="600">BB164</f>
        <v>0</v>
      </c>
      <c r="BD158" s="459">
        <f t="shared" ref="BD158" ca="1" si="601">BC164</f>
        <v>0</v>
      </c>
      <c r="BE158" s="459">
        <f t="shared" ref="BE158" ca="1" si="602">BD164</f>
        <v>0</v>
      </c>
      <c r="BF158" s="459">
        <f t="shared" ref="BF158" ca="1" si="603">BE164</f>
        <v>0</v>
      </c>
      <c r="BG158" s="459">
        <f t="shared" ref="BG158" ca="1" si="604">BF164</f>
        <v>0</v>
      </c>
      <c r="BH158" s="459">
        <f t="shared" ref="BH158" ca="1" si="605">BG164</f>
        <v>0</v>
      </c>
      <c r="BI158" s="459">
        <f t="shared" ref="BI158" ca="1" si="606">BH164</f>
        <v>0</v>
      </c>
      <c r="BJ158" s="459">
        <f t="shared" ref="BJ158" ca="1" si="607">BI164</f>
        <v>0</v>
      </c>
      <c r="BK158" s="459">
        <f t="shared" ref="BK158" ca="1" si="608">BJ164</f>
        <v>0</v>
      </c>
      <c r="BL158" s="459">
        <f t="shared" ref="BL158" ca="1" si="609">BK164</f>
        <v>0</v>
      </c>
      <c r="BM158" s="459">
        <f t="shared" ref="BM158" ca="1" si="610">BL164</f>
        <v>0</v>
      </c>
      <c r="BN158" s="459">
        <f t="shared" ref="BN158" ca="1" si="611">BM164</f>
        <v>0</v>
      </c>
      <c r="BO158" s="459">
        <f t="shared" ref="BO158" ca="1" si="612">BN164</f>
        <v>0</v>
      </c>
      <c r="BP158" s="459"/>
      <c r="BQ158" s="459"/>
      <c r="BR158" s="459"/>
      <c r="BS158" s="459"/>
      <c r="BT158" s="459"/>
      <c r="BU158" s="459"/>
      <c r="BV158" s="459"/>
      <c r="BW158" s="459"/>
      <c r="BX158" s="459"/>
      <c r="BY158" s="459"/>
      <c r="BZ158" s="459"/>
      <c r="CA158" s="459"/>
      <c r="CB158" s="459"/>
      <c r="CC158" s="459"/>
      <c r="CD158" s="459"/>
      <c r="CE158" s="459"/>
      <c r="CF158" s="459"/>
      <c r="CG158" s="459"/>
      <c r="CH158" s="459"/>
      <c r="CI158" s="459"/>
      <c r="CJ158" s="459"/>
      <c r="CK158" s="459"/>
      <c r="CL158" s="459"/>
      <c r="CM158" s="459"/>
      <c r="CN158" s="459"/>
      <c r="CO158" s="459"/>
      <c r="CP158" s="459"/>
      <c r="CQ158" s="459"/>
      <c r="CR158" s="459"/>
      <c r="CS158" s="459"/>
      <c r="CT158" s="459"/>
      <c r="CU158" s="459"/>
      <c r="CV158" s="459"/>
      <c r="CW158" s="459"/>
      <c r="CX158" s="459"/>
      <c r="CY158" s="459"/>
      <c r="CZ158" s="459"/>
      <c r="DA158" s="459"/>
      <c r="DB158" s="459"/>
      <c r="DC158" s="459"/>
      <c r="DD158" s="459"/>
      <c r="DE158" s="459"/>
      <c r="DF158" s="459"/>
      <c r="DG158" s="459"/>
      <c r="DH158" s="459"/>
      <c r="DI158" s="459"/>
      <c r="DJ158" s="459"/>
      <c r="DK158" s="459"/>
      <c r="DL158" s="459"/>
      <c r="DM158" s="459"/>
      <c r="DN158" s="459"/>
      <c r="DO158" s="459"/>
      <c r="DP158" s="459"/>
      <c r="DQ158" s="459"/>
      <c r="DR158" s="459"/>
      <c r="DS158" s="459"/>
      <c r="DT158" s="459"/>
      <c r="DU158" s="459"/>
      <c r="DV158" s="459"/>
      <c r="DW158" s="459"/>
      <c r="DX158" s="510"/>
      <c r="DY158" s="510"/>
      <c r="DZ158" s="510"/>
      <c r="EA158" s="510"/>
      <c r="EB158" s="510"/>
      <c r="EC158" s="510"/>
      <c r="ED158" s="510"/>
      <c r="EE158" s="510"/>
      <c r="EF158" s="510"/>
      <c r="EG158" s="510"/>
      <c r="EH158" s="510"/>
      <c r="EI158" s="510"/>
      <c r="EJ158" s="510"/>
      <c r="EK158" s="510"/>
      <c r="EL158" s="510"/>
      <c r="EM158" s="510"/>
    </row>
    <row r="159" spans="1:143">
      <c r="A159" s="881" t="str">
        <f>A148</f>
        <v>Funding</v>
      </c>
      <c r="B159" s="810">
        <f ca="1">Inputs!$D$331</f>
        <v>0</v>
      </c>
      <c r="C159" s="810"/>
      <c r="D159" s="396"/>
      <c r="E159" s="396"/>
      <c r="G159" s="459">
        <f t="shared" ref="G159:BO159" ca="1" si="613">$B159*(G$3=0)</f>
        <v>0</v>
      </c>
      <c r="H159" s="459">
        <f t="shared" ca="1" si="613"/>
        <v>0</v>
      </c>
      <c r="I159" s="459">
        <f t="shared" ca="1" si="613"/>
        <v>0</v>
      </c>
      <c r="J159" s="459">
        <f t="shared" ca="1" si="613"/>
        <v>0</v>
      </c>
      <c r="K159" s="459">
        <f t="shared" ca="1" si="613"/>
        <v>0</v>
      </c>
      <c r="L159" s="459">
        <f t="shared" ca="1" si="613"/>
        <v>0</v>
      </c>
      <c r="M159" s="459">
        <f t="shared" ca="1" si="613"/>
        <v>0</v>
      </c>
      <c r="N159" s="459">
        <f t="shared" ca="1" si="613"/>
        <v>0</v>
      </c>
      <c r="O159" s="459">
        <f t="shared" ca="1" si="613"/>
        <v>0</v>
      </c>
      <c r="P159" s="459">
        <f t="shared" ca="1" si="613"/>
        <v>0</v>
      </c>
      <c r="Q159" s="459">
        <f t="shared" ca="1" si="613"/>
        <v>0</v>
      </c>
      <c r="R159" s="459">
        <f t="shared" ca="1" si="613"/>
        <v>0</v>
      </c>
      <c r="S159" s="459">
        <f t="shared" ca="1" si="613"/>
        <v>0</v>
      </c>
      <c r="T159" s="459">
        <f t="shared" ca="1" si="613"/>
        <v>0</v>
      </c>
      <c r="U159" s="459">
        <f t="shared" ca="1" si="613"/>
        <v>0</v>
      </c>
      <c r="V159" s="459">
        <f t="shared" ca="1" si="613"/>
        <v>0</v>
      </c>
      <c r="W159" s="459">
        <f t="shared" ca="1" si="613"/>
        <v>0</v>
      </c>
      <c r="X159" s="459">
        <f t="shared" ca="1" si="613"/>
        <v>0</v>
      </c>
      <c r="Y159" s="459">
        <f t="shared" ca="1" si="613"/>
        <v>0</v>
      </c>
      <c r="Z159" s="459">
        <f t="shared" ca="1" si="613"/>
        <v>0</v>
      </c>
      <c r="AA159" s="459">
        <f t="shared" ca="1" si="613"/>
        <v>0</v>
      </c>
      <c r="AB159" s="459">
        <f t="shared" ca="1" si="613"/>
        <v>0</v>
      </c>
      <c r="AC159" s="459">
        <f t="shared" ca="1" si="613"/>
        <v>0</v>
      </c>
      <c r="AD159" s="459">
        <f t="shared" ca="1" si="613"/>
        <v>0</v>
      </c>
      <c r="AE159" s="459">
        <f t="shared" ca="1" si="613"/>
        <v>0</v>
      </c>
      <c r="AF159" s="459">
        <f t="shared" ca="1" si="613"/>
        <v>0</v>
      </c>
      <c r="AG159" s="459">
        <f t="shared" ca="1" si="613"/>
        <v>0</v>
      </c>
      <c r="AH159" s="459">
        <f t="shared" ca="1" si="613"/>
        <v>0</v>
      </c>
      <c r="AI159" s="459">
        <f t="shared" ca="1" si="613"/>
        <v>0</v>
      </c>
      <c r="AJ159" s="459">
        <f t="shared" ca="1" si="613"/>
        <v>0</v>
      </c>
      <c r="AK159" s="459">
        <f t="shared" ca="1" si="613"/>
        <v>0</v>
      </c>
      <c r="AL159" s="459">
        <f t="shared" ca="1" si="613"/>
        <v>0</v>
      </c>
      <c r="AM159" s="459">
        <f t="shared" ca="1" si="613"/>
        <v>0</v>
      </c>
      <c r="AN159" s="459">
        <f t="shared" ca="1" si="613"/>
        <v>0</v>
      </c>
      <c r="AO159" s="459">
        <f t="shared" ca="1" si="613"/>
        <v>0</v>
      </c>
      <c r="AP159" s="459">
        <f t="shared" ca="1" si="613"/>
        <v>0</v>
      </c>
      <c r="AQ159" s="459">
        <f t="shared" ca="1" si="613"/>
        <v>0</v>
      </c>
      <c r="AR159" s="459">
        <f t="shared" ca="1" si="613"/>
        <v>0</v>
      </c>
      <c r="AS159" s="459">
        <f t="shared" ca="1" si="613"/>
        <v>0</v>
      </c>
      <c r="AT159" s="459">
        <f t="shared" ca="1" si="613"/>
        <v>0</v>
      </c>
      <c r="AU159" s="459">
        <f t="shared" ca="1" si="613"/>
        <v>0</v>
      </c>
      <c r="AV159" s="459">
        <f t="shared" ca="1" si="613"/>
        <v>0</v>
      </c>
      <c r="AW159" s="459">
        <f t="shared" ca="1" si="613"/>
        <v>0</v>
      </c>
      <c r="AX159" s="459">
        <f t="shared" ca="1" si="613"/>
        <v>0</v>
      </c>
      <c r="AY159" s="459">
        <f t="shared" ca="1" si="613"/>
        <v>0</v>
      </c>
      <c r="AZ159" s="459">
        <f t="shared" ca="1" si="613"/>
        <v>0</v>
      </c>
      <c r="BA159" s="459">
        <f t="shared" ca="1" si="613"/>
        <v>0</v>
      </c>
      <c r="BB159" s="459">
        <f t="shared" ca="1" si="613"/>
        <v>0</v>
      </c>
      <c r="BC159" s="459">
        <f t="shared" ca="1" si="613"/>
        <v>0</v>
      </c>
      <c r="BD159" s="459">
        <f t="shared" ca="1" si="613"/>
        <v>0</v>
      </c>
      <c r="BE159" s="459">
        <f t="shared" ca="1" si="613"/>
        <v>0</v>
      </c>
      <c r="BF159" s="459">
        <f t="shared" ca="1" si="613"/>
        <v>0</v>
      </c>
      <c r="BG159" s="459">
        <f t="shared" ca="1" si="613"/>
        <v>0</v>
      </c>
      <c r="BH159" s="459">
        <f t="shared" ca="1" si="613"/>
        <v>0</v>
      </c>
      <c r="BI159" s="459">
        <f t="shared" ca="1" si="613"/>
        <v>0</v>
      </c>
      <c r="BJ159" s="459">
        <f t="shared" ca="1" si="613"/>
        <v>0</v>
      </c>
      <c r="BK159" s="459">
        <f t="shared" ca="1" si="613"/>
        <v>0</v>
      </c>
      <c r="BL159" s="459">
        <f t="shared" ca="1" si="613"/>
        <v>0</v>
      </c>
      <c r="BM159" s="459">
        <f t="shared" ca="1" si="613"/>
        <v>0</v>
      </c>
      <c r="BN159" s="459">
        <f t="shared" ca="1" si="613"/>
        <v>0</v>
      </c>
      <c r="BO159" s="459">
        <f t="shared" ca="1" si="613"/>
        <v>0</v>
      </c>
      <c r="BP159" s="459"/>
      <c r="BQ159" s="459"/>
      <c r="BR159" s="459"/>
      <c r="BS159" s="459"/>
      <c r="BT159" s="459"/>
      <c r="BU159" s="459"/>
      <c r="BV159" s="459"/>
      <c r="BW159" s="459"/>
      <c r="BX159" s="459"/>
      <c r="BY159" s="459"/>
      <c r="BZ159" s="459"/>
      <c r="CA159" s="459"/>
      <c r="CB159" s="459"/>
      <c r="CC159" s="459"/>
      <c r="CD159" s="459"/>
      <c r="CE159" s="459"/>
      <c r="CF159" s="459"/>
      <c r="CG159" s="459"/>
      <c r="CH159" s="459"/>
      <c r="CI159" s="459"/>
      <c r="CJ159" s="459"/>
      <c r="CK159" s="459"/>
      <c r="CL159" s="459"/>
      <c r="CM159" s="459"/>
      <c r="CN159" s="459"/>
      <c r="CO159" s="459"/>
      <c r="CP159" s="459"/>
      <c r="CQ159" s="459"/>
      <c r="CR159" s="459"/>
      <c r="CS159" s="459"/>
      <c r="CT159" s="459"/>
      <c r="CU159" s="459"/>
      <c r="CV159" s="459"/>
      <c r="CW159" s="459"/>
      <c r="CX159" s="459"/>
      <c r="CY159" s="459"/>
      <c r="CZ159" s="459"/>
      <c r="DA159" s="459"/>
      <c r="DB159" s="459"/>
      <c r="DC159" s="459"/>
      <c r="DD159" s="459"/>
      <c r="DE159" s="459"/>
      <c r="DF159" s="459"/>
      <c r="DG159" s="459"/>
      <c r="DH159" s="459"/>
      <c r="DI159" s="459"/>
      <c r="DJ159" s="459"/>
      <c r="DK159" s="459"/>
      <c r="DL159" s="459"/>
      <c r="DM159" s="459"/>
      <c r="DN159" s="459"/>
      <c r="DO159" s="459"/>
      <c r="DP159" s="459"/>
      <c r="DQ159" s="459"/>
      <c r="DR159" s="459"/>
      <c r="DS159" s="459"/>
      <c r="DT159" s="459"/>
      <c r="DU159" s="459"/>
      <c r="DV159" s="459"/>
      <c r="DW159" s="459"/>
    </row>
    <row r="160" spans="1:143">
      <c r="A160" s="881" t="s">
        <v>1246</v>
      </c>
      <c r="B160" s="810">
        <f ca="1">+IDC!$D$53</f>
        <v>0</v>
      </c>
      <c r="C160" s="810"/>
      <c r="D160" s="510">
        <f ca="1">SUM(G160:DW160)</f>
        <v>0</v>
      </c>
      <c r="E160" s="396"/>
      <c r="G160" s="459">
        <f t="shared" ref="G160:AL160" ca="1" si="614">G158*G$14*$B156+$B160*(G$3=0)</f>
        <v>0</v>
      </c>
      <c r="H160" s="459">
        <f t="shared" ca="1" si="614"/>
        <v>0</v>
      </c>
      <c r="I160" s="459">
        <f t="shared" ca="1" si="614"/>
        <v>0</v>
      </c>
      <c r="J160" s="459">
        <f t="shared" ca="1" si="614"/>
        <v>0</v>
      </c>
      <c r="K160" s="459">
        <f t="shared" ca="1" si="614"/>
        <v>0</v>
      </c>
      <c r="L160" s="459">
        <f t="shared" ca="1" si="614"/>
        <v>0</v>
      </c>
      <c r="M160" s="459">
        <f t="shared" ca="1" si="614"/>
        <v>0</v>
      </c>
      <c r="N160" s="459">
        <f t="shared" ca="1" si="614"/>
        <v>0</v>
      </c>
      <c r="O160" s="459">
        <f t="shared" ca="1" si="614"/>
        <v>0</v>
      </c>
      <c r="P160" s="459">
        <f t="shared" ca="1" si="614"/>
        <v>0</v>
      </c>
      <c r="Q160" s="459">
        <f t="shared" ca="1" si="614"/>
        <v>0</v>
      </c>
      <c r="R160" s="459">
        <f t="shared" ca="1" si="614"/>
        <v>0</v>
      </c>
      <c r="S160" s="459">
        <f t="shared" ca="1" si="614"/>
        <v>0</v>
      </c>
      <c r="T160" s="459">
        <f t="shared" ca="1" si="614"/>
        <v>0</v>
      </c>
      <c r="U160" s="459">
        <f t="shared" ca="1" si="614"/>
        <v>0</v>
      </c>
      <c r="V160" s="459">
        <f t="shared" ca="1" si="614"/>
        <v>0</v>
      </c>
      <c r="W160" s="459">
        <f t="shared" ca="1" si="614"/>
        <v>0</v>
      </c>
      <c r="X160" s="459">
        <f t="shared" ca="1" si="614"/>
        <v>0</v>
      </c>
      <c r="Y160" s="459">
        <f t="shared" ca="1" si="614"/>
        <v>0</v>
      </c>
      <c r="Z160" s="459">
        <f t="shared" ca="1" si="614"/>
        <v>0</v>
      </c>
      <c r="AA160" s="459">
        <f t="shared" ca="1" si="614"/>
        <v>0</v>
      </c>
      <c r="AB160" s="459">
        <f t="shared" ca="1" si="614"/>
        <v>0</v>
      </c>
      <c r="AC160" s="459">
        <f t="shared" ca="1" si="614"/>
        <v>0</v>
      </c>
      <c r="AD160" s="459">
        <f t="shared" ca="1" si="614"/>
        <v>0</v>
      </c>
      <c r="AE160" s="459">
        <f t="shared" ca="1" si="614"/>
        <v>0</v>
      </c>
      <c r="AF160" s="459">
        <f t="shared" ca="1" si="614"/>
        <v>0</v>
      </c>
      <c r="AG160" s="459">
        <f t="shared" ca="1" si="614"/>
        <v>0</v>
      </c>
      <c r="AH160" s="459">
        <f t="shared" ca="1" si="614"/>
        <v>0</v>
      </c>
      <c r="AI160" s="459">
        <f t="shared" ca="1" si="614"/>
        <v>0</v>
      </c>
      <c r="AJ160" s="459">
        <f t="shared" ca="1" si="614"/>
        <v>0</v>
      </c>
      <c r="AK160" s="459">
        <f t="shared" ca="1" si="614"/>
        <v>0</v>
      </c>
      <c r="AL160" s="459">
        <f t="shared" ca="1" si="614"/>
        <v>0</v>
      </c>
      <c r="AM160" s="459">
        <f t="shared" ref="AM160:BO160" ca="1" si="615">AM158*AM$14*$B156+$B160*(AM$3=0)</f>
        <v>0</v>
      </c>
      <c r="AN160" s="459">
        <f t="shared" ca="1" si="615"/>
        <v>0</v>
      </c>
      <c r="AO160" s="459">
        <f t="shared" ca="1" si="615"/>
        <v>0</v>
      </c>
      <c r="AP160" s="459">
        <f t="shared" ca="1" si="615"/>
        <v>0</v>
      </c>
      <c r="AQ160" s="459">
        <f t="shared" ca="1" si="615"/>
        <v>0</v>
      </c>
      <c r="AR160" s="459">
        <f t="shared" ca="1" si="615"/>
        <v>0</v>
      </c>
      <c r="AS160" s="459">
        <f t="shared" ca="1" si="615"/>
        <v>0</v>
      </c>
      <c r="AT160" s="459">
        <f t="shared" ca="1" si="615"/>
        <v>0</v>
      </c>
      <c r="AU160" s="459">
        <f t="shared" ca="1" si="615"/>
        <v>0</v>
      </c>
      <c r="AV160" s="459">
        <f t="shared" ca="1" si="615"/>
        <v>0</v>
      </c>
      <c r="AW160" s="459">
        <f t="shared" ca="1" si="615"/>
        <v>0</v>
      </c>
      <c r="AX160" s="459">
        <f t="shared" ca="1" si="615"/>
        <v>0</v>
      </c>
      <c r="AY160" s="459">
        <f t="shared" ca="1" si="615"/>
        <v>0</v>
      </c>
      <c r="AZ160" s="459">
        <f t="shared" ca="1" si="615"/>
        <v>0</v>
      </c>
      <c r="BA160" s="459">
        <f t="shared" ca="1" si="615"/>
        <v>0</v>
      </c>
      <c r="BB160" s="459">
        <f t="shared" ca="1" si="615"/>
        <v>0</v>
      </c>
      <c r="BC160" s="459">
        <f t="shared" ca="1" si="615"/>
        <v>0</v>
      </c>
      <c r="BD160" s="459">
        <f t="shared" ca="1" si="615"/>
        <v>0</v>
      </c>
      <c r="BE160" s="459">
        <f t="shared" ca="1" si="615"/>
        <v>0</v>
      </c>
      <c r="BF160" s="459">
        <f t="shared" ca="1" si="615"/>
        <v>0</v>
      </c>
      <c r="BG160" s="459">
        <f t="shared" ca="1" si="615"/>
        <v>0</v>
      </c>
      <c r="BH160" s="459">
        <f t="shared" ca="1" si="615"/>
        <v>0</v>
      </c>
      <c r="BI160" s="459">
        <f t="shared" ca="1" si="615"/>
        <v>0</v>
      </c>
      <c r="BJ160" s="459">
        <f t="shared" ca="1" si="615"/>
        <v>0</v>
      </c>
      <c r="BK160" s="459">
        <f t="shared" ca="1" si="615"/>
        <v>0</v>
      </c>
      <c r="BL160" s="459">
        <f t="shared" ca="1" si="615"/>
        <v>0</v>
      </c>
      <c r="BM160" s="459">
        <f t="shared" ca="1" si="615"/>
        <v>0</v>
      </c>
      <c r="BN160" s="459">
        <f t="shared" ca="1" si="615"/>
        <v>0</v>
      </c>
      <c r="BO160" s="459">
        <f t="shared" ca="1" si="615"/>
        <v>0</v>
      </c>
      <c r="BP160" s="459"/>
      <c r="BQ160" s="459"/>
      <c r="BR160" s="459"/>
      <c r="BS160" s="459"/>
      <c r="BT160" s="459"/>
      <c r="BU160" s="459"/>
      <c r="BV160" s="459"/>
      <c r="BW160" s="459"/>
      <c r="BX160" s="459"/>
      <c r="BY160" s="459"/>
      <c r="BZ160" s="459"/>
      <c r="CA160" s="459"/>
      <c r="CB160" s="459"/>
      <c r="CC160" s="459"/>
      <c r="CD160" s="459"/>
      <c r="CE160" s="459"/>
      <c r="CF160" s="459"/>
      <c r="CG160" s="459"/>
      <c r="CH160" s="459"/>
      <c r="CI160" s="459"/>
      <c r="CJ160" s="459"/>
      <c r="CK160" s="459"/>
      <c r="CL160" s="459"/>
      <c r="CM160" s="459"/>
      <c r="CN160" s="459"/>
      <c r="CO160" s="459"/>
      <c r="CP160" s="459"/>
      <c r="CQ160" s="459"/>
      <c r="CR160" s="459"/>
      <c r="CS160" s="459"/>
      <c r="CT160" s="459"/>
      <c r="CU160" s="459"/>
      <c r="CV160" s="459"/>
      <c r="CW160" s="459"/>
      <c r="CX160" s="459"/>
      <c r="CY160" s="459"/>
      <c r="CZ160" s="459"/>
      <c r="DA160" s="459"/>
      <c r="DB160" s="459"/>
      <c r="DC160" s="459"/>
      <c r="DD160" s="459"/>
      <c r="DE160" s="459"/>
      <c r="DF160" s="459"/>
      <c r="DG160" s="459"/>
      <c r="DH160" s="459"/>
      <c r="DI160" s="459"/>
      <c r="DJ160" s="459"/>
      <c r="DK160" s="459"/>
      <c r="DL160" s="459"/>
      <c r="DM160" s="459"/>
      <c r="DN160" s="459"/>
      <c r="DO160" s="459"/>
      <c r="DP160" s="459"/>
      <c r="DQ160" s="459"/>
      <c r="DR160" s="459"/>
      <c r="DS160" s="459"/>
      <c r="DT160" s="459"/>
      <c r="DU160" s="459"/>
      <c r="DV160" s="459"/>
      <c r="DW160" s="459"/>
    </row>
    <row r="161" spans="1:127">
      <c r="A161" s="961" t="s">
        <v>334</v>
      </c>
      <c r="B161" s="970">
        <f>Inputs!$D$425/(1-Inputs!$D$425)</f>
        <v>0</v>
      </c>
      <c r="C161" s="970"/>
      <c r="D161" s="510"/>
      <c r="E161" s="396"/>
      <c r="G161" s="806">
        <f ca="1">$B161*G160*(G$3&lt;&gt;0)*((G$3+QUOTIENT(Inputs!$D$10,monthsinyear))&lt;Inputs!$F$425)</f>
        <v>0</v>
      </c>
      <c r="H161" s="806">
        <f ca="1">$B161*H160*(H$3&lt;&gt;0)*((H$3+QUOTIENT(Inputs!$D$10,monthsinyear))&lt;Inputs!$F$425)</f>
        <v>0</v>
      </c>
      <c r="I161" s="806">
        <f ca="1">$B161*I160*(I$3&lt;&gt;0)*((I$3+QUOTIENT(Inputs!$D$10,monthsinyear))&lt;Inputs!$F$425)</f>
        <v>0</v>
      </c>
      <c r="J161" s="806">
        <f ca="1">$B161*J160*(J$3&lt;&gt;0)*((J$3+QUOTIENT(Inputs!$D$10,monthsinyear))&lt;Inputs!$F$425)</f>
        <v>0</v>
      </c>
      <c r="K161" s="806">
        <f ca="1">$B161*K160*(K$3&lt;&gt;0)*((K$3+QUOTIENT(Inputs!$D$10,monthsinyear))&lt;Inputs!$F$425)</f>
        <v>0</v>
      </c>
      <c r="L161" s="806">
        <f ca="1">$B161*L160*(L$3&lt;&gt;0)*((L$3+QUOTIENT(Inputs!$D$10,monthsinyear))&lt;Inputs!$F$425)</f>
        <v>0</v>
      </c>
      <c r="M161" s="806">
        <f ca="1">$B161*M160*(M$3&lt;&gt;0)*((M$3+QUOTIENT(Inputs!$D$10,monthsinyear))&lt;Inputs!$F$425)</f>
        <v>0</v>
      </c>
      <c r="N161" s="806">
        <f ca="1">$B161*N160*(N$3&lt;&gt;0)*((N$3+QUOTIENT(Inputs!$D$10,monthsinyear))&lt;Inputs!$F$425)</f>
        <v>0</v>
      </c>
      <c r="O161" s="806">
        <f ca="1">$B161*O160*(O$3&lt;&gt;0)*((O$3+QUOTIENT(Inputs!$D$10,monthsinyear))&lt;Inputs!$F$425)</f>
        <v>0</v>
      </c>
      <c r="P161" s="806">
        <f ca="1">$B161*P160*(P$3&lt;&gt;0)*((P$3+QUOTIENT(Inputs!$D$10,monthsinyear))&lt;Inputs!$F$425)</f>
        <v>0</v>
      </c>
      <c r="Q161" s="806">
        <f ca="1">$B161*Q160*(Q$3&lt;&gt;0)*((Q$3+QUOTIENT(Inputs!$D$10,monthsinyear))&lt;Inputs!$F$425)</f>
        <v>0</v>
      </c>
      <c r="R161" s="806">
        <f ca="1">$B161*R160*(R$3&lt;&gt;0)*((R$3+QUOTIENT(Inputs!$D$10,monthsinyear))&lt;Inputs!$F$425)</f>
        <v>0</v>
      </c>
      <c r="S161" s="806">
        <f ca="1">$B161*S160*(S$3&lt;&gt;0)*((S$3+QUOTIENT(Inputs!$D$10,monthsinyear))&lt;Inputs!$F$425)</f>
        <v>0</v>
      </c>
      <c r="T161" s="806">
        <f ca="1">$B161*T160*(T$3&lt;&gt;0)*((T$3+QUOTIENT(Inputs!$D$10,monthsinyear))&lt;Inputs!$F$425)</f>
        <v>0</v>
      </c>
      <c r="U161" s="806">
        <f ca="1">$B161*U160*(U$3&lt;&gt;0)*((U$3+QUOTIENT(Inputs!$D$10,monthsinyear))&lt;Inputs!$F$425)</f>
        <v>0</v>
      </c>
      <c r="V161" s="806">
        <f ca="1">$B161*V160*(V$3&lt;&gt;0)*((V$3+QUOTIENT(Inputs!$D$10,monthsinyear))&lt;Inputs!$F$425)</f>
        <v>0</v>
      </c>
      <c r="W161" s="806">
        <f ca="1">$B161*W160*(W$3&lt;&gt;0)*((W$3+QUOTIENT(Inputs!$D$10,monthsinyear))&lt;Inputs!$F$425)</f>
        <v>0</v>
      </c>
      <c r="X161" s="806">
        <f ca="1">$B161*X160*(X$3&lt;&gt;0)*((X$3+QUOTIENT(Inputs!$D$10,monthsinyear))&lt;Inputs!$F$425)</f>
        <v>0</v>
      </c>
      <c r="Y161" s="806">
        <f ca="1">$B161*Y160*(Y$3&lt;&gt;0)*((Y$3+QUOTIENT(Inputs!$D$10,monthsinyear))&lt;Inputs!$F$425)</f>
        <v>0</v>
      </c>
      <c r="Z161" s="806">
        <f ca="1">$B161*Z160*(Z$3&lt;&gt;0)*((Z$3+QUOTIENT(Inputs!$D$10,monthsinyear))&lt;Inputs!$F$425)</f>
        <v>0</v>
      </c>
      <c r="AA161" s="806">
        <f ca="1">$B161*AA160*(AA$3&lt;&gt;0)*((AA$3+QUOTIENT(Inputs!$D$10,monthsinyear))&lt;Inputs!$F$425)</f>
        <v>0</v>
      </c>
      <c r="AB161" s="806">
        <f ca="1">$B161*AB160*(AB$3&lt;&gt;0)*((AB$3+QUOTIENT(Inputs!$D$10,monthsinyear))&lt;Inputs!$F$425)</f>
        <v>0</v>
      </c>
      <c r="AC161" s="806">
        <f ca="1">$B161*AC160*(AC$3&lt;&gt;0)*((AC$3+QUOTIENT(Inputs!$D$10,monthsinyear))&lt;Inputs!$F$425)</f>
        <v>0</v>
      </c>
      <c r="AD161" s="806">
        <f ca="1">$B161*AD160*(AD$3&lt;&gt;0)*((AD$3+QUOTIENT(Inputs!$D$10,monthsinyear))&lt;Inputs!$F$425)</f>
        <v>0</v>
      </c>
      <c r="AE161" s="806">
        <f ca="1">$B161*AE160*(AE$3&lt;&gt;0)*((AE$3+QUOTIENT(Inputs!$D$10,monthsinyear))&lt;Inputs!$F$425)</f>
        <v>0</v>
      </c>
      <c r="AF161" s="806">
        <f ca="1">$B161*AF160*(AF$3&lt;&gt;0)*((AF$3+QUOTIENT(Inputs!$D$10,monthsinyear))&lt;Inputs!$F$425)</f>
        <v>0</v>
      </c>
      <c r="AG161" s="806">
        <f ca="1">$B161*AG160*(AG$3&lt;&gt;0)*((AG$3+QUOTIENT(Inputs!$D$10,monthsinyear))&lt;Inputs!$F$425)</f>
        <v>0</v>
      </c>
      <c r="AH161" s="806">
        <f ca="1">$B161*AH160*(AH$3&lt;&gt;0)*((AH$3+QUOTIENT(Inputs!$D$10,monthsinyear))&lt;Inputs!$F$425)</f>
        <v>0</v>
      </c>
      <c r="AI161" s="806">
        <f ca="1">$B161*AI160*(AI$3&lt;&gt;0)*((AI$3+QUOTIENT(Inputs!$D$10,monthsinyear))&lt;Inputs!$F$425)</f>
        <v>0</v>
      </c>
      <c r="AJ161" s="806">
        <f ca="1">$B161*AJ160*(AJ$3&lt;&gt;0)*((AJ$3+QUOTIENT(Inputs!$D$10,monthsinyear))&lt;Inputs!$F$425)</f>
        <v>0</v>
      </c>
      <c r="AK161" s="806">
        <f ca="1">$B161*AK160*(AK$3&lt;&gt;0)*((AK$3+QUOTIENT(Inputs!$D$10,monthsinyear))&lt;Inputs!$F$425)</f>
        <v>0</v>
      </c>
      <c r="AL161" s="806">
        <f ca="1">$B161*AL160*(AL$3&lt;&gt;0)*((AL$3+QUOTIENT(Inputs!$D$10,monthsinyear))&lt;Inputs!$F$425)</f>
        <v>0</v>
      </c>
      <c r="AM161" s="806">
        <f ca="1">$B161*AM160*(AM$3&lt;&gt;0)*((AM$3+QUOTIENT(Inputs!$D$10,monthsinyear))&lt;Inputs!$F$425)</f>
        <v>0</v>
      </c>
      <c r="AN161" s="806">
        <f ca="1">$B161*AN160*(AN$3&lt;&gt;0)*((AN$3+QUOTIENT(Inputs!$D$10,monthsinyear))&lt;Inputs!$F$425)</f>
        <v>0</v>
      </c>
      <c r="AO161" s="806">
        <f ca="1">$B161*AO160*(AO$3&lt;&gt;0)*((AO$3+QUOTIENT(Inputs!$D$10,monthsinyear))&lt;Inputs!$F$425)</f>
        <v>0</v>
      </c>
      <c r="AP161" s="806">
        <f ca="1">$B161*AP160*(AP$3&lt;&gt;0)*((AP$3+QUOTIENT(Inputs!$D$10,monthsinyear))&lt;Inputs!$F$425)</f>
        <v>0</v>
      </c>
      <c r="AQ161" s="806">
        <f ca="1">$B161*AQ160*(AQ$3&lt;&gt;0)*((AQ$3+QUOTIENT(Inputs!$D$10,monthsinyear))&lt;Inputs!$F$425)</f>
        <v>0</v>
      </c>
      <c r="AR161" s="806">
        <f ca="1">$B161*AR160*(AR$3&lt;&gt;0)*((AR$3+QUOTIENT(Inputs!$D$10,monthsinyear))&lt;Inputs!$F$425)</f>
        <v>0</v>
      </c>
      <c r="AS161" s="806">
        <f ca="1">$B161*AS160*(AS$3&lt;&gt;0)*((AS$3+QUOTIENT(Inputs!$D$10,monthsinyear))&lt;Inputs!$F$425)</f>
        <v>0</v>
      </c>
      <c r="AT161" s="806">
        <f ca="1">$B161*AT160*(AT$3&lt;&gt;0)*((AT$3+QUOTIENT(Inputs!$D$10,monthsinyear))&lt;Inputs!$F$425)</f>
        <v>0</v>
      </c>
      <c r="AU161" s="806">
        <f ca="1">$B161*AU160*(AU$3&lt;&gt;0)*((AU$3+QUOTIENT(Inputs!$D$10,monthsinyear))&lt;Inputs!$F$425)</f>
        <v>0</v>
      </c>
      <c r="AV161" s="806">
        <f ca="1">$B161*AV160*(AV$3&lt;&gt;0)*((AV$3+QUOTIENT(Inputs!$D$10,monthsinyear))&lt;Inputs!$F$425)</f>
        <v>0</v>
      </c>
      <c r="AW161" s="806">
        <f ca="1">$B161*AW160*(AW$3&lt;&gt;0)*((AW$3+QUOTIENT(Inputs!$D$10,monthsinyear))&lt;Inputs!$F$425)</f>
        <v>0</v>
      </c>
      <c r="AX161" s="806">
        <f ca="1">$B161*AX160*(AX$3&lt;&gt;0)*((AX$3+QUOTIENT(Inputs!$D$10,monthsinyear))&lt;Inputs!$F$425)</f>
        <v>0</v>
      </c>
      <c r="AY161" s="806">
        <f ca="1">$B161*AY160*(AY$3&lt;&gt;0)*((AY$3+QUOTIENT(Inputs!$D$10,monthsinyear))&lt;Inputs!$F$425)</f>
        <v>0</v>
      </c>
      <c r="AZ161" s="806">
        <f ca="1">$B161*AZ160*(AZ$3&lt;&gt;0)*((AZ$3+QUOTIENT(Inputs!$D$10,monthsinyear))&lt;Inputs!$F$425)</f>
        <v>0</v>
      </c>
      <c r="BA161" s="806">
        <f ca="1">$B161*BA160*(BA$3&lt;&gt;0)*((BA$3+QUOTIENT(Inputs!$D$10,monthsinyear))&lt;Inputs!$F$425)</f>
        <v>0</v>
      </c>
      <c r="BB161" s="806">
        <f ca="1">$B161*BB160*(BB$3&lt;&gt;0)*((BB$3+QUOTIENT(Inputs!$D$10,monthsinyear))&lt;Inputs!$F$425)</f>
        <v>0</v>
      </c>
      <c r="BC161" s="806">
        <f ca="1">$B161*BC160*(BC$3&lt;&gt;0)*((BC$3+QUOTIENT(Inputs!$D$10,monthsinyear))&lt;Inputs!$F$425)</f>
        <v>0</v>
      </c>
      <c r="BD161" s="806">
        <f ca="1">$B161*BD160*(BD$3&lt;&gt;0)*((BD$3+QUOTIENT(Inputs!$D$10,monthsinyear))&lt;Inputs!$F$425)</f>
        <v>0</v>
      </c>
      <c r="BE161" s="806">
        <f ca="1">$B161*BE160*(BE$3&lt;&gt;0)*((BE$3+QUOTIENT(Inputs!$D$10,monthsinyear))&lt;Inputs!$F$425)</f>
        <v>0</v>
      </c>
      <c r="BF161" s="806">
        <f ca="1">$B161*BF160*(BF$3&lt;&gt;0)*((BF$3+QUOTIENT(Inputs!$D$10,monthsinyear))&lt;Inputs!$F$425)</f>
        <v>0</v>
      </c>
      <c r="BG161" s="806">
        <f ca="1">$B161*BG160*(BG$3&lt;&gt;0)*((BG$3+QUOTIENT(Inputs!$D$10,monthsinyear))&lt;Inputs!$F$425)</f>
        <v>0</v>
      </c>
      <c r="BH161" s="806">
        <f ca="1">$B161*BH160*(BH$3&lt;&gt;0)*((BH$3+QUOTIENT(Inputs!$D$10,monthsinyear))&lt;Inputs!$F$425)</f>
        <v>0</v>
      </c>
      <c r="BI161" s="806">
        <f ca="1">$B161*BI160*(BI$3&lt;&gt;0)*((BI$3+QUOTIENT(Inputs!$D$10,monthsinyear))&lt;Inputs!$F$425)</f>
        <v>0</v>
      </c>
      <c r="BJ161" s="806">
        <f ca="1">$B161*BJ160*(BJ$3&lt;&gt;0)*((BJ$3+QUOTIENT(Inputs!$D$10,monthsinyear))&lt;Inputs!$F$425)</f>
        <v>0</v>
      </c>
      <c r="BK161" s="806">
        <f ca="1">$B161*BK160*(BK$3&lt;&gt;0)*((BK$3+QUOTIENT(Inputs!$D$10,monthsinyear))&lt;Inputs!$F$425)</f>
        <v>0</v>
      </c>
      <c r="BL161" s="806">
        <f ca="1">$B161*BL160*(BL$3&lt;&gt;0)*((BL$3+QUOTIENT(Inputs!$D$10,monthsinyear))&lt;Inputs!$F$425)</f>
        <v>0</v>
      </c>
      <c r="BM161" s="806">
        <f ca="1">$B161*BM160*(BM$3&lt;&gt;0)*((BM$3+QUOTIENT(Inputs!$D$10,monthsinyear))&lt;Inputs!$F$425)</f>
        <v>0</v>
      </c>
      <c r="BN161" s="806">
        <f ca="1">$B161*BN160*(BN$3&lt;&gt;0)*((BN$3+QUOTIENT(Inputs!$D$10,monthsinyear))&lt;Inputs!$F$425)</f>
        <v>0</v>
      </c>
      <c r="BO161" s="806">
        <f ca="1">$B161*BO160*(BO$3&lt;&gt;0)*((BO$3+QUOTIENT(Inputs!$D$10,monthsinyear))&lt;Inputs!$F$425)</f>
        <v>0</v>
      </c>
      <c r="BP161" s="806"/>
      <c r="BQ161" s="806"/>
      <c r="BR161" s="806"/>
      <c r="BS161" s="806"/>
      <c r="BT161" s="806"/>
      <c r="BU161" s="806"/>
      <c r="BV161" s="806"/>
      <c r="BW161" s="806"/>
      <c r="BX161" s="806"/>
      <c r="BY161" s="806"/>
      <c r="BZ161" s="806"/>
      <c r="CA161" s="806"/>
      <c r="CB161" s="806"/>
      <c r="CC161" s="806"/>
      <c r="CD161" s="806"/>
      <c r="CE161" s="806"/>
      <c r="CF161" s="806"/>
      <c r="CG161" s="806"/>
      <c r="CH161" s="806"/>
      <c r="CI161" s="806"/>
      <c r="CJ161" s="806"/>
      <c r="CK161" s="806"/>
      <c r="CL161" s="806"/>
      <c r="CM161" s="806"/>
      <c r="CN161" s="806"/>
      <c r="CO161" s="806"/>
      <c r="CP161" s="806"/>
      <c r="CQ161" s="806"/>
      <c r="CR161" s="806"/>
      <c r="CS161" s="806"/>
      <c r="CT161" s="806"/>
      <c r="CU161" s="806"/>
      <c r="CV161" s="806"/>
      <c r="CW161" s="806"/>
      <c r="CX161" s="806"/>
      <c r="CY161" s="806"/>
      <c r="CZ161" s="806"/>
      <c r="DA161" s="806"/>
      <c r="DB161" s="806"/>
      <c r="DC161" s="806"/>
      <c r="DD161" s="806"/>
      <c r="DE161" s="806"/>
      <c r="DF161" s="806"/>
      <c r="DG161" s="806"/>
      <c r="DH161" s="806"/>
      <c r="DI161" s="806"/>
      <c r="DJ161" s="806"/>
      <c r="DK161" s="806"/>
      <c r="DL161" s="806"/>
      <c r="DM161" s="806"/>
      <c r="DN161" s="806"/>
      <c r="DO161" s="806"/>
      <c r="DP161" s="806"/>
      <c r="DQ161" s="806"/>
      <c r="DR161" s="806"/>
      <c r="DS161" s="806"/>
      <c r="DT161" s="806"/>
      <c r="DU161" s="806"/>
      <c r="DV161" s="806"/>
      <c r="DW161" s="806"/>
    </row>
    <row r="162" spans="1:127">
      <c r="A162" s="961" t="str">
        <f>A151</f>
        <v>Principal</v>
      </c>
      <c r="B162" s="704"/>
      <c r="C162" s="704"/>
      <c r="D162" s="510">
        <f ca="1">SUM(G162:DW162)</f>
        <v>0</v>
      </c>
      <c r="E162" s="396"/>
      <c r="G162" s="510">
        <f ca="1">MAX(MIN(G158,G$120*G157),0)</f>
        <v>0</v>
      </c>
      <c r="H162" s="510">
        <f ca="1">MAX(MIN(H158,H$120*H157),0)</f>
        <v>0</v>
      </c>
      <c r="I162" s="510">
        <f t="shared" ref="I162:BO162" ca="1" si="616">MAX(MIN(I158,I$120*I157),0)</f>
        <v>0</v>
      </c>
      <c r="J162" s="510">
        <f t="shared" ca="1" si="616"/>
        <v>0</v>
      </c>
      <c r="K162" s="510">
        <f t="shared" ca="1" si="616"/>
        <v>0</v>
      </c>
      <c r="L162" s="510">
        <f t="shared" ca="1" si="616"/>
        <v>0</v>
      </c>
      <c r="M162" s="510">
        <f t="shared" ca="1" si="616"/>
        <v>0</v>
      </c>
      <c r="N162" s="510">
        <f t="shared" ca="1" si="616"/>
        <v>0</v>
      </c>
      <c r="O162" s="510">
        <f t="shared" ca="1" si="616"/>
        <v>0</v>
      </c>
      <c r="P162" s="510">
        <f t="shared" ca="1" si="616"/>
        <v>0</v>
      </c>
      <c r="Q162" s="510">
        <f t="shared" ca="1" si="616"/>
        <v>0</v>
      </c>
      <c r="R162" s="510">
        <f t="shared" ca="1" si="616"/>
        <v>0</v>
      </c>
      <c r="S162" s="510">
        <f t="shared" ca="1" si="616"/>
        <v>0</v>
      </c>
      <c r="T162" s="510">
        <f t="shared" ca="1" si="616"/>
        <v>0</v>
      </c>
      <c r="U162" s="510">
        <f t="shared" ca="1" si="616"/>
        <v>0</v>
      </c>
      <c r="V162" s="510">
        <f t="shared" ca="1" si="616"/>
        <v>0</v>
      </c>
      <c r="W162" s="510">
        <f t="shared" ca="1" si="616"/>
        <v>0</v>
      </c>
      <c r="X162" s="510">
        <f t="shared" ca="1" si="616"/>
        <v>0</v>
      </c>
      <c r="Y162" s="510">
        <f t="shared" ca="1" si="616"/>
        <v>0</v>
      </c>
      <c r="Z162" s="510">
        <f t="shared" ca="1" si="616"/>
        <v>0</v>
      </c>
      <c r="AA162" s="510">
        <f t="shared" ca="1" si="616"/>
        <v>0</v>
      </c>
      <c r="AB162" s="510">
        <f t="shared" ca="1" si="616"/>
        <v>0</v>
      </c>
      <c r="AC162" s="510">
        <f t="shared" ca="1" si="616"/>
        <v>0</v>
      </c>
      <c r="AD162" s="510">
        <f t="shared" ca="1" si="616"/>
        <v>0</v>
      </c>
      <c r="AE162" s="510">
        <f t="shared" ca="1" si="616"/>
        <v>0</v>
      </c>
      <c r="AF162" s="510">
        <f t="shared" ca="1" si="616"/>
        <v>0</v>
      </c>
      <c r="AG162" s="510">
        <f t="shared" ca="1" si="616"/>
        <v>0</v>
      </c>
      <c r="AH162" s="510">
        <f t="shared" ca="1" si="616"/>
        <v>0</v>
      </c>
      <c r="AI162" s="510">
        <f t="shared" ca="1" si="616"/>
        <v>0</v>
      </c>
      <c r="AJ162" s="510">
        <f t="shared" ca="1" si="616"/>
        <v>0</v>
      </c>
      <c r="AK162" s="510">
        <f t="shared" ca="1" si="616"/>
        <v>0</v>
      </c>
      <c r="AL162" s="510">
        <f t="shared" ca="1" si="616"/>
        <v>0</v>
      </c>
      <c r="AM162" s="510">
        <f t="shared" ca="1" si="616"/>
        <v>0</v>
      </c>
      <c r="AN162" s="510">
        <f t="shared" ca="1" si="616"/>
        <v>0</v>
      </c>
      <c r="AO162" s="510">
        <f t="shared" ca="1" si="616"/>
        <v>0</v>
      </c>
      <c r="AP162" s="510">
        <f t="shared" ca="1" si="616"/>
        <v>0</v>
      </c>
      <c r="AQ162" s="510">
        <f t="shared" ca="1" si="616"/>
        <v>0</v>
      </c>
      <c r="AR162" s="510">
        <f t="shared" ca="1" si="616"/>
        <v>0</v>
      </c>
      <c r="AS162" s="510">
        <f t="shared" ca="1" si="616"/>
        <v>0</v>
      </c>
      <c r="AT162" s="510">
        <f t="shared" ca="1" si="616"/>
        <v>0</v>
      </c>
      <c r="AU162" s="510">
        <f t="shared" ca="1" si="616"/>
        <v>0</v>
      </c>
      <c r="AV162" s="510">
        <f t="shared" ca="1" si="616"/>
        <v>0</v>
      </c>
      <c r="AW162" s="510">
        <f t="shared" ca="1" si="616"/>
        <v>0</v>
      </c>
      <c r="AX162" s="510">
        <f t="shared" ca="1" si="616"/>
        <v>0</v>
      </c>
      <c r="AY162" s="510">
        <f t="shared" ca="1" si="616"/>
        <v>0</v>
      </c>
      <c r="AZ162" s="510">
        <f t="shared" ca="1" si="616"/>
        <v>0</v>
      </c>
      <c r="BA162" s="510">
        <f t="shared" ca="1" si="616"/>
        <v>0</v>
      </c>
      <c r="BB162" s="510">
        <f t="shared" ca="1" si="616"/>
        <v>0</v>
      </c>
      <c r="BC162" s="510">
        <f t="shared" ca="1" si="616"/>
        <v>0</v>
      </c>
      <c r="BD162" s="510">
        <f t="shared" ca="1" si="616"/>
        <v>0</v>
      </c>
      <c r="BE162" s="510">
        <f t="shared" ca="1" si="616"/>
        <v>0</v>
      </c>
      <c r="BF162" s="510">
        <f t="shared" ca="1" si="616"/>
        <v>0</v>
      </c>
      <c r="BG162" s="510">
        <f t="shared" ca="1" si="616"/>
        <v>0</v>
      </c>
      <c r="BH162" s="510">
        <f t="shared" ca="1" si="616"/>
        <v>0</v>
      </c>
      <c r="BI162" s="510">
        <f t="shared" ca="1" si="616"/>
        <v>0</v>
      </c>
      <c r="BJ162" s="510">
        <f t="shared" ca="1" si="616"/>
        <v>0</v>
      </c>
      <c r="BK162" s="510">
        <f t="shared" ca="1" si="616"/>
        <v>0</v>
      </c>
      <c r="BL162" s="510">
        <f t="shared" ca="1" si="616"/>
        <v>0</v>
      </c>
      <c r="BM162" s="510">
        <f t="shared" ca="1" si="616"/>
        <v>0</v>
      </c>
      <c r="BN162" s="510">
        <f t="shared" ca="1" si="616"/>
        <v>0</v>
      </c>
      <c r="BO162" s="510">
        <f t="shared" ca="1" si="616"/>
        <v>0</v>
      </c>
      <c r="BP162" s="510"/>
      <c r="BQ162" s="510"/>
      <c r="BR162" s="510"/>
      <c r="BS162" s="510"/>
      <c r="BT162" s="510"/>
      <c r="BU162" s="510"/>
      <c r="BV162" s="510"/>
      <c r="BW162" s="510"/>
      <c r="BX162" s="510"/>
      <c r="BY162" s="510"/>
      <c r="BZ162" s="510"/>
      <c r="CA162" s="510"/>
      <c r="CB162" s="510"/>
      <c r="CC162" s="510"/>
      <c r="CD162" s="510"/>
      <c r="CE162" s="510"/>
      <c r="CF162" s="510"/>
      <c r="CG162" s="510"/>
      <c r="CH162" s="510"/>
      <c r="CI162" s="510"/>
      <c r="CJ162" s="510"/>
      <c r="CK162" s="510"/>
      <c r="CL162" s="510"/>
      <c r="CM162" s="510"/>
      <c r="CN162" s="510"/>
      <c r="CO162" s="510"/>
      <c r="CP162" s="510"/>
      <c r="CQ162" s="510"/>
      <c r="CR162" s="510"/>
      <c r="CS162" s="510"/>
      <c r="CT162" s="510"/>
      <c r="CU162" s="510"/>
      <c r="CV162" s="510"/>
      <c r="CW162" s="510"/>
      <c r="CX162" s="510"/>
      <c r="CY162" s="510"/>
      <c r="CZ162" s="510"/>
      <c r="DA162" s="510"/>
      <c r="DB162" s="510"/>
      <c r="DC162" s="510"/>
      <c r="DD162" s="510"/>
      <c r="DE162" s="510"/>
      <c r="DF162" s="510"/>
      <c r="DG162" s="510"/>
      <c r="DH162" s="510"/>
      <c r="DI162" s="510"/>
      <c r="DJ162" s="510"/>
      <c r="DK162" s="510"/>
      <c r="DL162" s="510"/>
      <c r="DM162" s="510"/>
      <c r="DN162" s="510"/>
      <c r="DO162" s="510"/>
      <c r="DP162" s="510"/>
      <c r="DQ162" s="510"/>
      <c r="DR162" s="510"/>
      <c r="DS162" s="510"/>
      <c r="DT162" s="510"/>
      <c r="DU162" s="510"/>
      <c r="DV162" s="510"/>
      <c r="DW162" s="510"/>
    </row>
    <row r="163" spans="1:127">
      <c r="A163" s="881" t="str">
        <f>A152</f>
        <v>Interests to capitalize</v>
      </c>
      <c r="B163" s="704"/>
      <c r="C163" s="704"/>
      <c r="D163" s="510">
        <f ca="1">SUM(G163:DW163)</f>
        <v>0</v>
      </c>
      <c r="E163" s="396"/>
      <c r="G163" s="459">
        <f t="shared" ref="G163:AL163" ca="1" si="617">MAX(G160-G119*G157,0)</f>
        <v>0</v>
      </c>
      <c r="H163" s="459">
        <f t="shared" ca="1" si="617"/>
        <v>0</v>
      </c>
      <c r="I163" s="459">
        <f t="shared" ca="1" si="617"/>
        <v>0</v>
      </c>
      <c r="J163" s="459">
        <f t="shared" ca="1" si="617"/>
        <v>0</v>
      </c>
      <c r="K163" s="459">
        <f t="shared" ca="1" si="617"/>
        <v>0</v>
      </c>
      <c r="L163" s="459">
        <f t="shared" ca="1" si="617"/>
        <v>0</v>
      </c>
      <c r="M163" s="459">
        <f t="shared" ca="1" si="617"/>
        <v>0</v>
      </c>
      <c r="N163" s="459">
        <f t="shared" ca="1" si="617"/>
        <v>0</v>
      </c>
      <c r="O163" s="459">
        <f t="shared" ca="1" si="617"/>
        <v>0</v>
      </c>
      <c r="P163" s="459">
        <f t="shared" ca="1" si="617"/>
        <v>0</v>
      </c>
      <c r="Q163" s="459">
        <f t="shared" ca="1" si="617"/>
        <v>0</v>
      </c>
      <c r="R163" s="459">
        <f t="shared" ca="1" si="617"/>
        <v>0</v>
      </c>
      <c r="S163" s="459">
        <f t="shared" ca="1" si="617"/>
        <v>0</v>
      </c>
      <c r="T163" s="459">
        <f t="shared" ca="1" si="617"/>
        <v>0</v>
      </c>
      <c r="U163" s="459">
        <f t="shared" ca="1" si="617"/>
        <v>0</v>
      </c>
      <c r="V163" s="459">
        <f t="shared" ca="1" si="617"/>
        <v>0</v>
      </c>
      <c r="W163" s="459">
        <f t="shared" ca="1" si="617"/>
        <v>0</v>
      </c>
      <c r="X163" s="459">
        <f t="shared" ca="1" si="617"/>
        <v>0</v>
      </c>
      <c r="Y163" s="459">
        <f t="shared" ca="1" si="617"/>
        <v>0</v>
      </c>
      <c r="Z163" s="459">
        <f t="shared" ca="1" si="617"/>
        <v>0</v>
      </c>
      <c r="AA163" s="459">
        <f t="shared" ca="1" si="617"/>
        <v>0</v>
      </c>
      <c r="AB163" s="459">
        <f t="shared" ca="1" si="617"/>
        <v>0</v>
      </c>
      <c r="AC163" s="459">
        <f t="shared" ca="1" si="617"/>
        <v>0</v>
      </c>
      <c r="AD163" s="459">
        <f t="shared" ca="1" si="617"/>
        <v>0</v>
      </c>
      <c r="AE163" s="459">
        <f t="shared" ca="1" si="617"/>
        <v>0</v>
      </c>
      <c r="AF163" s="459">
        <f t="shared" ca="1" si="617"/>
        <v>0</v>
      </c>
      <c r="AG163" s="459">
        <f t="shared" ca="1" si="617"/>
        <v>0</v>
      </c>
      <c r="AH163" s="459">
        <f t="shared" ca="1" si="617"/>
        <v>0</v>
      </c>
      <c r="AI163" s="459">
        <f t="shared" ca="1" si="617"/>
        <v>0</v>
      </c>
      <c r="AJ163" s="459">
        <f t="shared" ca="1" si="617"/>
        <v>0</v>
      </c>
      <c r="AK163" s="459">
        <f t="shared" ca="1" si="617"/>
        <v>0</v>
      </c>
      <c r="AL163" s="459">
        <f t="shared" ca="1" si="617"/>
        <v>0</v>
      </c>
      <c r="AM163" s="459">
        <f t="shared" ref="AM163:BO163" ca="1" si="618">MAX(AM160-AM119*AM157,0)</f>
        <v>0</v>
      </c>
      <c r="AN163" s="459">
        <f t="shared" ca="1" si="618"/>
        <v>0</v>
      </c>
      <c r="AO163" s="459">
        <f t="shared" ca="1" si="618"/>
        <v>0</v>
      </c>
      <c r="AP163" s="459">
        <f t="shared" ca="1" si="618"/>
        <v>0</v>
      </c>
      <c r="AQ163" s="459">
        <f t="shared" ca="1" si="618"/>
        <v>0</v>
      </c>
      <c r="AR163" s="459">
        <f t="shared" ca="1" si="618"/>
        <v>0</v>
      </c>
      <c r="AS163" s="459">
        <f t="shared" ca="1" si="618"/>
        <v>0</v>
      </c>
      <c r="AT163" s="459">
        <f t="shared" ca="1" si="618"/>
        <v>0</v>
      </c>
      <c r="AU163" s="459">
        <f t="shared" ca="1" si="618"/>
        <v>0</v>
      </c>
      <c r="AV163" s="459">
        <f t="shared" ca="1" si="618"/>
        <v>0</v>
      </c>
      <c r="AW163" s="459">
        <f t="shared" ca="1" si="618"/>
        <v>0</v>
      </c>
      <c r="AX163" s="459">
        <f t="shared" ca="1" si="618"/>
        <v>0</v>
      </c>
      <c r="AY163" s="459">
        <f t="shared" ca="1" si="618"/>
        <v>0</v>
      </c>
      <c r="AZ163" s="459">
        <f t="shared" ca="1" si="618"/>
        <v>0</v>
      </c>
      <c r="BA163" s="459">
        <f t="shared" ca="1" si="618"/>
        <v>0</v>
      </c>
      <c r="BB163" s="459">
        <f t="shared" ca="1" si="618"/>
        <v>0</v>
      </c>
      <c r="BC163" s="459">
        <f t="shared" ca="1" si="618"/>
        <v>0</v>
      </c>
      <c r="BD163" s="459">
        <f t="shared" ca="1" si="618"/>
        <v>0</v>
      </c>
      <c r="BE163" s="459">
        <f t="shared" ca="1" si="618"/>
        <v>0</v>
      </c>
      <c r="BF163" s="459">
        <f t="shared" ca="1" si="618"/>
        <v>0</v>
      </c>
      <c r="BG163" s="459">
        <f t="shared" ca="1" si="618"/>
        <v>0</v>
      </c>
      <c r="BH163" s="459">
        <f t="shared" ca="1" si="618"/>
        <v>0</v>
      </c>
      <c r="BI163" s="459">
        <f t="shared" ca="1" si="618"/>
        <v>0</v>
      </c>
      <c r="BJ163" s="459">
        <f t="shared" ca="1" si="618"/>
        <v>0</v>
      </c>
      <c r="BK163" s="459">
        <f t="shared" ca="1" si="618"/>
        <v>0</v>
      </c>
      <c r="BL163" s="459">
        <f t="shared" ca="1" si="618"/>
        <v>0</v>
      </c>
      <c r="BM163" s="459">
        <f t="shared" ca="1" si="618"/>
        <v>0</v>
      </c>
      <c r="BN163" s="459">
        <f t="shared" ca="1" si="618"/>
        <v>0</v>
      </c>
      <c r="BO163" s="459">
        <f t="shared" ca="1" si="618"/>
        <v>0</v>
      </c>
      <c r="BP163" s="459"/>
      <c r="BQ163" s="459"/>
      <c r="BR163" s="459"/>
      <c r="BS163" s="459"/>
      <c r="BT163" s="459"/>
      <c r="BU163" s="459"/>
      <c r="BV163" s="459"/>
      <c r="BW163" s="459"/>
      <c r="BX163" s="459"/>
      <c r="BY163" s="459"/>
      <c r="BZ163" s="459"/>
      <c r="CA163" s="459"/>
      <c r="CB163" s="459"/>
      <c r="CC163" s="459"/>
      <c r="CD163" s="459"/>
      <c r="CE163" s="459"/>
      <c r="CF163" s="459"/>
      <c r="CG163" s="459"/>
      <c r="CH163" s="459"/>
      <c r="CI163" s="459"/>
      <c r="CJ163" s="459"/>
      <c r="CK163" s="459"/>
      <c r="CL163" s="459"/>
      <c r="CM163" s="459"/>
      <c r="CN163" s="459"/>
      <c r="CO163" s="459"/>
      <c r="CP163" s="459"/>
      <c r="CQ163" s="459"/>
      <c r="CR163" s="459"/>
      <c r="CS163" s="459"/>
      <c r="CT163" s="459"/>
      <c r="CU163" s="459"/>
      <c r="CV163" s="459"/>
      <c r="CW163" s="459"/>
      <c r="CX163" s="459"/>
      <c r="CY163" s="459"/>
      <c r="CZ163" s="459"/>
      <c r="DA163" s="459"/>
      <c r="DB163" s="459"/>
      <c r="DC163" s="459"/>
      <c r="DD163" s="459"/>
      <c r="DE163" s="459"/>
      <c r="DF163" s="459"/>
      <c r="DG163" s="459"/>
      <c r="DH163" s="459"/>
      <c r="DI163" s="459"/>
      <c r="DJ163" s="459"/>
      <c r="DK163" s="459"/>
      <c r="DL163" s="459"/>
      <c r="DM163" s="459"/>
      <c r="DN163" s="459"/>
      <c r="DO163" s="459"/>
      <c r="DP163" s="459"/>
      <c r="DQ163" s="459"/>
      <c r="DR163" s="459"/>
      <c r="DS163" s="459"/>
      <c r="DT163" s="459"/>
      <c r="DU163" s="459"/>
      <c r="DV163" s="459"/>
      <c r="DW163" s="459"/>
    </row>
    <row r="164" spans="1:127">
      <c r="A164" s="874" t="str">
        <f>A153</f>
        <v>End</v>
      </c>
      <c r="B164" s="704"/>
      <c r="C164" s="704"/>
      <c r="D164" s="396"/>
      <c r="E164" s="396"/>
      <c r="F164" s="611"/>
      <c r="G164" s="459">
        <f ca="1">G158+G159-G162+G163</f>
        <v>0</v>
      </c>
      <c r="H164" s="459">
        <f ca="1">H158+H159-H162+H163</f>
        <v>0</v>
      </c>
      <c r="I164" s="459">
        <f t="shared" ref="I164:BO164" ca="1" si="619">I158+I159-I162+I163</f>
        <v>0</v>
      </c>
      <c r="J164" s="459">
        <f t="shared" ca="1" si="619"/>
        <v>0</v>
      </c>
      <c r="K164" s="459">
        <f t="shared" ca="1" si="619"/>
        <v>0</v>
      </c>
      <c r="L164" s="459">
        <f t="shared" ca="1" si="619"/>
        <v>0</v>
      </c>
      <c r="M164" s="459">
        <f t="shared" ca="1" si="619"/>
        <v>0</v>
      </c>
      <c r="N164" s="459">
        <f t="shared" ca="1" si="619"/>
        <v>0</v>
      </c>
      <c r="O164" s="459">
        <f t="shared" ca="1" si="619"/>
        <v>0</v>
      </c>
      <c r="P164" s="459">
        <f t="shared" ca="1" si="619"/>
        <v>0</v>
      </c>
      <c r="Q164" s="459">
        <f t="shared" ca="1" si="619"/>
        <v>0</v>
      </c>
      <c r="R164" s="459">
        <f t="shared" ca="1" si="619"/>
        <v>0</v>
      </c>
      <c r="S164" s="459">
        <f t="shared" ca="1" si="619"/>
        <v>0</v>
      </c>
      <c r="T164" s="459">
        <f t="shared" ca="1" si="619"/>
        <v>0</v>
      </c>
      <c r="U164" s="459">
        <f t="shared" ca="1" si="619"/>
        <v>0</v>
      </c>
      <c r="V164" s="459">
        <f t="shared" ca="1" si="619"/>
        <v>0</v>
      </c>
      <c r="W164" s="459">
        <f t="shared" ca="1" si="619"/>
        <v>0</v>
      </c>
      <c r="X164" s="459">
        <f t="shared" ca="1" si="619"/>
        <v>0</v>
      </c>
      <c r="Y164" s="459">
        <f t="shared" ca="1" si="619"/>
        <v>0</v>
      </c>
      <c r="Z164" s="459">
        <f t="shared" ca="1" si="619"/>
        <v>0</v>
      </c>
      <c r="AA164" s="459">
        <f t="shared" ca="1" si="619"/>
        <v>0</v>
      </c>
      <c r="AB164" s="459">
        <f t="shared" ca="1" si="619"/>
        <v>0</v>
      </c>
      <c r="AC164" s="459">
        <f t="shared" ca="1" si="619"/>
        <v>0</v>
      </c>
      <c r="AD164" s="459">
        <f t="shared" ca="1" si="619"/>
        <v>0</v>
      </c>
      <c r="AE164" s="459">
        <f t="shared" ca="1" si="619"/>
        <v>0</v>
      </c>
      <c r="AF164" s="459">
        <f t="shared" ca="1" si="619"/>
        <v>0</v>
      </c>
      <c r="AG164" s="459">
        <f t="shared" ca="1" si="619"/>
        <v>0</v>
      </c>
      <c r="AH164" s="459">
        <f t="shared" ca="1" si="619"/>
        <v>0</v>
      </c>
      <c r="AI164" s="459">
        <f t="shared" ca="1" si="619"/>
        <v>0</v>
      </c>
      <c r="AJ164" s="459">
        <f t="shared" ca="1" si="619"/>
        <v>0</v>
      </c>
      <c r="AK164" s="459">
        <f t="shared" ca="1" si="619"/>
        <v>0</v>
      </c>
      <c r="AL164" s="459">
        <f t="shared" ca="1" si="619"/>
        <v>0</v>
      </c>
      <c r="AM164" s="459">
        <f t="shared" ca="1" si="619"/>
        <v>0</v>
      </c>
      <c r="AN164" s="459">
        <f t="shared" ca="1" si="619"/>
        <v>0</v>
      </c>
      <c r="AO164" s="459">
        <f t="shared" ca="1" si="619"/>
        <v>0</v>
      </c>
      <c r="AP164" s="459">
        <f t="shared" ca="1" si="619"/>
        <v>0</v>
      </c>
      <c r="AQ164" s="459">
        <f t="shared" ca="1" si="619"/>
        <v>0</v>
      </c>
      <c r="AR164" s="459">
        <f t="shared" ca="1" si="619"/>
        <v>0</v>
      </c>
      <c r="AS164" s="459">
        <f t="shared" ca="1" si="619"/>
        <v>0</v>
      </c>
      <c r="AT164" s="459">
        <f t="shared" ca="1" si="619"/>
        <v>0</v>
      </c>
      <c r="AU164" s="459">
        <f t="shared" ca="1" si="619"/>
        <v>0</v>
      </c>
      <c r="AV164" s="459">
        <f t="shared" ca="1" si="619"/>
        <v>0</v>
      </c>
      <c r="AW164" s="459">
        <f t="shared" ca="1" si="619"/>
        <v>0</v>
      </c>
      <c r="AX164" s="459">
        <f t="shared" ca="1" si="619"/>
        <v>0</v>
      </c>
      <c r="AY164" s="459">
        <f t="shared" ca="1" si="619"/>
        <v>0</v>
      </c>
      <c r="AZ164" s="459">
        <f t="shared" ca="1" si="619"/>
        <v>0</v>
      </c>
      <c r="BA164" s="459">
        <f t="shared" ca="1" si="619"/>
        <v>0</v>
      </c>
      <c r="BB164" s="459">
        <f t="shared" ca="1" si="619"/>
        <v>0</v>
      </c>
      <c r="BC164" s="459">
        <f t="shared" ca="1" si="619"/>
        <v>0</v>
      </c>
      <c r="BD164" s="459">
        <f t="shared" ca="1" si="619"/>
        <v>0</v>
      </c>
      <c r="BE164" s="459">
        <f t="shared" ca="1" si="619"/>
        <v>0</v>
      </c>
      <c r="BF164" s="459">
        <f t="shared" ca="1" si="619"/>
        <v>0</v>
      </c>
      <c r="BG164" s="459">
        <f t="shared" ca="1" si="619"/>
        <v>0</v>
      </c>
      <c r="BH164" s="459">
        <f t="shared" ca="1" si="619"/>
        <v>0</v>
      </c>
      <c r="BI164" s="459">
        <f t="shared" ca="1" si="619"/>
        <v>0</v>
      </c>
      <c r="BJ164" s="459">
        <f t="shared" ca="1" si="619"/>
        <v>0</v>
      </c>
      <c r="BK164" s="459">
        <f t="shared" ca="1" si="619"/>
        <v>0</v>
      </c>
      <c r="BL164" s="459">
        <f t="shared" ca="1" si="619"/>
        <v>0</v>
      </c>
      <c r="BM164" s="459">
        <f t="shared" ca="1" si="619"/>
        <v>0</v>
      </c>
      <c r="BN164" s="459">
        <f t="shared" ca="1" si="619"/>
        <v>0</v>
      </c>
      <c r="BO164" s="459">
        <f t="shared" ca="1" si="619"/>
        <v>0</v>
      </c>
      <c r="BP164" s="459"/>
      <c r="BQ164" s="459"/>
      <c r="BR164" s="459"/>
      <c r="BS164" s="459"/>
      <c r="BT164" s="459"/>
      <c r="BU164" s="459"/>
      <c r="BV164" s="459"/>
      <c r="BW164" s="459"/>
      <c r="BX164" s="459"/>
      <c r="BY164" s="459"/>
      <c r="BZ164" s="459"/>
      <c r="CA164" s="459"/>
      <c r="CB164" s="459"/>
      <c r="CC164" s="459"/>
      <c r="CD164" s="459"/>
      <c r="CE164" s="459"/>
      <c r="CF164" s="459"/>
      <c r="CG164" s="459"/>
      <c r="CH164" s="459"/>
      <c r="CI164" s="459"/>
      <c r="CJ164" s="459"/>
      <c r="CK164" s="459"/>
      <c r="CL164" s="459"/>
      <c r="CM164" s="459"/>
      <c r="CN164" s="459"/>
      <c r="CO164" s="459"/>
      <c r="CP164" s="459"/>
      <c r="CQ164" s="459"/>
      <c r="CR164" s="459"/>
      <c r="CS164" s="459"/>
      <c r="CT164" s="459"/>
      <c r="CU164" s="459"/>
      <c r="CV164" s="459"/>
      <c r="CW164" s="459"/>
      <c r="CX164" s="459"/>
      <c r="CY164" s="459"/>
      <c r="CZ164" s="459"/>
      <c r="DA164" s="459"/>
      <c r="DB164" s="459"/>
      <c r="DC164" s="459"/>
      <c r="DD164" s="459"/>
      <c r="DE164" s="459"/>
      <c r="DF164" s="459"/>
      <c r="DG164" s="459"/>
      <c r="DH164" s="459"/>
      <c r="DI164" s="459"/>
      <c r="DJ164" s="459"/>
      <c r="DK164" s="459"/>
      <c r="DL164" s="459"/>
      <c r="DM164" s="459"/>
      <c r="DN164" s="459"/>
      <c r="DO164" s="459"/>
      <c r="DP164" s="459"/>
      <c r="DQ164" s="459"/>
      <c r="DR164" s="459"/>
      <c r="DS164" s="459"/>
      <c r="DT164" s="459"/>
      <c r="DU164" s="459"/>
      <c r="DV164" s="459"/>
      <c r="DW164" s="459"/>
    </row>
    <row r="165" spans="1:127">
      <c r="A165" s="344" t="str">
        <f>A156</f>
        <v>Investor 2</v>
      </c>
      <c r="B165" s="708"/>
      <c r="C165" s="708"/>
      <c r="D165" s="396"/>
      <c r="E165" s="396"/>
      <c r="G165" s="513">
        <f ca="1">SUM(G160:G162)</f>
        <v>0</v>
      </c>
      <c r="H165" s="513">
        <f t="shared" ref="H165" ca="1" si="620">SUM(H160:H162)</f>
        <v>0</v>
      </c>
      <c r="I165" s="513">
        <f t="shared" ref="I165:BO165" ca="1" si="621">SUM(I160:I162)</f>
        <v>0</v>
      </c>
      <c r="J165" s="513">
        <f t="shared" ca="1" si="621"/>
        <v>0</v>
      </c>
      <c r="K165" s="513">
        <f t="shared" ca="1" si="621"/>
        <v>0</v>
      </c>
      <c r="L165" s="513">
        <f t="shared" ca="1" si="621"/>
        <v>0</v>
      </c>
      <c r="M165" s="513">
        <f t="shared" ca="1" si="621"/>
        <v>0</v>
      </c>
      <c r="N165" s="513">
        <f t="shared" ca="1" si="621"/>
        <v>0</v>
      </c>
      <c r="O165" s="513">
        <f t="shared" ca="1" si="621"/>
        <v>0</v>
      </c>
      <c r="P165" s="513">
        <f t="shared" ca="1" si="621"/>
        <v>0</v>
      </c>
      <c r="Q165" s="513">
        <f t="shared" ca="1" si="621"/>
        <v>0</v>
      </c>
      <c r="R165" s="513">
        <f t="shared" ca="1" si="621"/>
        <v>0</v>
      </c>
      <c r="S165" s="513">
        <f t="shared" ca="1" si="621"/>
        <v>0</v>
      </c>
      <c r="T165" s="513">
        <f t="shared" ca="1" si="621"/>
        <v>0</v>
      </c>
      <c r="U165" s="513">
        <f t="shared" ca="1" si="621"/>
        <v>0</v>
      </c>
      <c r="V165" s="513">
        <f t="shared" ca="1" si="621"/>
        <v>0</v>
      </c>
      <c r="W165" s="513">
        <f t="shared" ca="1" si="621"/>
        <v>0</v>
      </c>
      <c r="X165" s="513">
        <f t="shared" ca="1" si="621"/>
        <v>0</v>
      </c>
      <c r="Y165" s="513">
        <f t="shared" ca="1" si="621"/>
        <v>0</v>
      </c>
      <c r="Z165" s="513">
        <f t="shared" ca="1" si="621"/>
        <v>0</v>
      </c>
      <c r="AA165" s="513">
        <f t="shared" ca="1" si="621"/>
        <v>0</v>
      </c>
      <c r="AB165" s="513">
        <f t="shared" ca="1" si="621"/>
        <v>0</v>
      </c>
      <c r="AC165" s="513">
        <f t="shared" ca="1" si="621"/>
        <v>0</v>
      </c>
      <c r="AD165" s="513">
        <f t="shared" ca="1" si="621"/>
        <v>0</v>
      </c>
      <c r="AE165" s="513">
        <f t="shared" ca="1" si="621"/>
        <v>0</v>
      </c>
      <c r="AF165" s="513">
        <f t="shared" ca="1" si="621"/>
        <v>0</v>
      </c>
      <c r="AG165" s="513">
        <f t="shared" ca="1" si="621"/>
        <v>0</v>
      </c>
      <c r="AH165" s="513">
        <f t="shared" ca="1" si="621"/>
        <v>0</v>
      </c>
      <c r="AI165" s="513">
        <f t="shared" ca="1" si="621"/>
        <v>0</v>
      </c>
      <c r="AJ165" s="513">
        <f t="shared" ca="1" si="621"/>
        <v>0</v>
      </c>
      <c r="AK165" s="513">
        <f t="shared" ca="1" si="621"/>
        <v>0</v>
      </c>
      <c r="AL165" s="513">
        <f t="shared" ca="1" si="621"/>
        <v>0</v>
      </c>
      <c r="AM165" s="513">
        <f t="shared" ca="1" si="621"/>
        <v>0</v>
      </c>
      <c r="AN165" s="513">
        <f t="shared" ca="1" si="621"/>
        <v>0</v>
      </c>
      <c r="AO165" s="513">
        <f t="shared" ca="1" si="621"/>
        <v>0</v>
      </c>
      <c r="AP165" s="513">
        <f t="shared" ca="1" si="621"/>
        <v>0</v>
      </c>
      <c r="AQ165" s="513">
        <f t="shared" ca="1" si="621"/>
        <v>0</v>
      </c>
      <c r="AR165" s="513">
        <f t="shared" ca="1" si="621"/>
        <v>0</v>
      </c>
      <c r="AS165" s="513">
        <f t="shared" ca="1" si="621"/>
        <v>0</v>
      </c>
      <c r="AT165" s="513">
        <f t="shared" ca="1" si="621"/>
        <v>0</v>
      </c>
      <c r="AU165" s="513">
        <f t="shared" ca="1" si="621"/>
        <v>0</v>
      </c>
      <c r="AV165" s="513">
        <f t="shared" ca="1" si="621"/>
        <v>0</v>
      </c>
      <c r="AW165" s="513">
        <f t="shared" ca="1" si="621"/>
        <v>0</v>
      </c>
      <c r="AX165" s="513">
        <f t="shared" ca="1" si="621"/>
        <v>0</v>
      </c>
      <c r="AY165" s="513">
        <f t="shared" ca="1" si="621"/>
        <v>0</v>
      </c>
      <c r="AZ165" s="513">
        <f t="shared" ca="1" si="621"/>
        <v>0</v>
      </c>
      <c r="BA165" s="513">
        <f t="shared" ca="1" si="621"/>
        <v>0</v>
      </c>
      <c r="BB165" s="513">
        <f t="shared" ca="1" si="621"/>
        <v>0</v>
      </c>
      <c r="BC165" s="513">
        <f t="shared" ca="1" si="621"/>
        <v>0</v>
      </c>
      <c r="BD165" s="513">
        <f t="shared" ca="1" si="621"/>
        <v>0</v>
      </c>
      <c r="BE165" s="513">
        <f t="shared" ca="1" si="621"/>
        <v>0</v>
      </c>
      <c r="BF165" s="513">
        <f t="shared" ca="1" si="621"/>
        <v>0</v>
      </c>
      <c r="BG165" s="513">
        <f t="shared" ca="1" si="621"/>
        <v>0</v>
      </c>
      <c r="BH165" s="513">
        <f t="shared" ca="1" si="621"/>
        <v>0</v>
      </c>
      <c r="BI165" s="513">
        <f t="shared" ca="1" si="621"/>
        <v>0</v>
      </c>
      <c r="BJ165" s="513">
        <f t="shared" ca="1" si="621"/>
        <v>0</v>
      </c>
      <c r="BK165" s="513">
        <f t="shared" ca="1" si="621"/>
        <v>0</v>
      </c>
      <c r="BL165" s="513">
        <f t="shared" ca="1" si="621"/>
        <v>0</v>
      </c>
      <c r="BM165" s="513">
        <f t="shared" ca="1" si="621"/>
        <v>0</v>
      </c>
      <c r="BN165" s="513">
        <f t="shared" ca="1" si="621"/>
        <v>0</v>
      </c>
      <c r="BO165" s="513">
        <f t="shared" ca="1" si="621"/>
        <v>0</v>
      </c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</row>
    <row r="167" spans="1:127">
      <c r="A167" s="627" t="s">
        <v>1251</v>
      </c>
      <c r="B167" s="988"/>
      <c r="C167" s="988"/>
      <c r="E167" s="396">
        <f ca="1">ABS(SUM(H128:DW128)&gt;precision*D124)*(Production_Scenario=base_scenario)</f>
        <v>1</v>
      </c>
    </row>
    <row r="168" spans="1:127">
      <c r="A168" s="304" t="s">
        <v>163</v>
      </c>
      <c r="D168" s="804">
        <f ca="1">IFERROR((COUNTIF($G$130:$DW$130,"&gt;0")-1+ABS(INDEX($G$125:$DW$125,,COUNTIF($G$130:$DW$130,"&gt;0")+1))/INDEX($G$123:$DW$123,,COUNTIF($G$130:$DW$130,"&gt;0")+1))/$B$3,0)</f>
        <v>19.519835616438357</v>
      </c>
      <c r="E168" s="804"/>
    </row>
  </sheetData>
  <hyperlinks>
    <hyperlink ref="E1" location="Outputs!D45" display="Outputs!D45" xr:uid="{00000000-0004-0000-0A00-000000000000}"/>
  </hyperlinks>
  <pageMargins left="0.7" right="0.7" top="0.75" bottom="0.75" header="0.3" footer="0.3"/>
  <pageSetup paperSize="9" scale="10" orientation="portrait" r:id="rId1"/>
  <colBreaks count="1" manualBreakCount="1">
    <brk id="127" max="101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24" id="{00000000-000E-0000-0900-0000A40A0000}">
            <xm:f>G$3&gt;Inputs!$D$16</xm:f>
            <x14:dxf>
              <font>
                <color theme="0" tint="-0.14996795556505021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G1:DW12 G14:DW165</xm:sqref>
        </x14:conditionalFormatting>
        <x14:conditionalFormatting xmlns:xm="http://schemas.microsoft.com/office/excel/2006/main">
          <x14:cfRule type="iconSet" priority="445" id="{A7909D24-B63F-40D6-BC20-A766706A543C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E167</xm:sqref>
        </x14:conditionalFormatting>
        <x14:conditionalFormatting xmlns:xm="http://schemas.microsoft.com/office/excel/2006/main">
          <x14:cfRule type="iconSet" priority="446" id="{097841A3-254E-4686-B09B-E5F01F8B73D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E36 D37:E37</xm:sqref>
        </x14:conditionalFormatting>
        <x14:conditionalFormatting xmlns:xm="http://schemas.microsoft.com/office/excel/2006/main">
          <x14:cfRule type="iconSet" priority="12" id="{7278034B-D3CC-4442-8FF3-98991FC7EEB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iconSet" priority="10" id="{60441CC5-9DE4-408B-B573-D715371A7A2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E59</xm:sqref>
        </x14:conditionalFormatting>
        <x14:conditionalFormatting xmlns:xm="http://schemas.microsoft.com/office/excel/2006/main">
          <x14:cfRule type="iconSet" priority="9" id="{99098456-832C-416D-B065-56537B2A1E7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E58</xm:sqref>
        </x14:conditionalFormatting>
        <x14:conditionalFormatting xmlns:xm="http://schemas.microsoft.com/office/excel/2006/main">
          <x14:cfRule type="iconSet" priority="8" id="{6AF98D95-9686-4874-A20D-1DB343029454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E93</xm:sqref>
        </x14:conditionalFormatting>
        <x14:conditionalFormatting xmlns:xm="http://schemas.microsoft.com/office/excel/2006/main">
          <x14:cfRule type="iconSet" priority="5" id="{01230953-AE5D-4F0B-87D1-B0000C90513E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E109</xm:sqref>
        </x14:conditionalFormatting>
        <x14:conditionalFormatting xmlns:xm="http://schemas.microsoft.com/office/excel/2006/main">
          <x14:cfRule type="iconSet" priority="1286" id="{67F066BF-EE65-4954-9649-366DAFB6668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E115 E108</xm:sqref>
        </x14:conditionalFormatting>
        <x14:conditionalFormatting xmlns:xm="http://schemas.microsoft.com/office/excel/2006/main">
          <x14:cfRule type="iconSet" priority="4" id="{5825511C-818A-4962-B931-EBB6E184B667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E128</xm:sqref>
        </x14:conditionalFormatting>
        <x14:conditionalFormatting xmlns:xm="http://schemas.microsoft.com/office/excel/2006/main">
          <x14:cfRule type="iconSet" priority="2" id="{1B571F5B-BE78-4CF7-976A-97136D8FB18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E132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_equity"/>
  <dimension ref="A1:EA143"/>
  <sheetViews>
    <sheetView showGridLines="0" zoomScale="115" zoomScaleNormal="115" workbookViewId="0">
      <pane xSplit="6" ySplit="4" topLeftCell="G115" activePane="bottomRight" state="frozen"/>
      <selection pane="bottomRight" activeCell="D143" sqref="D143"/>
      <selection pane="bottomLeft" activeCell="A10" sqref="A10"/>
      <selection pane="topRight" activeCell="F1" sqref="F1"/>
    </sheetView>
  </sheetViews>
  <sheetFormatPr defaultColWidth="11.42578125" defaultRowHeight="11.25"/>
  <cols>
    <col min="1" max="1" width="38.5703125" style="304" customWidth="1"/>
    <col min="2" max="3" width="7.85546875" style="729" customWidth="1"/>
    <col min="4" max="4" width="9.7109375" style="304" customWidth="1"/>
    <col min="5" max="6" width="2.5703125" style="304" customWidth="1"/>
    <col min="7" max="127" width="9.5703125" style="304" customWidth="1"/>
    <col min="128" max="128" width="2.5703125" style="537" customWidth="1"/>
    <col min="129" max="129" width="12.42578125" style="537" customWidth="1"/>
    <col min="130" max="131" width="11.42578125" style="537"/>
    <col min="132" max="16384" width="11.42578125" style="304"/>
  </cols>
  <sheetData>
    <row r="1" spans="1:127">
      <c r="A1" s="996" t="s">
        <v>1108</v>
      </c>
      <c r="B1" s="685"/>
      <c r="C1" s="685"/>
      <c r="E1" s="136">
        <f ca="1">Outputs!$D$46</f>
        <v>11182.479442004989</v>
      </c>
      <c r="F1" s="310"/>
      <c r="G1" s="1000">
        <f>Flags!G5</f>
        <v>47298</v>
      </c>
      <c r="H1" s="1000">
        <f>Flags!H5</f>
        <v>47665</v>
      </c>
      <c r="I1" s="1000">
        <f>Flags!I5</f>
        <v>47849</v>
      </c>
      <c r="J1" s="1000">
        <f>Flags!J5</f>
        <v>48030</v>
      </c>
      <c r="K1" s="1000">
        <f>Flags!K5</f>
        <v>48214</v>
      </c>
      <c r="L1" s="1000">
        <f>Flags!L5</f>
        <v>48396</v>
      </c>
      <c r="M1" s="1000">
        <f>Flags!M5</f>
        <v>48580</v>
      </c>
      <c r="N1" s="1000">
        <f>Flags!N5</f>
        <v>48761</v>
      </c>
      <c r="O1" s="1000">
        <f>Flags!O5</f>
        <v>48945</v>
      </c>
      <c r="P1" s="1000">
        <f>Flags!P5</f>
        <v>49126</v>
      </c>
      <c r="Q1" s="1000">
        <f>Flags!Q5</f>
        <v>49310</v>
      </c>
      <c r="R1" s="1000">
        <f>Flags!R5</f>
        <v>49491</v>
      </c>
      <c r="S1" s="1000">
        <f>Flags!S5</f>
        <v>49675</v>
      </c>
      <c r="T1" s="1000">
        <f>Flags!T5</f>
        <v>49857</v>
      </c>
      <c r="U1" s="1000">
        <f>Flags!U5</f>
        <v>50041</v>
      </c>
      <c r="V1" s="1000">
        <f>Flags!V5</f>
        <v>50222</v>
      </c>
      <c r="W1" s="1000">
        <f>Flags!W5</f>
        <v>50406</v>
      </c>
      <c r="X1" s="1000">
        <f>Flags!X5</f>
        <v>50587</v>
      </c>
      <c r="Y1" s="1000">
        <f>Flags!Y5</f>
        <v>50771</v>
      </c>
      <c r="Z1" s="1000">
        <f>Flags!Z5</f>
        <v>50952</v>
      </c>
      <c r="AA1" s="1000">
        <f>Flags!AA5</f>
        <v>51136</v>
      </c>
      <c r="AB1" s="1000">
        <f>Flags!AB5</f>
        <v>51318</v>
      </c>
      <c r="AC1" s="1000">
        <f>Flags!AC5</f>
        <v>51502</v>
      </c>
      <c r="AD1" s="1000">
        <f>Flags!AD5</f>
        <v>51683</v>
      </c>
      <c r="AE1" s="1000">
        <f>Flags!AE5</f>
        <v>51867</v>
      </c>
      <c r="AF1" s="1000">
        <f>Flags!AF5</f>
        <v>52048</v>
      </c>
      <c r="AG1" s="1000">
        <f>Flags!AG5</f>
        <v>52232</v>
      </c>
      <c r="AH1" s="1000">
        <f>Flags!AH5</f>
        <v>52413</v>
      </c>
      <c r="AI1" s="1000">
        <f>Flags!AI5</f>
        <v>52597</v>
      </c>
      <c r="AJ1" s="1000">
        <f>Flags!AJ5</f>
        <v>52779</v>
      </c>
      <c r="AK1" s="1000">
        <f>Flags!AK5</f>
        <v>52963</v>
      </c>
      <c r="AL1" s="1000">
        <f>Flags!AL5</f>
        <v>53144</v>
      </c>
      <c r="AM1" s="1000">
        <f>Flags!AM5</f>
        <v>53328</v>
      </c>
      <c r="AN1" s="1000">
        <f>Flags!AN5</f>
        <v>53509</v>
      </c>
      <c r="AO1" s="1000">
        <f>Flags!AO5</f>
        <v>53693</v>
      </c>
      <c r="AP1" s="1000">
        <f>Flags!AP5</f>
        <v>53874</v>
      </c>
      <c r="AQ1" s="1000">
        <f>Flags!AQ5</f>
        <v>54058</v>
      </c>
      <c r="AR1" s="1000">
        <f>Flags!AR5</f>
        <v>54240</v>
      </c>
      <c r="AS1" s="1000">
        <f>Flags!AS5</f>
        <v>54424</v>
      </c>
      <c r="AT1" s="1000">
        <f>Flags!AT5</f>
        <v>54605</v>
      </c>
      <c r="AU1" s="1000">
        <f>Flags!AU5</f>
        <v>54789</v>
      </c>
      <c r="AV1" s="1000">
        <f>Flags!AV5</f>
        <v>54970</v>
      </c>
      <c r="AW1" s="1000">
        <f>Flags!AW5</f>
        <v>55154</v>
      </c>
      <c r="AX1" s="1000">
        <f>Flags!AX5</f>
        <v>55335</v>
      </c>
      <c r="AY1" s="1000">
        <f>Flags!AY5</f>
        <v>55519</v>
      </c>
      <c r="AZ1" s="1000">
        <f>Flags!AZ5</f>
        <v>55701</v>
      </c>
      <c r="BA1" s="1000">
        <f>Flags!BA5</f>
        <v>55885</v>
      </c>
      <c r="BB1" s="1000">
        <f>Flags!BB5</f>
        <v>56066</v>
      </c>
      <c r="BC1" s="1000">
        <f>Flags!BC5</f>
        <v>56250</v>
      </c>
      <c r="BD1" s="1000">
        <f>Flags!BD5</f>
        <v>56431</v>
      </c>
      <c r="BE1" s="1000">
        <f>Flags!BE5</f>
        <v>56615</v>
      </c>
      <c r="BF1" s="1000">
        <f>Flags!BF5</f>
        <v>56796</v>
      </c>
      <c r="BG1" s="1000">
        <f>Flags!BG5</f>
        <v>56980</v>
      </c>
      <c r="BH1" s="1000">
        <f>Flags!BH5</f>
        <v>57162</v>
      </c>
      <c r="BI1" s="1000">
        <f>Flags!BI5</f>
        <v>57346</v>
      </c>
      <c r="BJ1" s="1000">
        <f>Flags!BJ5</f>
        <v>57527</v>
      </c>
      <c r="BK1" s="1000">
        <f>Flags!BK5</f>
        <v>57711</v>
      </c>
      <c r="BL1" s="1000">
        <f>Flags!BL5</f>
        <v>57892</v>
      </c>
      <c r="BM1" s="1000">
        <f>Flags!BM5</f>
        <v>58076</v>
      </c>
      <c r="BN1" s="1000">
        <f>Flags!BN5</f>
        <v>58257</v>
      </c>
      <c r="BO1" s="1000">
        <f>Flags!BO5</f>
        <v>58441</v>
      </c>
      <c r="BP1" s="1000">
        <f>Flags!BP5</f>
        <v>58623</v>
      </c>
      <c r="BQ1" s="1000">
        <f>Flags!BQ5</f>
        <v>58807</v>
      </c>
      <c r="BR1" s="1000">
        <f>Flags!BR5</f>
        <v>58988</v>
      </c>
      <c r="BS1" s="1000">
        <f>Flags!BS5</f>
        <v>59172</v>
      </c>
      <c r="BT1" s="1000">
        <f>Flags!BT5</f>
        <v>59353</v>
      </c>
      <c r="BU1" s="1000">
        <f>Flags!BU5</f>
        <v>59537</v>
      </c>
      <c r="BV1" s="1000">
        <f>Flags!BV5</f>
        <v>59718</v>
      </c>
      <c r="BW1" s="1000">
        <f>Flags!BW5</f>
        <v>59902</v>
      </c>
      <c r="BX1" s="1000">
        <f>Flags!BX5</f>
        <v>60084</v>
      </c>
      <c r="BY1" s="1000">
        <f>Flags!BY5</f>
        <v>60268</v>
      </c>
      <c r="BZ1" s="1000">
        <f>Flags!BZ5</f>
        <v>60449</v>
      </c>
      <c r="CA1" s="1000">
        <f>Flags!CA5</f>
        <v>60633</v>
      </c>
      <c r="CB1" s="1000">
        <f>Flags!CB5</f>
        <v>60814</v>
      </c>
      <c r="CC1" s="1000">
        <f>Flags!CC5</f>
        <v>60998</v>
      </c>
      <c r="CD1" s="1000">
        <f>Flags!CD5</f>
        <v>61179</v>
      </c>
      <c r="CE1" s="1000">
        <f>Flags!CE5</f>
        <v>61363</v>
      </c>
      <c r="CF1" s="1000">
        <f>Flags!CF5</f>
        <v>61545</v>
      </c>
      <c r="CG1" s="1000">
        <f>Flags!CG5</f>
        <v>61729</v>
      </c>
      <c r="CH1" s="1000">
        <f>Flags!CH5</f>
        <v>61910</v>
      </c>
      <c r="CI1" s="1000">
        <f>Flags!CI5</f>
        <v>62094</v>
      </c>
      <c r="CJ1" s="1000">
        <f>Flags!CJ5</f>
        <v>62275</v>
      </c>
      <c r="CK1" s="1000">
        <f>Flags!CK5</f>
        <v>62459</v>
      </c>
      <c r="CL1" s="1000">
        <f>Flags!CL5</f>
        <v>62640</v>
      </c>
      <c r="CM1" s="1000">
        <f>Flags!CM5</f>
        <v>62824</v>
      </c>
      <c r="CN1" s="1000">
        <f>Flags!CN5</f>
        <v>63006</v>
      </c>
      <c r="CO1" s="1000">
        <f>Flags!CO5</f>
        <v>63190</v>
      </c>
      <c r="CP1" s="1000">
        <f>Flags!CP5</f>
        <v>63371</v>
      </c>
      <c r="CQ1" s="1000">
        <f>Flags!CQ5</f>
        <v>63555</v>
      </c>
      <c r="CR1" s="1000">
        <f>Flags!CR5</f>
        <v>63736</v>
      </c>
      <c r="CS1" s="1000">
        <f>Flags!CS5</f>
        <v>63920</v>
      </c>
      <c r="CT1" s="1000">
        <f>Flags!CT5</f>
        <v>64101</v>
      </c>
      <c r="CU1" s="1000">
        <f>Flags!CU5</f>
        <v>64285</v>
      </c>
      <c r="CV1" s="1000">
        <f>Flags!CV5</f>
        <v>64467</v>
      </c>
      <c r="CW1" s="1000">
        <f>Flags!CW5</f>
        <v>64651</v>
      </c>
      <c r="CX1" s="1000">
        <f>Flags!CX5</f>
        <v>64832</v>
      </c>
      <c r="CY1" s="1000">
        <f>Flags!CY5</f>
        <v>65016</v>
      </c>
      <c r="CZ1" s="1000">
        <f>Flags!CZ5</f>
        <v>65197</v>
      </c>
      <c r="DA1" s="1000">
        <f>Flags!DA5</f>
        <v>65381</v>
      </c>
      <c r="DB1" s="1000">
        <f>Flags!DB5</f>
        <v>65562</v>
      </c>
      <c r="DC1" s="1000">
        <f>Flags!DC5</f>
        <v>65746</v>
      </c>
      <c r="DD1" s="1000">
        <f>Flags!DD5</f>
        <v>65928</v>
      </c>
      <c r="DE1" s="1000">
        <f>Flags!DE5</f>
        <v>66112</v>
      </c>
      <c r="DF1" s="1000">
        <f>Flags!DF5</f>
        <v>66293</v>
      </c>
      <c r="DG1" s="1000">
        <f>Flags!DG5</f>
        <v>66477</v>
      </c>
      <c r="DH1" s="1000">
        <f>Flags!DH5</f>
        <v>66658</v>
      </c>
      <c r="DI1" s="1000">
        <f>Flags!DI5</f>
        <v>66842</v>
      </c>
      <c r="DJ1" s="1000">
        <f>Flags!DJ5</f>
        <v>67023</v>
      </c>
      <c r="DK1" s="1000">
        <f>Flags!DK5</f>
        <v>67207</v>
      </c>
      <c r="DL1" s="1000">
        <f>Flags!DL5</f>
        <v>67389</v>
      </c>
      <c r="DM1" s="1000">
        <f>Flags!DM5</f>
        <v>67573</v>
      </c>
      <c r="DN1" s="1000">
        <f>Flags!DN5</f>
        <v>67754</v>
      </c>
      <c r="DO1" s="1000">
        <f>Flags!DO5</f>
        <v>67938</v>
      </c>
      <c r="DP1" s="1000">
        <f>Flags!DP5</f>
        <v>68119</v>
      </c>
      <c r="DQ1" s="1000">
        <f>Flags!DQ5</f>
        <v>68303</v>
      </c>
      <c r="DR1" s="1000">
        <f>Flags!DR5</f>
        <v>68484</v>
      </c>
      <c r="DS1" s="1000">
        <f>Flags!DS5</f>
        <v>68668</v>
      </c>
      <c r="DT1" s="1000">
        <f>Flags!DT5</f>
        <v>68850</v>
      </c>
      <c r="DU1" s="1000">
        <f>Flags!DU5</f>
        <v>69034</v>
      </c>
      <c r="DV1" s="1000">
        <f>Flags!DV5</f>
        <v>69215</v>
      </c>
      <c r="DW1" s="1000">
        <f>Flags!DW5</f>
        <v>69399</v>
      </c>
    </row>
    <row r="2" spans="1:127">
      <c r="A2" s="996" t="s">
        <v>1109</v>
      </c>
      <c r="B2" s="673"/>
      <c r="C2" s="673"/>
      <c r="E2" s="484"/>
      <c r="F2" s="310"/>
      <c r="G2" s="1000">
        <f>Flags!G6</f>
        <v>47664</v>
      </c>
      <c r="H2" s="1000">
        <f>Flags!H6</f>
        <v>47848</v>
      </c>
      <c r="I2" s="1000">
        <f>Flags!I6</f>
        <v>48029</v>
      </c>
      <c r="J2" s="1000">
        <f>Flags!J6</f>
        <v>48213</v>
      </c>
      <c r="K2" s="1000">
        <f>Flags!K6</f>
        <v>48395</v>
      </c>
      <c r="L2" s="1000">
        <f>Flags!L6</f>
        <v>48579</v>
      </c>
      <c r="M2" s="1000">
        <f>Flags!M6</f>
        <v>48760</v>
      </c>
      <c r="N2" s="1000">
        <f>Flags!N6</f>
        <v>48944</v>
      </c>
      <c r="O2" s="1000">
        <f>Flags!O6</f>
        <v>49125</v>
      </c>
      <c r="P2" s="1000">
        <f>Flags!P6</f>
        <v>49309</v>
      </c>
      <c r="Q2" s="1000">
        <f>Flags!Q6</f>
        <v>49490</v>
      </c>
      <c r="R2" s="1000">
        <f>Flags!R6</f>
        <v>49674</v>
      </c>
      <c r="S2" s="1000">
        <f>Flags!S6</f>
        <v>49856</v>
      </c>
      <c r="T2" s="1000">
        <f>Flags!T6</f>
        <v>50040</v>
      </c>
      <c r="U2" s="1000">
        <f>Flags!U6</f>
        <v>50221</v>
      </c>
      <c r="V2" s="1000">
        <f>Flags!V6</f>
        <v>50405</v>
      </c>
      <c r="W2" s="1000">
        <f>Flags!W6</f>
        <v>50586</v>
      </c>
      <c r="X2" s="1000">
        <f>Flags!X6</f>
        <v>50770</v>
      </c>
      <c r="Y2" s="1000">
        <f>Flags!Y6</f>
        <v>50951</v>
      </c>
      <c r="Z2" s="1000">
        <f>Flags!Z6</f>
        <v>51135</v>
      </c>
      <c r="AA2" s="1000">
        <f>Flags!AA6</f>
        <v>51317</v>
      </c>
      <c r="AB2" s="1000">
        <f>Flags!AB6</f>
        <v>51501</v>
      </c>
      <c r="AC2" s="1000">
        <f>Flags!AC6</f>
        <v>51682</v>
      </c>
      <c r="AD2" s="1000">
        <f>Flags!AD6</f>
        <v>51866</v>
      </c>
      <c r="AE2" s="1000">
        <f>Flags!AE6</f>
        <v>52047</v>
      </c>
      <c r="AF2" s="1000">
        <f>Flags!AF6</f>
        <v>52231</v>
      </c>
      <c r="AG2" s="1000">
        <f>Flags!AG6</f>
        <v>52412</v>
      </c>
      <c r="AH2" s="1000">
        <f>Flags!AH6</f>
        <v>52596</v>
      </c>
      <c r="AI2" s="1000">
        <f>Flags!AI6</f>
        <v>52778</v>
      </c>
      <c r="AJ2" s="1000">
        <f>Flags!AJ6</f>
        <v>52962</v>
      </c>
      <c r="AK2" s="1000">
        <f>Flags!AK6</f>
        <v>53143</v>
      </c>
      <c r="AL2" s="1000">
        <f>Flags!AL6</f>
        <v>53327</v>
      </c>
      <c r="AM2" s="1000">
        <f>Flags!AM6</f>
        <v>53508</v>
      </c>
      <c r="AN2" s="1000">
        <f>Flags!AN6</f>
        <v>53692</v>
      </c>
      <c r="AO2" s="1000">
        <f>Flags!AO6</f>
        <v>53873</v>
      </c>
      <c r="AP2" s="1000">
        <f>Flags!AP6</f>
        <v>54057</v>
      </c>
      <c r="AQ2" s="1000">
        <f>Flags!AQ6</f>
        <v>54239</v>
      </c>
      <c r="AR2" s="1000">
        <f>Flags!AR6</f>
        <v>54423</v>
      </c>
      <c r="AS2" s="1000">
        <f>Flags!AS6</f>
        <v>54604</v>
      </c>
      <c r="AT2" s="1000">
        <f>Flags!AT6</f>
        <v>54788</v>
      </c>
      <c r="AU2" s="1000">
        <f>Flags!AU6</f>
        <v>54969</v>
      </c>
      <c r="AV2" s="1000">
        <f>Flags!AV6</f>
        <v>55153</v>
      </c>
      <c r="AW2" s="1000">
        <f>Flags!AW6</f>
        <v>55334</v>
      </c>
      <c r="AX2" s="1000">
        <f>Flags!AX6</f>
        <v>55518</v>
      </c>
      <c r="AY2" s="1000">
        <f>Flags!AY6</f>
        <v>55700</v>
      </c>
      <c r="AZ2" s="1000">
        <f>Flags!AZ6</f>
        <v>55884</v>
      </c>
      <c r="BA2" s="1000">
        <f>Flags!BA6</f>
        <v>56065</v>
      </c>
      <c r="BB2" s="1000">
        <f>Flags!BB6</f>
        <v>56249</v>
      </c>
      <c r="BC2" s="1000">
        <f>Flags!BC6</f>
        <v>56430</v>
      </c>
      <c r="BD2" s="1000">
        <f>Flags!BD6</f>
        <v>56614</v>
      </c>
      <c r="BE2" s="1000">
        <f>Flags!BE6</f>
        <v>56795</v>
      </c>
      <c r="BF2" s="1000">
        <f>Flags!BF6</f>
        <v>56979</v>
      </c>
      <c r="BG2" s="1000">
        <f>Flags!BG6</f>
        <v>57161</v>
      </c>
      <c r="BH2" s="1000">
        <f>Flags!BH6</f>
        <v>57345</v>
      </c>
      <c r="BI2" s="1000">
        <f>Flags!BI6</f>
        <v>57526</v>
      </c>
      <c r="BJ2" s="1000">
        <f>Flags!BJ6</f>
        <v>57710</v>
      </c>
      <c r="BK2" s="1000">
        <f>Flags!BK6</f>
        <v>57891</v>
      </c>
      <c r="BL2" s="1000">
        <f>Flags!BL6</f>
        <v>58075</v>
      </c>
      <c r="BM2" s="1000">
        <f>Flags!BM6</f>
        <v>58256</v>
      </c>
      <c r="BN2" s="1000">
        <f>Flags!BN6</f>
        <v>58440</v>
      </c>
      <c r="BO2" s="1000">
        <f>Flags!BO6</f>
        <v>58622</v>
      </c>
      <c r="BP2" s="1000">
        <f>Flags!BP6</f>
        <v>58806</v>
      </c>
      <c r="BQ2" s="1000">
        <f>Flags!BQ6</f>
        <v>58987</v>
      </c>
      <c r="BR2" s="1000">
        <f>Flags!BR6</f>
        <v>59171</v>
      </c>
      <c r="BS2" s="1000">
        <f>Flags!BS6</f>
        <v>59352</v>
      </c>
      <c r="BT2" s="1000">
        <f>Flags!BT6</f>
        <v>59536</v>
      </c>
      <c r="BU2" s="1000">
        <f>Flags!BU6</f>
        <v>59717</v>
      </c>
      <c r="BV2" s="1000">
        <f>Flags!BV6</f>
        <v>59901</v>
      </c>
      <c r="BW2" s="1000">
        <f>Flags!BW6</f>
        <v>60083</v>
      </c>
      <c r="BX2" s="1000">
        <f>Flags!BX6</f>
        <v>60267</v>
      </c>
      <c r="BY2" s="1000">
        <f>Flags!BY6</f>
        <v>60448</v>
      </c>
      <c r="BZ2" s="1000">
        <f>Flags!BZ6</f>
        <v>60632</v>
      </c>
      <c r="CA2" s="1000">
        <f>Flags!CA6</f>
        <v>60813</v>
      </c>
      <c r="CB2" s="1000">
        <f>Flags!CB6</f>
        <v>60997</v>
      </c>
      <c r="CC2" s="1000">
        <f>Flags!CC6</f>
        <v>61178</v>
      </c>
      <c r="CD2" s="1000">
        <f>Flags!CD6</f>
        <v>61362</v>
      </c>
      <c r="CE2" s="1000">
        <f>Flags!CE6</f>
        <v>61544</v>
      </c>
      <c r="CF2" s="1000">
        <f>Flags!CF6</f>
        <v>61728</v>
      </c>
      <c r="CG2" s="1000">
        <f>Flags!CG6</f>
        <v>61909</v>
      </c>
      <c r="CH2" s="1000">
        <f>Flags!CH6</f>
        <v>62093</v>
      </c>
      <c r="CI2" s="1000">
        <f>Flags!CI6</f>
        <v>62274</v>
      </c>
      <c r="CJ2" s="1000">
        <f>Flags!CJ6</f>
        <v>62458</v>
      </c>
      <c r="CK2" s="1000">
        <f>Flags!CK6</f>
        <v>62639</v>
      </c>
      <c r="CL2" s="1000">
        <f>Flags!CL6</f>
        <v>62823</v>
      </c>
      <c r="CM2" s="1000">
        <f>Flags!CM6</f>
        <v>63005</v>
      </c>
      <c r="CN2" s="1000">
        <f>Flags!CN6</f>
        <v>63189</v>
      </c>
      <c r="CO2" s="1000">
        <f>Flags!CO6</f>
        <v>63370</v>
      </c>
      <c r="CP2" s="1000">
        <f>Flags!CP6</f>
        <v>63554</v>
      </c>
      <c r="CQ2" s="1000">
        <f>Flags!CQ6</f>
        <v>63735</v>
      </c>
      <c r="CR2" s="1000">
        <f>Flags!CR6</f>
        <v>63919</v>
      </c>
      <c r="CS2" s="1000">
        <f>Flags!CS6</f>
        <v>64100</v>
      </c>
      <c r="CT2" s="1000">
        <f>Flags!CT6</f>
        <v>64284</v>
      </c>
      <c r="CU2" s="1000">
        <f>Flags!CU6</f>
        <v>64466</v>
      </c>
      <c r="CV2" s="1000">
        <f>Flags!CV6</f>
        <v>64650</v>
      </c>
      <c r="CW2" s="1000">
        <f>Flags!CW6</f>
        <v>64831</v>
      </c>
      <c r="CX2" s="1000">
        <f>Flags!CX6</f>
        <v>65015</v>
      </c>
      <c r="CY2" s="1000">
        <f>Flags!CY6</f>
        <v>65196</v>
      </c>
      <c r="CZ2" s="1000">
        <f>Flags!CZ6</f>
        <v>65380</v>
      </c>
      <c r="DA2" s="1000">
        <f>Flags!DA6</f>
        <v>65561</v>
      </c>
      <c r="DB2" s="1000">
        <f>Flags!DB6</f>
        <v>65745</v>
      </c>
      <c r="DC2" s="1000">
        <f>Flags!DC6</f>
        <v>65927</v>
      </c>
      <c r="DD2" s="1000">
        <f>Flags!DD6</f>
        <v>66111</v>
      </c>
      <c r="DE2" s="1000">
        <f>Flags!DE6</f>
        <v>66292</v>
      </c>
      <c r="DF2" s="1000">
        <f>Flags!DF6</f>
        <v>66476</v>
      </c>
      <c r="DG2" s="1000">
        <f>Flags!DG6</f>
        <v>66657</v>
      </c>
      <c r="DH2" s="1000">
        <f>Flags!DH6</f>
        <v>66841</v>
      </c>
      <c r="DI2" s="1000">
        <f>Flags!DI6</f>
        <v>67022</v>
      </c>
      <c r="DJ2" s="1000">
        <f>Flags!DJ6</f>
        <v>67206</v>
      </c>
      <c r="DK2" s="1000">
        <f>Flags!DK6</f>
        <v>67388</v>
      </c>
      <c r="DL2" s="1000">
        <f>Flags!DL6</f>
        <v>67572</v>
      </c>
      <c r="DM2" s="1000">
        <f>Flags!DM6</f>
        <v>67753</v>
      </c>
      <c r="DN2" s="1000">
        <f>Flags!DN6</f>
        <v>67937</v>
      </c>
      <c r="DO2" s="1000">
        <f>Flags!DO6</f>
        <v>68118</v>
      </c>
      <c r="DP2" s="1000">
        <f>Flags!DP6</f>
        <v>68302</v>
      </c>
      <c r="DQ2" s="1000">
        <f>Flags!DQ6</f>
        <v>68483</v>
      </c>
      <c r="DR2" s="1000">
        <f>Flags!DR6</f>
        <v>68667</v>
      </c>
      <c r="DS2" s="1000">
        <f>Flags!DS6</f>
        <v>68849</v>
      </c>
      <c r="DT2" s="1000">
        <f>Flags!DT6</f>
        <v>69033</v>
      </c>
      <c r="DU2" s="1000">
        <f>Flags!DU6</f>
        <v>69214</v>
      </c>
      <c r="DV2" s="1000">
        <f>Flags!DV6</f>
        <v>69398</v>
      </c>
      <c r="DW2" s="1000">
        <f>Flags!DW6</f>
        <v>69579</v>
      </c>
    </row>
    <row r="3" spans="1:127">
      <c r="A3" s="996" t="str">
        <f>Flags!A7</f>
        <v>Year</v>
      </c>
      <c r="B3" s="673"/>
      <c r="C3" s="673"/>
      <c r="D3" s="484"/>
      <c r="E3" s="484"/>
      <c r="F3" s="310"/>
      <c r="G3" s="1001">
        <f>Flags!G7</f>
        <v>0</v>
      </c>
      <c r="H3" s="1001">
        <f>Flags!H7</f>
        <v>1</v>
      </c>
      <c r="I3" s="1001">
        <f>Flags!I7</f>
        <v>1</v>
      </c>
      <c r="J3" s="1001">
        <f>Flags!J7</f>
        <v>2</v>
      </c>
      <c r="K3" s="1001">
        <f>Flags!K7</f>
        <v>2</v>
      </c>
      <c r="L3" s="1001">
        <f>Flags!L7</f>
        <v>3</v>
      </c>
      <c r="M3" s="1001">
        <f>Flags!M7</f>
        <v>3</v>
      </c>
      <c r="N3" s="1001">
        <f>Flags!N7</f>
        <v>4</v>
      </c>
      <c r="O3" s="1001">
        <f>Flags!O7</f>
        <v>4</v>
      </c>
      <c r="P3" s="1001">
        <f>Flags!P7</f>
        <v>5</v>
      </c>
      <c r="Q3" s="1001">
        <f>Flags!Q7</f>
        <v>5</v>
      </c>
      <c r="R3" s="1001">
        <f>Flags!R7</f>
        <v>6</v>
      </c>
      <c r="S3" s="1001">
        <f>Flags!S7</f>
        <v>6</v>
      </c>
      <c r="T3" s="1001">
        <f>Flags!T7</f>
        <v>7</v>
      </c>
      <c r="U3" s="1001">
        <f>Flags!U7</f>
        <v>7</v>
      </c>
      <c r="V3" s="1001">
        <f>Flags!V7</f>
        <v>8</v>
      </c>
      <c r="W3" s="1001">
        <f>Flags!W7</f>
        <v>8</v>
      </c>
      <c r="X3" s="1001">
        <f>Flags!X7</f>
        <v>9</v>
      </c>
      <c r="Y3" s="1001">
        <f>Flags!Y7</f>
        <v>9</v>
      </c>
      <c r="Z3" s="1001">
        <f>Flags!Z7</f>
        <v>10</v>
      </c>
      <c r="AA3" s="1001">
        <f>Flags!AA7</f>
        <v>10</v>
      </c>
      <c r="AB3" s="1001">
        <f>Flags!AB7</f>
        <v>11</v>
      </c>
      <c r="AC3" s="1001">
        <f>Flags!AC7</f>
        <v>11</v>
      </c>
      <c r="AD3" s="1001">
        <f>Flags!AD7</f>
        <v>12</v>
      </c>
      <c r="AE3" s="1001">
        <f>Flags!AE7</f>
        <v>12</v>
      </c>
      <c r="AF3" s="1001">
        <f>Flags!AF7</f>
        <v>13</v>
      </c>
      <c r="AG3" s="1001">
        <f>Flags!AG7</f>
        <v>13</v>
      </c>
      <c r="AH3" s="1001">
        <f>Flags!AH7</f>
        <v>14</v>
      </c>
      <c r="AI3" s="1001">
        <f>Flags!AI7</f>
        <v>14</v>
      </c>
      <c r="AJ3" s="1001">
        <f>Flags!AJ7</f>
        <v>15</v>
      </c>
      <c r="AK3" s="1001">
        <f>Flags!AK7</f>
        <v>15</v>
      </c>
      <c r="AL3" s="1001">
        <f>Flags!AL7</f>
        <v>16</v>
      </c>
      <c r="AM3" s="1001">
        <f>Flags!AM7</f>
        <v>16</v>
      </c>
      <c r="AN3" s="1001">
        <f>Flags!AN7</f>
        <v>17</v>
      </c>
      <c r="AO3" s="1001">
        <f>Flags!AO7</f>
        <v>17</v>
      </c>
      <c r="AP3" s="1001">
        <f>Flags!AP7</f>
        <v>18</v>
      </c>
      <c r="AQ3" s="1001">
        <f>Flags!AQ7</f>
        <v>18</v>
      </c>
      <c r="AR3" s="1001">
        <f>Flags!AR7</f>
        <v>19</v>
      </c>
      <c r="AS3" s="1001">
        <f>Flags!AS7</f>
        <v>19</v>
      </c>
      <c r="AT3" s="1001">
        <f>Flags!AT7</f>
        <v>20</v>
      </c>
      <c r="AU3" s="1001">
        <f>Flags!AU7</f>
        <v>20</v>
      </c>
      <c r="AV3" s="1001">
        <f>Flags!AV7</f>
        <v>21</v>
      </c>
      <c r="AW3" s="1001">
        <f>Flags!AW7</f>
        <v>21</v>
      </c>
      <c r="AX3" s="1001">
        <f>Flags!AX7</f>
        <v>22</v>
      </c>
      <c r="AY3" s="1001">
        <f>Flags!AY7</f>
        <v>22</v>
      </c>
      <c r="AZ3" s="1001">
        <f>Flags!AZ7</f>
        <v>23</v>
      </c>
      <c r="BA3" s="1001">
        <f>Flags!BA7</f>
        <v>23</v>
      </c>
      <c r="BB3" s="1001">
        <f>Flags!BB7</f>
        <v>24</v>
      </c>
      <c r="BC3" s="1001">
        <f>Flags!BC7</f>
        <v>24</v>
      </c>
      <c r="BD3" s="1001">
        <f>Flags!BD7</f>
        <v>25</v>
      </c>
      <c r="BE3" s="1001">
        <f>Flags!BE7</f>
        <v>25</v>
      </c>
      <c r="BF3" s="1001">
        <f>Flags!BF7</f>
        <v>26</v>
      </c>
      <c r="BG3" s="1001">
        <f>Flags!BG7</f>
        <v>26</v>
      </c>
      <c r="BH3" s="1001">
        <f>Flags!BH7</f>
        <v>27</v>
      </c>
      <c r="BI3" s="1001">
        <f>Flags!BI7</f>
        <v>27</v>
      </c>
      <c r="BJ3" s="1001">
        <f>Flags!BJ7</f>
        <v>28</v>
      </c>
      <c r="BK3" s="1001">
        <f>Flags!BK7</f>
        <v>28</v>
      </c>
      <c r="BL3" s="1001">
        <f>Flags!BL7</f>
        <v>29</v>
      </c>
      <c r="BM3" s="1001">
        <f>Flags!BM7</f>
        <v>29</v>
      </c>
      <c r="BN3" s="1001">
        <f>Flags!BN7</f>
        <v>30</v>
      </c>
      <c r="BO3" s="1001">
        <f>Flags!BO7</f>
        <v>30</v>
      </c>
      <c r="BP3" s="1001">
        <f>Flags!BP7</f>
        <v>31</v>
      </c>
      <c r="BQ3" s="1001">
        <f>Flags!BQ7</f>
        <v>31</v>
      </c>
      <c r="BR3" s="1001">
        <f>Flags!BR7</f>
        <v>32</v>
      </c>
      <c r="BS3" s="1001">
        <f>Flags!BS7</f>
        <v>32</v>
      </c>
      <c r="BT3" s="1001">
        <f>Flags!BT7</f>
        <v>33</v>
      </c>
      <c r="BU3" s="1001">
        <f>Flags!BU7</f>
        <v>33</v>
      </c>
      <c r="BV3" s="1001">
        <f>Flags!BV7</f>
        <v>34</v>
      </c>
      <c r="BW3" s="1001">
        <f>Flags!BW7</f>
        <v>34</v>
      </c>
      <c r="BX3" s="1001">
        <f>Flags!BX7</f>
        <v>35</v>
      </c>
      <c r="BY3" s="1001">
        <f>Flags!BY7</f>
        <v>35</v>
      </c>
      <c r="BZ3" s="1001">
        <f>Flags!BZ7</f>
        <v>36</v>
      </c>
      <c r="CA3" s="1001">
        <f>Flags!CA7</f>
        <v>36</v>
      </c>
      <c r="CB3" s="1001">
        <f>Flags!CB7</f>
        <v>37</v>
      </c>
      <c r="CC3" s="1001">
        <f>Flags!CC7</f>
        <v>37</v>
      </c>
      <c r="CD3" s="1001">
        <f>Flags!CD7</f>
        <v>38</v>
      </c>
      <c r="CE3" s="1001">
        <f>Flags!CE7</f>
        <v>38</v>
      </c>
      <c r="CF3" s="1001">
        <f>Flags!CF7</f>
        <v>39</v>
      </c>
      <c r="CG3" s="1001">
        <f>Flags!CG7</f>
        <v>39</v>
      </c>
      <c r="CH3" s="1001">
        <f>Flags!CH7</f>
        <v>40</v>
      </c>
      <c r="CI3" s="1001">
        <f>Flags!CI7</f>
        <v>40</v>
      </c>
      <c r="CJ3" s="1001">
        <f>Flags!CJ7</f>
        <v>41</v>
      </c>
      <c r="CK3" s="1001">
        <f>Flags!CK7</f>
        <v>41</v>
      </c>
      <c r="CL3" s="1001">
        <f>Flags!CL7</f>
        <v>42</v>
      </c>
      <c r="CM3" s="1001">
        <f>Flags!CM7</f>
        <v>42</v>
      </c>
      <c r="CN3" s="1001">
        <f>Flags!CN7</f>
        <v>43</v>
      </c>
      <c r="CO3" s="1001">
        <f>Flags!CO7</f>
        <v>43</v>
      </c>
      <c r="CP3" s="1001">
        <f>Flags!CP7</f>
        <v>44</v>
      </c>
      <c r="CQ3" s="1001">
        <f>Flags!CQ7</f>
        <v>44</v>
      </c>
      <c r="CR3" s="1001">
        <f>Flags!CR7</f>
        <v>45</v>
      </c>
      <c r="CS3" s="1001">
        <f>Flags!CS7</f>
        <v>45</v>
      </c>
      <c r="CT3" s="1001">
        <f>Flags!CT7</f>
        <v>46</v>
      </c>
      <c r="CU3" s="1001">
        <f>Flags!CU7</f>
        <v>46</v>
      </c>
      <c r="CV3" s="1001">
        <f>Flags!CV7</f>
        <v>47</v>
      </c>
      <c r="CW3" s="1001">
        <f>Flags!CW7</f>
        <v>47</v>
      </c>
      <c r="CX3" s="1001">
        <f>Flags!CX7</f>
        <v>48</v>
      </c>
      <c r="CY3" s="1001">
        <f>Flags!CY7</f>
        <v>48</v>
      </c>
      <c r="CZ3" s="1001">
        <f>Flags!CZ7</f>
        <v>49</v>
      </c>
      <c r="DA3" s="1001">
        <f>Flags!DA7</f>
        <v>49</v>
      </c>
      <c r="DB3" s="1001">
        <f>Flags!DB7</f>
        <v>50</v>
      </c>
      <c r="DC3" s="1001">
        <f>Flags!DC7</f>
        <v>50</v>
      </c>
      <c r="DD3" s="1001">
        <f>Flags!DD7</f>
        <v>51</v>
      </c>
      <c r="DE3" s="1001">
        <f>Flags!DE7</f>
        <v>51</v>
      </c>
      <c r="DF3" s="1001">
        <f>Flags!DF7</f>
        <v>52</v>
      </c>
      <c r="DG3" s="1001">
        <f>Flags!DG7</f>
        <v>52</v>
      </c>
      <c r="DH3" s="1001">
        <f>Flags!DH7</f>
        <v>53</v>
      </c>
      <c r="DI3" s="1001">
        <f>Flags!DI7</f>
        <v>53</v>
      </c>
      <c r="DJ3" s="1001">
        <f>Flags!DJ7</f>
        <v>54</v>
      </c>
      <c r="DK3" s="1001">
        <f>Flags!DK7</f>
        <v>54</v>
      </c>
      <c r="DL3" s="1001">
        <f>Flags!DL7</f>
        <v>55</v>
      </c>
      <c r="DM3" s="1001">
        <f>Flags!DM7</f>
        <v>55</v>
      </c>
      <c r="DN3" s="1001">
        <f>Flags!DN7</f>
        <v>56</v>
      </c>
      <c r="DO3" s="1001">
        <f>Flags!DO7</f>
        <v>56</v>
      </c>
      <c r="DP3" s="1001">
        <f>Flags!DP7</f>
        <v>57</v>
      </c>
      <c r="DQ3" s="1001">
        <f>Flags!DQ7</f>
        <v>57</v>
      </c>
      <c r="DR3" s="1001">
        <f>Flags!DR7</f>
        <v>58</v>
      </c>
      <c r="DS3" s="1001">
        <f>Flags!DS7</f>
        <v>58</v>
      </c>
      <c r="DT3" s="1001">
        <f>Flags!DT7</f>
        <v>59</v>
      </c>
      <c r="DU3" s="1001">
        <f>Flags!DU7</f>
        <v>59</v>
      </c>
      <c r="DV3" s="1001">
        <f>Flags!DV7</f>
        <v>60</v>
      </c>
      <c r="DW3" s="1001">
        <f>Flags!DW7</f>
        <v>60</v>
      </c>
    </row>
    <row r="4" spans="1:127">
      <c r="A4" s="861" t="s">
        <v>1252</v>
      </c>
      <c r="B4" s="862"/>
      <c r="C4" s="862"/>
      <c r="D4" s="864"/>
      <c r="E4" s="864"/>
      <c r="F4" s="870"/>
      <c r="G4" s="1076">
        <f>Flags!G8</f>
        <v>0</v>
      </c>
      <c r="H4" s="1076">
        <f>Flags!H8</f>
        <v>1</v>
      </c>
      <c r="I4" s="1076">
        <f>Flags!I8</f>
        <v>2</v>
      </c>
      <c r="J4" s="1076">
        <f>Flags!J8</f>
        <v>3</v>
      </c>
      <c r="K4" s="1076">
        <f>Flags!K8</f>
        <v>4</v>
      </c>
      <c r="L4" s="1076">
        <f>Flags!L8</f>
        <v>5</v>
      </c>
      <c r="M4" s="1076">
        <f>Flags!M8</f>
        <v>6</v>
      </c>
      <c r="N4" s="1076">
        <f>Flags!N8</f>
        <v>7</v>
      </c>
      <c r="O4" s="1076">
        <f>Flags!O8</f>
        <v>8</v>
      </c>
      <c r="P4" s="1076">
        <f>Flags!P8</f>
        <v>9</v>
      </c>
      <c r="Q4" s="1076">
        <f>Flags!Q8</f>
        <v>10</v>
      </c>
      <c r="R4" s="1076">
        <f>Flags!R8</f>
        <v>11</v>
      </c>
      <c r="S4" s="1076">
        <f>Flags!S8</f>
        <v>12</v>
      </c>
      <c r="T4" s="1076">
        <f>Flags!T8</f>
        <v>13</v>
      </c>
      <c r="U4" s="1076">
        <f>Flags!U8</f>
        <v>14</v>
      </c>
      <c r="V4" s="1076">
        <f>Flags!V8</f>
        <v>15</v>
      </c>
      <c r="W4" s="1076">
        <f>Flags!W8</f>
        <v>16</v>
      </c>
      <c r="X4" s="1076">
        <f>Flags!X8</f>
        <v>17</v>
      </c>
      <c r="Y4" s="1076">
        <f>Flags!Y8</f>
        <v>18</v>
      </c>
      <c r="Z4" s="1076">
        <f>Flags!Z8</f>
        <v>19</v>
      </c>
      <c r="AA4" s="1076">
        <f>Flags!AA8</f>
        <v>20</v>
      </c>
      <c r="AB4" s="1076">
        <f>Flags!AB8</f>
        <v>21</v>
      </c>
      <c r="AC4" s="1076">
        <f>Flags!AC8</f>
        <v>22</v>
      </c>
      <c r="AD4" s="1076">
        <f>Flags!AD8</f>
        <v>23</v>
      </c>
      <c r="AE4" s="1076">
        <f>Flags!AE8</f>
        <v>24</v>
      </c>
      <c r="AF4" s="1076">
        <f>Flags!AF8</f>
        <v>25</v>
      </c>
      <c r="AG4" s="1076">
        <f>Flags!AG8</f>
        <v>26</v>
      </c>
      <c r="AH4" s="1076">
        <f>Flags!AH8</f>
        <v>27</v>
      </c>
      <c r="AI4" s="1076">
        <f>Flags!AI8</f>
        <v>28</v>
      </c>
      <c r="AJ4" s="1076">
        <f>Flags!AJ8</f>
        <v>29</v>
      </c>
      <c r="AK4" s="1076">
        <f>Flags!AK8</f>
        <v>30</v>
      </c>
      <c r="AL4" s="1076">
        <f>Flags!AL8</f>
        <v>31</v>
      </c>
      <c r="AM4" s="1076">
        <f>Flags!AM8</f>
        <v>32</v>
      </c>
      <c r="AN4" s="1076">
        <f>Flags!AN8</f>
        <v>33</v>
      </c>
      <c r="AO4" s="1076">
        <f>Flags!AO8</f>
        <v>34</v>
      </c>
      <c r="AP4" s="1076">
        <f>Flags!AP8</f>
        <v>35</v>
      </c>
      <c r="AQ4" s="1076">
        <f>Flags!AQ8</f>
        <v>36</v>
      </c>
      <c r="AR4" s="1076">
        <f>Flags!AR8</f>
        <v>37</v>
      </c>
      <c r="AS4" s="1076">
        <f>Flags!AS8</f>
        <v>38</v>
      </c>
      <c r="AT4" s="1076">
        <f>Flags!AT8</f>
        <v>39</v>
      </c>
      <c r="AU4" s="1076">
        <f>Flags!AU8</f>
        <v>40</v>
      </c>
      <c r="AV4" s="1076">
        <f>Flags!AV8</f>
        <v>41</v>
      </c>
      <c r="AW4" s="1076">
        <f>Flags!AW8</f>
        <v>42</v>
      </c>
      <c r="AX4" s="1076">
        <f>Flags!AX8</f>
        <v>43</v>
      </c>
      <c r="AY4" s="1076">
        <f>Flags!AY8</f>
        <v>44</v>
      </c>
      <c r="AZ4" s="1076">
        <f>Flags!AZ8</f>
        <v>45</v>
      </c>
      <c r="BA4" s="1076">
        <f>Flags!BA8</f>
        <v>46</v>
      </c>
      <c r="BB4" s="1076">
        <f>Flags!BB8</f>
        <v>47</v>
      </c>
      <c r="BC4" s="1076">
        <f>Flags!BC8</f>
        <v>48</v>
      </c>
      <c r="BD4" s="1076">
        <f>Flags!BD8</f>
        <v>49</v>
      </c>
      <c r="BE4" s="1076">
        <f>Flags!BE8</f>
        <v>50</v>
      </c>
      <c r="BF4" s="1076">
        <f>Flags!BF8</f>
        <v>51</v>
      </c>
      <c r="BG4" s="1076">
        <f>Flags!BG8</f>
        <v>52</v>
      </c>
      <c r="BH4" s="1076">
        <f>Flags!BH8</f>
        <v>53</v>
      </c>
      <c r="BI4" s="1076">
        <f>Flags!BI8</f>
        <v>54</v>
      </c>
      <c r="BJ4" s="1076">
        <f>Flags!BJ8</f>
        <v>55</v>
      </c>
      <c r="BK4" s="1076">
        <f>Flags!BK8</f>
        <v>56</v>
      </c>
      <c r="BL4" s="1076">
        <f>Flags!BL8</f>
        <v>57</v>
      </c>
      <c r="BM4" s="1076">
        <f>Flags!BM8</f>
        <v>58</v>
      </c>
      <c r="BN4" s="1076">
        <f>Flags!BN8</f>
        <v>59</v>
      </c>
      <c r="BO4" s="1076">
        <f>Flags!BO8</f>
        <v>60</v>
      </c>
      <c r="BP4" s="1076">
        <f>Flags!BP8</f>
        <v>61</v>
      </c>
      <c r="BQ4" s="1076">
        <f>Flags!BQ8</f>
        <v>62</v>
      </c>
      <c r="BR4" s="1076">
        <f>Flags!BR8</f>
        <v>63</v>
      </c>
      <c r="BS4" s="1076">
        <f>Flags!BS8</f>
        <v>64</v>
      </c>
      <c r="BT4" s="1076">
        <f>Flags!BT8</f>
        <v>65</v>
      </c>
      <c r="BU4" s="1076">
        <f>Flags!BU8</f>
        <v>66</v>
      </c>
      <c r="BV4" s="1076">
        <f>Flags!BV8</f>
        <v>67</v>
      </c>
      <c r="BW4" s="1076">
        <f>Flags!BW8</f>
        <v>68</v>
      </c>
      <c r="BX4" s="1076">
        <f>Flags!BX8</f>
        <v>69</v>
      </c>
      <c r="BY4" s="1076">
        <f>Flags!BY8</f>
        <v>70</v>
      </c>
      <c r="BZ4" s="1076">
        <f>Flags!BZ8</f>
        <v>71</v>
      </c>
      <c r="CA4" s="1076">
        <f>Flags!CA8</f>
        <v>72</v>
      </c>
      <c r="CB4" s="1076">
        <f>Flags!CB8</f>
        <v>73</v>
      </c>
      <c r="CC4" s="1076">
        <f>Flags!CC8</f>
        <v>74</v>
      </c>
      <c r="CD4" s="1076">
        <f>Flags!CD8</f>
        <v>75</v>
      </c>
      <c r="CE4" s="1076">
        <f>Flags!CE8</f>
        <v>76</v>
      </c>
      <c r="CF4" s="1076">
        <f>Flags!CF8</f>
        <v>77</v>
      </c>
      <c r="CG4" s="1076">
        <f>Flags!CG8</f>
        <v>78</v>
      </c>
      <c r="CH4" s="1076">
        <f>Flags!CH8</f>
        <v>79</v>
      </c>
      <c r="CI4" s="1076">
        <f>Flags!CI8</f>
        <v>80</v>
      </c>
      <c r="CJ4" s="1076">
        <f>Flags!CJ8</f>
        <v>81</v>
      </c>
      <c r="CK4" s="1076">
        <f>Flags!CK8</f>
        <v>82</v>
      </c>
      <c r="CL4" s="1076">
        <f>Flags!CL8</f>
        <v>83</v>
      </c>
      <c r="CM4" s="1076">
        <f>Flags!CM8</f>
        <v>84</v>
      </c>
      <c r="CN4" s="1076">
        <f>Flags!CN8</f>
        <v>85</v>
      </c>
      <c r="CO4" s="1076">
        <f>Flags!CO8</f>
        <v>86</v>
      </c>
      <c r="CP4" s="1076">
        <f>Flags!CP8</f>
        <v>87</v>
      </c>
      <c r="CQ4" s="1076">
        <f>Flags!CQ8</f>
        <v>88</v>
      </c>
      <c r="CR4" s="1076">
        <f>Flags!CR8</f>
        <v>89</v>
      </c>
      <c r="CS4" s="1076">
        <f>Flags!CS8</f>
        <v>90</v>
      </c>
      <c r="CT4" s="1076">
        <f>Flags!CT8</f>
        <v>91</v>
      </c>
      <c r="CU4" s="1076">
        <f>Flags!CU8</f>
        <v>92</v>
      </c>
      <c r="CV4" s="1076">
        <f>Flags!CV8</f>
        <v>93</v>
      </c>
      <c r="CW4" s="1076">
        <f>Flags!CW8</f>
        <v>94</v>
      </c>
      <c r="CX4" s="1076">
        <f>Flags!CX8</f>
        <v>95</v>
      </c>
      <c r="CY4" s="1076">
        <f>Flags!CY8</f>
        <v>96</v>
      </c>
      <c r="CZ4" s="1076">
        <f>Flags!CZ8</f>
        <v>97</v>
      </c>
      <c r="DA4" s="1076">
        <f>Flags!DA8</f>
        <v>98</v>
      </c>
      <c r="DB4" s="1076">
        <f>Flags!DB8</f>
        <v>99</v>
      </c>
      <c r="DC4" s="1076">
        <f>Flags!DC8</f>
        <v>100</v>
      </c>
      <c r="DD4" s="1076">
        <f>Flags!DD8</f>
        <v>101</v>
      </c>
      <c r="DE4" s="1076">
        <f>Flags!DE8</f>
        <v>102</v>
      </c>
      <c r="DF4" s="1076">
        <f>Flags!DF8</f>
        <v>103</v>
      </c>
      <c r="DG4" s="1076">
        <f>Flags!DG8</f>
        <v>104</v>
      </c>
      <c r="DH4" s="1076">
        <f>Flags!DH8</f>
        <v>105</v>
      </c>
      <c r="DI4" s="1076">
        <f>Flags!DI8</f>
        <v>106</v>
      </c>
      <c r="DJ4" s="1076">
        <f>Flags!DJ8</f>
        <v>107</v>
      </c>
      <c r="DK4" s="1076">
        <f>Flags!DK8</f>
        <v>108</v>
      </c>
      <c r="DL4" s="1076">
        <f>Flags!DL8</f>
        <v>109</v>
      </c>
      <c r="DM4" s="1076">
        <f>Flags!DM8</f>
        <v>110</v>
      </c>
      <c r="DN4" s="1076">
        <f>Flags!DN8</f>
        <v>111</v>
      </c>
      <c r="DO4" s="1076">
        <f>Flags!DO8</f>
        <v>112</v>
      </c>
      <c r="DP4" s="1076">
        <f>Flags!DP8</f>
        <v>113</v>
      </c>
      <c r="DQ4" s="1076">
        <f>Flags!DQ8</f>
        <v>114</v>
      </c>
      <c r="DR4" s="1076">
        <f>Flags!DR8</f>
        <v>115</v>
      </c>
      <c r="DS4" s="1076">
        <f>Flags!DS8</f>
        <v>116</v>
      </c>
      <c r="DT4" s="1076">
        <f>Flags!DT8</f>
        <v>117</v>
      </c>
      <c r="DU4" s="1076">
        <f>Flags!DU8</f>
        <v>118</v>
      </c>
      <c r="DV4" s="1076">
        <f>Flags!DV8</f>
        <v>119</v>
      </c>
      <c r="DW4" s="1076">
        <f>Flags!DW8</f>
        <v>120</v>
      </c>
    </row>
    <row r="5" spans="1:127">
      <c r="A5" s="996" t="str">
        <f>Flags!A12</f>
        <v>Project Life</v>
      </c>
      <c r="B5" s="673"/>
      <c r="C5" s="673"/>
      <c r="D5" s="484"/>
      <c r="E5" s="484"/>
      <c r="F5" s="310"/>
      <c r="G5" s="1002" t="b">
        <f>Flags!G12</f>
        <v>0</v>
      </c>
      <c r="H5" s="1002" t="b">
        <f>Flags!H12</f>
        <v>1</v>
      </c>
      <c r="I5" s="1002" t="b">
        <f>Flags!I12</f>
        <v>1</v>
      </c>
      <c r="J5" s="1002" t="b">
        <f>Flags!J12</f>
        <v>1</v>
      </c>
      <c r="K5" s="1002" t="b">
        <f>Flags!K12</f>
        <v>1</v>
      </c>
      <c r="L5" s="1002" t="b">
        <f>Flags!L12</f>
        <v>1</v>
      </c>
      <c r="M5" s="1002" t="b">
        <f>Flags!M12</f>
        <v>1</v>
      </c>
      <c r="N5" s="1002" t="b">
        <f>Flags!N12</f>
        <v>1</v>
      </c>
      <c r="O5" s="1002" t="b">
        <f>Flags!O12</f>
        <v>1</v>
      </c>
      <c r="P5" s="1002" t="b">
        <f>Flags!P12</f>
        <v>1</v>
      </c>
      <c r="Q5" s="1002" t="b">
        <f>Flags!Q12</f>
        <v>1</v>
      </c>
      <c r="R5" s="1002" t="b">
        <f>Flags!R12</f>
        <v>1</v>
      </c>
      <c r="S5" s="1002" t="b">
        <f>Flags!S12</f>
        <v>1</v>
      </c>
      <c r="T5" s="1002" t="b">
        <f>Flags!T12</f>
        <v>1</v>
      </c>
      <c r="U5" s="1002" t="b">
        <f>Flags!U12</f>
        <v>1</v>
      </c>
      <c r="V5" s="1002" t="b">
        <f>Flags!V12</f>
        <v>1</v>
      </c>
      <c r="W5" s="1002" t="b">
        <f>Flags!W12</f>
        <v>1</v>
      </c>
      <c r="X5" s="1002" t="b">
        <f>Flags!X12</f>
        <v>1</v>
      </c>
      <c r="Y5" s="1002" t="b">
        <f>Flags!Y12</f>
        <v>1</v>
      </c>
      <c r="Z5" s="1002" t="b">
        <f>Flags!Z12</f>
        <v>1</v>
      </c>
      <c r="AA5" s="1002" t="b">
        <f>Flags!AA12</f>
        <v>1</v>
      </c>
      <c r="AB5" s="1002" t="b">
        <f>Flags!AB12</f>
        <v>1</v>
      </c>
      <c r="AC5" s="1002" t="b">
        <f>Flags!AC12</f>
        <v>1</v>
      </c>
      <c r="AD5" s="1002" t="b">
        <f>Flags!AD12</f>
        <v>1</v>
      </c>
      <c r="AE5" s="1002" t="b">
        <f>Flags!AE12</f>
        <v>1</v>
      </c>
      <c r="AF5" s="1002" t="b">
        <f>Flags!AF12</f>
        <v>1</v>
      </c>
      <c r="AG5" s="1002" t="b">
        <f>Flags!AG12</f>
        <v>1</v>
      </c>
      <c r="AH5" s="1002" t="b">
        <f>Flags!AH12</f>
        <v>1</v>
      </c>
      <c r="AI5" s="1002" t="b">
        <f>Flags!AI12</f>
        <v>1</v>
      </c>
      <c r="AJ5" s="1002" t="b">
        <f>Flags!AJ12</f>
        <v>1</v>
      </c>
      <c r="AK5" s="1002" t="b">
        <f>Flags!AK12</f>
        <v>1</v>
      </c>
      <c r="AL5" s="1002" t="b">
        <f>Flags!AL12</f>
        <v>1</v>
      </c>
      <c r="AM5" s="1002" t="b">
        <f>Flags!AM12</f>
        <v>1</v>
      </c>
      <c r="AN5" s="1002" t="b">
        <f>Flags!AN12</f>
        <v>1</v>
      </c>
      <c r="AO5" s="1002" t="b">
        <f>Flags!AO12</f>
        <v>1</v>
      </c>
      <c r="AP5" s="1002" t="b">
        <f>Flags!AP12</f>
        <v>1</v>
      </c>
      <c r="AQ5" s="1002" t="b">
        <f>Flags!AQ12</f>
        <v>1</v>
      </c>
      <c r="AR5" s="1002" t="b">
        <f>Flags!AR12</f>
        <v>1</v>
      </c>
      <c r="AS5" s="1002" t="b">
        <f>Flags!AS12</f>
        <v>1</v>
      </c>
      <c r="AT5" s="1002" t="b">
        <f>Flags!AT12</f>
        <v>1</v>
      </c>
      <c r="AU5" s="1002" t="b">
        <f>Flags!AU12</f>
        <v>1</v>
      </c>
      <c r="AV5" s="1002" t="b">
        <f>Flags!AV12</f>
        <v>1</v>
      </c>
      <c r="AW5" s="1002" t="b">
        <f>Flags!AW12</f>
        <v>1</v>
      </c>
      <c r="AX5" s="1002" t="b">
        <f>Flags!AX12</f>
        <v>1</v>
      </c>
      <c r="AY5" s="1002" t="b">
        <f>Flags!AY12</f>
        <v>1</v>
      </c>
      <c r="AZ5" s="1002" t="b">
        <f>Flags!AZ12</f>
        <v>1</v>
      </c>
      <c r="BA5" s="1002" t="b">
        <f>Flags!BA12</f>
        <v>1</v>
      </c>
      <c r="BB5" s="1002" t="b">
        <f>Flags!BB12</f>
        <v>1</v>
      </c>
      <c r="BC5" s="1002" t="b">
        <f>Flags!BC12</f>
        <v>1</v>
      </c>
      <c r="BD5" s="1002" t="b">
        <f>Flags!BD12</f>
        <v>1</v>
      </c>
      <c r="BE5" s="1002" t="b">
        <f>Flags!BE12</f>
        <v>1</v>
      </c>
      <c r="BF5" s="1002" t="b">
        <f>Flags!BF12</f>
        <v>1</v>
      </c>
      <c r="BG5" s="1002" t="b">
        <f>Flags!BG12</f>
        <v>1</v>
      </c>
      <c r="BH5" s="1002" t="b">
        <f>Flags!BH12</f>
        <v>1</v>
      </c>
      <c r="BI5" s="1002" t="b">
        <f>Flags!BI12</f>
        <v>1</v>
      </c>
      <c r="BJ5" s="1002" t="b">
        <f>Flags!BJ12</f>
        <v>1</v>
      </c>
      <c r="BK5" s="1002" t="b">
        <f>Flags!BK12</f>
        <v>1</v>
      </c>
      <c r="BL5" s="1002" t="b">
        <f>Flags!BL12</f>
        <v>1</v>
      </c>
      <c r="BM5" s="1002" t="b">
        <f>Flags!BM12</f>
        <v>1</v>
      </c>
      <c r="BN5" s="1002" t="b">
        <f>Flags!BN12</f>
        <v>1</v>
      </c>
      <c r="BO5" s="1002" t="b">
        <f>Flags!BO12</f>
        <v>1</v>
      </c>
      <c r="BP5" s="1002" t="b">
        <f>Flags!BP12</f>
        <v>0</v>
      </c>
      <c r="BQ5" s="1002" t="b">
        <f>Flags!BQ12</f>
        <v>0</v>
      </c>
      <c r="BR5" s="1002" t="b">
        <f>Flags!BR12</f>
        <v>0</v>
      </c>
      <c r="BS5" s="1002" t="b">
        <f>Flags!BS12</f>
        <v>0</v>
      </c>
      <c r="BT5" s="1002" t="b">
        <f>Flags!BT12</f>
        <v>0</v>
      </c>
      <c r="BU5" s="1002" t="b">
        <f>Flags!BU12</f>
        <v>0</v>
      </c>
      <c r="BV5" s="1002" t="b">
        <f>Flags!BV12</f>
        <v>0</v>
      </c>
      <c r="BW5" s="1002" t="b">
        <f>Flags!BW12</f>
        <v>0</v>
      </c>
      <c r="BX5" s="1002" t="b">
        <f>Flags!BX12</f>
        <v>0</v>
      </c>
      <c r="BY5" s="1002" t="b">
        <f>Flags!BY12</f>
        <v>0</v>
      </c>
      <c r="BZ5" s="1002" t="b">
        <f>Flags!BZ12</f>
        <v>0</v>
      </c>
      <c r="CA5" s="1002" t="b">
        <f>Flags!CA12</f>
        <v>0</v>
      </c>
      <c r="CB5" s="1002" t="b">
        <f>Flags!CB12</f>
        <v>0</v>
      </c>
      <c r="CC5" s="1002" t="b">
        <f>Flags!CC12</f>
        <v>0</v>
      </c>
      <c r="CD5" s="1002" t="b">
        <f>Flags!CD12</f>
        <v>0</v>
      </c>
      <c r="CE5" s="1002" t="b">
        <f>Flags!CE12</f>
        <v>0</v>
      </c>
      <c r="CF5" s="1002" t="b">
        <f>Flags!CF12</f>
        <v>0</v>
      </c>
      <c r="CG5" s="1002" t="b">
        <f>Flags!CG12</f>
        <v>0</v>
      </c>
      <c r="CH5" s="1002" t="b">
        <f>Flags!CH12</f>
        <v>0</v>
      </c>
      <c r="CI5" s="1002" t="b">
        <f>Flags!CI12</f>
        <v>0</v>
      </c>
      <c r="CJ5" s="1002" t="b">
        <f>Flags!CJ12</f>
        <v>0</v>
      </c>
      <c r="CK5" s="1002" t="b">
        <f>Flags!CK12</f>
        <v>0</v>
      </c>
      <c r="CL5" s="1002" t="b">
        <f>Flags!CL12</f>
        <v>0</v>
      </c>
      <c r="CM5" s="1002" t="b">
        <f>Flags!CM12</f>
        <v>0</v>
      </c>
      <c r="CN5" s="1002" t="b">
        <f>Flags!CN12</f>
        <v>0</v>
      </c>
      <c r="CO5" s="1002" t="b">
        <f>Flags!CO12</f>
        <v>0</v>
      </c>
      <c r="CP5" s="1002" t="b">
        <f>Flags!CP12</f>
        <v>0</v>
      </c>
      <c r="CQ5" s="1002" t="b">
        <f>Flags!CQ12</f>
        <v>0</v>
      </c>
      <c r="CR5" s="1002" t="b">
        <f>Flags!CR12</f>
        <v>0</v>
      </c>
      <c r="CS5" s="1002" t="b">
        <f>Flags!CS12</f>
        <v>0</v>
      </c>
      <c r="CT5" s="1002" t="b">
        <f>Flags!CT12</f>
        <v>0</v>
      </c>
      <c r="CU5" s="1002" t="b">
        <f>Flags!CU12</f>
        <v>0</v>
      </c>
      <c r="CV5" s="1002" t="b">
        <f>Flags!CV12</f>
        <v>0</v>
      </c>
      <c r="CW5" s="1002" t="b">
        <f>Flags!CW12</f>
        <v>0</v>
      </c>
      <c r="CX5" s="1002" t="b">
        <f>Flags!CX12</f>
        <v>0</v>
      </c>
      <c r="CY5" s="1002" t="b">
        <f>Flags!CY12</f>
        <v>0</v>
      </c>
      <c r="CZ5" s="1002" t="b">
        <f>Flags!CZ12</f>
        <v>0</v>
      </c>
      <c r="DA5" s="1002" t="b">
        <f>Flags!DA12</f>
        <v>0</v>
      </c>
      <c r="DB5" s="1002" t="b">
        <f>Flags!DB12</f>
        <v>0</v>
      </c>
      <c r="DC5" s="1002" t="b">
        <f>Flags!DC12</f>
        <v>0</v>
      </c>
      <c r="DD5" s="1002" t="b">
        <f>Flags!DD12</f>
        <v>0</v>
      </c>
      <c r="DE5" s="1002" t="b">
        <f>Flags!DE12</f>
        <v>0</v>
      </c>
      <c r="DF5" s="1002" t="b">
        <f>Flags!DF12</f>
        <v>0</v>
      </c>
      <c r="DG5" s="1002" t="b">
        <f>Flags!DG12</f>
        <v>0</v>
      </c>
      <c r="DH5" s="1002" t="b">
        <f>Flags!DH12</f>
        <v>0</v>
      </c>
      <c r="DI5" s="1002" t="b">
        <f>Flags!DI12</f>
        <v>0</v>
      </c>
      <c r="DJ5" s="1002" t="b">
        <f>Flags!DJ12</f>
        <v>0</v>
      </c>
      <c r="DK5" s="1002" t="b">
        <f>Flags!DK12</f>
        <v>0</v>
      </c>
      <c r="DL5" s="1002" t="b">
        <f>Flags!DL12</f>
        <v>0</v>
      </c>
      <c r="DM5" s="1002" t="b">
        <f>Flags!DM12</f>
        <v>0</v>
      </c>
      <c r="DN5" s="1002" t="b">
        <f>Flags!DN12</f>
        <v>0</v>
      </c>
      <c r="DO5" s="1002" t="b">
        <f>Flags!DO12</f>
        <v>0</v>
      </c>
      <c r="DP5" s="1002" t="b">
        <f>Flags!DP12</f>
        <v>0</v>
      </c>
      <c r="DQ5" s="1002" t="b">
        <f>Flags!DQ12</f>
        <v>0</v>
      </c>
      <c r="DR5" s="1002" t="b">
        <f>Flags!DR12</f>
        <v>0</v>
      </c>
      <c r="DS5" s="1002" t="b">
        <f>Flags!DS12</f>
        <v>0</v>
      </c>
      <c r="DT5" s="1002" t="b">
        <f>Flags!DT12</f>
        <v>0</v>
      </c>
      <c r="DU5" s="1002" t="b">
        <f>Flags!DU12</f>
        <v>0</v>
      </c>
      <c r="DV5" s="1002" t="b">
        <f>Flags!DV12</f>
        <v>0</v>
      </c>
      <c r="DW5" s="1002" t="b">
        <f>Flags!DW12</f>
        <v>0</v>
      </c>
    </row>
    <row r="6" spans="1:127">
      <c r="A6" s="996" t="str">
        <f>Flags!A13</f>
        <v>Operation Period (incl. Leap)</v>
      </c>
      <c r="B6" s="673"/>
      <c r="C6" s="673"/>
      <c r="D6" s="484"/>
      <c r="E6" s="484"/>
      <c r="F6" s="310"/>
      <c r="G6" s="1003">
        <f>Flags!G13</f>
        <v>0</v>
      </c>
      <c r="H6" s="1003">
        <f>Flags!H13</f>
        <v>0.50410958904109593</v>
      </c>
      <c r="I6" s="1003">
        <f>Flags!I13</f>
        <v>0.49589041095890413</v>
      </c>
      <c r="J6" s="1003">
        <f>Flags!J13</f>
        <v>0.50273224043715847</v>
      </c>
      <c r="K6" s="1003">
        <f>Flags!K13</f>
        <v>0.49726775956284153</v>
      </c>
      <c r="L6" s="1003">
        <f>Flags!L13</f>
        <v>0.50410958904109593</v>
      </c>
      <c r="M6" s="1003">
        <f>Flags!M13</f>
        <v>0.49589041095890413</v>
      </c>
      <c r="N6" s="1003">
        <f>Flags!N13</f>
        <v>0.50410958904109593</v>
      </c>
      <c r="O6" s="1003">
        <f>Flags!O13</f>
        <v>0.49589041095890413</v>
      </c>
      <c r="P6" s="1003">
        <f>Flags!P13</f>
        <v>0.50410958904109593</v>
      </c>
      <c r="Q6" s="1003">
        <f>Flags!Q13</f>
        <v>0.49589041095890413</v>
      </c>
      <c r="R6" s="1003">
        <f>Flags!R13</f>
        <v>0.50273224043715847</v>
      </c>
      <c r="S6" s="1003">
        <f>Flags!S13</f>
        <v>0.49726775956284153</v>
      </c>
      <c r="T6" s="1003">
        <f>Flags!T13</f>
        <v>0.50410958904109593</v>
      </c>
      <c r="U6" s="1003">
        <f>Flags!U13</f>
        <v>0.49589041095890413</v>
      </c>
      <c r="V6" s="1003">
        <f>Flags!V13</f>
        <v>0.50410958904109593</v>
      </c>
      <c r="W6" s="1003">
        <f>Flags!W13</f>
        <v>0.49589041095890413</v>
      </c>
      <c r="X6" s="1003">
        <f>Flags!X13</f>
        <v>0.50410958904109593</v>
      </c>
      <c r="Y6" s="1003">
        <f>Flags!Y13</f>
        <v>0.49589041095890413</v>
      </c>
      <c r="Z6" s="1003">
        <f>Flags!Z13</f>
        <v>0.50273224043715847</v>
      </c>
      <c r="AA6" s="1003">
        <f>Flags!AA13</f>
        <v>0.49726775956284153</v>
      </c>
      <c r="AB6" s="1003">
        <f>Flags!AB13</f>
        <v>0.50410958904109593</v>
      </c>
      <c r="AC6" s="1003">
        <f>Flags!AC13</f>
        <v>0.49589041095890413</v>
      </c>
      <c r="AD6" s="1003">
        <f>Flags!AD13</f>
        <v>0.50410958904109593</v>
      </c>
      <c r="AE6" s="1003">
        <f>Flags!AE13</f>
        <v>0.49589041095890413</v>
      </c>
      <c r="AF6" s="1003">
        <f>Flags!AF13</f>
        <v>0.50410958904109593</v>
      </c>
      <c r="AG6" s="1003">
        <f>Flags!AG13</f>
        <v>0.49589041095890413</v>
      </c>
      <c r="AH6" s="1003">
        <f>Flags!AH13</f>
        <v>0.50273224043715847</v>
      </c>
      <c r="AI6" s="1003">
        <f>Flags!AI13</f>
        <v>0.49726775956284153</v>
      </c>
      <c r="AJ6" s="1003">
        <f>Flags!AJ13</f>
        <v>0.50410958904109593</v>
      </c>
      <c r="AK6" s="1003">
        <f>Flags!AK13</f>
        <v>0.49589041095890413</v>
      </c>
      <c r="AL6" s="1003">
        <f>Flags!AL13</f>
        <v>0.50410958904109593</v>
      </c>
      <c r="AM6" s="1003">
        <f>Flags!AM13</f>
        <v>0.49589041095890413</v>
      </c>
      <c r="AN6" s="1003">
        <f>Flags!AN13</f>
        <v>0.50410958904109593</v>
      </c>
      <c r="AO6" s="1003">
        <f>Flags!AO13</f>
        <v>0.49589041095890413</v>
      </c>
      <c r="AP6" s="1003">
        <f>Flags!AP13</f>
        <v>0.50273224043715847</v>
      </c>
      <c r="AQ6" s="1003">
        <f>Flags!AQ13</f>
        <v>0.49726775956284153</v>
      </c>
      <c r="AR6" s="1003">
        <f>Flags!AR13</f>
        <v>0.50410958904109593</v>
      </c>
      <c r="AS6" s="1003">
        <f>Flags!AS13</f>
        <v>0.49589041095890413</v>
      </c>
      <c r="AT6" s="1003">
        <f>Flags!AT13</f>
        <v>0.50410958904109593</v>
      </c>
      <c r="AU6" s="1003">
        <f>Flags!AU13</f>
        <v>0.49589041095890413</v>
      </c>
      <c r="AV6" s="1003">
        <f>Flags!AV13</f>
        <v>0.50410958904109593</v>
      </c>
      <c r="AW6" s="1003">
        <f>Flags!AW13</f>
        <v>0.49589041095890413</v>
      </c>
      <c r="AX6" s="1003">
        <f>Flags!AX13</f>
        <v>0.50273224043715847</v>
      </c>
      <c r="AY6" s="1003">
        <f>Flags!AY13</f>
        <v>0.49726775956284153</v>
      </c>
      <c r="AZ6" s="1003">
        <f>Flags!AZ13</f>
        <v>0.50410958904109593</v>
      </c>
      <c r="BA6" s="1003">
        <f>Flags!BA13</f>
        <v>0.49589041095890413</v>
      </c>
      <c r="BB6" s="1003">
        <f>Flags!BB13</f>
        <v>0.50410958904109593</v>
      </c>
      <c r="BC6" s="1003">
        <f>Flags!BC13</f>
        <v>0.49589041095890413</v>
      </c>
      <c r="BD6" s="1003">
        <f>Flags!BD13</f>
        <v>0.50410958904109593</v>
      </c>
      <c r="BE6" s="1003">
        <f>Flags!BE13</f>
        <v>0.49589041095890413</v>
      </c>
      <c r="BF6" s="1003">
        <f>Flags!BF13</f>
        <v>0.50273224043715847</v>
      </c>
      <c r="BG6" s="1003">
        <f>Flags!BG13</f>
        <v>0.49726775956284153</v>
      </c>
      <c r="BH6" s="1003">
        <f>Flags!BH13</f>
        <v>0.50410958904109593</v>
      </c>
      <c r="BI6" s="1003">
        <f>Flags!BI13</f>
        <v>0.49589041095890413</v>
      </c>
      <c r="BJ6" s="1003">
        <f>Flags!BJ13</f>
        <v>0.50410958904109593</v>
      </c>
      <c r="BK6" s="1003">
        <f>Flags!BK13</f>
        <v>0.49589041095890413</v>
      </c>
      <c r="BL6" s="1003">
        <f>Flags!BL13</f>
        <v>0.50410958904109593</v>
      </c>
      <c r="BM6" s="1003">
        <f>Flags!BM13</f>
        <v>0.49589041095890413</v>
      </c>
      <c r="BN6" s="1003">
        <f>Flags!BN13</f>
        <v>0.50273224043715847</v>
      </c>
      <c r="BO6" s="1003">
        <f>Flags!BO13</f>
        <v>0.49726775956284153</v>
      </c>
      <c r="BP6" s="1003">
        <f>Flags!BP13</f>
        <v>0</v>
      </c>
      <c r="BQ6" s="1003">
        <f>Flags!BQ13</f>
        <v>0</v>
      </c>
      <c r="BR6" s="1003">
        <f>Flags!BR13</f>
        <v>0</v>
      </c>
      <c r="BS6" s="1003">
        <f>Flags!BS13</f>
        <v>0</v>
      </c>
      <c r="BT6" s="1003">
        <f>Flags!BT13</f>
        <v>0</v>
      </c>
      <c r="BU6" s="1003">
        <f>Flags!BU13</f>
        <v>0</v>
      </c>
      <c r="BV6" s="1003">
        <f>Flags!BV13</f>
        <v>0</v>
      </c>
      <c r="BW6" s="1003">
        <f>Flags!BW13</f>
        <v>0</v>
      </c>
      <c r="BX6" s="1003">
        <f>Flags!BX13</f>
        <v>0</v>
      </c>
      <c r="BY6" s="1003">
        <f>Flags!BY13</f>
        <v>0</v>
      </c>
      <c r="BZ6" s="1003">
        <f>Flags!BZ13</f>
        <v>0</v>
      </c>
      <c r="CA6" s="1003">
        <f>Flags!CA13</f>
        <v>0</v>
      </c>
      <c r="CB6" s="1003">
        <f>Flags!CB13</f>
        <v>0</v>
      </c>
      <c r="CC6" s="1003">
        <f>Flags!CC13</f>
        <v>0</v>
      </c>
      <c r="CD6" s="1003">
        <f>Flags!CD13</f>
        <v>0</v>
      </c>
      <c r="CE6" s="1003">
        <f>Flags!CE13</f>
        <v>0</v>
      </c>
      <c r="CF6" s="1003">
        <f>Flags!CF13</f>
        <v>0</v>
      </c>
      <c r="CG6" s="1003">
        <f>Flags!CG13</f>
        <v>0</v>
      </c>
      <c r="CH6" s="1003">
        <f>Flags!CH13</f>
        <v>0</v>
      </c>
      <c r="CI6" s="1003">
        <f>Flags!CI13</f>
        <v>0</v>
      </c>
      <c r="CJ6" s="1003">
        <f>Flags!CJ13</f>
        <v>0</v>
      </c>
      <c r="CK6" s="1003">
        <f>Flags!CK13</f>
        <v>0</v>
      </c>
      <c r="CL6" s="1003">
        <f>Flags!CL13</f>
        <v>0</v>
      </c>
      <c r="CM6" s="1003">
        <f>Flags!CM13</f>
        <v>0</v>
      </c>
      <c r="CN6" s="1003">
        <f>Flags!CN13</f>
        <v>0</v>
      </c>
      <c r="CO6" s="1003">
        <f>Flags!CO13</f>
        <v>0</v>
      </c>
      <c r="CP6" s="1003">
        <f>Flags!CP13</f>
        <v>0</v>
      </c>
      <c r="CQ6" s="1003">
        <f>Flags!CQ13</f>
        <v>0</v>
      </c>
      <c r="CR6" s="1003">
        <f>Flags!CR13</f>
        <v>0</v>
      </c>
      <c r="CS6" s="1003">
        <f>Flags!CS13</f>
        <v>0</v>
      </c>
      <c r="CT6" s="1003">
        <f>Flags!CT13</f>
        <v>0</v>
      </c>
      <c r="CU6" s="1003">
        <f>Flags!CU13</f>
        <v>0</v>
      </c>
      <c r="CV6" s="1003">
        <f>Flags!CV13</f>
        <v>0</v>
      </c>
      <c r="CW6" s="1003">
        <f>Flags!CW13</f>
        <v>0</v>
      </c>
      <c r="CX6" s="1003">
        <f>Flags!CX13</f>
        <v>0</v>
      </c>
      <c r="CY6" s="1003">
        <f>Flags!CY13</f>
        <v>0</v>
      </c>
      <c r="CZ6" s="1003">
        <f>Flags!CZ13</f>
        <v>0</v>
      </c>
      <c r="DA6" s="1003">
        <f>Flags!DA13</f>
        <v>0</v>
      </c>
      <c r="DB6" s="1003">
        <f>Flags!DB13</f>
        <v>0</v>
      </c>
      <c r="DC6" s="1003">
        <f>Flags!DC13</f>
        <v>0</v>
      </c>
      <c r="DD6" s="1003">
        <f>Flags!DD13</f>
        <v>0</v>
      </c>
      <c r="DE6" s="1003">
        <f>Flags!DE13</f>
        <v>0</v>
      </c>
      <c r="DF6" s="1003">
        <f>Flags!DF13</f>
        <v>0</v>
      </c>
      <c r="DG6" s="1003">
        <f>Flags!DG13</f>
        <v>0</v>
      </c>
      <c r="DH6" s="1003">
        <f>Flags!DH13</f>
        <v>0</v>
      </c>
      <c r="DI6" s="1003">
        <f>Flags!DI13</f>
        <v>0</v>
      </c>
      <c r="DJ6" s="1003">
        <f>Flags!DJ13</f>
        <v>0</v>
      </c>
      <c r="DK6" s="1003">
        <f>Flags!DK13</f>
        <v>0</v>
      </c>
      <c r="DL6" s="1003">
        <f>Flags!DL13</f>
        <v>0</v>
      </c>
      <c r="DM6" s="1003">
        <f>Flags!DM13</f>
        <v>0</v>
      </c>
      <c r="DN6" s="1003">
        <f>Flags!DN13</f>
        <v>0</v>
      </c>
      <c r="DO6" s="1003">
        <f>Flags!DO13</f>
        <v>0</v>
      </c>
      <c r="DP6" s="1003">
        <f>Flags!DP13</f>
        <v>0</v>
      </c>
      <c r="DQ6" s="1003">
        <f>Flags!DQ13</f>
        <v>0</v>
      </c>
      <c r="DR6" s="1003">
        <f>Flags!DR13</f>
        <v>0</v>
      </c>
      <c r="DS6" s="1003">
        <f>Flags!DS13</f>
        <v>0</v>
      </c>
      <c r="DT6" s="1003">
        <f>Flags!DT13</f>
        <v>0</v>
      </c>
      <c r="DU6" s="1003">
        <f>Flags!DU13</f>
        <v>0</v>
      </c>
      <c r="DV6" s="1003">
        <f>Flags!DV13</f>
        <v>0</v>
      </c>
      <c r="DW6" s="1003">
        <f>Flags!DW13</f>
        <v>0</v>
      </c>
    </row>
    <row r="7" spans="1:127">
      <c r="A7" s="996" t="str">
        <f>Flags!A16</f>
        <v>Investment Horizon</v>
      </c>
      <c r="B7" s="976">
        <f>Flags!B16</f>
        <v>30</v>
      </c>
      <c r="C7" s="673"/>
      <c r="D7" s="484"/>
      <c r="E7" s="484"/>
      <c r="F7" s="310"/>
      <c r="G7" s="1003" t="b">
        <f>Flags!G16</f>
        <v>1</v>
      </c>
      <c r="H7" s="1003" t="b">
        <f>Flags!H16</f>
        <v>1</v>
      </c>
      <c r="I7" s="1003" t="b">
        <f>Flags!I16</f>
        <v>1</v>
      </c>
      <c r="J7" s="1003" t="b">
        <f>Flags!J16</f>
        <v>1</v>
      </c>
      <c r="K7" s="1003" t="b">
        <f>Flags!K16</f>
        <v>1</v>
      </c>
      <c r="L7" s="1003" t="b">
        <f>Flags!L16</f>
        <v>1</v>
      </c>
      <c r="M7" s="1003" t="b">
        <f>Flags!M16</f>
        <v>1</v>
      </c>
      <c r="N7" s="1003" t="b">
        <f>Flags!N16</f>
        <v>1</v>
      </c>
      <c r="O7" s="1003" t="b">
        <f>Flags!O16</f>
        <v>1</v>
      </c>
      <c r="P7" s="1003" t="b">
        <f>Flags!P16</f>
        <v>1</v>
      </c>
      <c r="Q7" s="1003" t="b">
        <f>Flags!Q16</f>
        <v>1</v>
      </c>
      <c r="R7" s="1003" t="b">
        <f>Flags!R16</f>
        <v>1</v>
      </c>
      <c r="S7" s="1003" t="b">
        <f>Flags!S16</f>
        <v>1</v>
      </c>
      <c r="T7" s="1003" t="b">
        <f>Flags!T16</f>
        <v>1</v>
      </c>
      <c r="U7" s="1003" t="b">
        <f>Flags!U16</f>
        <v>1</v>
      </c>
      <c r="V7" s="1003" t="b">
        <f>Flags!V16</f>
        <v>1</v>
      </c>
      <c r="W7" s="1003" t="b">
        <f>Flags!W16</f>
        <v>1</v>
      </c>
      <c r="X7" s="1003" t="b">
        <f>Flags!X16</f>
        <v>1</v>
      </c>
      <c r="Y7" s="1003" t="b">
        <f>Flags!Y16</f>
        <v>1</v>
      </c>
      <c r="Z7" s="1003" t="b">
        <f>Flags!Z16</f>
        <v>1</v>
      </c>
      <c r="AA7" s="1003" t="b">
        <f>Flags!AA16</f>
        <v>1</v>
      </c>
      <c r="AB7" s="1003" t="b">
        <f>Flags!AB16</f>
        <v>1</v>
      </c>
      <c r="AC7" s="1003" t="b">
        <f>Flags!AC16</f>
        <v>1</v>
      </c>
      <c r="AD7" s="1003" t="b">
        <f>Flags!AD16</f>
        <v>1</v>
      </c>
      <c r="AE7" s="1003" t="b">
        <f>Flags!AE16</f>
        <v>1</v>
      </c>
      <c r="AF7" s="1003" t="b">
        <f>Flags!AF16</f>
        <v>1</v>
      </c>
      <c r="AG7" s="1003" t="b">
        <f>Flags!AG16</f>
        <v>1</v>
      </c>
      <c r="AH7" s="1003" t="b">
        <f>Flags!AH16</f>
        <v>1</v>
      </c>
      <c r="AI7" s="1003" t="b">
        <f>Flags!AI16</f>
        <v>1</v>
      </c>
      <c r="AJ7" s="1003" t="b">
        <f>Flags!AJ16</f>
        <v>1</v>
      </c>
      <c r="AK7" s="1003" t="b">
        <f>Flags!AK16</f>
        <v>1</v>
      </c>
      <c r="AL7" s="1003" t="b">
        <f>Flags!AL16</f>
        <v>1</v>
      </c>
      <c r="AM7" s="1003" t="b">
        <f>Flags!AM16</f>
        <v>1</v>
      </c>
      <c r="AN7" s="1003" t="b">
        <f>Flags!AN16</f>
        <v>1</v>
      </c>
      <c r="AO7" s="1003" t="b">
        <f>Flags!AO16</f>
        <v>1</v>
      </c>
      <c r="AP7" s="1003" t="b">
        <f>Flags!AP16</f>
        <v>1</v>
      </c>
      <c r="AQ7" s="1003" t="b">
        <f>Flags!AQ16</f>
        <v>1</v>
      </c>
      <c r="AR7" s="1003" t="b">
        <f>Flags!AR16</f>
        <v>1</v>
      </c>
      <c r="AS7" s="1003" t="b">
        <f>Flags!AS16</f>
        <v>1</v>
      </c>
      <c r="AT7" s="1003" t="b">
        <f>Flags!AT16</f>
        <v>1</v>
      </c>
      <c r="AU7" s="1003" t="b">
        <f>Flags!AU16</f>
        <v>1</v>
      </c>
      <c r="AV7" s="1003" t="b">
        <f>Flags!AV16</f>
        <v>1</v>
      </c>
      <c r="AW7" s="1003" t="b">
        <f>Flags!AW16</f>
        <v>1</v>
      </c>
      <c r="AX7" s="1003" t="b">
        <f>Flags!AX16</f>
        <v>1</v>
      </c>
      <c r="AY7" s="1003" t="b">
        <f>Flags!AY16</f>
        <v>1</v>
      </c>
      <c r="AZ7" s="1003" t="b">
        <f>Flags!AZ16</f>
        <v>1</v>
      </c>
      <c r="BA7" s="1003" t="b">
        <f>Flags!BA16</f>
        <v>1</v>
      </c>
      <c r="BB7" s="1003" t="b">
        <f>Flags!BB16</f>
        <v>1</v>
      </c>
      <c r="BC7" s="1003" t="b">
        <f>Flags!BC16</f>
        <v>1</v>
      </c>
      <c r="BD7" s="1003" t="b">
        <f>Flags!BD16</f>
        <v>1</v>
      </c>
      <c r="BE7" s="1003" t="b">
        <f>Flags!BE16</f>
        <v>1</v>
      </c>
      <c r="BF7" s="1003" t="b">
        <f>Flags!BF16</f>
        <v>1</v>
      </c>
      <c r="BG7" s="1003" t="b">
        <f>Flags!BG16</f>
        <v>1</v>
      </c>
      <c r="BH7" s="1003" t="b">
        <f>Flags!BH16</f>
        <v>1</v>
      </c>
      <c r="BI7" s="1003" t="b">
        <f>Flags!BI16</f>
        <v>1</v>
      </c>
      <c r="BJ7" s="1003" t="b">
        <f>Flags!BJ16</f>
        <v>1</v>
      </c>
      <c r="BK7" s="1003" t="b">
        <f>Flags!BK16</f>
        <v>1</v>
      </c>
      <c r="BL7" s="1003" t="b">
        <f>Flags!BL16</f>
        <v>1</v>
      </c>
      <c r="BM7" s="1003" t="b">
        <f>Flags!BM16</f>
        <v>1</v>
      </c>
      <c r="BN7" s="1003" t="b">
        <f>Flags!BN16</f>
        <v>1</v>
      </c>
      <c r="BO7" s="1003" t="b">
        <f>Flags!BO16</f>
        <v>1</v>
      </c>
      <c r="BP7" s="1003" t="b">
        <f>Flags!BP16</f>
        <v>0</v>
      </c>
      <c r="BQ7" s="1003" t="b">
        <f>Flags!BQ16</f>
        <v>0</v>
      </c>
      <c r="BR7" s="1003" t="b">
        <f>Flags!BR16</f>
        <v>0</v>
      </c>
      <c r="BS7" s="1003" t="b">
        <f>Flags!BS16</f>
        <v>0</v>
      </c>
      <c r="BT7" s="1003" t="b">
        <f>Flags!BT16</f>
        <v>0</v>
      </c>
      <c r="BU7" s="1003" t="b">
        <f>Flags!BU16</f>
        <v>0</v>
      </c>
      <c r="BV7" s="1003" t="b">
        <f>Flags!BV16</f>
        <v>0</v>
      </c>
      <c r="BW7" s="1003" t="b">
        <f>Flags!BW16</f>
        <v>0</v>
      </c>
      <c r="BX7" s="1003" t="b">
        <f>Flags!BX16</f>
        <v>0</v>
      </c>
      <c r="BY7" s="1003" t="b">
        <f>Flags!BY16</f>
        <v>0</v>
      </c>
      <c r="BZ7" s="1003" t="b">
        <f>Flags!BZ16</f>
        <v>0</v>
      </c>
      <c r="CA7" s="1003" t="b">
        <f>Flags!CA16</f>
        <v>0</v>
      </c>
      <c r="CB7" s="1003" t="b">
        <f>Flags!CB16</f>
        <v>0</v>
      </c>
      <c r="CC7" s="1003" t="b">
        <f>Flags!CC16</f>
        <v>0</v>
      </c>
      <c r="CD7" s="1003" t="b">
        <f>Flags!CD16</f>
        <v>0</v>
      </c>
      <c r="CE7" s="1003" t="b">
        <f>Flags!CE16</f>
        <v>0</v>
      </c>
      <c r="CF7" s="1003" t="b">
        <f>Flags!CF16</f>
        <v>0</v>
      </c>
      <c r="CG7" s="1003" t="b">
        <f>Flags!CG16</f>
        <v>0</v>
      </c>
      <c r="CH7" s="1003" t="b">
        <f>Flags!CH16</f>
        <v>0</v>
      </c>
      <c r="CI7" s="1003" t="b">
        <f>Flags!CI16</f>
        <v>0</v>
      </c>
      <c r="CJ7" s="1003" t="b">
        <f>Flags!CJ16</f>
        <v>0</v>
      </c>
      <c r="CK7" s="1003" t="b">
        <f>Flags!CK16</f>
        <v>0</v>
      </c>
      <c r="CL7" s="1003" t="b">
        <f>Flags!CL16</f>
        <v>0</v>
      </c>
      <c r="CM7" s="1003" t="b">
        <f>Flags!CM16</f>
        <v>0</v>
      </c>
      <c r="CN7" s="1003" t="b">
        <f>Flags!CN16</f>
        <v>0</v>
      </c>
      <c r="CO7" s="1003" t="b">
        <f>Flags!CO16</f>
        <v>0</v>
      </c>
      <c r="CP7" s="1003" t="b">
        <f>Flags!CP16</f>
        <v>0</v>
      </c>
      <c r="CQ7" s="1003" t="b">
        <f>Flags!CQ16</f>
        <v>0</v>
      </c>
      <c r="CR7" s="1003" t="b">
        <f>Flags!CR16</f>
        <v>0</v>
      </c>
      <c r="CS7" s="1003" t="b">
        <f>Flags!CS16</f>
        <v>0</v>
      </c>
      <c r="CT7" s="1003" t="b">
        <f>Flags!CT16</f>
        <v>0</v>
      </c>
      <c r="CU7" s="1003" t="b">
        <f>Flags!CU16</f>
        <v>0</v>
      </c>
      <c r="CV7" s="1003" t="b">
        <f>Flags!CV16</f>
        <v>0</v>
      </c>
      <c r="CW7" s="1003" t="b">
        <f>Flags!CW16</f>
        <v>0</v>
      </c>
      <c r="CX7" s="1003" t="b">
        <f>Flags!CX16</f>
        <v>0</v>
      </c>
      <c r="CY7" s="1003" t="b">
        <f>Flags!CY16</f>
        <v>0</v>
      </c>
      <c r="CZ7" s="1003" t="b">
        <f>Flags!CZ16</f>
        <v>0</v>
      </c>
      <c r="DA7" s="1003" t="b">
        <f>Flags!DA16</f>
        <v>0</v>
      </c>
      <c r="DB7" s="1003" t="b">
        <f>Flags!DB16</f>
        <v>0</v>
      </c>
      <c r="DC7" s="1003" t="b">
        <f>Flags!DC16</f>
        <v>0</v>
      </c>
      <c r="DD7" s="1003" t="b">
        <f>Flags!DD16</f>
        <v>0</v>
      </c>
      <c r="DE7" s="1003" t="b">
        <f>Flags!DE16</f>
        <v>0</v>
      </c>
      <c r="DF7" s="1003" t="b">
        <f>Flags!DF16</f>
        <v>0</v>
      </c>
      <c r="DG7" s="1003" t="b">
        <f>Flags!DG16</f>
        <v>0</v>
      </c>
      <c r="DH7" s="1003" t="b">
        <f>Flags!DH16</f>
        <v>0</v>
      </c>
      <c r="DI7" s="1003" t="b">
        <f>Flags!DI16</f>
        <v>0</v>
      </c>
      <c r="DJ7" s="1003" t="b">
        <f>Flags!DJ16</f>
        <v>0</v>
      </c>
      <c r="DK7" s="1003" t="b">
        <f>Flags!DK16</f>
        <v>0</v>
      </c>
      <c r="DL7" s="1003" t="b">
        <f>Flags!DL16</f>
        <v>0</v>
      </c>
      <c r="DM7" s="1003" t="b">
        <f>Flags!DM16</f>
        <v>0</v>
      </c>
      <c r="DN7" s="1003" t="b">
        <f>Flags!DN16</f>
        <v>0</v>
      </c>
      <c r="DO7" s="1003" t="b">
        <f>Flags!DO16</f>
        <v>0</v>
      </c>
      <c r="DP7" s="1003" t="b">
        <f>Flags!DP16</f>
        <v>0</v>
      </c>
      <c r="DQ7" s="1003" t="b">
        <f>Flags!DQ16</f>
        <v>0</v>
      </c>
      <c r="DR7" s="1003" t="b">
        <f>Flags!DR16</f>
        <v>0</v>
      </c>
      <c r="DS7" s="1003" t="b">
        <f>Flags!DS16</f>
        <v>0</v>
      </c>
      <c r="DT7" s="1003" t="b">
        <f>Flags!DT16</f>
        <v>0</v>
      </c>
      <c r="DU7" s="1003" t="b">
        <f>Flags!DU16</f>
        <v>0</v>
      </c>
      <c r="DV7" s="1003" t="b">
        <f>Flags!DV16</f>
        <v>0</v>
      </c>
      <c r="DW7" s="1003" t="b">
        <f>Flags!DW16</f>
        <v>0</v>
      </c>
    </row>
    <row r="8" spans="1:127">
      <c r="A8" s="996"/>
      <c r="B8" s="673"/>
      <c r="C8" s="673"/>
      <c r="D8" s="484"/>
      <c r="E8" s="484"/>
      <c r="F8" s="310"/>
      <c r="G8" s="1003"/>
      <c r="H8" s="1003"/>
      <c r="I8" s="1003"/>
      <c r="J8" s="1003"/>
      <c r="K8" s="1003"/>
      <c r="L8" s="1003"/>
      <c r="M8" s="1003"/>
      <c r="N8" s="1003"/>
      <c r="O8" s="1003"/>
      <c r="P8" s="1003"/>
      <c r="Q8" s="1003"/>
      <c r="R8" s="1003"/>
      <c r="S8" s="1003"/>
      <c r="T8" s="1003"/>
      <c r="U8" s="1003"/>
      <c r="V8" s="1003"/>
      <c r="W8" s="1003"/>
      <c r="X8" s="1003"/>
      <c r="Y8" s="1003"/>
      <c r="Z8" s="1003"/>
      <c r="AA8" s="1003"/>
      <c r="AB8" s="1003"/>
      <c r="AC8" s="1003"/>
      <c r="AD8" s="1003"/>
      <c r="AE8" s="1003"/>
      <c r="AF8" s="1003"/>
      <c r="AG8" s="1003"/>
      <c r="AH8" s="1003"/>
      <c r="AI8" s="1003"/>
      <c r="AJ8" s="1003"/>
      <c r="AK8" s="1003"/>
      <c r="AL8" s="1003"/>
      <c r="AM8" s="1003"/>
      <c r="AN8" s="1003"/>
      <c r="AO8" s="1003"/>
      <c r="AP8" s="1003"/>
      <c r="AQ8" s="1003"/>
      <c r="AR8" s="1003"/>
      <c r="AS8" s="1003"/>
      <c r="AT8" s="1003"/>
      <c r="AU8" s="1003"/>
      <c r="AV8" s="1003"/>
      <c r="AW8" s="1003"/>
      <c r="AX8" s="1003"/>
      <c r="AY8" s="1003"/>
      <c r="AZ8" s="1003"/>
      <c r="BA8" s="1003"/>
      <c r="BB8" s="1003"/>
      <c r="BC8" s="1003"/>
      <c r="BD8" s="1003"/>
      <c r="BE8" s="1003"/>
      <c r="BF8" s="1003"/>
      <c r="BG8" s="1003"/>
      <c r="BH8" s="1003"/>
      <c r="BI8" s="1003"/>
      <c r="BJ8" s="1003"/>
      <c r="BK8" s="1003"/>
      <c r="BL8" s="1003"/>
      <c r="BM8" s="1003"/>
      <c r="BN8" s="1003"/>
      <c r="BO8" s="1003"/>
      <c r="BP8" s="1003"/>
      <c r="BQ8" s="1003"/>
      <c r="BR8" s="1003"/>
      <c r="BS8" s="1003"/>
      <c r="BT8" s="1003"/>
      <c r="BU8" s="1003"/>
      <c r="BV8" s="1003"/>
      <c r="BW8" s="1003"/>
      <c r="BX8" s="1003"/>
      <c r="BY8" s="1003"/>
      <c r="BZ8" s="1003"/>
      <c r="CA8" s="1003"/>
      <c r="CB8" s="1003"/>
      <c r="CC8" s="1003"/>
      <c r="CD8" s="1003"/>
      <c r="CE8" s="1003"/>
      <c r="CF8" s="1003"/>
      <c r="CG8" s="1003"/>
      <c r="CH8" s="1003"/>
      <c r="CI8" s="1003"/>
      <c r="CJ8" s="1003"/>
      <c r="CK8" s="1003"/>
      <c r="CL8" s="1003"/>
      <c r="CM8" s="1003"/>
      <c r="CN8" s="1003"/>
      <c r="CO8" s="1003"/>
      <c r="CP8" s="1003"/>
      <c r="CQ8" s="1003"/>
      <c r="CR8" s="1003"/>
      <c r="CS8" s="1003"/>
      <c r="CT8" s="1003"/>
      <c r="CU8" s="1003"/>
      <c r="CV8" s="1003"/>
      <c r="CW8" s="1003"/>
      <c r="CX8" s="1003"/>
      <c r="CY8" s="1003"/>
      <c r="CZ8" s="1003"/>
      <c r="DA8" s="1003"/>
      <c r="DB8" s="1003"/>
      <c r="DC8" s="1003"/>
      <c r="DD8" s="1003"/>
      <c r="DE8" s="1003"/>
      <c r="DF8" s="1003"/>
      <c r="DG8" s="1003"/>
      <c r="DH8" s="1003"/>
      <c r="DI8" s="1003"/>
      <c r="DJ8" s="1003"/>
      <c r="DK8" s="1003"/>
      <c r="DL8" s="1003"/>
      <c r="DM8" s="1003"/>
      <c r="DN8" s="1003"/>
      <c r="DO8" s="1003"/>
      <c r="DP8" s="1003"/>
      <c r="DQ8" s="1003"/>
      <c r="DR8" s="1003"/>
      <c r="DS8" s="1003"/>
      <c r="DT8" s="1003"/>
      <c r="DU8" s="1003"/>
      <c r="DV8" s="1003"/>
      <c r="DW8" s="1003"/>
    </row>
    <row r="9" spans="1:127">
      <c r="A9" s="996" t="str">
        <f>Inputs!A338</f>
        <v>Investor's Investment Date</v>
      </c>
      <c r="B9" s="1098">
        <f>Inputs!D338</f>
        <v>47298</v>
      </c>
      <c r="C9" s="673"/>
      <c r="D9" s="484"/>
      <c r="E9" s="484"/>
      <c r="F9" s="310"/>
      <c r="G9" s="1003"/>
      <c r="H9" s="1003"/>
      <c r="I9" s="1003"/>
      <c r="J9" s="1003"/>
      <c r="K9" s="1003"/>
      <c r="L9" s="1003"/>
      <c r="M9" s="1003"/>
      <c r="N9" s="1003"/>
      <c r="O9" s="1003"/>
      <c r="P9" s="1003"/>
      <c r="Q9" s="1003"/>
      <c r="R9" s="1003"/>
      <c r="S9" s="1003"/>
      <c r="T9" s="1003"/>
      <c r="U9" s="1003"/>
      <c r="V9" s="1003"/>
      <c r="W9" s="1003"/>
      <c r="X9" s="1003"/>
      <c r="Y9" s="1003"/>
      <c r="Z9" s="1003"/>
      <c r="AA9" s="1003"/>
      <c r="AB9" s="1003"/>
      <c r="AC9" s="1003"/>
      <c r="AD9" s="1003"/>
      <c r="AE9" s="1003"/>
      <c r="AF9" s="1003"/>
      <c r="AG9" s="1003"/>
      <c r="AH9" s="1003"/>
      <c r="AI9" s="1003"/>
      <c r="AJ9" s="1003"/>
      <c r="AK9" s="1003"/>
      <c r="AL9" s="1003"/>
      <c r="AM9" s="1003"/>
      <c r="AN9" s="1003"/>
      <c r="AO9" s="1003"/>
      <c r="AP9" s="1003"/>
      <c r="AQ9" s="1003"/>
      <c r="AR9" s="1003"/>
      <c r="AS9" s="1003"/>
      <c r="AT9" s="1003"/>
      <c r="AU9" s="1003"/>
      <c r="AV9" s="1003"/>
      <c r="AW9" s="1003"/>
      <c r="AX9" s="1003"/>
      <c r="AY9" s="1003"/>
      <c r="AZ9" s="1003"/>
      <c r="BA9" s="1003"/>
      <c r="BB9" s="1003"/>
      <c r="BC9" s="1003"/>
      <c r="BD9" s="1003"/>
      <c r="BE9" s="1003"/>
      <c r="BF9" s="1003"/>
      <c r="BG9" s="1003"/>
      <c r="BH9" s="1003"/>
      <c r="BI9" s="1003"/>
      <c r="BJ9" s="1003"/>
      <c r="BK9" s="1003"/>
      <c r="BL9" s="1003"/>
      <c r="BM9" s="1003"/>
      <c r="BN9" s="1003"/>
      <c r="BO9" s="1003"/>
      <c r="BP9" s="1003"/>
      <c r="BQ9" s="1003"/>
      <c r="BR9" s="1003"/>
      <c r="BS9" s="1003"/>
      <c r="BT9" s="1003"/>
      <c r="BU9" s="1003"/>
      <c r="BV9" s="1003"/>
      <c r="BW9" s="1003"/>
      <c r="BX9" s="1003"/>
      <c r="BY9" s="1003"/>
      <c r="BZ9" s="1003"/>
      <c r="CA9" s="1003"/>
      <c r="CB9" s="1003"/>
      <c r="CC9" s="1003"/>
      <c r="CD9" s="1003"/>
      <c r="CE9" s="1003"/>
      <c r="CF9" s="1003"/>
      <c r="CG9" s="1003"/>
      <c r="CH9" s="1003"/>
      <c r="CI9" s="1003"/>
      <c r="CJ9" s="1003"/>
      <c r="CK9" s="1003"/>
      <c r="CL9" s="1003"/>
      <c r="CM9" s="1003"/>
      <c r="CN9" s="1003"/>
      <c r="CO9" s="1003"/>
      <c r="CP9" s="1003"/>
      <c r="CQ9" s="1003"/>
      <c r="CR9" s="1003"/>
      <c r="CS9" s="1003"/>
      <c r="CT9" s="1003"/>
      <c r="CU9" s="1003"/>
      <c r="CV9" s="1003"/>
      <c r="CW9" s="1003"/>
      <c r="CX9" s="1003"/>
      <c r="CY9" s="1003"/>
      <c r="CZ9" s="1003"/>
      <c r="DA9" s="1003"/>
      <c r="DB9" s="1003"/>
      <c r="DC9" s="1003"/>
      <c r="DD9" s="1003"/>
      <c r="DE9" s="1003"/>
      <c r="DF9" s="1003"/>
      <c r="DG9" s="1003"/>
      <c r="DH9" s="1003"/>
      <c r="DI9" s="1003"/>
      <c r="DJ9" s="1003"/>
      <c r="DK9" s="1003"/>
      <c r="DL9" s="1003"/>
      <c r="DM9" s="1003"/>
      <c r="DN9" s="1003"/>
      <c r="DO9" s="1003"/>
      <c r="DP9" s="1003"/>
      <c r="DQ9" s="1003"/>
      <c r="DR9" s="1003"/>
      <c r="DS9" s="1003"/>
      <c r="DT9" s="1003"/>
      <c r="DU9" s="1003"/>
      <c r="DV9" s="1003"/>
      <c r="DW9" s="1003"/>
    </row>
    <row r="10" spans="1:127">
      <c r="A10" s="996" t="str">
        <f>Inputs!A340</f>
        <v>First Distribution Date</v>
      </c>
      <c r="B10" s="1098">
        <f>Inputs!D340</f>
        <v>47846</v>
      </c>
      <c r="C10" s="673"/>
      <c r="D10" s="484"/>
      <c r="E10" s="484"/>
      <c r="F10" s="310"/>
      <c r="G10" s="1003"/>
      <c r="H10" s="1003"/>
      <c r="I10" s="1003"/>
      <c r="J10" s="1003"/>
      <c r="K10" s="1003"/>
      <c r="L10" s="1003"/>
      <c r="M10" s="1003"/>
      <c r="N10" s="1003"/>
      <c r="O10" s="1003"/>
      <c r="P10" s="1003"/>
      <c r="Q10" s="1003"/>
      <c r="R10" s="1003"/>
      <c r="S10" s="1003"/>
      <c r="T10" s="1003"/>
      <c r="U10" s="1003"/>
      <c r="V10" s="1003"/>
      <c r="W10" s="1003"/>
      <c r="X10" s="1003"/>
      <c r="Y10" s="1003"/>
      <c r="Z10" s="1003"/>
      <c r="AA10" s="1003"/>
      <c r="AB10" s="1003"/>
      <c r="AC10" s="1003"/>
      <c r="AD10" s="1003"/>
      <c r="AE10" s="1003"/>
      <c r="AF10" s="1003"/>
      <c r="AG10" s="1003"/>
      <c r="AH10" s="1003"/>
      <c r="AI10" s="1003"/>
      <c r="AJ10" s="1003"/>
      <c r="AK10" s="1003"/>
      <c r="AL10" s="1003"/>
      <c r="AM10" s="1003"/>
      <c r="AN10" s="1003"/>
      <c r="AO10" s="1003"/>
      <c r="AP10" s="1003"/>
      <c r="AQ10" s="1003"/>
      <c r="AR10" s="1003"/>
      <c r="AS10" s="1003"/>
      <c r="AT10" s="1003"/>
      <c r="AU10" s="1003"/>
      <c r="AV10" s="1003"/>
      <c r="AW10" s="1003"/>
      <c r="AX10" s="1003"/>
      <c r="AY10" s="1003"/>
      <c r="AZ10" s="1003"/>
      <c r="BA10" s="1003"/>
      <c r="BB10" s="1003"/>
      <c r="BC10" s="1003"/>
      <c r="BD10" s="1003"/>
      <c r="BE10" s="1003"/>
      <c r="BF10" s="1003"/>
      <c r="BG10" s="1003"/>
      <c r="BH10" s="1003"/>
      <c r="BI10" s="1003"/>
      <c r="BJ10" s="1003"/>
      <c r="BK10" s="1003"/>
      <c r="BL10" s="1003"/>
      <c r="BM10" s="1003"/>
      <c r="BN10" s="1003"/>
      <c r="BO10" s="1003"/>
      <c r="BP10" s="1003"/>
      <c r="BQ10" s="1003"/>
      <c r="BR10" s="1003"/>
      <c r="BS10" s="1003"/>
      <c r="BT10" s="1003"/>
      <c r="BU10" s="1003"/>
      <c r="BV10" s="1003"/>
      <c r="BW10" s="1003"/>
      <c r="BX10" s="1003"/>
      <c r="BY10" s="1003"/>
      <c r="BZ10" s="1003"/>
      <c r="CA10" s="1003"/>
      <c r="CB10" s="1003"/>
      <c r="CC10" s="1003"/>
      <c r="CD10" s="1003"/>
      <c r="CE10" s="1003"/>
      <c r="CF10" s="1003"/>
      <c r="CG10" s="1003"/>
      <c r="CH10" s="1003"/>
      <c r="CI10" s="1003"/>
      <c r="CJ10" s="1003"/>
      <c r="CK10" s="1003"/>
      <c r="CL10" s="1003"/>
      <c r="CM10" s="1003"/>
      <c r="CN10" s="1003"/>
      <c r="CO10" s="1003"/>
      <c r="CP10" s="1003"/>
      <c r="CQ10" s="1003"/>
      <c r="CR10" s="1003"/>
      <c r="CS10" s="1003"/>
      <c r="CT10" s="1003"/>
      <c r="CU10" s="1003"/>
      <c r="CV10" s="1003"/>
      <c r="CW10" s="1003"/>
      <c r="CX10" s="1003"/>
      <c r="CY10" s="1003"/>
      <c r="CZ10" s="1003"/>
      <c r="DA10" s="1003"/>
      <c r="DB10" s="1003"/>
      <c r="DC10" s="1003"/>
      <c r="DD10" s="1003"/>
      <c r="DE10" s="1003"/>
      <c r="DF10" s="1003"/>
      <c r="DG10" s="1003"/>
      <c r="DH10" s="1003"/>
      <c r="DI10" s="1003"/>
      <c r="DJ10" s="1003"/>
      <c r="DK10" s="1003"/>
      <c r="DL10" s="1003"/>
      <c r="DM10" s="1003"/>
      <c r="DN10" s="1003"/>
      <c r="DO10" s="1003"/>
      <c r="DP10" s="1003"/>
      <c r="DQ10" s="1003"/>
      <c r="DR10" s="1003"/>
      <c r="DS10" s="1003"/>
      <c r="DT10" s="1003"/>
      <c r="DU10" s="1003"/>
      <c r="DV10" s="1003"/>
      <c r="DW10" s="1003"/>
    </row>
    <row r="11" spans="1:127">
      <c r="A11" s="636"/>
      <c r="B11" s="673"/>
      <c r="C11" s="673"/>
      <c r="D11" s="484"/>
      <c r="E11" s="484"/>
      <c r="F11" s="310"/>
      <c r="G11" s="629"/>
      <c r="H11" s="629"/>
      <c r="I11" s="629"/>
      <c r="J11" s="629"/>
      <c r="K11" s="629"/>
      <c r="L11" s="629"/>
      <c r="M11" s="629"/>
      <c r="N11" s="629"/>
      <c r="O11" s="629"/>
      <c r="P11" s="629"/>
      <c r="Q11" s="629"/>
      <c r="R11" s="629"/>
      <c r="S11" s="629"/>
      <c r="T11" s="629"/>
      <c r="U11" s="629"/>
      <c r="V11" s="629"/>
      <c r="W11" s="629"/>
      <c r="X11" s="629"/>
      <c r="Y11" s="629"/>
      <c r="Z11" s="629"/>
      <c r="AA11" s="629"/>
      <c r="AB11" s="629"/>
      <c r="AC11" s="629"/>
      <c r="AD11" s="629"/>
      <c r="AE11" s="629"/>
      <c r="AF11" s="629"/>
      <c r="AG11" s="629"/>
      <c r="AH11" s="629"/>
      <c r="AI11" s="629"/>
      <c r="AJ11" s="629"/>
      <c r="AK11" s="629"/>
      <c r="AL11" s="629"/>
      <c r="AM11" s="629"/>
      <c r="AN11" s="629"/>
      <c r="AO11" s="629"/>
      <c r="AP11" s="629"/>
      <c r="AQ11" s="629"/>
      <c r="AR11" s="629"/>
      <c r="AS11" s="629"/>
      <c r="AT11" s="629"/>
      <c r="AU11" s="629"/>
      <c r="AV11" s="629"/>
      <c r="AW11" s="629"/>
      <c r="AX11" s="629"/>
      <c r="AY11" s="629"/>
      <c r="AZ11" s="629"/>
      <c r="BA11" s="629"/>
      <c r="BB11" s="629"/>
      <c r="BC11" s="629"/>
      <c r="BD11" s="629"/>
      <c r="BE11" s="629"/>
      <c r="BF11" s="629"/>
      <c r="BG11" s="629"/>
      <c r="BH11" s="629"/>
      <c r="BI11" s="629"/>
      <c r="BJ11" s="629"/>
      <c r="BK11" s="629"/>
      <c r="BL11" s="629"/>
      <c r="BM11" s="629"/>
      <c r="BN11" s="629"/>
      <c r="BO11" s="629"/>
      <c r="BP11" s="629"/>
      <c r="BQ11" s="629"/>
      <c r="BR11" s="629"/>
      <c r="BS11" s="629"/>
      <c r="BT11" s="629"/>
      <c r="BU11" s="629"/>
      <c r="BV11" s="629"/>
      <c r="BW11" s="629"/>
      <c r="BX11" s="629"/>
      <c r="BY11" s="629"/>
      <c r="BZ11" s="629"/>
      <c r="CA11" s="629"/>
      <c r="CB11" s="629"/>
      <c r="CC11" s="629"/>
      <c r="CD11" s="629"/>
      <c r="CE11" s="629"/>
      <c r="CF11" s="629"/>
      <c r="CG11" s="629"/>
      <c r="CH11" s="629"/>
      <c r="CI11" s="629"/>
      <c r="CJ11" s="629"/>
      <c r="CK11" s="629"/>
      <c r="CL11" s="629"/>
      <c r="CM11" s="629"/>
      <c r="CN11" s="629"/>
      <c r="CO11" s="629"/>
      <c r="CP11" s="629"/>
      <c r="CQ11" s="629"/>
      <c r="CR11" s="629"/>
      <c r="CS11" s="629"/>
      <c r="CT11" s="629"/>
      <c r="CU11" s="629"/>
      <c r="CV11" s="629"/>
      <c r="CW11" s="629"/>
      <c r="CX11" s="629"/>
      <c r="CY11" s="629"/>
      <c r="CZ11" s="629"/>
      <c r="DA11" s="629"/>
      <c r="DB11" s="629"/>
      <c r="DC11" s="629"/>
      <c r="DD11" s="629"/>
      <c r="DE11" s="629"/>
      <c r="DF11" s="629"/>
      <c r="DG11" s="629"/>
      <c r="DH11" s="629"/>
      <c r="DI11" s="629"/>
      <c r="DJ11" s="629"/>
      <c r="DK11" s="629"/>
      <c r="DL11" s="629"/>
      <c r="DM11" s="629"/>
      <c r="DN11" s="629"/>
      <c r="DO11" s="629"/>
      <c r="DP11" s="629"/>
      <c r="DQ11" s="629"/>
      <c r="DR11" s="629"/>
      <c r="DS11" s="629"/>
      <c r="DT11" s="629"/>
      <c r="DU11" s="629"/>
      <c r="DV11" s="629"/>
      <c r="DW11" s="629"/>
    </row>
    <row r="12" spans="1:127">
      <c r="A12" s="861" t="s">
        <v>1253</v>
      </c>
      <c r="B12" s="862"/>
      <c r="C12" s="862"/>
      <c r="D12" s="864"/>
      <c r="E12" s="864"/>
      <c r="F12" s="870"/>
      <c r="G12" s="638">
        <f>Flags!G31</f>
        <v>47298</v>
      </c>
      <c r="H12" s="638">
        <f>Flags!H31</f>
        <v>47848</v>
      </c>
      <c r="I12" s="638">
        <f>Flags!I31</f>
        <v>48029</v>
      </c>
      <c r="J12" s="638">
        <f>Flags!J31</f>
        <v>48213</v>
      </c>
      <c r="K12" s="638">
        <f>Flags!K31</f>
        <v>48395</v>
      </c>
      <c r="L12" s="638">
        <f>Flags!L31</f>
        <v>48579</v>
      </c>
      <c r="M12" s="638">
        <f>Flags!M31</f>
        <v>48760</v>
      </c>
      <c r="N12" s="638">
        <f>Flags!N31</f>
        <v>48944</v>
      </c>
      <c r="O12" s="638">
        <f>Flags!O31</f>
        <v>49125</v>
      </c>
      <c r="P12" s="638">
        <f>Flags!P31</f>
        <v>49309</v>
      </c>
      <c r="Q12" s="638">
        <f>Flags!Q31</f>
        <v>49490</v>
      </c>
      <c r="R12" s="638">
        <f>Flags!R31</f>
        <v>49674</v>
      </c>
      <c r="S12" s="638">
        <f>Flags!S31</f>
        <v>49856</v>
      </c>
      <c r="T12" s="638">
        <f>Flags!T31</f>
        <v>50040</v>
      </c>
      <c r="U12" s="638">
        <f>Flags!U31</f>
        <v>50221</v>
      </c>
      <c r="V12" s="638">
        <f>Flags!V31</f>
        <v>50405</v>
      </c>
      <c r="W12" s="638">
        <f>Flags!W31</f>
        <v>50586</v>
      </c>
      <c r="X12" s="638">
        <f>Flags!X31</f>
        <v>50770</v>
      </c>
      <c r="Y12" s="638">
        <f>Flags!Y31</f>
        <v>50951</v>
      </c>
      <c r="Z12" s="638">
        <f>Flags!Z31</f>
        <v>51135</v>
      </c>
      <c r="AA12" s="638">
        <f>Flags!AA31</f>
        <v>51317</v>
      </c>
      <c r="AB12" s="638">
        <f>Flags!AB31</f>
        <v>51501</v>
      </c>
      <c r="AC12" s="638">
        <f>Flags!AC31</f>
        <v>51682</v>
      </c>
      <c r="AD12" s="638">
        <f>Flags!AD31</f>
        <v>51866</v>
      </c>
      <c r="AE12" s="638">
        <f>Flags!AE31</f>
        <v>52047</v>
      </c>
      <c r="AF12" s="638">
        <f>Flags!AF31</f>
        <v>52231</v>
      </c>
      <c r="AG12" s="638">
        <f>Flags!AG31</f>
        <v>52412</v>
      </c>
      <c r="AH12" s="638">
        <f>Flags!AH31</f>
        <v>52596</v>
      </c>
      <c r="AI12" s="638">
        <f>Flags!AI31</f>
        <v>52778</v>
      </c>
      <c r="AJ12" s="638">
        <f>Flags!AJ31</f>
        <v>52962</v>
      </c>
      <c r="AK12" s="638">
        <f>Flags!AK31</f>
        <v>53143</v>
      </c>
      <c r="AL12" s="638">
        <f>Flags!AL31</f>
        <v>53327</v>
      </c>
      <c r="AM12" s="638">
        <f>Flags!AM31</f>
        <v>53508</v>
      </c>
      <c r="AN12" s="638">
        <f>Flags!AN31</f>
        <v>53692</v>
      </c>
      <c r="AO12" s="638">
        <f>Flags!AO31</f>
        <v>53873</v>
      </c>
      <c r="AP12" s="638">
        <f>Flags!AP31</f>
        <v>54057</v>
      </c>
      <c r="AQ12" s="638">
        <f>Flags!AQ31</f>
        <v>54239</v>
      </c>
      <c r="AR12" s="638">
        <f>Flags!AR31</f>
        <v>54423</v>
      </c>
      <c r="AS12" s="638">
        <f>Flags!AS31</f>
        <v>54604</v>
      </c>
      <c r="AT12" s="638">
        <f>Flags!AT31</f>
        <v>54788</v>
      </c>
      <c r="AU12" s="638">
        <f>Flags!AU31</f>
        <v>54969</v>
      </c>
      <c r="AV12" s="638">
        <f>Flags!AV31</f>
        <v>55153</v>
      </c>
      <c r="AW12" s="638">
        <f>Flags!AW31</f>
        <v>55334</v>
      </c>
      <c r="AX12" s="638">
        <f>Flags!AX31</f>
        <v>55518</v>
      </c>
      <c r="AY12" s="638">
        <f>Flags!AY31</f>
        <v>55700</v>
      </c>
      <c r="AZ12" s="638">
        <f>Flags!AZ31</f>
        <v>55884</v>
      </c>
      <c r="BA12" s="638">
        <f>Flags!BA31</f>
        <v>56065</v>
      </c>
      <c r="BB12" s="638">
        <f>Flags!BB31</f>
        <v>56249</v>
      </c>
      <c r="BC12" s="638">
        <f>Flags!BC31</f>
        <v>56430</v>
      </c>
      <c r="BD12" s="638">
        <f>Flags!BD31</f>
        <v>56614</v>
      </c>
      <c r="BE12" s="638">
        <f>Flags!BE31</f>
        <v>56795</v>
      </c>
      <c r="BF12" s="638">
        <f>Flags!BF31</f>
        <v>56979</v>
      </c>
      <c r="BG12" s="638">
        <f>Flags!BG31</f>
        <v>57161</v>
      </c>
      <c r="BH12" s="638">
        <f>Flags!BH31</f>
        <v>57345</v>
      </c>
      <c r="BI12" s="638">
        <f>Flags!BI31</f>
        <v>57526</v>
      </c>
      <c r="BJ12" s="638">
        <f>Flags!BJ31</f>
        <v>57710</v>
      </c>
      <c r="BK12" s="638">
        <f>Flags!BK31</f>
        <v>57891</v>
      </c>
      <c r="BL12" s="638">
        <f>Flags!BL31</f>
        <v>58075</v>
      </c>
      <c r="BM12" s="638">
        <f>Flags!BM31</f>
        <v>58256</v>
      </c>
      <c r="BN12" s="638">
        <f>Flags!BN31</f>
        <v>58440</v>
      </c>
      <c r="BO12" s="638">
        <f>Flags!BO31</f>
        <v>58622</v>
      </c>
      <c r="BP12" s="638">
        <f>Flags!BP31</f>
        <v>58806</v>
      </c>
      <c r="BQ12" s="638">
        <f>Flags!BQ31</f>
        <v>58987</v>
      </c>
      <c r="BR12" s="638">
        <f>Flags!BR31</f>
        <v>59171</v>
      </c>
      <c r="BS12" s="638">
        <f>Flags!BS31</f>
        <v>59352</v>
      </c>
      <c r="BT12" s="638">
        <f>Flags!BT31</f>
        <v>59536</v>
      </c>
      <c r="BU12" s="638">
        <f>Flags!BU31</f>
        <v>59717</v>
      </c>
      <c r="BV12" s="638">
        <f>Flags!BV31</f>
        <v>59901</v>
      </c>
      <c r="BW12" s="638">
        <f>Flags!BW31</f>
        <v>60083</v>
      </c>
      <c r="BX12" s="638">
        <f>Flags!BX31</f>
        <v>60267</v>
      </c>
      <c r="BY12" s="638">
        <f>Flags!BY31</f>
        <v>60448</v>
      </c>
      <c r="BZ12" s="638">
        <f>Flags!BZ31</f>
        <v>60632</v>
      </c>
      <c r="CA12" s="638">
        <f>Flags!CA31</f>
        <v>60813</v>
      </c>
      <c r="CB12" s="638">
        <f>Flags!CB31</f>
        <v>60997</v>
      </c>
      <c r="CC12" s="638">
        <f>Flags!CC31</f>
        <v>61178</v>
      </c>
      <c r="CD12" s="638">
        <f>Flags!CD31</f>
        <v>61362</v>
      </c>
      <c r="CE12" s="638">
        <f>Flags!CE31</f>
        <v>61544</v>
      </c>
      <c r="CF12" s="638">
        <f>Flags!CF31</f>
        <v>61728</v>
      </c>
      <c r="CG12" s="638">
        <f>Flags!CG31</f>
        <v>61909</v>
      </c>
      <c r="CH12" s="638">
        <f>Flags!CH31</f>
        <v>62093</v>
      </c>
      <c r="CI12" s="638">
        <f>Flags!CI31</f>
        <v>62274</v>
      </c>
      <c r="CJ12" s="638">
        <f>Flags!CJ31</f>
        <v>62458</v>
      </c>
      <c r="CK12" s="638">
        <f>Flags!CK31</f>
        <v>62639</v>
      </c>
      <c r="CL12" s="638">
        <f>Flags!CL31</f>
        <v>62823</v>
      </c>
      <c r="CM12" s="638">
        <f>Flags!CM31</f>
        <v>63005</v>
      </c>
      <c r="CN12" s="638">
        <f>Flags!CN31</f>
        <v>63189</v>
      </c>
      <c r="CO12" s="638">
        <f>Flags!CO31</f>
        <v>63370</v>
      </c>
      <c r="CP12" s="638">
        <f>Flags!CP31</f>
        <v>63554</v>
      </c>
      <c r="CQ12" s="638">
        <f>Flags!CQ31</f>
        <v>63735</v>
      </c>
      <c r="CR12" s="638">
        <f>Flags!CR31</f>
        <v>63919</v>
      </c>
      <c r="CS12" s="638">
        <f>Flags!CS31</f>
        <v>64100</v>
      </c>
      <c r="CT12" s="638">
        <f>Flags!CT31</f>
        <v>64284</v>
      </c>
      <c r="CU12" s="638">
        <f>Flags!CU31</f>
        <v>64466</v>
      </c>
      <c r="CV12" s="638">
        <f>Flags!CV31</f>
        <v>64650</v>
      </c>
      <c r="CW12" s="638">
        <f>Flags!CW31</f>
        <v>64831</v>
      </c>
      <c r="CX12" s="638">
        <f>Flags!CX31</f>
        <v>65015</v>
      </c>
      <c r="CY12" s="638">
        <f>Flags!CY31</f>
        <v>65196</v>
      </c>
      <c r="CZ12" s="638">
        <f>Flags!CZ31</f>
        <v>65380</v>
      </c>
      <c r="DA12" s="638">
        <f>Flags!DA31</f>
        <v>65561</v>
      </c>
      <c r="DB12" s="638">
        <f>Flags!DB31</f>
        <v>65745</v>
      </c>
      <c r="DC12" s="638">
        <f>Flags!DC31</f>
        <v>65927</v>
      </c>
      <c r="DD12" s="638">
        <f>Flags!DD31</f>
        <v>66111</v>
      </c>
      <c r="DE12" s="638">
        <f>Flags!DE31</f>
        <v>66292</v>
      </c>
      <c r="DF12" s="638">
        <f>Flags!DF31</f>
        <v>66476</v>
      </c>
      <c r="DG12" s="638">
        <f>Flags!DG31</f>
        <v>66657</v>
      </c>
      <c r="DH12" s="638">
        <f>Flags!DH31</f>
        <v>66841</v>
      </c>
      <c r="DI12" s="638">
        <f>Flags!DI31</f>
        <v>67022</v>
      </c>
      <c r="DJ12" s="638">
        <f>Flags!DJ31</f>
        <v>67206</v>
      </c>
      <c r="DK12" s="638">
        <f>Flags!DK31</f>
        <v>67388</v>
      </c>
      <c r="DL12" s="638">
        <f>Flags!DL31</f>
        <v>67572</v>
      </c>
      <c r="DM12" s="638">
        <f>Flags!DM31</f>
        <v>67753</v>
      </c>
      <c r="DN12" s="638">
        <f>Flags!DN31</f>
        <v>67937</v>
      </c>
      <c r="DO12" s="638">
        <f>Flags!DO31</f>
        <v>68118</v>
      </c>
      <c r="DP12" s="638">
        <f>Flags!DP31</f>
        <v>68302</v>
      </c>
      <c r="DQ12" s="638">
        <f>Flags!DQ31</f>
        <v>68483</v>
      </c>
      <c r="DR12" s="638">
        <f>Flags!DR31</f>
        <v>68667</v>
      </c>
      <c r="DS12" s="638">
        <f>Flags!DS31</f>
        <v>68849</v>
      </c>
      <c r="DT12" s="638">
        <f>Flags!DT31</f>
        <v>69033</v>
      </c>
      <c r="DU12" s="638">
        <f>Flags!DU31</f>
        <v>69214</v>
      </c>
      <c r="DV12" s="638">
        <f>Flags!DV31</f>
        <v>69398</v>
      </c>
      <c r="DW12" s="638">
        <f>Flags!DW31</f>
        <v>69579</v>
      </c>
    </row>
    <row r="13" spans="1:127">
      <c r="A13" s="637"/>
      <c r="B13" s="708"/>
      <c r="C13" s="708"/>
      <c r="D13" s="637"/>
      <c r="E13" s="637"/>
      <c r="F13" s="1097"/>
      <c r="G13" s="1000"/>
      <c r="H13" s="1000"/>
      <c r="I13" s="1000"/>
      <c r="J13" s="1000"/>
      <c r="K13" s="1000"/>
      <c r="L13" s="1000"/>
      <c r="M13" s="1000"/>
      <c r="N13" s="1000"/>
      <c r="O13" s="1000"/>
      <c r="P13" s="1000"/>
      <c r="Q13" s="1000"/>
      <c r="R13" s="1000"/>
      <c r="S13" s="1000"/>
      <c r="T13" s="1000"/>
      <c r="U13" s="1000"/>
      <c r="V13" s="1000"/>
      <c r="W13" s="1000"/>
      <c r="X13" s="1000"/>
      <c r="Y13" s="1000"/>
      <c r="Z13" s="1000"/>
      <c r="AA13" s="1000"/>
      <c r="AB13" s="1000"/>
      <c r="AC13" s="1000"/>
      <c r="AD13" s="1000"/>
      <c r="AE13" s="1000"/>
      <c r="AF13" s="1000"/>
      <c r="AG13" s="1000"/>
      <c r="AH13" s="1000"/>
      <c r="AI13" s="1000"/>
      <c r="AJ13" s="1000"/>
      <c r="AK13" s="1000"/>
      <c r="AL13" s="1000"/>
      <c r="AM13" s="1000"/>
      <c r="AN13" s="1000"/>
      <c r="AO13" s="1000"/>
      <c r="AP13" s="1000"/>
      <c r="AQ13" s="1000"/>
      <c r="AR13" s="1000"/>
      <c r="AS13" s="1000"/>
      <c r="AT13" s="1000"/>
      <c r="AU13" s="1000"/>
      <c r="AV13" s="1000"/>
      <c r="AW13" s="1000"/>
      <c r="AX13" s="1000"/>
      <c r="AY13" s="1000"/>
      <c r="AZ13" s="1000"/>
      <c r="BA13" s="1000"/>
      <c r="BB13" s="1000"/>
      <c r="BC13" s="1000"/>
      <c r="BD13" s="1000"/>
      <c r="BE13" s="1000"/>
      <c r="BF13" s="1000"/>
      <c r="BG13" s="1000"/>
      <c r="BH13" s="1000"/>
      <c r="BI13" s="1000"/>
      <c r="BJ13" s="1000"/>
      <c r="BK13" s="1000"/>
      <c r="BL13" s="1000"/>
      <c r="BM13" s="1000"/>
      <c r="BN13" s="1000"/>
      <c r="BO13" s="1000"/>
      <c r="BP13" s="1000"/>
      <c r="BQ13" s="1000"/>
      <c r="BR13" s="1000"/>
      <c r="BS13" s="1000"/>
      <c r="BT13" s="1000"/>
      <c r="BU13" s="1000"/>
      <c r="BV13" s="1000"/>
      <c r="BW13" s="1000"/>
      <c r="BX13" s="1000"/>
      <c r="BY13" s="1000"/>
      <c r="BZ13" s="1000"/>
      <c r="CA13" s="1000"/>
      <c r="CB13" s="1000"/>
      <c r="CC13" s="1000"/>
      <c r="CD13" s="1000"/>
      <c r="CE13" s="1000"/>
      <c r="CF13" s="1000"/>
      <c r="CG13" s="1000"/>
      <c r="CH13" s="1000"/>
      <c r="CI13" s="1000"/>
      <c r="CJ13" s="1000"/>
      <c r="CK13" s="1000"/>
      <c r="CL13" s="1000"/>
      <c r="CM13" s="1000"/>
      <c r="CN13" s="1000"/>
      <c r="CO13" s="1000"/>
      <c r="CP13" s="1000"/>
      <c r="CQ13" s="1000"/>
      <c r="CR13" s="1000"/>
      <c r="CS13" s="1000"/>
      <c r="CT13" s="1000"/>
      <c r="CU13" s="1000"/>
      <c r="CV13" s="1000"/>
      <c r="CW13" s="1000"/>
      <c r="CX13" s="1000"/>
      <c r="CY13" s="1000"/>
      <c r="CZ13" s="1000"/>
      <c r="DA13" s="1000"/>
      <c r="DB13" s="1000"/>
      <c r="DC13" s="1000"/>
      <c r="DD13" s="1000"/>
      <c r="DE13" s="1000"/>
      <c r="DF13" s="1000"/>
      <c r="DG13" s="1000"/>
      <c r="DH13" s="1000"/>
      <c r="DI13" s="1000"/>
      <c r="DJ13" s="1000"/>
      <c r="DK13" s="1000"/>
      <c r="DL13" s="1000"/>
      <c r="DM13" s="1000"/>
      <c r="DN13" s="1000"/>
      <c r="DO13" s="1000"/>
      <c r="DP13" s="1000"/>
      <c r="DQ13" s="1000"/>
      <c r="DR13" s="1000"/>
      <c r="DS13" s="1000"/>
      <c r="DT13" s="1000"/>
      <c r="DU13" s="1000"/>
      <c r="DV13" s="1000"/>
      <c r="DW13" s="1000"/>
    </row>
    <row r="14" spans="1:127">
      <c r="A14" s="304" t="s">
        <v>1165</v>
      </c>
      <c r="B14" s="968"/>
      <c r="C14" s="968"/>
      <c r="D14" s="537"/>
      <c r="E14" s="537"/>
      <c r="F14" s="537"/>
      <c r="G14" s="976">
        <f ca="1">CF!G130</f>
        <v>0</v>
      </c>
      <c r="H14" s="976">
        <f ca="1">CF!H130</f>
        <v>0</v>
      </c>
      <c r="I14" s="976">
        <f ca="1">CF!I130</f>
        <v>0</v>
      </c>
      <c r="J14" s="976">
        <f ca="1">CF!J130</f>
        <v>0</v>
      </c>
      <c r="K14" s="976">
        <f ca="1">CF!K130</f>
        <v>0</v>
      </c>
      <c r="L14" s="976">
        <f ca="1">CF!L130</f>
        <v>0</v>
      </c>
      <c r="M14" s="976">
        <f ca="1">CF!M130</f>
        <v>0</v>
      </c>
      <c r="N14" s="976">
        <f ca="1">CF!N130</f>
        <v>0</v>
      </c>
      <c r="O14" s="976">
        <f ca="1">CF!O130</f>
        <v>0</v>
      </c>
      <c r="P14" s="976">
        <f ca="1">CF!P130</f>
        <v>0</v>
      </c>
      <c r="Q14" s="976">
        <f ca="1">CF!Q130</f>
        <v>0</v>
      </c>
      <c r="R14" s="976">
        <f ca="1">CF!R130</f>
        <v>0</v>
      </c>
      <c r="S14" s="976">
        <f ca="1">CF!S130</f>
        <v>0</v>
      </c>
      <c r="T14" s="976">
        <f ca="1">CF!T130</f>
        <v>0</v>
      </c>
      <c r="U14" s="976">
        <f ca="1">CF!U130</f>
        <v>0</v>
      </c>
      <c r="V14" s="976">
        <f ca="1">CF!V130</f>
        <v>0</v>
      </c>
      <c r="W14" s="976">
        <f ca="1">CF!W130</f>
        <v>0</v>
      </c>
      <c r="X14" s="976">
        <f ca="1">CF!X130</f>
        <v>0</v>
      </c>
      <c r="Y14" s="976">
        <f ca="1">CF!Y130</f>
        <v>0</v>
      </c>
      <c r="Z14" s="976">
        <f ca="1">CF!Z130</f>
        <v>0</v>
      </c>
      <c r="AA14" s="976">
        <f ca="1">CF!AA130</f>
        <v>0</v>
      </c>
      <c r="AB14" s="976">
        <f ca="1">CF!AB130</f>
        <v>0</v>
      </c>
      <c r="AC14" s="976">
        <f ca="1">CF!AC130</f>
        <v>0</v>
      </c>
      <c r="AD14" s="976">
        <f ca="1">CF!AD130</f>
        <v>0</v>
      </c>
      <c r="AE14" s="976">
        <f ca="1">CF!AE130</f>
        <v>0</v>
      </c>
      <c r="AF14" s="976">
        <f ca="1">CF!AF130</f>
        <v>0</v>
      </c>
      <c r="AG14" s="976">
        <f ca="1">CF!AG130</f>
        <v>0</v>
      </c>
      <c r="AH14" s="976">
        <f ca="1">CF!AH130</f>
        <v>0</v>
      </c>
      <c r="AI14" s="976">
        <f ca="1">CF!AI130</f>
        <v>0</v>
      </c>
      <c r="AJ14" s="976">
        <f ca="1">CF!AJ130</f>
        <v>0</v>
      </c>
      <c r="AK14" s="976">
        <f ca="1">CF!AK130</f>
        <v>0</v>
      </c>
      <c r="AL14" s="976">
        <f ca="1">CF!AL130</f>
        <v>0</v>
      </c>
      <c r="AM14" s="976">
        <f ca="1">CF!AM130</f>
        <v>0</v>
      </c>
      <c r="AN14" s="976">
        <f ca="1">CF!AN130</f>
        <v>0</v>
      </c>
      <c r="AO14" s="976">
        <f ca="1">CF!AO130</f>
        <v>0</v>
      </c>
      <c r="AP14" s="976">
        <f ca="1">CF!AP130</f>
        <v>0</v>
      </c>
      <c r="AQ14" s="976">
        <f ca="1">CF!AQ130</f>
        <v>0</v>
      </c>
      <c r="AR14" s="976">
        <f ca="1">CF!AR130</f>
        <v>0</v>
      </c>
      <c r="AS14" s="976">
        <f ca="1">CF!AS130</f>
        <v>0</v>
      </c>
      <c r="AT14" s="976">
        <f ca="1">CF!AT130</f>
        <v>0</v>
      </c>
      <c r="AU14" s="976">
        <f ca="1">CF!AU130</f>
        <v>39.649650241465224</v>
      </c>
      <c r="AV14" s="976">
        <f ca="1">CF!AV130</f>
        <v>3143.7134037943556</v>
      </c>
      <c r="AW14" s="976">
        <f ca="1">CF!AW130</f>
        <v>2566.5444246410993</v>
      </c>
      <c r="AX14" s="976">
        <f ca="1">CF!AX130</f>
        <v>3212.641439658667</v>
      </c>
      <c r="AY14" s="976">
        <f ca="1">CF!AY130</f>
        <v>2614.9784998685413</v>
      </c>
      <c r="AZ14" s="976">
        <f ca="1">CF!AZ130</f>
        <v>3274.1680082495322</v>
      </c>
      <c r="BA14" s="976">
        <f ca="1">CF!BA130</f>
        <v>2646.5575378998938</v>
      </c>
      <c r="BB14" s="976">
        <f ca="1">CF!BB130</f>
        <v>3325.3898767289238</v>
      </c>
      <c r="BC14" s="976">
        <f ca="1">CF!BC130</f>
        <v>2709.9545717793458</v>
      </c>
      <c r="BD14" s="976">
        <f ca="1">CF!BD130</f>
        <v>3402.0908817008876</v>
      </c>
      <c r="BE14" s="976">
        <f ca="1">CF!BE130</f>
        <v>2747.0462943434081</v>
      </c>
      <c r="BF14" s="976">
        <f ca="1">CF!BF130</f>
        <v>3442.6250710426143</v>
      </c>
      <c r="BG14" s="976">
        <f ca="1">CF!BG130</f>
        <v>2782.6309188652426</v>
      </c>
      <c r="BH14" s="976">
        <f ca="1">CF!BH130</f>
        <v>3486.5071580853587</v>
      </c>
      <c r="BI14" s="976">
        <f ca="1">CF!BI130</f>
        <v>2797.7893042305323</v>
      </c>
      <c r="BJ14" s="976">
        <f ca="1">CF!BJ130</f>
        <v>3517.833692193351</v>
      </c>
      <c r="BK14" s="976">
        <f ca="1">CF!BK130</f>
        <v>2800.2482793777217</v>
      </c>
      <c r="BL14" s="976">
        <f ca="1">CF!BL130</f>
        <v>3523.7089432490652</v>
      </c>
      <c r="BM14" s="976">
        <f ca="1">CF!BM130</f>
        <v>2824.314151323942</v>
      </c>
      <c r="BN14" s="976">
        <f ca="1">CF!BN130</f>
        <v>3541.3183097872079</v>
      </c>
      <c r="BO14" s="976">
        <f ca="1">CF!BO130</f>
        <v>2855.1297741326198</v>
      </c>
      <c r="BP14" s="976">
        <f>CF!BP130</f>
        <v>0</v>
      </c>
      <c r="BQ14" s="976">
        <f>CF!BQ130</f>
        <v>0</v>
      </c>
      <c r="BR14" s="976">
        <f>CF!BR130</f>
        <v>0</v>
      </c>
      <c r="BS14" s="976">
        <f>CF!BS130</f>
        <v>0</v>
      </c>
      <c r="BT14" s="976">
        <f>CF!BT130</f>
        <v>0</v>
      </c>
      <c r="BU14" s="976">
        <f>CF!BU130</f>
        <v>0</v>
      </c>
      <c r="BV14" s="976">
        <f>CF!BV130</f>
        <v>0</v>
      </c>
      <c r="BW14" s="976">
        <f>CF!BW130</f>
        <v>0</v>
      </c>
      <c r="BX14" s="976">
        <f>CF!BX130</f>
        <v>0</v>
      </c>
      <c r="BY14" s="976">
        <f>CF!BY130</f>
        <v>0</v>
      </c>
      <c r="BZ14" s="976">
        <f>CF!BZ130</f>
        <v>0</v>
      </c>
      <c r="CA14" s="976">
        <f>CF!CA130</f>
        <v>0</v>
      </c>
      <c r="CB14" s="976">
        <f>CF!CB130</f>
        <v>0</v>
      </c>
      <c r="CC14" s="976">
        <f>CF!CC130</f>
        <v>0</v>
      </c>
      <c r="CD14" s="976">
        <f>CF!CD130</f>
        <v>0</v>
      </c>
      <c r="CE14" s="976">
        <f>CF!CE130</f>
        <v>0</v>
      </c>
      <c r="CF14" s="976">
        <f>CF!CF130</f>
        <v>0</v>
      </c>
      <c r="CG14" s="976">
        <f>CF!CG130</f>
        <v>0</v>
      </c>
      <c r="CH14" s="976">
        <f>CF!CH130</f>
        <v>0</v>
      </c>
      <c r="CI14" s="976">
        <f>CF!CI130</f>
        <v>0</v>
      </c>
      <c r="CJ14" s="976">
        <f>CF!CJ130</f>
        <v>0</v>
      </c>
      <c r="CK14" s="976">
        <f>CF!CK130</f>
        <v>0</v>
      </c>
      <c r="CL14" s="976">
        <f>CF!CL130</f>
        <v>0</v>
      </c>
      <c r="CM14" s="976">
        <f>CF!CM130</f>
        <v>0</v>
      </c>
      <c r="CN14" s="976">
        <f>CF!CN130</f>
        <v>0</v>
      </c>
      <c r="CO14" s="976">
        <f>CF!CO130</f>
        <v>0</v>
      </c>
      <c r="CP14" s="976">
        <f>CF!CP130</f>
        <v>0</v>
      </c>
      <c r="CQ14" s="976">
        <f>CF!CQ130</f>
        <v>0</v>
      </c>
      <c r="CR14" s="976">
        <f>CF!CR130</f>
        <v>0</v>
      </c>
      <c r="CS14" s="976">
        <f>CF!CS130</f>
        <v>0</v>
      </c>
      <c r="CT14" s="976">
        <f>CF!CT130</f>
        <v>0</v>
      </c>
      <c r="CU14" s="976">
        <f>CF!CU130</f>
        <v>0</v>
      </c>
      <c r="CV14" s="976">
        <f>CF!CV130</f>
        <v>0</v>
      </c>
      <c r="CW14" s="976">
        <f>CF!CW130</f>
        <v>0</v>
      </c>
      <c r="CX14" s="976">
        <f>CF!CX130</f>
        <v>0</v>
      </c>
      <c r="CY14" s="976">
        <f>CF!CY130</f>
        <v>0</v>
      </c>
      <c r="CZ14" s="976">
        <f>CF!CZ130</f>
        <v>0</v>
      </c>
      <c r="DA14" s="976">
        <f>CF!DA130</f>
        <v>0</v>
      </c>
      <c r="DB14" s="976">
        <f>CF!DB130</f>
        <v>0</v>
      </c>
      <c r="DC14" s="976">
        <f>CF!DC130</f>
        <v>0</v>
      </c>
      <c r="DD14" s="976">
        <f>CF!DD130</f>
        <v>0</v>
      </c>
      <c r="DE14" s="976">
        <f>CF!DE130</f>
        <v>0</v>
      </c>
      <c r="DF14" s="976">
        <f>CF!DF130</f>
        <v>0</v>
      </c>
      <c r="DG14" s="976">
        <f>CF!DG130</f>
        <v>0</v>
      </c>
      <c r="DH14" s="976">
        <f>CF!DH130</f>
        <v>0</v>
      </c>
      <c r="DI14" s="976">
        <f>CF!DI130</f>
        <v>0</v>
      </c>
      <c r="DJ14" s="976">
        <f>CF!DJ130</f>
        <v>0</v>
      </c>
      <c r="DK14" s="976">
        <f>CF!DK130</f>
        <v>0</v>
      </c>
      <c r="DL14" s="976">
        <f>CF!DL130</f>
        <v>0</v>
      </c>
      <c r="DM14" s="976">
        <f>CF!DM130</f>
        <v>0</v>
      </c>
      <c r="DN14" s="976">
        <f>CF!DN130</f>
        <v>0</v>
      </c>
      <c r="DO14" s="976">
        <f>CF!DO130</f>
        <v>0</v>
      </c>
      <c r="DP14" s="976">
        <f>CF!DP130</f>
        <v>0</v>
      </c>
      <c r="DQ14" s="976">
        <f>CF!DQ130</f>
        <v>0</v>
      </c>
      <c r="DR14" s="976">
        <f>CF!DR130</f>
        <v>0</v>
      </c>
      <c r="DS14" s="976">
        <f>CF!DS130</f>
        <v>0</v>
      </c>
      <c r="DT14" s="976">
        <f>CF!DT130</f>
        <v>0</v>
      </c>
      <c r="DU14" s="976">
        <f>CF!DU130</f>
        <v>0</v>
      </c>
      <c r="DV14" s="976">
        <f>CF!DV130</f>
        <v>0</v>
      </c>
      <c r="DW14" s="976">
        <f>CF!DW130</f>
        <v>0</v>
      </c>
    </row>
    <row r="15" spans="1:127">
      <c r="A15" s="304" t="s">
        <v>1164</v>
      </c>
      <c r="B15" s="968"/>
      <c r="C15" s="968"/>
      <c r="D15" s="537"/>
      <c r="E15" s="537"/>
      <c r="F15" s="537"/>
      <c r="G15" s="976">
        <f ca="1">CF!G129</f>
        <v>0</v>
      </c>
      <c r="H15" s="976">
        <f ca="1">CF!H129</f>
        <v>0</v>
      </c>
      <c r="I15" s="976">
        <f ca="1">CF!I129</f>
        <v>0</v>
      </c>
      <c r="J15" s="976">
        <f ca="1">CF!J129</f>
        <v>0</v>
      </c>
      <c r="K15" s="976">
        <f ca="1">CF!K129</f>
        <v>0</v>
      </c>
      <c r="L15" s="976">
        <f ca="1">CF!L129</f>
        <v>0</v>
      </c>
      <c r="M15" s="976">
        <f ca="1">CF!M129</f>
        <v>0</v>
      </c>
      <c r="N15" s="976">
        <f ca="1">CF!N129</f>
        <v>0</v>
      </c>
      <c r="O15" s="976">
        <f ca="1">CF!O129</f>
        <v>0</v>
      </c>
      <c r="P15" s="976">
        <f ca="1">CF!P129</f>
        <v>0</v>
      </c>
      <c r="Q15" s="976">
        <f ca="1">CF!Q129</f>
        <v>0</v>
      </c>
      <c r="R15" s="976">
        <f ca="1">CF!R129</f>
        <v>0</v>
      </c>
      <c r="S15" s="976">
        <f ca="1">CF!S129</f>
        <v>0</v>
      </c>
      <c r="T15" s="976">
        <f ca="1">CF!T129</f>
        <v>0</v>
      </c>
      <c r="U15" s="976">
        <f ca="1">CF!U129</f>
        <v>0</v>
      </c>
      <c r="V15" s="976">
        <f ca="1">CF!V129</f>
        <v>0</v>
      </c>
      <c r="W15" s="976">
        <f ca="1">CF!W129</f>
        <v>0</v>
      </c>
      <c r="X15" s="976">
        <f ca="1">CF!X129</f>
        <v>0</v>
      </c>
      <c r="Y15" s="976">
        <f ca="1">CF!Y129</f>
        <v>0</v>
      </c>
      <c r="Z15" s="976">
        <f ca="1">CF!Z129</f>
        <v>0</v>
      </c>
      <c r="AA15" s="976">
        <f ca="1">CF!AA129</f>
        <v>0</v>
      </c>
      <c r="AB15" s="976">
        <f ca="1">CF!AB129</f>
        <v>0</v>
      </c>
      <c r="AC15" s="976">
        <f ca="1">CF!AC129</f>
        <v>0</v>
      </c>
      <c r="AD15" s="976">
        <f ca="1">CF!AD129</f>
        <v>0</v>
      </c>
      <c r="AE15" s="976">
        <f ca="1">CF!AE129</f>
        <v>0</v>
      </c>
      <c r="AF15" s="976">
        <f ca="1">CF!AF129</f>
        <v>0</v>
      </c>
      <c r="AG15" s="976">
        <f ca="1">CF!AG129</f>
        <v>0</v>
      </c>
      <c r="AH15" s="976">
        <f ca="1">CF!AH129</f>
        <v>0</v>
      </c>
      <c r="AI15" s="976">
        <f ca="1">CF!AI129</f>
        <v>0</v>
      </c>
      <c r="AJ15" s="976">
        <f ca="1">CF!AJ129</f>
        <v>0</v>
      </c>
      <c r="AK15" s="976">
        <f ca="1">CF!AK129</f>
        <v>0</v>
      </c>
      <c r="AL15" s="976">
        <f ca="1">CF!AL129</f>
        <v>0</v>
      </c>
      <c r="AM15" s="976">
        <f ca="1">CF!AM129</f>
        <v>0</v>
      </c>
      <c r="AN15" s="976">
        <f ca="1">CF!AN129</f>
        <v>0</v>
      </c>
      <c r="AO15" s="976">
        <f ca="1">CF!AO129</f>
        <v>0</v>
      </c>
      <c r="AP15" s="976">
        <f ca="1">CF!AP129</f>
        <v>0</v>
      </c>
      <c r="AQ15" s="976">
        <f ca="1">CF!AQ129</f>
        <v>0</v>
      </c>
      <c r="AR15" s="976">
        <f ca="1">CF!AR129</f>
        <v>0</v>
      </c>
      <c r="AS15" s="976">
        <f ca="1">CF!AS129</f>
        <v>0</v>
      </c>
      <c r="AT15" s="976">
        <f ca="1">CF!AT129</f>
        <v>0</v>
      </c>
      <c r="AU15" s="976">
        <f ca="1">CF!AU129</f>
        <v>37.667167729391963</v>
      </c>
      <c r="AV15" s="976">
        <f ca="1">CF!AV129</f>
        <v>2986.5277336046379</v>
      </c>
      <c r="AW15" s="976">
        <f ca="1">CF!AW129</f>
        <v>2438.2172034090445</v>
      </c>
      <c r="AX15" s="976">
        <f ca="1">CF!AX129</f>
        <v>3052.0093676757338</v>
      </c>
      <c r="AY15" s="976">
        <f ca="1">CF!AY129</f>
        <v>2484.2295748751144</v>
      </c>
      <c r="AZ15" s="976">
        <f ca="1">CF!AZ129</f>
        <v>3110.4596078370555</v>
      </c>
      <c r="BA15" s="976">
        <f ca="1">CF!BA129</f>
        <v>2514.2296610048988</v>
      </c>
      <c r="BB15" s="976">
        <f ca="1">CF!BB129</f>
        <v>3159.1203828924777</v>
      </c>
      <c r="BC15" s="976">
        <f ca="1">CF!BC129</f>
        <v>2574.4568431903785</v>
      </c>
      <c r="BD15" s="976">
        <f ca="1">CF!BD129</f>
        <v>3231.9863376158432</v>
      </c>
      <c r="BE15" s="976">
        <f ca="1">CF!BE129</f>
        <v>2609.6939796262377</v>
      </c>
      <c r="BF15" s="976">
        <f ca="1">CF!BF129</f>
        <v>3270.4938174904837</v>
      </c>
      <c r="BG15" s="976">
        <f ca="1">CF!BG129</f>
        <v>2643.4993729219805</v>
      </c>
      <c r="BH15" s="976">
        <f ca="1">CF!BH129</f>
        <v>3312.1818001810907</v>
      </c>
      <c r="BI15" s="976">
        <f ca="1">CF!BI129</f>
        <v>2657.8998390190054</v>
      </c>
      <c r="BJ15" s="976">
        <f ca="1">CF!BJ129</f>
        <v>3341.9420075836833</v>
      </c>
      <c r="BK15" s="976">
        <f ca="1">CF!BK129</f>
        <v>2660.2358654088357</v>
      </c>
      <c r="BL15" s="976">
        <f ca="1">CF!BL129</f>
        <v>3347.5234960866119</v>
      </c>
      <c r="BM15" s="976">
        <f ca="1">CF!BM129</f>
        <v>2683.0984437577449</v>
      </c>
      <c r="BN15" s="976">
        <f ca="1">CF!BN129</f>
        <v>3364.2523942978473</v>
      </c>
      <c r="BO15" s="976">
        <f ca="1">CF!BO129</f>
        <v>2712.3732854259888</v>
      </c>
      <c r="BP15" s="976">
        <f>CF!BP129</f>
        <v>0</v>
      </c>
      <c r="BQ15" s="976">
        <f>CF!BQ129</f>
        <v>0</v>
      </c>
      <c r="BR15" s="976">
        <f>CF!BR129</f>
        <v>0</v>
      </c>
      <c r="BS15" s="976">
        <f>CF!BS129</f>
        <v>0</v>
      </c>
      <c r="BT15" s="976">
        <f>CF!BT129</f>
        <v>0</v>
      </c>
      <c r="BU15" s="976">
        <f>CF!BU129</f>
        <v>0</v>
      </c>
      <c r="BV15" s="976">
        <f>CF!BV129</f>
        <v>0</v>
      </c>
      <c r="BW15" s="976">
        <f>CF!BW129</f>
        <v>0</v>
      </c>
      <c r="BX15" s="976">
        <f>CF!BX129</f>
        <v>0</v>
      </c>
      <c r="BY15" s="976">
        <f>CF!BY129</f>
        <v>0</v>
      </c>
      <c r="BZ15" s="976">
        <f>CF!BZ129</f>
        <v>0</v>
      </c>
      <c r="CA15" s="976">
        <f>CF!CA129</f>
        <v>0</v>
      </c>
      <c r="CB15" s="976">
        <f>CF!CB129</f>
        <v>0</v>
      </c>
      <c r="CC15" s="976">
        <f>CF!CC129</f>
        <v>0</v>
      </c>
      <c r="CD15" s="976">
        <f>CF!CD129</f>
        <v>0</v>
      </c>
      <c r="CE15" s="976">
        <f>CF!CE129</f>
        <v>0</v>
      </c>
      <c r="CF15" s="976">
        <f>CF!CF129</f>
        <v>0</v>
      </c>
      <c r="CG15" s="976">
        <f>CF!CG129</f>
        <v>0</v>
      </c>
      <c r="CH15" s="976">
        <f>CF!CH129</f>
        <v>0</v>
      </c>
      <c r="CI15" s="976">
        <f>CF!CI129</f>
        <v>0</v>
      </c>
      <c r="CJ15" s="976">
        <f>CF!CJ129</f>
        <v>0</v>
      </c>
      <c r="CK15" s="976">
        <f>CF!CK129</f>
        <v>0</v>
      </c>
      <c r="CL15" s="976">
        <f>CF!CL129</f>
        <v>0</v>
      </c>
      <c r="CM15" s="976">
        <f>CF!CM129</f>
        <v>0</v>
      </c>
      <c r="CN15" s="976">
        <f>CF!CN129</f>
        <v>0</v>
      </c>
      <c r="CO15" s="976">
        <f>CF!CO129</f>
        <v>0</v>
      </c>
      <c r="CP15" s="976">
        <f>CF!CP129</f>
        <v>0</v>
      </c>
      <c r="CQ15" s="976">
        <f>CF!CQ129</f>
        <v>0</v>
      </c>
      <c r="CR15" s="976">
        <f>CF!CR129</f>
        <v>0</v>
      </c>
      <c r="CS15" s="976">
        <f>CF!CS129</f>
        <v>0</v>
      </c>
      <c r="CT15" s="976">
        <f>CF!CT129</f>
        <v>0</v>
      </c>
      <c r="CU15" s="976">
        <f>CF!CU129</f>
        <v>0</v>
      </c>
      <c r="CV15" s="976">
        <f>CF!CV129</f>
        <v>0</v>
      </c>
      <c r="CW15" s="976">
        <f>CF!CW129</f>
        <v>0</v>
      </c>
      <c r="CX15" s="976">
        <f>CF!CX129</f>
        <v>0</v>
      </c>
      <c r="CY15" s="976">
        <f>CF!CY129</f>
        <v>0</v>
      </c>
      <c r="CZ15" s="976">
        <f>CF!CZ129</f>
        <v>0</v>
      </c>
      <c r="DA15" s="976">
        <f>CF!DA129</f>
        <v>0</v>
      </c>
      <c r="DB15" s="976">
        <f>CF!DB129</f>
        <v>0</v>
      </c>
      <c r="DC15" s="976">
        <f>CF!DC129</f>
        <v>0</v>
      </c>
      <c r="DD15" s="976">
        <f>CF!DD129</f>
        <v>0</v>
      </c>
      <c r="DE15" s="976">
        <f>CF!DE129</f>
        <v>0</v>
      </c>
      <c r="DF15" s="976">
        <f>CF!DF129</f>
        <v>0</v>
      </c>
      <c r="DG15" s="976">
        <f>CF!DG129</f>
        <v>0</v>
      </c>
      <c r="DH15" s="976">
        <f>CF!DH129</f>
        <v>0</v>
      </c>
      <c r="DI15" s="976">
        <f>CF!DI129</f>
        <v>0</v>
      </c>
      <c r="DJ15" s="976">
        <f>CF!DJ129</f>
        <v>0</v>
      </c>
      <c r="DK15" s="976">
        <f>CF!DK129</f>
        <v>0</v>
      </c>
      <c r="DL15" s="976">
        <f>CF!DL129</f>
        <v>0</v>
      </c>
      <c r="DM15" s="976">
        <f>CF!DM129</f>
        <v>0</v>
      </c>
      <c r="DN15" s="976">
        <f>CF!DN129</f>
        <v>0</v>
      </c>
      <c r="DO15" s="976">
        <f>CF!DO129</f>
        <v>0</v>
      </c>
      <c r="DP15" s="976">
        <f>CF!DP129</f>
        <v>0</v>
      </c>
      <c r="DQ15" s="976">
        <f>CF!DQ129</f>
        <v>0</v>
      </c>
      <c r="DR15" s="976">
        <f>CF!DR129</f>
        <v>0</v>
      </c>
      <c r="DS15" s="976">
        <f>CF!DS129</f>
        <v>0</v>
      </c>
      <c r="DT15" s="976">
        <f>CF!DT129</f>
        <v>0</v>
      </c>
      <c r="DU15" s="976">
        <f>CF!DU129</f>
        <v>0</v>
      </c>
      <c r="DV15" s="976">
        <f>CF!DV129</f>
        <v>0</v>
      </c>
      <c r="DW15" s="976">
        <f>CF!DW129</f>
        <v>0</v>
      </c>
    </row>
    <row r="16" spans="1:127">
      <c r="A16" s="637"/>
      <c r="B16" s="708"/>
      <c r="C16" s="708"/>
      <c r="D16" s="637"/>
      <c r="E16" s="637"/>
      <c r="F16" s="1097"/>
      <c r="G16" s="1000"/>
      <c r="H16" s="1000"/>
      <c r="I16" s="1000"/>
      <c r="J16" s="1000"/>
      <c r="K16" s="1000"/>
      <c r="L16" s="1000"/>
      <c r="M16" s="1000"/>
      <c r="N16" s="1000"/>
      <c r="O16" s="1000"/>
      <c r="P16" s="1000"/>
      <c r="Q16" s="1000"/>
      <c r="R16" s="1000"/>
      <c r="S16" s="1000"/>
      <c r="T16" s="1000"/>
      <c r="U16" s="1000"/>
      <c r="V16" s="1000"/>
      <c r="W16" s="1000"/>
      <c r="X16" s="1000"/>
      <c r="Y16" s="1000"/>
      <c r="Z16" s="1000"/>
      <c r="AA16" s="1000"/>
      <c r="AB16" s="1000"/>
      <c r="AC16" s="1000"/>
      <c r="AD16" s="1000"/>
      <c r="AE16" s="1000"/>
      <c r="AF16" s="1000"/>
      <c r="AG16" s="1000"/>
      <c r="AH16" s="1000"/>
      <c r="AI16" s="1000"/>
      <c r="AJ16" s="1000"/>
      <c r="AK16" s="1000"/>
      <c r="AL16" s="1000"/>
      <c r="AM16" s="1000"/>
      <c r="AN16" s="1000"/>
      <c r="AO16" s="1000"/>
      <c r="AP16" s="1000"/>
      <c r="AQ16" s="1000"/>
      <c r="AR16" s="1000"/>
      <c r="AS16" s="1000"/>
      <c r="AT16" s="1000"/>
      <c r="AU16" s="1000"/>
      <c r="AV16" s="1000"/>
      <c r="AW16" s="1000"/>
      <c r="AX16" s="1000"/>
      <c r="AY16" s="1000"/>
      <c r="AZ16" s="1000"/>
      <c r="BA16" s="1000"/>
      <c r="BB16" s="1000"/>
      <c r="BC16" s="1000"/>
      <c r="BD16" s="1000"/>
      <c r="BE16" s="1000"/>
      <c r="BF16" s="1000"/>
      <c r="BG16" s="1000"/>
      <c r="BH16" s="1000"/>
      <c r="BI16" s="1000"/>
      <c r="BJ16" s="1000"/>
      <c r="BK16" s="1000"/>
      <c r="BL16" s="1000"/>
      <c r="BM16" s="1000"/>
      <c r="BN16" s="1000"/>
      <c r="BO16" s="1000"/>
      <c r="BP16" s="1000"/>
      <c r="BQ16" s="1000"/>
      <c r="BR16" s="1000"/>
      <c r="BS16" s="1000"/>
      <c r="BT16" s="1000"/>
      <c r="BU16" s="1000"/>
      <c r="BV16" s="1000"/>
      <c r="BW16" s="1000"/>
      <c r="BX16" s="1000"/>
      <c r="BY16" s="1000"/>
      <c r="BZ16" s="1000"/>
      <c r="CA16" s="1000"/>
      <c r="CB16" s="1000"/>
      <c r="CC16" s="1000"/>
      <c r="CD16" s="1000"/>
      <c r="CE16" s="1000"/>
      <c r="CF16" s="1000"/>
      <c r="CG16" s="1000"/>
      <c r="CH16" s="1000"/>
      <c r="CI16" s="1000"/>
      <c r="CJ16" s="1000"/>
      <c r="CK16" s="1000"/>
      <c r="CL16" s="1000"/>
      <c r="CM16" s="1000"/>
      <c r="CN16" s="1000"/>
      <c r="CO16" s="1000"/>
      <c r="CP16" s="1000"/>
      <c r="CQ16" s="1000"/>
      <c r="CR16" s="1000"/>
      <c r="CS16" s="1000"/>
      <c r="CT16" s="1000"/>
      <c r="CU16" s="1000"/>
      <c r="CV16" s="1000"/>
      <c r="CW16" s="1000"/>
      <c r="CX16" s="1000"/>
      <c r="CY16" s="1000"/>
      <c r="CZ16" s="1000"/>
      <c r="DA16" s="1000"/>
      <c r="DB16" s="1000"/>
      <c r="DC16" s="1000"/>
      <c r="DD16" s="1000"/>
      <c r="DE16" s="1000"/>
      <c r="DF16" s="1000"/>
      <c r="DG16" s="1000"/>
      <c r="DH16" s="1000"/>
      <c r="DI16" s="1000"/>
      <c r="DJ16" s="1000"/>
      <c r="DK16" s="1000"/>
      <c r="DL16" s="1000"/>
      <c r="DM16" s="1000"/>
      <c r="DN16" s="1000"/>
      <c r="DO16" s="1000"/>
      <c r="DP16" s="1000"/>
      <c r="DQ16" s="1000"/>
      <c r="DR16" s="1000"/>
      <c r="DS16" s="1000"/>
      <c r="DT16" s="1000"/>
      <c r="DU16" s="1000"/>
      <c r="DV16" s="1000"/>
      <c r="DW16" s="1000"/>
    </row>
    <row r="17" spans="1:131">
      <c r="A17" s="304" t="s">
        <v>1254</v>
      </c>
      <c r="B17" s="968"/>
      <c r="C17" s="968"/>
      <c r="D17" s="537"/>
      <c r="E17" s="537"/>
      <c r="F17" s="537"/>
      <c r="G17" s="510">
        <f ca="1">SUM(G18:G19)</f>
        <v>-14620.773894815633</v>
      </c>
      <c r="H17" s="510">
        <f ca="1">SUM(H18:H19)</f>
        <v>335.87001192815342</v>
      </c>
      <c r="I17" s="510">
        <f ca="1">SUM(I18:I19)</f>
        <v>330.39387042932458</v>
      </c>
      <c r="J17" s="510">
        <f ca="1">SUM(J18:J19)</f>
        <v>336.07875278384927</v>
      </c>
      <c r="K17" s="510">
        <f t="shared" ref="K17:BV17" ca="1" si="0">SUM(K18:K19)</f>
        <v>340.5415560447218</v>
      </c>
      <c r="L17" s="510">
        <f t="shared" ca="1" si="0"/>
        <v>344.05441161728459</v>
      </c>
      <c r="M17" s="510">
        <f t="shared" ca="1" si="0"/>
        <v>345.51102678698453</v>
      </c>
      <c r="N17" s="510">
        <f t="shared" ca="1" si="0"/>
        <v>349.23262841929591</v>
      </c>
      <c r="O17" s="510">
        <f t="shared" ca="1" si="0"/>
        <v>347.80912291148707</v>
      </c>
      <c r="P17" s="510">
        <f t="shared" ca="1" si="0"/>
        <v>354.48829899669317</v>
      </c>
      <c r="Q17" s="510">
        <f t="shared" ca="1" si="0"/>
        <v>350.09626175264157</v>
      </c>
      <c r="R17" s="510">
        <f t="shared" ca="1" si="0"/>
        <v>358.83941444214724</v>
      </c>
      <c r="S17" s="510">
        <f t="shared" ca="1" si="0"/>
        <v>353.38594088006357</v>
      </c>
      <c r="T17" s="510">
        <f t="shared" ca="1" si="0"/>
        <v>365.23646797405399</v>
      </c>
      <c r="U17" s="510">
        <f t="shared" ca="1" si="0"/>
        <v>354.44024353998338</v>
      </c>
      <c r="V17" s="510">
        <f t="shared" ca="1" si="0"/>
        <v>370.73123830074883</v>
      </c>
      <c r="W17" s="510">
        <f t="shared" ca="1" si="0"/>
        <v>356.43397409897443</v>
      </c>
      <c r="X17" s="510">
        <f t="shared" ca="1" si="0"/>
        <v>376.30800665500556</v>
      </c>
      <c r="Y17" s="510">
        <f t="shared" ca="1" si="0"/>
        <v>358.28810723061906</v>
      </c>
      <c r="Z17" s="510">
        <f t="shared" ca="1" si="0"/>
        <v>380.92432030492228</v>
      </c>
      <c r="AA17" s="510">
        <f t="shared" ca="1" si="0"/>
        <v>361.09801681461613</v>
      </c>
      <c r="AB17" s="510">
        <f t="shared" ca="1" si="0"/>
        <v>362.21186155878786</v>
      </c>
      <c r="AC17" s="510">
        <f t="shared" ca="1" si="0"/>
        <v>341.58145701415651</v>
      </c>
      <c r="AD17" s="510">
        <f t="shared" ca="1" si="0"/>
        <v>368.04174225437328</v>
      </c>
      <c r="AE17" s="510">
        <f t="shared" ca="1" si="0"/>
        <v>343.19847993447775</v>
      </c>
      <c r="AF17" s="510">
        <f t="shared" ca="1" si="0"/>
        <v>1303.7935979215406</v>
      </c>
      <c r="AG17" s="510">
        <f t="shared" ca="1" si="0"/>
        <v>1136.394477560847</v>
      </c>
      <c r="AH17" s="510">
        <f t="shared" ca="1" si="0"/>
        <v>1325.9887014375968</v>
      </c>
      <c r="AI17" s="510">
        <f t="shared" ca="1" si="0"/>
        <v>1160.4040485564847</v>
      </c>
      <c r="AJ17" s="510">
        <f t="shared" ca="1" si="0"/>
        <v>2994.5482101550338</v>
      </c>
      <c r="AK17" s="510">
        <f t="shared" ca="1" si="0"/>
        <v>2545.4162284351887</v>
      </c>
      <c r="AL17" s="510">
        <f t="shared" ca="1" si="0"/>
        <v>2866.7009595780269</v>
      </c>
      <c r="AM17" s="510">
        <f t="shared" ca="1" si="0"/>
        <v>2608.3700359429458</v>
      </c>
      <c r="AN17" s="510">
        <f t="shared" ca="1" si="0"/>
        <v>2922.8141129823598</v>
      </c>
      <c r="AO17" s="510">
        <f t="shared" ca="1" si="0"/>
        <v>2652.4553454942106</v>
      </c>
      <c r="AP17" s="510">
        <f t="shared" ca="1" si="0"/>
        <v>2970.2515213558436</v>
      </c>
      <c r="AQ17" s="510">
        <f t="shared" ca="1" si="0"/>
        <v>2703.7003380574424</v>
      </c>
      <c r="AR17" s="510">
        <f t="shared" ca="1" si="0"/>
        <v>3032.5617059389888</v>
      </c>
      <c r="AS17" s="510">
        <f t="shared" ca="1" si="0"/>
        <v>2738.6607711913121</v>
      </c>
      <c r="AT17" s="510">
        <f t="shared" ca="1" si="0"/>
        <v>3087.0294677969923</v>
      </c>
      <c r="AU17" s="510">
        <f t="shared" ca="1" si="0"/>
        <v>2191.8002684190119</v>
      </c>
      <c r="AV17" s="510">
        <f t="shared" ca="1" si="0"/>
        <v>0</v>
      </c>
      <c r="AW17" s="510">
        <f t="shared" ca="1" si="0"/>
        <v>0</v>
      </c>
      <c r="AX17" s="510">
        <f t="shared" ca="1" si="0"/>
        <v>0</v>
      </c>
      <c r="AY17" s="510">
        <f t="shared" ca="1" si="0"/>
        <v>0</v>
      </c>
      <c r="AZ17" s="510">
        <f t="shared" ca="1" si="0"/>
        <v>0</v>
      </c>
      <c r="BA17" s="510">
        <f t="shared" ca="1" si="0"/>
        <v>0</v>
      </c>
      <c r="BB17" s="510">
        <f t="shared" ca="1" si="0"/>
        <v>0</v>
      </c>
      <c r="BC17" s="510">
        <f t="shared" ca="1" si="0"/>
        <v>0</v>
      </c>
      <c r="BD17" s="510">
        <f t="shared" ca="1" si="0"/>
        <v>0</v>
      </c>
      <c r="BE17" s="510">
        <f t="shared" ca="1" si="0"/>
        <v>0</v>
      </c>
      <c r="BF17" s="510">
        <f t="shared" ca="1" si="0"/>
        <v>0</v>
      </c>
      <c r="BG17" s="510">
        <f t="shared" ca="1" si="0"/>
        <v>0</v>
      </c>
      <c r="BH17" s="510">
        <f t="shared" ca="1" si="0"/>
        <v>0</v>
      </c>
      <c r="BI17" s="510">
        <f t="shared" ca="1" si="0"/>
        <v>0</v>
      </c>
      <c r="BJ17" s="510">
        <f t="shared" ca="1" si="0"/>
        <v>0</v>
      </c>
      <c r="BK17" s="510">
        <f t="shared" ca="1" si="0"/>
        <v>0</v>
      </c>
      <c r="BL17" s="510">
        <f t="shared" ca="1" si="0"/>
        <v>0</v>
      </c>
      <c r="BM17" s="510">
        <f t="shared" ca="1" si="0"/>
        <v>0</v>
      </c>
      <c r="BN17" s="510">
        <f t="shared" ca="1" si="0"/>
        <v>0</v>
      </c>
      <c r="BO17" s="510">
        <f t="shared" ca="1" si="0"/>
        <v>0</v>
      </c>
      <c r="BP17" s="510">
        <f t="shared" ca="1" si="0"/>
        <v>0</v>
      </c>
      <c r="BQ17" s="510">
        <f t="shared" ca="1" si="0"/>
        <v>0</v>
      </c>
      <c r="BR17" s="510">
        <f t="shared" ca="1" si="0"/>
        <v>0</v>
      </c>
      <c r="BS17" s="510">
        <f t="shared" ca="1" si="0"/>
        <v>0</v>
      </c>
      <c r="BT17" s="510">
        <f t="shared" ca="1" si="0"/>
        <v>0</v>
      </c>
      <c r="BU17" s="510">
        <f t="shared" ca="1" si="0"/>
        <v>0</v>
      </c>
      <c r="BV17" s="510">
        <f t="shared" ca="1" si="0"/>
        <v>0</v>
      </c>
      <c r="BW17" s="510">
        <f t="shared" ref="BW17:DW17" ca="1" si="1">SUM(BW18:BW19)</f>
        <v>0</v>
      </c>
      <c r="BX17" s="510">
        <f t="shared" ca="1" si="1"/>
        <v>0</v>
      </c>
      <c r="BY17" s="510">
        <f t="shared" ca="1" si="1"/>
        <v>0</v>
      </c>
      <c r="BZ17" s="510">
        <f t="shared" ca="1" si="1"/>
        <v>0</v>
      </c>
      <c r="CA17" s="510">
        <f t="shared" ca="1" si="1"/>
        <v>0</v>
      </c>
      <c r="CB17" s="510">
        <f t="shared" ca="1" si="1"/>
        <v>0</v>
      </c>
      <c r="CC17" s="510">
        <f t="shared" ca="1" si="1"/>
        <v>0</v>
      </c>
      <c r="CD17" s="510">
        <f t="shared" ca="1" si="1"/>
        <v>0</v>
      </c>
      <c r="CE17" s="510">
        <f t="shared" ca="1" si="1"/>
        <v>0</v>
      </c>
      <c r="CF17" s="510">
        <f t="shared" ca="1" si="1"/>
        <v>0</v>
      </c>
      <c r="CG17" s="510">
        <f t="shared" ca="1" si="1"/>
        <v>0</v>
      </c>
      <c r="CH17" s="510">
        <f t="shared" ca="1" si="1"/>
        <v>0</v>
      </c>
      <c r="CI17" s="510">
        <f t="shared" ca="1" si="1"/>
        <v>0</v>
      </c>
      <c r="CJ17" s="510">
        <f t="shared" ca="1" si="1"/>
        <v>0</v>
      </c>
      <c r="CK17" s="510">
        <f t="shared" ca="1" si="1"/>
        <v>0</v>
      </c>
      <c r="CL17" s="510">
        <f t="shared" ca="1" si="1"/>
        <v>0</v>
      </c>
      <c r="CM17" s="510">
        <f t="shared" ca="1" si="1"/>
        <v>0</v>
      </c>
      <c r="CN17" s="510">
        <f t="shared" ca="1" si="1"/>
        <v>0</v>
      </c>
      <c r="CO17" s="510">
        <f t="shared" ca="1" si="1"/>
        <v>0</v>
      </c>
      <c r="CP17" s="510">
        <f t="shared" ca="1" si="1"/>
        <v>0</v>
      </c>
      <c r="CQ17" s="510">
        <f t="shared" ca="1" si="1"/>
        <v>0</v>
      </c>
      <c r="CR17" s="510">
        <f t="shared" ca="1" si="1"/>
        <v>0</v>
      </c>
      <c r="CS17" s="510">
        <f t="shared" ca="1" si="1"/>
        <v>0</v>
      </c>
      <c r="CT17" s="510">
        <f t="shared" ca="1" si="1"/>
        <v>0</v>
      </c>
      <c r="CU17" s="510">
        <f t="shared" ca="1" si="1"/>
        <v>0</v>
      </c>
      <c r="CV17" s="510">
        <f t="shared" ca="1" si="1"/>
        <v>0</v>
      </c>
      <c r="CW17" s="510">
        <f t="shared" ca="1" si="1"/>
        <v>0</v>
      </c>
      <c r="CX17" s="510">
        <f t="shared" ca="1" si="1"/>
        <v>0</v>
      </c>
      <c r="CY17" s="510">
        <f t="shared" ca="1" si="1"/>
        <v>0</v>
      </c>
      <c r="CZ17" s="510">
        <f t="shared" ca="1" si="1"/>
        <v>0</v>
      </c>
      <c r="DA17" s="510">
        <f t="shared" ca="1" si="1"/>
        <v>0</v>
      </c>
      <c r="DB17" s="510">
        <f t="shared" ca="1" si="1"/>
        <v>0</v>
      </c>
      <c r="DC17" s="510">
        <f t="shared" ca="1" si="1"/>
        <v>0</v>
      </c>
      <c r="DD17" s="510">
        <f t="shared" ca="1" si="1"/>
        <v>0</v>
      </c>
      <c r="DE17" s="510">
        <f t="shared" ca="1" si="1"/>
        <v>0</v>
      </c>
      <c r="DF17" s="510">
        <f t="shared" ca="1" si="1"/>
        <v>0</v>
      </c>
      <c r="DG17" s="510">
        <f t="shared" ca="1" si="1"/>
        <v>0</v>
      </c>
      <c r="DH17" s="510">
        <f t="shared" ca="1" si="1"/>
        <v>0</v>
      </c>
      <c r="DI17" s="510">
        <f t="shared" ca="1" si="1"/>
        <v>0</v>
      </c>
      <c r="DJ17" s="510">
        <f t="shared" ca="1" si="1"/>
        <v>0</v>
      </c>
      <c r="DK17" s="510">
        <f t="shared" ca="1" si="1"/>
        <v>0</v>
      </c>
      <c r="DL17" s="510">
        <f t="shared" ca="1" si="1"/>
        <v>0</v>
      </c>
      <c r="DM17" s="510">
        <f t="shared" ca="1" si="1"/>
        <v>0</v>
      </c>
      <c r="DN17" s="510">
        <f t="shared" ca="1" si="1"/>
        <v>0</v>
      </c>
      <c r="DO17" s="510">
        <f t="shared" ca="1" si="1"/>
        <v>0</v>
      </c>
      <c r="DP17" s="510">
        <f t="shared" ca="1" si="1"/>
        <v>0</v>
      </c>
      <c r="DQ17" s="510">
        <f t="shared" ca="1" si="1"/>
        <v>0</v>
      </c>
      <c r="DR17" s="510">
        <f t="shared" ca="1" si="1"/>
        <v>0</v>
      </c>
      <c r="DS17" s="510">
        <f t="shared" ca="1" si="1"/>
        <v>0</v>
      </c>
      <c r="DT17" s="510">
        <f t="shared" ca="1" si="1"/>
        <v>0</v>
      </c>
      <c r="DU17" s="510">
        <f t="shared" ca="1" si="1"/>
        <v>0</v>
      </c>
      <c r="DV17" s="510">
        <f t="shared" ca="1" si="1"/>
        <v>0</v>
      </c>
      <c r="DW17" s="510">
        <f t="shared" ca="1" si="1"/>
        <v>0</v>
      </c>
    </row>
    <row r="18" spans="1:131" s="398" customFormat="1">
      <c r="A18" s="1019" t="s">
        <v>227</v>
      </c>
      <c r="B18" s="976">
        <f ca="1">Inputs!$D$166</f>
        <v>14620.773894815633</v>
      </c>
      <c r="C18" s="976"/>
      <c r="D18" s="476"/>
      <c r="E18" s="476"/>
      <c r="F18" s="611"/>
      <c r="G18" s="976">
        <f ca="1">IF(G4=0,-$B18,DS!G127*G7)</f>
        <v>-14620.773894815633</v>
      </c>
      <c r="H18" s="976">
        <f ca="1">IF(H4=0,-$B18,DS!H127*H7)</f>
        <v>0</v>
      </c>
      <c r="I18" s="976">
        <f ca="1">IF(I4=0,-$B18,DS!I127*I7)</f>
        <v>0</v>
      </c>
      <c r="J18" s="976">
        <f ca="1">IF(J4=0,-$B18,DS!J127*J7)</f>
        <v>0</v>
      </c>
      <c r="K18" s="976">
        <f ca="1">IF(K4=0,-$B18,DS!K127*K7)</f>
        <v>0</v>
      </c>
      <c r="L18" s="976">
        <f ca="1">IF(L4=0,-$B18,DS!L127*L7)</f>
        <v>0</v>
      </c>
      <c r="M18" s="976">
        <f ca="1">IF(M4=0,-$B18,DS!M127*M7)</f>
        <v>0</v>
      </c>
      <c r="N18" s="976">
        <f ca="1">IF(N4=0,-$B18,DS!N127*N7)</f>
        <v>0</v>
      </c>
      <c r="O18" s="976">
        <f ca="1">IF(O4=0,-$B18,DS!O127*O7)</f>
        <v>0</v>
      </c>
      <c r="P18" s="976">
        <f ca="1">IF(P4=0,-$B18,DS!P127*P7)</f>
        <v>0</v>
      </c>
      <c r="Q18" s="976">
        <f ca="1">IF(Q4=0,-$B18,DS!Q127*Q7)</f>
        <v>0</v>
      </c>
      <c r="R18" s="976">
        <f ca="1">IF(R4=0,-$B18,DS!R127*R7)</f>
        <v>0</v>
      </c>
      <c r="S18" s="976">
        <f ca="1">IF(S4=0,-$B18,DS!S127*S7)</f>
        <v>0</v>
      </c>
      <c r="T18" s="976">
        <f ca="1">IF(T4=0,-$B18,DS!T127*T7)</f>
        <v>0</v>
      </c>
      <c r="U18" s="976">
        <f ca="1">IF(U4=0,-$B18,DS!U127*U7)</f>
        <v>0</v>
      </c>
      <c r="V18" s="976">
        <f ca="1">IF(V4=0,-$B18,DS!V127*V7)</f>
        <v>0</v>
      </c>
      <c r="W18" s="976">
        <f ca="1">IF(W4=0,-$B18,DS!W127*W7)</f>
        <v>0</v>
      </c>
      <c r="X18" s="976">
        <f ca="1">IF(X4=0,-$B18,DS!X127*X7)</f>
        <v>0</v>
      </c>
      <c r="Y18" s="976">
        <f ca="1">IF(Y4=0,-$B18,DS!Y127*Y7)</f>
        <v>0</v>
      </c>
      <c r="Z18" s="976">
        <f ca="1">IF(Z4=0,-$B18,DS!Z127*Z7)</f>
        <v>0</v>
      </c>
      <c r="AA18" s="976">
        <f ca="1">IF(AA4=0,-$B18,DS!AA127*AA7)</f>
        <v>0</v>
      </c>
      <c r="AB18" s="976">
        <f ca="1">IF(AB4=0,-$B18,DS!AB127*AB7)</f>
        <v>0</v>
      </c>
      <c r="AC18" s="976">
        <f ca="1">IF(AC4=0,-$B18,DS!AC127*AC7)</f>
        <v>0</v>
      </c>
      <c r="AD18" s="976">
        <f ca="1">IF(AD4=0,-$B18,DS!AD127*AD7)</f>
        <v>0</v>
      </c>
      <c r="AE18" s="976">
        <f ca="1">IF(AE4=0,-$B18,DS!AE127*AE7)</f>
        <v>0</v>
      </c>
      <c r="AF18" s="976">
        <f ca="1">IF(AF4=0,-$B18,DS!AF127*AF7)</f>
        <v>224.11656791246105</v>
      </c>
      <c r="AG18" s="976">
        <f ca="1">IF(AG4=0,-$B18,DS!AG127*AG7)</f>
        <v>83.211857946056625</v>
      </c>
      <c r="AH18" s="976">
        <f ca="1">IF(AH4=0,-$B18,DS!AH127*AH7)</f>
        <v>258.70584794533193</v>
      </c>
      <c r="AI18" s="976">
        <f ca="1">IF(AI4=0,-$B18,DS!AI127*AI7)</f>
        <v>115.04197823766867</v>
      </c>
      <c r="AJ18" s="976">
        <f ca="1">IF(AJ4=0,-$B18,DS!AJ127*AJ7)</f>
        <v>1942.3381457077382</v>
      </c>
      <c r="AK18" s="976">
        <f ca="1">IF(AK4=0,-$B18,DS!AK127*AK7)</f>
        <v>1587.4167117684447</v>
      </c>
      <c r="AL18" s="976">
        <f ca="1">IF(AL4=0,-$B18,DS!AL127*AL7)</f>
        <v>1956.8415567801817</v>
      </c>
      <c r="AM18" s="976">
        <f ca="1">IF(AM4=0,-$B18,DS!AM127*AM7)</f>
        <v>1790.9756144230075</v>
      </c>
      <c r="AN18" s="976">
        <f ca="1">IF(AN4=0,-$B18,DS!AN127*AN7)</f>
        <v>2164.099556102627</v>
      </c>
      <c r="AO18" s="976">
        <f ca="1">IF(AO4=0,-$B18,DS!AO127*AO7)</f>
        <v>1991.9636321090975</v>
      </c>
      <c r="AP18" s="976">
        <f ca="1">IF(AP4=0,-$B18,DS!AP127*AP7)</f>
        <v>2379.1458689431702</v>
      </c>
      <c r="AQ18" s="976">
        <f ca="1">IF(AQ4=0,-$B18,DS!AQ127*AQ7)</f>
        <v>2213.9248535273591</v>
      </c>
      <c r="AR18" s="976">
        <f ca="1">IF(AR4=0,-$B18,DS!AR127*AR7)</f>
        <v>2626.6889330736199</v>
      </c>
      <c r="AS18" s="976">
        <f ca="1">IF(AS4=0,-$B18,DS!AS127*AS7)</f>
        <v>2443.6094775465253</v>
      </c>
      <c r="AT18" s="976">
        <f ca="1">IF(AT4=0,-$B18,DS!AT127*AT7)</f>
        <v>2885.635578779099</v>
      </c>
      <c r="AU18" s="976">
        <f ca="1">IF(AU4=0,-$B18,DS!AU127*AU7)</f>
        <v>2108.1666964607866</v>
      </c>
      <c r="AV18" s="976">
        <f ca="1">IF(AV4=0,-$B18,DS!AV127*AV7)</f>
        <v>0</v>
      </c>
      <c r="AW18" s="976">
        <f ca="1">IF(AW4=0,-$B18,DS!AW127*AW7)</f>
        <v>0</v>
      </c>
      <c r="AX18" s="976">
        <f ca="1">IF(AX4=0,-$B18,DS!AX127*AX7)</f>
        <v>0</v>
      </c>
      <c r="AY18" s="976">
        <f ca="1">IF(AY4=0,-$B18,DS!AY127*AY7)</f>
        <v>0</v>
      </c>
      <c r="AZ18" s="976">
        <f ca="1">IF(AZ4=0,-$B18,DS!AZ127*AZ7)</f>
        <v>0</v>
      </c>
      <c r="BA18" s="976">
        <f ca="1">IF(BA4=0,-$B18,DS!BA127*BA7)</f>
        <v>0</v>
      </c>
      <c r="BB18" s="976">
        <f ca="1">IF(BB4=0,-$B18,DS!BB127*BB7)</f>
        <v>0</v>
      </c>
      <c r="BC18" s="976">
        <f ca="1">IF(BC4=0,-$B18,DS!BC127*BC7)</f>
        <v>0</v>
      </c>
      <c r="BD18" s="976">
        <f ca="1">IF(BD4=0,-$B18,DS!BD127*BD7)</f>
        <v>0</v>
      </c>
      <c r="BE18" s="976">
        <f ca="1">IF(BE4=0,-$B18,DS!BE127*BE7)</f>
        <v>0</v>
      </c>
      <c r="BF18" s="976">
        <f ca="1">IF(BF4=0,-$B18,DS!BF127*BF7)</f>
        <v>0</v>
      </c>
      <c r="BG18" s="976">
        <f ca="1">IF(BG4=0,-$B18,DS!BG127*BG7)</f>
        <v>0</v>
      </c>
      <c r="BH18" s="976">
        <f ca="1">IF(BH4=0,-$B18,DS!BH127*BH7)</f>
        <v>0</v>
      </c>
      <c r="BI18" s="976">
        <f ca="1">IF(BI4=0,-$B18,DS!BI127*BI7)</f>
        <v>0</v>
      </c>
      <c r="BJ18" s="976">
        <f ca="1">IF(BJ4=0,-$B18,DS!BJ127*BJ7)</f>
        <v>0</v>
      </c>
      <c r="BK18" s="976">
        <f ca="1">IF(BK4=0,-$B18,DS!BK127*BK7)</f>
        <v>0</v>
      </c>
      <c r="BL18" s="976">
        <f ca="1">IF(BL4=0,-$B18,DS!BL127*BL7)</f>
        <v>0</v>
      </c>
      <c r="BM18" s="976">
        <f ca="1">IF(BM4=0,-$B18,DS!BM127*BM7)</f>
        <v>0</v>
      </c>
      <c r="BN18" s="976">
        <f ca="1">IF(BN4=0,-$B18,DS!BN127*BN7)</f>
        <v>0</v>
      </c>
      <c r="BO18" s="976">
        <f ca="1">IF(BO4=0,-$B18,DS!BO127*BO7)</f>
        <v>0</v>
      </c>
      <c r="BP18" s="976">
        <f ca="1">IF(BP4=0,-$B18,DS!BP127*BP7)</f>
        <v>0</v>
      </c>
      <c r="BQ18" s="976">
        <f ca="1">IF(BQ4=0,-$B18,DS!BQ127*BQ7)</f>
        <v>0</v>
      </c>
      <c r="BR18" s="976">
        <f ca="1">IF(BR4=0,-$B18,DS!BR127*BR7)</f>
        <v>0</v>
      </c>
      <c r="BS18" s="976">
        <f ca="1">IF(BS4=0,-$B18,DS!BS127*BS7)</f>
        <v>0</v>
      </c>
      <c r="BT18" s="976">
        <f ca="1">IF(BT4=0,-$B18,DS!BT127*BT7)</f>
        <v>0</v>
      </c>
      <c r="BU18" s="976">
        <f ca="1">IF(BU4=0,-$B18,DS!BU127*BU7)</f>
        <v>0</v>
      </c>
      <c r="BV18" s="976">
        <f ca="1">IF(BV4=0,-$B18,DS!BV127*BV7)</f>
        <v>0</v>
      </c>
      <c r="BW18" s="976">
        <f ca="1">IF(BW4=0,-$B18,DS!BW127*BW7)</f>
        <v>0</v>
      </c>
      <c r="BX18" s="976">
        <f ca="1">IF(BX4=0,-$B18,DS!BX127*BX7)</f>
        <v>0</v>
      </c>
      <c r="BY18" s="976">
        <f ca="1">IF(BY4=0,-$B18,DS!BY127*BY7)</f>
        <v>0</v>
      </c>
      <c r="BZ18" s="976">
        <f ca="1">IF(BZ4=0,-$B18,DS!BZ127*BZ7)</f>
        <v>0</v>
      </c>
      <c r="CA18" s="976">
        <f ca="1">IF(CA4=0,-$B18,DS!CA127*CA7)</f>
        <v>0</v>
      </c>
      <c r="CB18" s="976">
        <f ca="1">IF(CB4=0,-$B18,DS!CB127*CB7)</f>
        <v>0</v>
      </c>
      <c r="CC18" s="976">
        <f ca="1">IF(CC4=0,-$B18,DS!CC127*CC7)</f>
        <v>0</v>
      </c>
      <c r="CD18" s="976">
        <f ca="1">IF(CD4=0,-$B18,DS!CD127*CD7)</f>
        <v>0</v>
      </c>
      <c r="CE18" s="976">
        <f ca="1">IF(CE4=0,-$B18,DS!CE127*CE7)</f>
        <v>0</v>
      </c>
      <c r="CF18" s="976">
        <f ca="1">IF(CF4=0,-$B18,DS!CF127*CF7)</f>
        <v>0</v>
      </c>
      <c r="CG18" s="976">
        <f ca="1">IF(CG4=0,-$B18,DS!CG127*CG7)</f>
        <v>0</v>
      </c>
      <c r="CH18" s="976">
        <f ca="1">IF(CH4=0,-$B18,DS!CH127*CH7)</f>
        <v>0</v>
      </c>
      <c r="CI18" s="976">
        <f ca="1">IF(CI4=0,-$B18,DS!CI127*CI7)</f>
        <v>0</v>
      </c>
      <c r="CJ18" s="976">
        <f ca="1">IF(CJ4=0,-$B18,DS!CJ127*CJ7)</f>
        <v>0</v>
      </c>
      <c r="CK18" s="976">
        <f ca="1">IF(CK4=0,-$B18,DS!CK127*CK7)</f>
        <v>0</v>
      </c>
      <c r="CL18" s="976">
        <f ca="1">IF(CL4=0,-$B18,DS!CL127*CL7)</f>
        <v>0</v>
      </c>
      <c r="CM18" s="976">
        <f ca="1">IF(CM4=0,-$B18,DS!CM127*CM7)</f>
        <v>0</v>
      </c>
      <c r="CN18" s="976">
        <f ca="1">IF(CN4=0,-$B18,DS!CN127*CN7)</f>
        <v>0</v>
      </c>
      <c r="CO18" s="976">
        <f ca="1">IF(CO4=0,-$B18,DS!CO127*CO7)</f>
        <v>0</v>
      </c>
      <c r="CP18" s="976">
        <f ca="1">IF(CP4=0,-$B18,DS!CP127*CP7)</f>
        <v>0</v>
      </c>
      <c r="CQ18" s="976">
        <f ca="1">IF(CQ4=0,-$B18,DS!CQ127*CQ7)</f>
        <v>0</v>
      </c>
      <c r="CR18" s="976">
        <f ca="1">IF(CR4=0,-$B18,DS!CR127*CR7)</f>
        <v>0</v>
      </c>
      <c r="CS18" s="976">
        <f ca="1">IF(CS4=0,-$B18,DS!CS127*CS7)</f>
        <v>0</v>
      </c>
      <c r="CT18" s="976">
        <f ca="1">IF(CT4=0,-$B18,DS!CT127*CT7)</f>
        <v>0</v>
      </c>
      <c r="CU18" s="976">
        <f ca="1">IF(CU4=0,-$B18,DS!CU127*CU7)</f>
        <v>0</v>
      </c>
      <c r="CV18" s="976">
        <f ca="1">IF(CV4=0,-$B18,DS!CV127*CV7)</f>
        <v>0</v>
      </c>
      <c r="CW18" s="976">
        <f ca="1">IF(CW4=0,-$B18,DS!CW127*CW7)</f>
        <v>0</v>
      </c>
      <c r="CX18" s="976">
        <f ca="1">IF(CX4=0,-$B18,DS!CX127*CX7)</f>
        <v>0</v>
      </c>
      <c r="CY18" s="976">
        <f ca="1">IF(CY4=0,-$B18,DS!CY127*CY7)</f>
        <v>0</v>
      </c>
      <c r="CZ18" s="976">
        <f ca="1">IF(CZ4=0,-$B18,DS!CZ127*CZ7)</f>
        <v>0</v>
      </c>
      <c r="DA18" s="976">
        <f ca="1">IF(DA4=0,-$B18,DS!DA127*DA7)</f>
        <v>0</v>
      </c>
      <c r="DB18" s="976">
        <f ca="1">IF(DB4=0,-$B18,DS!DB127*DB7)</f>
        <v>0</v>
      </c>
      <c r="DC18" s="976">
        <f ca="1">IF(DC4=0,-$B18,DS!DC127*DC7)</f>
        <v>0</v>
      </c>
      <c r="DD18" s="976">
        <f ca="1">IF(DD4=0,-$B18,DS!DD127*DD7)</f>
        <v>0</v>
      </c>
      <c r="DE18" s="976">
        <f ca="1">IF(DE4=0,-$B18,DS!DE127*DE7)</f>
        <v>0</v>
      </c>
      <c r="DF18" s="976">
        <f ca="1">IF(DF4=0,-$B18,DS!DF127*DF7)</f>
        <v>0</v>
      </c>
      <c r="DG18" s="976">
        <f ca="1">IF(DG4=0,-$B18,DS!DG127*DG7)</f>
        <v>0</v>
      </c>
      <c r="DH18" s="976">
        <f ca="1">IF(DH4=0,-$B18,DS!DH127*DH7)</f>
        <v>0</v>
      </c>
      <c r="DI18" s="976">
        <f ca="1">IF(DI4=0,-$B18,DS!DI127*DI7)</f>
        <v>0</v>
      </c>
      <c r="DJ18" s="976">
        <f ca="1">IF(DJ4=0,-$B18,DS!DJ127*DJ7)</f>
        <v>0</v>
      </c>
      <c r="DK18" s="976">
        <f ca="1">IF(DK4=0,-$B18,DS!DK127*DK7)</f>
        <v>0</v>
      </c>
      <c r="DL18" s="976">
        <f ca="1">IF(DL4=0,-$B18,DS!DL127*DL7)</f>
        <v>0</v>
      </c>
      <c r="DM18" s="976">
        <f ca="1">IF(DM4=0,-$B18,DS!DM127*DM7)</f>
        <v>0</v>
      </c>
      <c r="DN18" s="976">
        <f ca="1">IF(DN4=0,-$B18,DS!DN127*DN7)</f>
        <v>0</v>
      </c>
      <c r="DO18" s="976">
        <f ca="1">IF(DO4=0,-$B18,DS!DO127*DO7)</f>
        <v>0</v>
      </c>
      <c r="DP18" s="976">
        <f ca="1">IF(DP4=0,-$B18,DS!DP127*DP7)</f>
        <v>0</v>
      </c>
      <c r="DQ18" s="976">
        <f ca="1">IF(DQ4=0,-$B18,DS!DQ127*DQ7)</f>
        <v>0</v>
      </c>
      <c r="DR18" s="976">
        <f ca="1">IF(DR4=0,-$B18,DS!DR127*DR7)</f>
        <v>0</v>
      </c>
      <c r="DS18" s="976">
        <f ca="1">IF(DS4=0,-$B18,DS!DS127*DS7)</f>
        <v>0</v>
      </c>
      <c r="DT18" s="976">
        <f ca="1">IF(DT4=0,-$B18,DS!DT127*DT7)</f>
        <v>0</v>
      </c>
      <c r="DU18" s="976">
        <f ca="1">IF(DU4=0,-$B18,DS!DU127*DU7)</f>
        <v>0</v>
      </c>
      <c r="DV18" s="976">
        <f ca="1">IF(DV4=0,-$B18,DS!DV127*DV7)</f>
        <v>0</v>
      </c>
      <c r="DW18" s="976">
        <f ca="1">IF(DW4=0,-$B18,DS!DW127*DW7)</f>
        <v>0</v>
      </c>
      <c r="DX18" s="537"/>
      <c r="DY18" s="537"/>
      <c r="DZ18" s="537"/>
      <c r="EA18" s="537"/>
    </row>
    <row r="19" spans="1:131" s="398" customFormat="1">
      <c r="A19" s="1019" t="s">
        <v>1239</v>
      </c>
      <c r="B19" s="976"/>
      <c r="C19" s="976"/>
      <c r="D19" s="639"/>
      <c r="E19" s="639"/>
      <c r="F19" s="611"/>
      <c r="G19" s="976">
        <f ca="1">(DS!G125-DS!G128)*G7</f>
        <v>0</v>
      </c>
      <c r="H19" s="976">
        <f ca="1">(DS!H125-DS!H128)*H7</f>
        <v>335.87001192815342</v>
      </c>
      <c r="I19" s="976">
        <f ca="1">(DS!I125-DS!I128)*I7</f>
        <v>330.39387042932458</v>
      </c>
      <c r="J19" s="976">
        <f ca="1">(DS!J125-DS!J128)*J7</f>
        <v>336.07875278384927</v>
      </c>
      <c r="K19" s="976">
        <f ca="1">(DS!K125-DS!K128)*K7</f>
        <v>340.5415560447218</v>
      </c>
      <c r="L19" s="976">
        <f ca="1">(DS!L125-DS!L128)*L7</f>
        <v>344.05441161728459</v>
      </c>
      <c r="M19" s="976">
        <f ca="1">(DS!M125-DS!M128)*M7</f>
        <v>345.51102678698453</v>
      </c>
      <c r="N19" s="976">
        <f ca="1">(DS!N125-DS!N128)*N7</f>
        <v>349.23262841929591</v>
      </c>
      <c r="O19" s="976">
        <f ca="1">(DS!O125-DS!O128)*O7</f>
        <v>347.80912291148707</v>
      </c>
      <c r="P19" s="976">
        <f ca="1">(DS!P125-DS!P128)*P7</f>
        <v>354.48829899669317</v>
      </c>
      <c r="Q19" s="976">
        <f ca="1">(DS!Q125-DS!Q128)*Q7</f>
        <v>350.09626175264157</v>
      </c>
      <c r="R19" s="976">
        <f ca="1">(DS!R125-DS!R128)*R7</f>
        <v>358.83941444214724</v>
      </c>
      <c r="S19" s="976">
        <f ca="1">(DS!S125-DS!S128)*S7</f>
        <v>353.38594088006357</v>
      </c>
      <c r="T19" s="976">
        <f ca="1">(DS!T125-DS!T128)*T7</f>
        <v>365.23646797405399</v>
      </c>
      <c r="U19" s="976">
        <f ca="1">(DS!U125-DS!U128)*U7</f>
        <v>354.44024353998338</v>
      </c>
      <c r="V19" s="976">
        <f ca="1">(DS!V125-DS!V128)*V7</f>
        <v>370.73123830074883</v>
      </c>
      <c r="W19" s="976">
        <f ca="1">(DS!W125-DS!W128)*W7</f>
        <v>356.43397409897443</v>
      </c>
      <c r="X19" s="976">
        <f ca="1">(DS!X125-DS!X128)*X7</f>
        <v>376.30800665500556</v>
      </c>
      <c r="Y19" s="976">
        <f ca="1">(DS!Y125-DS!Y128)*Y7</f>
        <v>358.28810723061906</v>
      </c>
      <c r="Z19" s="976">
        <f ca="1">(DS!Z125-DS!Z128)*Z7</f>
        <v>380.92432030492228</v>
      </c>
      <c r="AA19" s="976">
        <f ca="1">(DS!AA125-DS!AA128)*AA7</f>
        <v>361.09801681461613</v>
      </c>
      <c r="AB19" s="976">
        <f ca="1">(DS!AB125-DS!AB128)*AB7</f>
        <v>362.21186155878786</v>
      </c>
      <c r="AC19" s="976">
        <f ca="1">(DS!AC125-DS!AC128)*AC7</f>
        <v>341.58145701415651</v>
      </c>
      <c r="AD19" s="976">
        <f ca="1">(DS!AD125-DS!AD128)*AD7</f>
        <v>368.04174225437328</v>
      </c>
      <c r="AE19" s="976">
        <f ca="1">(DS!AE125-DS!AE128)*AE7</f>
        <v>343.19847993447775</v>
      </c>
      <c r="AF19" s="976">
        <f ca="1">(DS!AF125-DS!AF128)*AF7</f>
        <v>1079.6770300090795</v>
      </c>
      <c r="AG19" s="976">
        <f ca="1">(DS!AG125-DS!AG128)*AG7</f>
        <v>1053.1826196147904</v>
      </c>
      <c r="AH19" s="976">
        <f ca="1">(DS!AH125-DS!AH128)*AH7</f>
        <v>1067.2828534922648</v>
      </c>
      <c r="AI19" s="976">
        <f ca="1">(DS!AI125-DS!AI128)*AI7</f>
        <v>1045.362070318816</v>
      </c>
      <c r="AJ19" s="976">
        <f ca="1">(DS!AJ125-DS!AJ128)*AJ7</f>
        <v>1052.2100644472955</v>
      </c>
      <c r="AK19" s="976">
        <f ca="1">(DS!AK125-DS!AK128)*AK7</f>
        <v>957.99951666674417</v>
      </c>
      <c r="AL19" s="976">
        <f ca="1">(DS!AL125-DS!AL128)*AL7</f>
        <v>909.85940279784518</v>
      </c>
      <c r="AM19" s="976">
        <f ca="1">(DS!AM125-DS!AM128)*AM7</f>
        <v>817.39442151993831</v>
      </c>
      <c r="AN19" s="976">
        <f ca="1">(DS!AN125-DS!AN128)*AN7</f>
        <v>758.71455687973287</v>
      </c>
      <c r="AO19" s="976">
        <f ca="1">(DS!AO125-DS!AO128)*AO7</f>
        <v>660.49171338511303</v>
      </c>
      <c r="AP19" s="976">
        <f ca="1">(DS!AP125-DS!AP128)*AP7</f>
        <v>591.10565241267363</v>
      </c>
      <c r="AQ19" s="976">
        <f ca="1">(DS!AQ125-DS!AQ128)*AQ7</f>
        <v>489.7754845300833</v>
      </c>
      <c r="AR19" s="976">
        <f ca="1">(DS!AR125-DS!AR128)*AR7</f>
        <v>405.87277286536892</v>
      </c>
      <c r="AS19" s="976">
        <f ca="1">(DS!AS125-DS!AS128)*AS7</f>
        <v>295.05129364478694</v>
      </c>
      <c r="AT19" s="976">
        <f ca="1">(DS!AT125-DS!AT128)*AT7</f>
        <v>201.39388901789349</v>
      </c>
      <c r="AU19" s="976">
        <f ca="1">(DS!AU125-DS!AU128)*AU7</f>
        <v>83.63357195822519</v>
      </c>
      <c r="AV19" s="976">
        <f ca="1">(DS!AV125-DS!AV128)*AV7</f>
        <v>0</v>
      </c>
      <c r="AW19" s="976">
        <f ca="1">(DS!AW125-DS!AW128)*AW7</f>
        <v>0</v>
      </c>
      <c r="AX19" s="976">
        <f ca="1">(DS!AX125-DS!AX128)*AX7</f>
        <v>0</v>
      </c>
      <c r="AY19" s="976">
        <f ca="1">(DS!AY125-DS!AY128)*AY7</f>
        <v>0</v>
      </c>
      <c r="AZ19" s="976">
        <f ca="1">(DS!AZ125-DS!AZ128)*AZ7</f>
        <v>0</v>
      </c>
      <c r="BA19" s="976">
        <f ca="1">(DS!BA125-DS!BA128)*BA7</f>
        <v>0</v>
      </c>
      <c r="BB19" s="976">
        <f ca="1">(DS!BB125-DS!BB128)*BB7</f>
        <v>0</v>
      </c>
      <c r="BC19" s="976">
        <f ca="1">(DS!BC125-DS!BC128)*BC7</f>
        <v>0</v>
      </c>
      <c r="BD19" s="976">
        <f ca="1">(DS!BD125-DS!BD128)*BD7</f>
        <v>0</v>
      </c>
      <c r="BE19" s="976">
        <f ca="1">(DS!BE125-DS!BE128)*BE7</f>
        <v>0</v>
      </c>
      <c r="BF19" s="976">
        <f ca="1">(DS!BF125-DS!BF128)*BF7</f>
        <v>0</v>
      </c>
      <c r="BG19" s="976">
        <f ca="1">(DS!BG125-DS!BG128)*BG7</f>
        <v>0</v>
      </c>
      <c r="BH19" s="976">
        <f ca="1">(DS!BH125-DS!BH128)*BH7</f>
        <v>0</v>
      </c>
      <c r="BI19" s="976">
        <f ca="1">(DS!BI125-DS!BI128)*BI7</f>
        <v>0</v>
      </c>
      <c r="BJ19" s="976">
        <f ca="1">(DS!BJ125-DS!BJ128)*BJ7</f>
        <v>0</v>
      </c>
      <c r="BK19" s="976">
        <f ca="1">(DS!BK125-DS!BK128)*BK7</f>
        <v>0</v>
      </c>
      <c r="BL19" s="976">
        <f ca="1">(DS!BL125-DS!BL128)*BL7</f>
        <v>0</v>
      </c>
      <c r="BM19" s="976">
        <f ca="1">(DS!BM125-DS!BM128)*BM7</f>
        <v>0</v>
      </c>
      <c r="BN19" s="976">
        <f ca="1">(DS!BN125-DS!BN128)*BN7</f>
        <v>0</v>
      </c>
      <c r="BO19" s="976">
        <f ca="1">(DS!BO125-DS!BO128)*BO7</f>
        <v>0</v>
      </c>
      <c r="BP19" s="976">
        <f>(DS!BP125-DS!BP128)*BP7</f>
        <v>0</v>
      </c>
      <c r="BQ19" s="976">
        <f>(DS!BQ125-DS!BQ128)*BQ7</f>
        <v>0</v>
      </c>
      <c r="BR19" s="976">
        <f>(DS!BR125-DS!BR128)*BR7</f>
        <v>0</v>
      </c>
      <c r="BS19" s="976">
        <f>(DS!BS125-DS!BS128)*BS7</f>
        <v>0</v>
      </c>
      <c r="BT19" s="976">
        <f>(DS!BT125-DS!BT128)*BT7</f>
        <v>0</v>
      </c>
      <c r="BU19" s="976">
        <f>(DS!BU125-DS!BU128)*BU7</f>
        <v>0</v>
      </c>
      <c r="BV19" s="976">
        <f>(DS!BV125-DS!BV128)*BV7</f>
        <v>0</v>
      </c>
      <c r="BW19" s="976">
        <f>(DS!BW125-DS!BW128)*BW7</f>
        <v>0</v>
      </c>
      <c r="BX19" s="976">
        <f>(DS!BX125-DS!BX128)*BX7</f>
        <v>0</v>
      </c>
      <c r="BY19" s="976">
        <f>(DS!BY125-DS!BY128)*BY7</f>
        <v>0</v>
      </c>
      <c r="BZ19" s="976">
        <f>(DS!BZ125-DS!BZ128)*BZ7</f>
        <v>0</v>
      </c>
      <c r="CA19" s="976">
        <f>(DS!CA125-DS!CA128)*CA7</f>
        <v>0</v>
      </c>
      <c r="CB19" s="976">
        <f>(DS!CB125-DS!CB128)*CB7</f>
        <v>0</v>
      </c>
      <c r="CC19" s="976">
        <f>(DS!CC125-DS!CC128)*CC7</f>
        <v>0</v>
      </c>
      <c r="CD19" s="976">
        <f>(DS!CD125-DS!CD128)*CD7</f>
        <v>0</v>
      </c>
      <c r="CE19" s="976">
        <f>(DS!CE125-DS!CE128)*CE7</f>
        <v>0</v>
      </c>
      <c r="CF19" s="976">
        <f>(DS!CF125-DS!CF128)*CF7</f>
        <v>0</v>
      </c>
      <c r="CG19" s="976">
        <f>(DS!CG125-DS!CG128)*CG7</f>
        <v>0</v>
      </c>
      <c r="CH19" s="976">
        <f>(DS!CH125-DS!CH128)*CH7</f>
        <v>0</v>
      </c>
      <c r="CI19" s="976">
        <f>(DS!CI125-DS!CI128)*CI7</f>
        <v>0</v>
      </c>
      <c r="CJ19" s="976">
        <f>(DS!CJ125-DS!CJ128)*CJ7</f>
        <v>0</v>
      </c>
      <c r="CK19" s="976">
        <f>(DS!CK125-DS!CK128)*CK7</f>
        <v>0</v>
      </c>
      <c r="CL19" s="976">
        <f>(DS!CL125-DS!CL128)*CL7</f>
        <v>0</v>
      </c>
      <c r="CM19" s="976">
        <f>(DS!CM125-DS!CM128)*CM7</f>
        <v>0</v>
      </c>
      <c r="CN19" s="976">
        <f>(DS!CN125-DS!CN128)*CN7</f>
        <v>0</v>
      </c>
      <c r="CO19" s="976">
        <f>(DS!CO125-DS!CO128)*CO7</f>
        <v>0</v>
      </c>
      <c r="CP19" s="976">
        <f>(DS!CP125-DS!CP128)*CP7</f>
        <v>0</v>
      </c>
      <c r="CQ19" s="976">
        <f>(DS!CQ125-DS!CQ128)*CQ7</f>
        <v>0</v>
      </c>
      <c r="CR19" s="976">
        <f>(DS!CR125-DS!CR128)*CR7</f>
        <v>0</v>
      </c>
      <c r="CS19" s="976">
        <f>(DS!CS125-DS!CS128)*CS7</f>
        <v>0</v>
      </c>
      <c r="CT19" s="976">
        <f>(DS!CT125-DS!CT128)*CT7</f>
        <v>0</v>
      </c>
      <c r="CU19" s="976">
        <f>(DS!CU125-DS!CU128)*CU7</f>
        <v>0</v>
      </c>
      <c r="CV19" s="976">
        <f>(DS!CV125-DS!CV128)*CV7</f>
        <v>0</v>
      </c>
      <c r="CW19" s="976">
        <f>(DS!CW125-DS!CW128)*CW7</f>
        <v>0</v>
      </c>
      <c r="CX19" s="976">
        <f>(DS!CX125-DS!CX128)*CX7</f>
        <v>0</v>
      </c>
      <c r="CY19" s="976">
        <f>(DS!CY125-DS!CY128)*CY7</f>
        <v>0</v>
      </c>
      <c r="CZ19" s="976">
        <f>(DS!CZ125-DS!CZ128)*CZ7</f>
        <v>0</v>
      </c>
      <c r="DA19" s="976">
        <f>(DS!DA125-DS!DA128)*DA7</f>
        <v>0</v>
      </c>
      <c r="DB19" s="976">
        <f>(DS!DB125-DS!DB128)*DB7</f>
        <v>0</v>
      </c>
      <c r="DC19" s="976">
        <f>(DS!DC125-DS!DC128)*DC7</f>
        <v>0</v>
      </c>
      <c r="DD19" s="976">
        <f>(DS!DD125-DS!DD128)*DD7</f>
        <v>0</v>
      </c>
      <c r="DE19" s="976">
        <f>(DS!DE125-DS!DE128)*DE7</f>
        <v>0</v>
      </c>
      <c r="DF19" s="976">
        <f>(DS!DF125-DS!DF128)*DF7</f>
        <v>0</v>
      </c>
      <c r="DG19" s="976">
        <f>(DS!DG125-DS!DG128)*DG7</f>
        <v>0</v>
      </c>
      <c r="DH19" s="976">
        <f>(DS!DH125-DS!DH128)*DH7</f>
        <v>0</v>
      </c>
      <c r="DI19" s="976">
        <f>(DS!DI125-DS!DI128)*DI7</f>
        <v>0</v>
      </c>
      <c r="DJ19" s="976">
        <f>(DS!DJ125-DS!DJ128)*DJ7</f>
        <v>0</v>
      </c>
      <c r="DK19" s="976">
        <f>(DS!DK125-DS!DK128)*DK7</f>
        <v>0</v>
      </c>
      <c r="DL19" s="976">
        <f>(DS!DL125-DS!DL128)*DL7</f>
        <v>0</v>
      </c>
      <c r="DM19" s="976">
        <f>(DS!DM125-DS!DM128)*DM7</f>
        <v>0</v>
      </c>
      <c r="DN19" s="976">
        <f>(DS!DN125-DS!DN128)*DN7</f>
        <v>0</v>
      </c>
      <c r="DO19" s="976">
        <f>(DS!DO125-DS!DO128)*DO7</f>
        <v>0</v>
      </c>
      <c r="DP19" s="976">
        <f>(DS!DP125-DS!DP128)*DP7</f>
        <v>0</v>
      </c>
      <c r="DQ19" s="976">
        <f>(DS!DQ125-DS!DQ128)*DQ7</f>
        <v>0</v>
      </c>
      <c r="DR19" s="976">
        <f>(DS!DR125-DS!DR128)*DR7</f>
        <v>0</v>
      </c>
      <c r="DS19" s="976">
        <f>(DS!DS125-DS!DS128)*DS7</f>
        <v>0</v>
      </c>
      <c r="DT19" s="976">
        <f>(DS!DT125-DS!DT128)*DT7</f>
        <v>0</v>
      </c>
      <c r="DU19" s="976">
        <f>(DS!DU125-DS!DU128)*DU7</f>
        <v>0</v>
      </c>
      <c r="DV19" s="976">
        <f>(DS!DV125-DS!DV128)*DV7</f>
        <v>0</v>
      </c>
      <c r="DW19" s="976">
        <f>(DS!DW125-DS!DW128)*DW7</f>
        <v>0</v>
      </c>
      <c r="DX19" s="537"/>
      <c r="DY19" s="537"/>
      <c r="DZ19" s="537"/>
      <c r="EA19" s="537"/>
    </row>
    <row r="20" spans="1:131">
      <c r="A20" s="1019" t="s">
        <v>1255</v>
      </c>
      <c r="B20" s="976">
        <f>Inputs!$D$312+Inputs!$D$313</f>
        <v>500</v>
      </c>
      <c r="C20" s="976"/>
      <c r="D20" s="396"/>
      <c r="E20" s="396"/>
      <c r="F20" s="611"/>
      <c r="G20" s="510">
        <f ca="1">IF(G3=0,-$B20,G15*G7)</f>
        <v>-500</v>
      </c>
      <c r="H20" s="510">
        <f t="shared" ref="H20:AL20" ca="1" si="2">IF(H3=0,-$B20,H15*H7)</f>
        <v>0</v>
      </c>
      <c r="I20" s="510">
        <f t="shared" ca="1" si="2"/>
        <v>0</v>
      </c>
      <c r="J20" s="510">
        <f t="shared" ca="1" si="2"/>
        <v>0</v>
      </c>
      <c r="K20" s="510">
        <f t="shared" ca="1" si="2"/>
        <v>0</v>
      </c>
      <c r="L20" s="510">
        <f t="shared" ca="1" si="2"/>
        <v>0</v>
      </c>
      <c r="M20" s="510">
        <f t="shared" ca="1" si="2"/>
        <v>0</v>
      </c>
      <c r="N20" s="510">
        <f t="shared" ca="1" si="2"/>
        <v>0</v>
      </c>
      <c r="O20" s="510">
        <f t="shared" ca="1" si="2"/>
        <v>0</v>
      </c>
      <c r="P20" s="510">
        <f t="shared" ca="1" si="2"/>
        <v>0</v>
      </c>
      <c r="Q20" s="510">
        <f t="shared" ca="1" si="2"/>
        <v>0</v>
      </c>
      <c r="R20" s="510">
        <f t="shared" ca="1" si="2"/>
        <v>0</v>
      </c>
      <c r="S20" s="510">
        <f t="shared" ca="1" si="2"/>
        <v>0</v>
      </c>
      <c r="T20" s="510">
        <f t="shared" ca="1" si="2"/>
        <v>0</v>
      </c>
      <c r="U20" s="510">
        <f t="shared" ca="1" si="2"/>
        <v>0</v>
      </c>
      <c r="V20" s="510">
        <f t="shared" ca="1" si="2"/>
        <v>0</v>
      </c>
      <c r="W20" s="510">
        <f t="shared" ca="1" si="2"/>
        <v>0</v>
      </c>
      <c r="X20" s="510">
        <f t="shared" ca="1" si="2"/>
        <v>0</v>
      </c>
      <c r="Y20" s="510">
        <f t="shared" ca="1" si="2"/>
        <v>0</v>
      </c>
      <c r="Z20" s="510">
        <f t="shared" ca="1" si="2"/>
        <v>0</v>
      </c>
      <c r="AA20" s="510">
        <f t="shared" ca="1" si="2"/>
        <v>0</v>
      </c>
      <c r="AB20" s="510">
        <f t="shared" ca="1" si="2"/>
        <v>0</v>
      </c>
      <c r="AC20" s="510">
        <f t="shared" ca="1" si="2"/>
        <v>0</v>
      </c>
      <c r="AD20" s="510">
        <f t="shared" ca="1" si="2"/>
        <v>0</v>
      </c>
      <c r="AE20" s="510">
        <f t="shared" ca="1" si="2"/>
        <v>0</v>
      </c>
      <c r="AF20" s="510">
        <f t="shared" ca="1" si="2"/>
        <v>0</v>
      </c>
      <c r="AG20" s="510">
        <f t="shared" ca="1" si="2"/>
        <v>0</v>
      </c>
      <c r="AH20" s="510">
        <f t="shared" ca="1" si="2"/>
        <v>0</v>
      </c>
      <c r="AI20" s="510">
        <f t="shared" ca="1" si="2"/>
        <v>0</v>
      </c>
      <c r="AJ20" s="510">
        <f t="shared" ca="1" si="2"/>
        <v>0</v>
      </c>
      <c r="AK20" s="510">
        <f t="shared" ca="1" si="2"/>
        <v>0</v>
      </c>
      <c r="AL20" s="510">
        <f t="shared" ca="1" si="2"/>
        <v>0</v>
      </c>
      <c r="AM20" s="510">
        <f t="shared" ref="AM20:BR20" ca="1" si="3">IF(AM3=0,-$B20,AM15*AM7)</f>
        <v>0</v>
      </c>
      <c r="AN20" s="510">
        <f t="shared" ca="1" si="3"/>
        <v>0</v>
      </c>
      <c r="AO20" s="510">
        <f t="shared" ca="1" si="3"/>
        <v>0</v>
      </c>
      <c r="AP20" s="510">
        <f t="shared" ca="1" si="3"/>
        <v>0</v>
      </c>
      <c r="AQ20" s="510">
        <f t="shared" ca="1" si="3"/>
        <v>0</v>
      </c>
      <c r="AR20" s="510">
        <f t="shared" ca="1" si="3"/>
        <v>0</v>
      </c>
      <c r="AS20" s="510">
        <f t="shared" ca="1" si="3"/>
        <v>0</v>
      </c>
      <c r="AT20" s="510">
        <f t="shared" ca="1" si="3"/>
        <v>0</v>
      </c>
      <c r="AU20" s="510">
        <f t="shared" ca="1" si="3"/>
        <v>37.667167729391963</v>
      </c>
      <c r="AV20" s="510">
        <f t="shared" ca="1" si="3"/>
        <v>2986.5277336046379</v>
      </c>
      <c r="AW20" s="510">
        <f t="shared" ca="1" si="3"/>
        <v>2438.2172034090445</v>
      </c>
      <c r="AX20" s="510">
        <f t="shared" ca="1" si="3"/>
        <v>3052.0093676757338</v>
      </c>
      <c r="AY20" s="510">
        <f t="shared" ca="1" si="3"/>
        <v>2484.2295748751144</v>
      </c>
      <c r="AZ20" s="510">
        <f t="shared" ca="1" si="3"/>
        <v>3110.4596078370555</v>
      </c>
      <c r="BA20" s="510">
        <f t="shared" ca="1" si="3"/>
        <v>2514.2296610048988</v>
      </c>
      <c r="BB20" s="510">
        <f t="shared" ca="1" si="3"/>
        <v>3159.1203828924777</v>
      </c>
      <c r="BC20" s="510">
        <f t="shared" ca="1" si="3"/>
        <v>2574.4568431903785</v>
      </c>
      <c r="BD20" s="510">
        <f t="shared" ca="1" si="3"/>
        <v>3231.9863376158432</v>
      </c>
      <c r="BE20" s="510">
        <f t="shared" ca="1" si="3"/>
        <v>2609.6939796262377</v>
      </c>
      <c r="BF20" s="510">
        <f t="shared" ca="1" si="3"/>
        <v>3270.4938174904837</v>
      </c>
      <c r="BG20" s="510">
        <f t="shared" ca="1" si="3"/>
        <v>2643.4993729219805</v>
      </c>
      <c r="BH20" s="510">
        <f t="shared" ca="1" si="3"/>
        <v>3312.1818001810907</v>
      </c>
      <c r="BI20" s="510">
        <f t="shared" ca="1" si="3"/>
        <v>2657.8998390190054</v>
      </c>
      <c r="BJ20" s="510">
        <f t="shared" ca="1" si="3"/>
        <v>3341.9420075836833</v>
      </c>
      <c r="BK20" s="510">
        <f t="shared" ca="1" si="3"/>
        <v>2660.2358654088357</v>
      </c>
      <c r="BL20" s="510">
        <f t="shared" ca="1" si="3"/>
        <v>3347.5234960866119</v>
      </c>
      <c r="BM20" s="510">
        <f t="shared" ca="1" si="3"/>
        <v>2683.0984437577449</v>
      </c>
      <c r="BN20" s="510">
        <f t="shared" ca="1" si="3"/>
        <v>3364.2523942978473</v>
      </c>
      <c r="BO20" s="510">
        <f t="shared" ca="1" si="3"/>
        <v>2712.3732854259888</v>
      </c>
      <c r="BP20" s="510">
        <f t="shared" si="3"/>
        <v>0</v>
      </c>
      <c r="BQ20" s="510">
        <f t="shared" si="3"/>
        <v>0</v>
      </c>
      <c r="BR20" s="510">
        <f t="shared" si="3"/>
        <v>0</v>
      </c>
      <c r="BS20" s="510">
        <f t="shared" ref="BS20:CX20" si="4">IF(BS3=0,-$B20,BS15*BS7)</f>
        <v>0</v>
      </c>
      <c r="BT20" s="510">
        <f t="shared" si="4"/>
        <v>0</v>
      </c>
      <c r="BU20" s="510">
        <f t="shared" si="4"/>
        <v>0</v>
      </c>
      <c r="BV20" s="510">
        <f t="shared" si="4"/>
        <v>0</v>
      </c>
      <c r="BW20" s="510">
        <f t="shared" si="4"/>
        <v>0</v>
      </c>
      <c r="BX20" s="510">
        <f t="shared" si="4"/>
        <v>0</v>
      </c>
      <c r="BY20" s="510">
        <f t="shared" si="4"/>
        <v>0</v>
      </c>
      <c r="BZ20" s="510">
        <f t="shared" si="4"/>
        <v>0</v>
      </c>
      <c r="CA20" s="510">
        <f t="shared" si="4"/>
        <v>0</v>
      </c>
      <c r="CB20" s="510">
        <f t="shared" si="4"/>
        <v>0</v>
      </c>
      <c r="CC20" s="510">
        <f t="shared" si="4"/>
        <v>0</v>
      </c>
      <c r="CD20" s="510">
        <f t="shared" si="4"/>
        <v>0</v>
      </c>
      <c r="CE20" s="510">
        <f t="shared" si="4"/>
        <v>0</v>
      </c>
      <c r="CF20" s="510">
        <f t="shared" si="4"/>
        <v>0</v>
      </c>
      <c r="CG20" s="510">
        <f t="shared" si="4"/>
        <v>0</v>
      </c>
      <c r="CH20" s="510">
        <f t="shared" si="4"/>
        <v>0</v>
      </c>
      <c r="CI20" s="510">
        <f t="shared" si="4"/>
        <v>0</v>
      </c>
      <c r="CJ20" s="510">
        <f t="shared" si="4"/>
        <v>0</v>
      </c>
      <c r="CK20" s="510">
        <f t="shared" si="4"/>
        <v>0</v>
      </c>
      <c r="CL20" s="510">
        <f t="shared" si="4"/>
        <v>0</v>
      </c>
      <c r="CM20" s="510">
        <f t="shared" si="4"/>
        <v>0</v>
      </c>
      <c r="CN20" s="510">
        <f t="shared" si="4"/>
        <v>0</v>
      </c>
      <c r="CO20" s="510">
        <f t="shared" si="4"/>
        <v>0</v>
      </c>
      <c r="CP20" s="510">
        <f t="shared" si="4"/>
        <v>0</v>
      </c>
      <c r="CQ20" s="510">
        <f t="shared" si="4"/>
        <v>0</v>
      </c>
      <c r="CR20" s="510">
        <f t="shared" si="4"/>
        <v>0</v>
      </c>
      <c r="CS20" s="510">
        <f t="shared" si="4"/>
        <v>0</v>
      </c>
      <c r="CT20" s="510">
        <f t="shared" si="4"/>
        <v>0</v>
      </c>
      <c r="CU20" s="510">
        <f t="shared" si="4"/>
        <v>0</v>
      </c>
      <c r="CV20" s="510">
        <f t="shared" si="4"/>
        <v>0</v>
      </c>
      <c r="CW20" s="510">
        <f t="shared" si="4"/>
        <v>0</v>
      </c>
      <c r="CX20" s="510">
        <f t="shared" si="4"/>
        <v>0</v>
      </c>
      <c r="CY20" s="510">
        <f t="shared" ref="CY20:DW20" si="5">IF(CY3=0,-$B20,CY15*CY7)</f>
        <v>0</v>
      </c>
      <c r="CZ20" s="510">
        <f t="shared" si="5"/>
        <v>0</v>
      </c>
      <c r="DA20" s="510">
        <f t="shared" si="5"/>
        <v>0</v>
      </c>
      <c r="DB20" s="510">
        <f t="shared" si="5"/>
        <v>0</v>
      </c>
      <c r="DC20" s="510">
        <f t="shared" si="5"/>
        <v>0</v>
      </c>
      <c r="DD20" s="510">
        <f t="shared" si="5"/>
        <v>0</v>
      </c>
      <c r="DE20" s="510">
        <f t="shared" si="5"/>
        <v>0</v>
      </c>
      <c r="DF20" s="510">
        <f t="shared" si="5"/>
        <v>0</v>
      </c>
      <c r="DG20" s="510">
        <f t="shared" si="5"/>
        <v>0</v>
      </c>
      <c r="DH20" s="510">
        <f t="shared" si="5"/>
        <v>0</v>
      </c>
      <c r="DI20" s="510">
        <f t="shared" si="5"/>
        <v>0</v>
      </c>
      <c r="DJ20" s="510">
        <f t="shared" si="5"/>
        <v>0</v>
      </c>
      <c r="DK20" s="510">
        <f t="shared" si="5"/>
        <v>0</v>
      </c>
      <c r="DL20" s="510">
        <f t="shared" si="5"/>
        <v>0</v>
      </c>
      <c r="DM20" s="510">
        <f t="shared" si="5"/>
        <v>0</v>
      </c>
      <c r="DN20" s="510">
        <f t="shared" si="5"/>
        <v>0</v>
      </c>
      <c r="DO20" s="510">
        <f t="shared" si="5"/>
        <v>0</v>
      </c>
      <c r="DP20" s="510">
        <f t="shared" si="5"/>
        <v>0</v>
      </c>
      <c r="DQ20" s="510">
        <f t="shared" si="5"/>
        <v>0</v>
      </c>
      <c r="DR20" s="510">
        <f t="shared" si="5"/>
        <v>0</v>
      </c>
      <c r="DS20" s="510">
        <f t="shared" si="5"/>
        <v>0</v>
      </c>
      <c r="DT20" s="510">
        <f t="shared" si="5"/>
        <v>0</v>
      </c>
      <c r="DU20" s="510">
        <f t="shared" si="5"/>
        <v>0</v>
      </c>
      <c r="DV20" s="510">
        <f t="shared" si="5"/>
        <v>0</v>
      </c>
      <c r="DW20" s="510">
        <f t="shared" si="5"/>
        <v>0</v>
      </c>
    </row>
    <row r="21" spans="1:131">
      <c r="A21" s="344" t="s">
        <v>186</v>
      </c>
      <c r="B21" s="673"/>
      <c r="C21" s="673"/>
      <c r="D21" s="476"/>
      <c r="E21" s="476"/>
      <c r="F21" s="625"/>
      <c r="G21" s="513">
        <f ca="1">G17+G20</f>
        <v>-15120.773894815633</v>
      </c>
      <c r="H21" s="513">
        <f ca="1">H17+H20</f>
        <v>335.87001192815342</v>
      </c>
      <c r="I21" s="513">
        <f ca="1">I17+I20</f>
        <v>330.39387042932458</v>
      </c>
      <c r="J21" s="513">
        <f ca="1">J17+J20</f>
        <v>336.07875278384927</v>
      </c>
      <c r="K21" s="513">
        <f t="shared" ref="K21:BV21" ca="1" si="6">K17+K20</f>
        <v>340.5415560447218</v>
      </c>
      <c r="L21" s="513">
        <f t="shared" ca="1" si="6"/>
        <v>344.05441161728459</v>
      </c>
      <c r="M21" s="513">
        <f t="shared" ca="1" si="6"/>
        <v>345.51102678698453</v>
      </c>
      <c r="N21" s="513">
        <f t="shared" ca="1" si="6"/>
        <v>349.23262841929591</v>
      </c>
      <c r="O21" s="513">
        <f t="shared" ca="1" si="6"/>
        <v>347.80912291148707</v>
      </c>
      <c r="P21" s="513">
        <f t="shared" ca="1" si="6"/>
        <v>354.48829899669317</v>
      </c>
      <c r="Q21" s="513">
        <f t="shared" ca="1" si="6"/>
        <v>350.09626175264157</v>
      </c>
      <c r="R21" s="513">
        <f t="shared" ca="1" si="6"/>
        <v>358.83941444214724</v>
      </c>
      <c r="S21" s="513">
        <f t="shared" ca="1" si="6"/>
        <v>353.38594088006357</v>
      </c>
      <c r="T21" s="513">
        <f t="shared" ca="1" si="6"/>
        <v>365.23646797405399</v>
      </c>
      <c r="U21" s="513">
        <f t="shared" ca="1" si="6"/>
        <v>354.44024353998338</v>
      </c>
      <c r="V21" s="513">
        <f t="shared" ca="1" si="6"/>
        <v>370.73123830074883</v>
      </c>
      <c r="W21" s="513">
        <f t="shared" ca="1" si="6"/>
        <v>356.43397409897443</v>
      </c>
      <c r="X21" s="513">
        <f t="shared" ca="1" si="6"/>
        <v>376.30800665500556</v>
      </c>
      <c r="Y21" s="513">
        <f t="shared" ca="1" si="6"/>
        <v>358.28810723061906</v>
      </c>
      <c r="Z21" s="513">
        <f t="shared" ca="1" si="6"/>
        <v>380.92432030492228</v>
      </c>
      <c r="AA21" s="513">
        <f t="shared" ca="1" si="6"/>
        <v>361.09801681461613</v>
      </c>
      <c r="AB21" s="513">
        <f t="shared" ca="1" si="6"/>
        <v>362.21186155878786</v>
      </c>
      <c r="AC21" s="513">
        <f t="shared" ca="1" si="6"/>
        <v>341.58145701415651</v>
      </c>
      <c r="AD21" s="513">
        <f t="shared" ca="1" si="6"/>
        <v>368.04174225437328</v>
      </c>
      <c r="AE21" s="513">
        <f t="shared" ca="1" si="6"/>
        <v>343.19847993447775</v>
      </c>
      <c r="AF21" s="513">
        <f t="shared" ca="1" si="6"/>
        <v>1303.7935979215406</v>
      </c>
      <c r="AG21" s="513">
        <f t="shared" ca="1" si="6"/>
        <v>1136.394477560847</v>
      </c>
      <c r="AH21" s="513">
        <f t="shared" ca="1" si="6"/>
        <v>1325.9887014375968</v>
      </c>
      <c r="AI21" s="513">
        <f t="shared" ca="1" si="6"/>
        <v>1160.4040485564847</v>
      </c>
      <c r="AJ21" s="513">
        <f t="shared" ca="1" si="6"/>
        <v>2994.5482101550338</v>
      </c>
      <c r="AK21" s="513">
        <f t="shared" ca="1" si="6"/>
        <v>2545.4162284351887</v>
      </c>
      <c r="AL21" s="513">
        <f t="shared" ca="1" si="6"/>
        <v>2866.7009595780269</v>
      </c>
      <c r="AM21" s="513">
        <f t="shared" ca="1" si="6"/>
        <v>2608.3700359429458</v>
      </c>
      <c r="AN21" s="513">
        <f t="shared" ca="1" si="6"/>
        <v>2922.8141129823598</v>
      </c>
      <c r="AO21" s="513">
        <f t="shared" ca="1" si="6"/>
        <v>2652.4553454942106</v>
      </c>
      <c r="AP21" s="513">
        <f t="shared" ca="1" si="6"/>
        <v>2970.2515213558436</v>
      </c>
      <c r="AQ21" s="513">
        <f t="shared" ca="1" si="6"/>
        <v>2703.7003380574424</v>
      </c>
      <c r="AR21" s="513">
        <f t="shared" ca="1" si="6"/>
        <v>3032.5617059389888</v>
      </c>
      <c r="AS21" s="513">
        <f t="shared" ca="1" si="6"/>
        <v>2738.6607711913121</v>
      </c>
      <c r="AT21" s="513">
        <f t="shared" ca="1" si="6"/>
        <v>3087.0294677969923</v>
      </c>
      <c r="AU21" s="513">
        <f t="shared" ca="1" si="6"/>
        <v>2229.467436148404</v>
      </c>
      <c r="AV21" s="513">
        <f t="shared" ca="1" si="6"/>
        <v>2986.5277336046379</v>
      </c>
      <c r="AW21" s="513">
        <f t="shared" ca="1" si="6"/>
        <v>2438.2172034090445</v>
      </c>
      <c r="AX21" s="513">
        <f t="shared" ca="1" si="6"/>
        <v>3052.0093676757338</v>
      </c>
      <c r="AY21" s="513">
        <f t="shared" ca="1" si="6"/>
        <v>2484.2295748751144</v>
      </c>
      <c r="AZ21" s="513">
        <f t="shared" ca="1" si="6"/>
        <v>3110.4596078370555</v>
      </c>
      <c r="BA21" s="513">
        <f t="shared" ca="1" si="6"/>
        <v>2514.2296610048988</v>
      </c>
      <c r="BB21" s="513">
        <f t="shared" ca="1" si="6"/>
        <v>3159.1203828924777</v>
      </c>
      <c r="BC21" s="513">
        <f t="shared" ca="1" si="6"/>
        <v>2574.4568431903785</v>
      </c>
      <c r="BD21" s="513">
        <f t="shared" ca="1" si="6"/>
        <v>3231.9863376158432</v>
      </c>
      <c r="BE21" s="513">
        <f t="shared" ca="1" si="6"/>
        <v>2609.6939796262377</v>
      </c>
      <c r="BF21" s="513">
        <f t="shared" ca="1" si="6"/>
        <v>3270.4938174904837</v>
      </c>
      <c r="BG21" s="513">
        <f t="shared" ca="1" si="6"/>
        <v>2643.4993729219805</v>
      </c>
      <c r="BH21" s="513">
        <f t="shared" ca="1" si="6"/>
        <v>3312.1818001810907</v>
      </c>
      <c r="BI21" s="513">
        <f t="shared" ca="1" si="6"/>
        <v>2657.8998390190054</v>
      </c>
      <c r="BJ21" s="513">
        <f t="shared" ca="1" si="6"/>
        <v>3341.9420075836833</v>
      </c>
      <c r="BK21" s="513">
        <f t="shared" ca="1" si="6"/>
        <v>2660.2358654088357</v>
      </c>
      <c r="BL21" s="513">
        <f t="shared" ca="1" si="6"/>
        <v>3347.5234960866119</v>
      </c>
      <c r="BM21" s="513">
        <f t="shared" ca="1" si="6"/>
        <v>2683.0984437577449</v>
      </c>
      <c r="BN21" s="513">
        <f t="shared" ca="1" si="6"/>
        <v>3364.2523942978473</v>
      </c>
      <c r="BO21" s="513">
        <f t="shared" ca="1" si="6"/>
        <v>2712.3732854259888</v>
      </c>
      <c r="BP21" s="513">
        <f t="shared" ca="1" si="6"/>
        <v>0</v>
      </c>
      <c r="BQ21" s="513">
        <f t="shared" ca="1" si="6"/>
        <v>0</v>
      </c>
      <c r="BR21" s="513">
        <f t="shared" ca="1" si="6"/>
        <v>0</v>
      </c>
      <c r="BS21" s="513">
        <f t="shared" ca="1" si="6"/>
        <v>0</v>
      </c>
      <c r="BT21" s="513">
        <f t="shared" ca="1" si="6"/>
        <v>0</v>
      </c>
      <c r="BU21" s="513">
        <f t="shared" ca="1" si="6"/>
        <v>0</v>
      </c>
      <c r="BV21" s="513">
        <f t="shared" ca="1" si="6"/>
        <v>0</v>
      </c>
      <c r="BW21" s="513">
        <f t="shared" ref="BW21:DW21" ca="1" si="7">BW17+BW20</f>
        <v>0</v>
      </c>
      <c r="BX21" s="513">
        <f t="shared" ca="1" si="7"/>
        <v>0</v>
      </c>
      <c r="BY21" s="513">
        <f t="shared" ca="1" si="7"/>
        <v>0</v>
      </c>
      <c r="BZ21" s="513">
        <f t="shared" ca="1" si="7"/>
        <v>0</v>
      </c>
      <c r="CA21" s="513">
        <f t="shared" ca="1" si="7"/>
        <v>0</v>
      </c>
      <c r="CB21" s="513">
        <f t="shared" ca="1" si="7"/>
        <v>0</v>
      </c>
      <c r="CC21" s="513">
        <f t="shared" ca="1" si="7"/>
        <v>0</v>
      </c>
      <c r="CD21" s="513">
        <f t="shared" ca="1" si="7"/>
        <v>0</v>
      </c>
      <c r="CE21" s="513">
        <f t="shared" ca="1" si="7"/>
        <v>0</v>
      </c>
      <c r="CF21" s="513">
        <f t="shared" ca="1" si="7"/>
        <v>0</v>
      </c>
      <c r="CG21" s="513">
        <f t="shared" ca="1" si="7"/>
        <v>0</v>
      </c>
      <c r="CH21" s="513">
        <f t="shared" ca="1" si="7"/>
        <v>0</v>
      </c>
      <c r="CI21" s="513">
        <f t="shared" ca="1" si="7"/>
        <v>0</v>
      </c>
      <c r="CJ21" s="513">
        <f t="shared" ca="1" si="7"/>
        <v>0</v>
      </c>
      <c r="CK21" s="513">
        <f t="shared" ca="1" si="7"/>
        <v>0</v>
      </c>
      <c r="CL21" s="513">
        <f t="shared" ca="1" si="7"/>
        <v>0</v>
      </c>
      <c r="CM21" s="513">
        <f t="shared" ca="1" si="7"/>
        <v>0</v>
      </c>
      <c r="CN21" s="513">
        <f t="shared" ca="1" si="7"/>
        <v>0</v>
      </c>
      <c r="CO21" s="513">
        <f t="shared" ca="1" si="7"/>
        <v>0</v>
      </c>
      <c r="CP21" s="513">
        <f t="shared" ca="1" si="7"/>
        <v>0</v>
      </c>
      <c r="CQ21" s="513">
        <f t="shared" ca="1" si="7"/>
        <v>0</v>
      </c>
      <c r="CR21" s="513">
        <f t="shared" ca="1" si="7"/>
        <v>0</v>
      </c>
      <c r="CS21" s="513">
        <f t="shared" ca="1" si="7"/>
        <v>0</v>
      </c>
      <c r="CT21" s="513">
        <f t="shared" ca="1" si="7"/>
        <v>0</v>
      </c>
      <c r="CU21" s="513">
        <f t="shared" ca="1" si="7"/>
        <v>0</v>
      </c>
      <c r="CV21" s="513">
        <f t="shared" ca="1" si="7"/>
        <v>0</v>
      </c>
      <c r="CW21" s="513">
        <f t="shared" ca="1" si="7"/>
        <v>0</v>
      </c>
      <c r="CX21" s="513">
        <f t="shared" ca="1" si="7"/>
        <v>0</v>
      </c>
      <c r="CY21" s="513">
        <f t="shared" ca="1" si="7"/>
        <v>0</v>
      </c>
      <c r="CZ21" s="513">
        <f t="shared" ca="1" si="7"/>
        <v>0</v>
      </c>
      <c r="DA21" s="513">
        <f t="shared" ca="1" si="7"/>
        <v>0</v>
      </c>
      <c r="DB21" s="513">
        <f t="shared" ca="1" si="7"/>
        <v>0</v>
      </c>
      <c r="DC21" s="513">
        <f t="shared" ca="1" si="7"/>
        <v>0</v>
      </c>
      <c r="DD21" s="513">
        <f t="shared" ca="1" si="7"/>
        <v>0</v>
      </c>
      <c r="DE21" s="513">
        <f t="shared" ca="1" si="7"/>
        <v>0</v>
      </c>
      <c r="DF21" s="513">
        <f t="shared" ca="1" si="7"/>
        <v>0</v>
      </c>
      <c r="DG21" s="513">
        <f t="shared" ca="1" si="7"/>
        <v>0</v>
      </c>
      <c r="DH21" s="513">
        <f t="shared" ca="1" si="7"/>
        <v>0</v>
      </c>
      <c r="DI21" s="513">
        <f t="shared" ca="1" si="7"/>
        <v>0</v>
      </c>
      <c r="DJ21" s="513">
        <f t="shared" ca="1" si="7"/>
        <v>0</v>
      </c>
      <c r="DK21" s="513">
        <f t="shared" ca="1" si="7"/>
        <v>0</v>
      </c>
      <c r="DL21" s="513">
        <f t="shared" ca="1" si="7"/>
        <v>0</v>
      </c>
      <c r="DM21" s="513">
        <f t="shared" ca="1" si="7"/>
        <v>0</v>
      </c>
      <c r="DN21" s="513">
        <f t="shared" ca="1" si="7"/>
        <v>0</v>
      </c>
      <c r="DO21" s="513">
        <f t="shared" ca="1" si="7"/>
        <v>0</v>
      </c>
      <c r="DP21" s="513">
        <f t="shared" ca="1" si="7"/>
        <v>0</v>
      </c>
      <c r="DQ21" s="513">
        <f t="shared" ca="1" si="7"/>
        <v>0</v>
      </c>
      <c r="DR21" s="513">
        <f t="shared" ca="1" si="7"/>
        <v>0</v>
      </c>
      <c r="DS21" s="513">
        <f t="shared" ca="1" si="7"/>
        <v>0</v>
      </c>
      <c r="DT21" s="513">
        <f t="shared" ca="1" si="7"/>
        <v>0</v>
      </c>
      <c r="DU21" s="513">
        <f t="shared" ca="1" si="7"/>
        <v>0</v>
      </c>
      <c r="DV21" s="513">
        <f t="shared" ca="1" si="7"/>
        <v>0</v>
      </c>
      <c r="DW21" s="513">
        <f t="shared" ca="1" si="7"/>
        <v>0</v>
      </c>
    </row>
    <row r="22" spans="1:131">
      <c r="B22" s="673"/>
      <c r="C22" s="673"/>
      <c r="D22" s="625"/>
      <c r="E22" s="625"/>
      <c r="F22" s="625"/>
      <c r="G22" s="518"/>
      <c r="H22" s="518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  <c r="AD22" s="518"/>
      <c r="AE22" s="518"/>
      <c r="AF22" s="518"/>
      <c r="AG22" s="518"/>
      <c r="AH22" s="518"/>
      <c r="AI22" s="518"/>
      <c r="AJ22" s="518"/>
      <c r="AK22" s="518"/>
      <c r="AL22" s="518"/>
      <c r="AM22" s="518"/>
      <c r="AN22" s="518"/>
      <c r="AO22" s="518"/>
      <c r="AP22" s="518"/>
      <c r="AQ22" s="518"/>
      <c r="AR22" s="518"/>
      <c r="AS22" s="518"/>
      <c r="AT22" s="518"/>
      <c r="AU22" s="518"/>
      <c r="AV22" s="518"/>
      <c r="AW22" s="518"/>
      <c r="AX22" s="518"/>
      <c r="AY22" s="518"/>
      <c r="AZ22" s="518"/>
      <c r="BA22" s="518"/>
      <c r="BB22" s="518"/>
      <c r="BC22" s="518"/>
      <c r="BD22" s="518"/>
      <c r="BE22" s="518"/>
      <c r="BF22" s="518"/>
      <c r="BG22" s="518"/>
      <c r="BH22" s="518"/>
      <c r="BI22" s="518"/>
      <c r="BJ22" s="518"/>
      <c r="BK22" s="518"/>
      <c r="BL22" s="518"/>
      <c r="BM22" s="518"/>
      <c r="BN22" s="518"/>
      <c r="BO22" s="518"/>
      <c r="BP22" s="518"/>
      <c r="BQ22" s="518"/>
      <c r="BR22" s="518"/>
      <c r="BS22" s="518"/>
      <c r="BT22" s="518"/>
      <c r="BU22" s="518"/>
      <c r="BV22" s="518"/>
      <c r="BW22" s="518"/>
      <c r="BX22" s="518"/>
      <c r="BY22" s="518"/>
      <c r="BZ22" s="518"/>
      <c r="CA22" s="518"/>
      <c r="CB22" s="518"/>
      <c r="CC22" s="518"/>
      <c r="CD22" s="518"/>
      <c r="CE22" s="518"/>
      <c r="CF22" s="518"/>
      <c r="CG22" s="518"/>
      <c r="CH22" s="518"/>
      <c r="CI22" s="518"/>
      <c r="CJ22" s="518"/>
      <c r="CK22" s="518"/>
      <c r="CL22" s="518"/>
      <c r="CM22" s="518"/>
      <c r="CN22" s="518"/>
      <c r="CO22" s="518"/>
      <c r="CP22" s="518"/>
      <c r="CQ22" s="518"/>
      <c r="CR22" s="518"/>
      <c r="CS22" s="518"/>
      <c r="CT22" s="518"/>
      <c r="CU22" s="518"/>
      <c r="CV22" s="518"/>
      <c r="CW22" s="518"/>
      <c r="CX22" s="518"/>
      <c r="CY22" s="518"/>
      <c r="CZ22" s="518"/>
      <c r="DA22" s="518"/>
      <c r="DB22" s="518"/>
      <c r="DC22" s="518"/>
      <c r="DD22" s="518"/>
      <c r="DE22" s="518"/>
      <c r="DF22" s="518"/>
      <c r="DG22" s="518"/>
      <c r="DH22" s="518"/>
      <c r="DI22" s="518"/>
      <c r="DJ22" s="518"/>
      <c r="DK22" s="518"/>
      <c r="DL22" s="518"/>
      <c r="DM22" s="518"/>
      <c r="DN22" s="518"/>
      <c r="DO22" s="518"/>
      <c r="DP22" s="518"/>
      <c r="DQ22" s="518"/>
      <c r="DR22" s="518"/>
      <c r="DS22" s="518"/>
      <c r="DT22" s="518"/>
      <c r="DU22" s="518"/>
      <c r="DV22" s="518"/>
      <c r="DW22" s="518"/>
    </row>
    <row r="23" spans="1:131">
      <c r="A23" s="861" t="s">
        <v>1256</v>
      </c>
      <c r="B23" s="862"/>
      <c r="C23" s="862"/>
      <c r="D23" s="864"/>
      <c r="E23" s="864"/>
      <c r="F23" s="870"/>
      <c r="G23" s="638">
        <f>Flags!G32</f>
        <v>47298</v>
      </c>
      <c r="H23" s="638">
        <f>Flags!H32</f>
        <v>47849</v>
      </c>
      <c r="I23" s="638">
        <f>Flags!I32</f>
        <v>48030</v>
      </c>
      <c r="J23" s="638">
        <f>Flags!J32</f>
        <v>48214</v>
      </c>
      <c r="K23" s="638">
        <f>Flags!K32</f>
        <v>48396</v>
      </c>
      <c r="L23" s="638">
        <f>Flags!L32</f>
        <v>48580</v>
      </c>
      <c r="M23" s="638">
        <f>Flags!M32</f>
        <v>48761</v>
      </c>
      <c r="N23" s="638">
        <f>Flags!N32</f>
        <v>48945</v>
      </c>
      <c r="O23" s="638">
        <f>Flags!O32</f>
        <v>49126</v>
      </c>
      <c r="P23" s="638">
        <f>Flags!P32</f>
        <v>49310</v>
      </c>
      <c r="Q23" s="638">
        <f>Flags!Q32</f>
        <v>49491</v>
      </c>
      <c r="R23" s="638">
        <f>Flags!R32</f>
        <v>49675</v>
      </c>
      <c r="S23" s="638">
        <f>Flags!S32</f>
        <v>49857</v>
      </c>
      <c r="T23" s="638">
        <f>Flags!T32</f>
        <v>50041</v>
      </c>
      <c r="U23" s="638">
        <f>Flags!U32</f>
        <v>50222</v>
      </c>
      <c r="V23" s="638">
        <f>Flags!V32</f>
        <v>50406</v>
      </c>
      <c r="W23" s="638">
        <f>Flags!W32</f>
        <v>50587</v>
      </c>
      <c r="X23" s="638">
        <f>Flags!X32</f>
        <v>50771</v>
      </c>
      <c r="Y23" s="638">
        <f>Flags!Y32</f>
        <v>50952</v>
      </c>
      <c r="Z23" s="638">
        <f>Flags!Z32</f>
        <v>51136</v>
      </c>
      <c r="AA23" s="638">
        <f>Flags!AA32</f>
        <v>51318</v>
      </c>
      <c r="AB23" s="638">
        <f>Flags!AB32</f>
        <v>51502</v>
      </c>
      <c r="AC23" s="638">
        <f>Flags!AC32</f>
        <v>51683</v>
      </c>
      <c r="AD23" s="638">
        <f>Flags!AD32</f>
        <v>51867</v>
      </c>
      <c r="AE23" s="638">
        <f>Flags!AE32</f>
        <v>52048</v>
      </c>
      <c r="AF23" s="638">
        <f>Flags!AF32</f>
        <v>52232</v>
      </c>
      <c r="AG23" s="638">
        <f>Flags!AG32</f>
        <v>52413</v>
      </c>
      <c r="AH23" s="638">
        <f>Flags!AH32</f>
        <v>52597</v>
      </c>
      <c r="AI23" s="638">
        <f>Flags!AI32</f>
        <v>52779</v>
      </c>
      <c r="AJ23" s="638">
        <f>Flags!AJ32</f>
        <v>52963</v>
      </c>
      <c r="AK23" s="638">
        <f>Flags!AK32</f>
        <v>53144</v>
      </c>
      <c r="AL23" s="638">
        <f>Flags!AL32</f>
        <v>53328</v>
      </c>
      <c r="AM23" s="638">
        <f>Flags!AM32</f>
        <v>53509</v>
      </c>
      <c r="AN23" s="638">
        <f>Flags!AN32</f>
        <v>53693</v>
      </c>
      <c r="AO23" s="638">
        <f>Flags!AO32</f>
        <v>53874</v>
      </c>
      <c r="AP23" s="638">
        <f>Flags!AP32</f>
        <v>54058</v>
      </c>
      <c r="AQ23" s="638">
        <f>Flags!AQ32</f>
        <v>54240</v>
      </c>
      <c r="AR23" s="638">
        <f>Flags!AR32</f>
        <v>54424</v>
      </c>
      <c r="AS23" s="638">
        <f>Flags!AS32</f>
        <v>54605</v>
      </c>
      <c r="AT23" s="638">
        <f>Flags!AT32</f>
        <v>54789</v>
      </c>
      <c r="AU23" s="638">
        <f>Flags!AU32</f>
        <v>54970</v>
      </c>
      <c r="AV23" s="638">
        <f>Flags!AV32</f>
        <v>55154</v>
      </c>
      <c r="AW23" s="638">
        <f>Flags!AW32</f>
        <v>55335</v>
      </c>
      <c r="AX23" s="638">
        <f>Flags!AX32</f>
        <v>55519</v>
      </c>
      <c r="AY23" s="638">
        <f>Flags!AY32</f>
        <v>55701</v>
      </c>
      <c r="AZ23" s="638">
        <f>Flags!AZ32</f>
        <v>55885</v>
      </c>
      <c r="BA23" s="638">
        <f>Flags!BA32</f>
        <v>56066</v>
      </c>
      <c r="BB23" s="638">
        <f>Flags!BB32</f>
        <v>56250</v>
      </c>
      <c r="BC23" s="638">
        <f>Flags!BC32</f>
        <v>56431</v>
      </c>
      <c r="BD23" s="638">
        <f>Flags!BD32</f>
        <v>56615</v>
      </c>
      <c r="BE23" s="638">
        <f>Flags!BE32</f>
        <v>56796</v>
      </c>
      <c r="BF23" s="638">
        <f>Flags!BF32</f>
        <v>56980</v>
      </c>
      <c r="BG23" s="638">
        <f>Flags!BG32</f>
        <v>57162</v>
      </c>
      <c r="BH23" s="638">
        <f>Flags!BH32</f>
        <v>57346</v>
      </c>
      <c r="BI23" s="638">
        <f>Flags!BI32</f>
        <v>57527</v>
      </c>
      <c r="BJ23" s="638">
        <f>Flags!BJ32</f>
        <v>57711</v>
      </c>
      <c r="BK23" s="638">
        <f>Flags!BK32</f>
        <v>57892</v>
      </c>
      <c r="BL23" s="638">
        <f>Flags!BL32</f>
        <v>58076</v>
      </c>
      <c r="BM23" s="638">
        <f>Flags!BM32</f>
        <v>58257</v>
      </c>
      <c r="BN23" s="638">
        <f>Flags!BN32</f>
        <v>58441</v>
      </c>
      <c r="BO23" s="638">
        <f>Flags!BO32</f>
        <v>58623</v>
      </c>
      <c r="BP23" s="638">
        <f>Flags!BP32</f>
        <v>58807</v>
      </c>
      <c r="BQ23" s="638">
        <f>Flags!BQ32</f>
        <v>58988</v>
      </c>
      <c r="BR23" s="638">
        <f>Flags!BR32</f>
        <v>59172</v>
      </c>
      <c r="BS23" s="638">
        <f>Flags!BS32</f>
        <v>59353</v>
      </c>
      <c r="BT23" s="638">
        <f>Flags!BT32</f>
        <v>59537</v>
      </c>
      <c r="BU23" s="638">
        <f>Flags!BU32</f>
        <v>59718</v>
      </c>
      <c r="BV23" s="638">
        <f>Flags!BV32</f>
        <v>59902</v>
      </c>
      <c r="BW23" s="638">
        <f>Flags!BW32</f>
        <v>60084</v>
      </c>
      <c r="BX23" s="638">
        <f>Flags!BX32</f>
        <v>60268</v>
      </c>
      <c r="BY23" s="638">
        <f>Flags!BY32</f>
        <v>60449</v>
      </c>
      <c r="BZ23" s="638">
        <f>Flags!BZ32</f>
        <v>60633</v>
      </c>
      <c r="CA23" s="638">
        <f>Flags!CA32</f>
        <v>60814</v>
      </c>
      <c r="CB23" s="638">
        <f>Flags!CB32</f>
        <v>60998</v>
      </c>
      <c r="CC23" s="638">
        <f>Flags!CC32</f>
        <v>61179</v>
      </c>
      <c r="CD23" s="638">
        <f>Flags!CD32</f>
        <v>61363</v>
      </c>
      <c r="CE23" s="638">
        <f>Flags!CE32</f>
        <v>61545</v>
      </c>
      <c r="CF23" s="638">
        <f>Flags!CF32</f>
        <v>61729</v>
      </c>
      <c r="CG23" s="638">
        <f>Flags!CG32</f>
        <v>61910</v>
      </c>
      <c r="CH23" s="638">
        <f>Flags!CH32</f>
        <v>62094</v>
      </c>
      <c r="CI23" s="638">
        <f>Flags!CI32</f>
        <v>62275</v>
      </c>
      <c r="CJ23" s="638">
        <f>Flags!CJ32</f>
        <v>62459</v>
      </c>
      <c r="CK23" s="638">
        <f>Flags!CK32</f>
        <v>62640</v>
      </c>
      <c r="CL23" s="638">
        <f>Flags!CL32</f>
        <v>62824</v>
      </c>
      <c r="CM23" s="638">
        <f>Flags!CM32</f>
        <v>63006</v>
      </c>
      <c r="CN23" s="638">
        <f>Flags!CN32</f>
        <v>63190</v>
      </c>
      <c r="CO23" s="638">
        <f>Flags!CO32</f>
        <v>63371</v>
      </c>
      <c r="CP23" s="638">
        <f>Flags!CP32</f>
        <v>63555</v>
      </c>
      <c r="CQ23" s="638">
        <f>Flags!CQ32</f>
        <v>63736</v>
      </c>
      <c r="CR23" s="638">
        <f>Flags!CR32</f>
        <v>63920</v>
      </c>
      <c r="CS23" s="638">
        <f>Flags!CS32</f>
        <v>64101</v>
      </c>
      <c r="CT23" s="638">
        <f>Flags!CT32</f>
        <v>64285</v>
      </c>
      <c r="CU23" s="638">
        <f>Flags!CU32</f>
        <v>64467</v>
      </c>
      <c r="CV23" s="638">
        <f>Flags!CV32</f>
        <v>64651</v>
      </c>
      <c r="CW23" s="638">
        <f>Flags!CW32</f>
        <v>64832</v>
      </c>
      <c r="CX23" s="638">
        <f>Flags!CX32</f>
        <v>65016</v>
      </c>
      <c r="CY23" s="638">
        <f>Flags!CY32</f>
        <v>65197</v>
      </c>
      <c r="CZ23" s="638">
        <f>Flags!CZ32</f>
        <v>65381</v>
      </c>
      <c r="DA23" s="638">
        <f>Flags!DA32</f>
        <v>65562</v>
      </c>
      <c r="DB23" s="638">
        <f>Flags!DB32</f>
        <v>65746</v>
      </c>
      <c r="DC23" s="638">
        <f>Flags!DC32</f>
        <v>65928</v>
      </c>
      <c r="DD23" s="638">
        <f>Flags!DD32</f>
        <v>66112</v>
      </c>
      <c r="DE23" s="638">
        <f>Flags!DE32</f>
        <v>66293</v>
      </c>
      <c r="DF23" s="638">
        <f>Flags!DF32</f>
        <v>66477</v>
      </c>
      <c r="DG23" s="638">
        <f>Flags!DG32</f>
        <v>66658</v>
      </c>
      <c r="DH23" s="638">
        <f>Flags!DH32</f>
        <v>66842</v>
      </c>
      <c r="DI23" s="638">
        <f>Flags!DI32</f>
        <v>67023</v>
      </c>
      <c r="DJ23" s="638">
        <f>Flags!DJ32</f>
        <v>67207</v>
      </c>
      <c r="DK23" s="638">
        <f>Flags!DK32</f>
        <v>67389</v>
      </c>
      <c r="DL23" s="638">
        <f>Flags!DL32</f>
        <v>67573</v>
      </c>
      <c r="DM23" s="638">
        <f>Flags!DM32</f>
        <v>67754</v>
      </c>
      <c r="DN23" s="638">
        <f>Flags!DN32</f>
        <v>67938</v>
      </c>
      <c r="DO23" s="638">
        <f>Flags!DO32</f>
        <v>68119</v>
      </c>
      <c r="DP23" s="638">
        <f>Flags!DP32</f>
        <v>68303</v>
      </c>
      <c r="DQ23" s="638">
        <f>Flags!DQ32</f>
        <v>68484</v>
      </c>
      <c r="DR23" s="638">
        <f>Flags!DR32</f>
        <v>68668</v>
      </c>
      <c r="DS23" s="638">
        <f>Flags!DS32</f>
        <v>68850</v>
      </c>
      <c r="DT23" s="638">
        <f>Flags!DT32</f>
        <v>69034</v>
      </c>
      <c r="DU23" s="638">
        <f>Flags!DU32</f>
        <v>69215</v>
      </c>
      <c r="DV23" s="638">
        <f>Flags!DV32</f>
        <v>69399</v>
      </c>
      <c r="DW23" s="638">
        <f>Flags!DW32</f>
        <v>69580</v>
      </c>
    </row>
    <row r="24" spans="1:131">
      <c r="A24" s="304" t="str">
        <f>A17</f>
        <v>Shareholder Loan Flows</v>
      </c>
      <c r="B24" s="976">
        <f>Inputs!D335</f>
        <v>6</v>
      </c>
      <c r="C24" s="976"/>
      <c r="D24" s="537"/>
      <c r="E24" s="537"/>
      <c r="F24" s="537"/>
      <c r="G24" s="510">
        <f ca="1">G25+G26</f>
        <v>-14620.773894815633</v>
      </c>
      <c r="H24" s="510">
        <f ca="1">H25+H26</f>
        <v>337.69539242776295</v>
      </c>
      <c r="I24" s="510">
        <f ca="1">I25+I26</f>
        <v>330.39500489049681</v>
      </c>
      <c r="J24" s="510">
        <f ca="1">J25+J26</f>
        <v>336.12334527386264</v>
      </c>
      <c r="K24" s="510">
        <f t="shared" ref="K24:BV24" ca="1" si="8">K25+K26</f>
        <v>340.54030952662924</v>
      </c>
      <c r="L24" s="510">
        <f t="shared" ca="1" si="8"/>
        <v>344.09345138506251</v>
      </c>
      <c r="M24" s="510">
        <f t="shared" ca="1" si="8"/>
        <v>345.50012950182622</v>
      </c>
      <c r="N24" s="510">
        <f t="shared" ca="1" si="8"/>
        <v>349.25622236812552</v>
      </c>
      <c r="O24" s="510">
        <f t="shared" ca="1" si="8"/>
        <v>347.81409238970855</v>
      </c>
      <c r="P24" s="510">
        <f t="shared" ca="1" si="8"/>
        <v>354.49596564466589</v>
      </c>
      <c r="Q24" s="510">
        <f t="shared" ca="1" si="8"/>
        <v>350.11224247122021</v>
      </c>
      <c r="R24" s="510">
        <f t="shared" ca="1" si="8"/>
        <v>358.83088122706903</v>
      </c>
      <c r="S24" s="510">
        <f t="shared" ca="1" si="8"/>
        <v>353.42924069042391</v>
      </c>
      <c r="T24" s="510">
        <f t="shared" ca="1" si="8"/>
        <v>365.20972055957083</v>
      </c>
      <c r="U24" s="510">
        <f t="shared" ca="1" si="8"/>
        <v>354.49685383667685</v>
      </c>
      <c r="V24" s="510">
        <f t="shared" ca="1" si="8"/>
        <v>370.68564309001664</v>
      </c>
      <c r="W24" s="510">
        <f t="shared" ca="1" si="8"/>
        <v>356.50987783337104</v>
      </c>
      <c r="X24" s="510">
        <f t="shared" ca="1" si="8"/>
        <v>376.24234675006556</v>
      </c>
      <c r="Y24" s="510">
        <f t="shared" ca="1" si="8"/>
        <v>358.3788557966999</v>
      </c>
      <c r="Z24" s="510">
        <f t="shared" ca="1" si="8"/>
        <v>380.83813447114278</v>
      </c>
      <c r="AA24" s="510">
        <f t="shared" ca="1" si="8"/>
        <v>361.08250450303615</v>
      </c>
      <c r="AB24" s="510">
        <f t="shared" ca="1" si="8"/>
        <v>362.13050920316886</v>
      </c>
      <c r="AC24" s="510">
        <f t="shared" ca="1" si="8"/>
        <v>341.69449350399066</v>
      </c>
      <c r="AD24" s="510">
        <f t="shared" ca="1" si="8"/>
        <v>367.93763959282819</v>
      </c>
      <c r="AE24" s="510">
        <f t="shared" ca="1" si="8"/>
        <v>348.38819050725749</v>
      </c>
      <c r="AF24" s="510">
        <f t="shared" ca="1" si="8"/>
        <v>1302.9861856781883</v>
      </c>
      <c r="AG24" s="510">
        <f t="shared" ca="1" si="8"/>
        <v>1137.3225153667865</v>
      </c>
      <c r="AH24" s="510">
        <f t="shared" ca="1" si="8"/>
        <v>1325.1580875243369</v>
      </c>
      <c r="AI24" s="510">
        <f t="shared" ca="1" si="8"/>
        <v>1170.3029206692959</v>
      </c>
      <c r="AJ24" s="510">
        <f t="shared" ca="1" si="8"/>
        <v>2992.3365647068595</v>
      </c>
      <c r="AK24" s="510">
        <f t="shared" ca="1" si="8"/>
        <v>2546.9330518693573</v>
      </c>
      <c r="AL24" s="510">
        <f t="shared" ca="1" si="8"/>
        <v>2865.5319472350611</v>
      </c>
      <c r="AM24" s="510">
        <f t="shared" ca="1" si="8"/>
        <v>2609.8440110761521</v>
      </c>
      <c r="AN24" s="510">
        <f t="shared" ca="1" si="8"/>
        <v>2921.583703095293</v>
      </c>
      <c r="AO24" s="510">
        <f t="shared" ca="1" si="8"/>
        <v>2653.9435673833068</v>
      </c>
      <c r="AP24" s="510">
        <f t="shared" ca="1" si="8"/>
        <v>2968.9643464070805</v>
      </c>
      <c r="AQ24" s="510">
        <f t="shared" ca="1" si="8"/>
        <v>2705.3261553137231</v>
      </c>
      <c r="AR24" s="510">
        <f t="shared" ca="1" si="8"/>
        <v>3031.211114812525</v>
      </c>
      <c r="AS24" s="510">
        <f t="shared" ca="1" si="8"/>
        <v>2740.3073827626567</v>
      </c>
      <c r="AT24" s="510">
        <f t="shared" ca="1" si="8"/>
        <v>3082.36152748105</v>
      </c>
      <c r="AU24" s="510">
        <f t="shared" ca="1" si="8"/>
        <v>2179.6908746708409</v>
      </c>
      <c r="AV24" s="510">
        <f t="shared" ca="1" si="8"/>
        <v>0</v>
      </c>
      <c r="AW24" s="510">
        <f t="shared" ca="1" si="8"/>
        <v>0</v>
      </c>
      <c r="AX24" s="510">
        <f t="shared" ca="1" si="8"/>
        <v>0</v>
      </c>
      <c r="AY24" s="510">
        <f t="shared" ca="1" si="8"/>
        <v>0</v>
      </c>
      <c r="AZ24" s="510">
        <f t="shared" ca="1" si="8"/>
        <v>0</v>
      </c>
      <c r="BA24" s="510">
        <f t="shared" ca="1" si="8"/>
        <v>0</v>
      </c>
      <c r="BB24" s="510">
        <f t="shared" ca="1" si="8"/>
        <v>0</v>
      </c>
      <c r="BC24" s="510">
        <f t="shared" ca="1" si="8"/>
        <v>0</v>
      </c>
      <c r="BD24" s="510">
        <f t="shared" ca="1" si="8"/>
        <v>0</v>
      </c>
      <c r="BE24" s="510">
        <f t="shared" ca="1" si="8"/>
        <v>0</v>
      </c>
      <c r="BF24" s="510">
        <f t="shared" ca="1" si="8"/>
        <v>0</v>
      </c>
      <c r="BG24" s="510">
        <f t="shared" ca="1" si="8"/>
        <v>0</v>
      </c>
      <c r="BH24" s="510">
        <f t="shared" ca="1" si="8"/>
        <v>0</v>
      </c>
      <c r="BI24" s="510">
        <f t="shared" ca="1" si="8"/>
        <v>0</v>
      </c>
      <c r="BJ24" s="510">
        <f t="shared" ca="1" si="8"/>
        <v>0</v>
      </c>
      <c r="BK24" s="510">
        <f t="shared" ca="1" si="8"/>
        <v>0</v>
      </c>
      <c r="BL24" s="510">
        <f t="shared" ca="1" si="8"/>
        <v>0</v>
      </c>
      <c r="BM24" s="510">
        <f t="shared" ca="1" si="8"/>
        <v>0</v>
      </c>
      <c r="BN24" s="510">
        <f t="shared" ca="1" si="8"/>
        <v>0</v>
      </c>
      <c r="BO24" s="510">
        <f t="shared" ca="1" si="8"/>
        <v>0</v>
      </c>
      <c r="BP24" s="510">
        <f t="shared" ca="1" si="8"/>
        <v>0</v>
      </c>
      <c r="BQ24" s="510">
        <f t="shared" ca="1" si="8"/>
        <v>0</v>
      </c>
      <c r="BR24" s="510">
        <f t="shared" ca="1" si="8"/>
        <v>0</v>
      </c>
      <c r="BS24" s="510">
        <f t="shared" ca="1" si="8"/>
        <v>0</v>
      </c>
      <c r="BT24" s="510">
        <f t="shared" ca="1" si="8"/>
        <v>0</v>
      </c>
      <c r="BU24" s="510">
        <f t="shared" ca="1" si="8"/>
        <v>0</v>
      </c>
      <c r="BV24" s="510">
        <f t="shared" ca="1" si="8"/>
        <v>0</v>
      </c>
      <c r="BW24" s="510">
        <f t="shared" ref="BW24:DW24" ca="1" si="9">BW25+BW26</f>
        <v>0</v>
      </c>
      <c r="BX24" s="510">
        <f t="shared" ca="1" si="9"/>
        <v>0</v>
      </c>
      <c r="BY24" s="510">
        <f t="shared" ca="1" si="9"/>
        <v>0</v>
      </c>
      <c r="BZ24" s="510">
        <f t="shared" ca="1" si="9"/>
        <v>0</v>
      </c>
      <c r="CA24" s="510">
        <f t="shared" ca="1" si="9"/>
        <v>0</v>
      </c>
      <c r="CB24" s="510">
        <f t="shared" ca="1" si="9"/>
        <v>0</v>
      </c>
      <c r="CC24" s="510">
        <f t="shared" ca="1" si="9"/>
        <v>0</v>
      </c>
      <c r="CD24" s="510">
        <f t="shared" ca="1" si="9"/>
        <v>0</v>
      </c>
      <c r="CE24" s="510">
        <f t="shared" ca="1" si="9"/>
        <v>0</v>
      </c>
      <c r="CF24" s="510">
        <f t="shared" ca="1" si="9"/>
        <v>0</v>
      </c>
      <c r="CG24" s="510">
        <f t="shared" ca="1" si="9"/>
        <v>0</v>
      </c>
      <c r="CH24" s="510">
        <f t="shared" ca="1" si="9"/>
        <v>0</v>
      </c>
      <c r="CI24" s="510">
        <f t="shared" ca="1" si="9"/>
        <v>0</v>
      </c>
      <c r="CJ24" s="510">
        <f t="shared" ca="1" si="9"/>
        <v>0</v>
      </c>
      <c r="CK24" s="510">
        <f t="shared" ca="1" si="9"/>
        <v>0</v>
      </c>
      <c r="CL24" s="510">
        <f t="shared" ca="1" si="9"/>
        <v>0</v>
      </c>
      <c r="CM24" s="510">
        <f t="shared" ca="1" si="9"/>
        <v>0</v>
      </c>
      <c r="CN24" s="510">
        <f t="shared" ca="1" si="9"/>
        <v>0</v>
      </c>
      <c r="CO24" s="510">
        <f t="shared" ca="1" si="9"/>
        <v>0</v>
      </c>
      <c r="CP24" s="510">
        <f t="shared" ca="1" si="9"/>
        <v>0</v>
      </c>
      <c r="CQ24" s="510">
        <f t="shared" ca="1" si="9"/>
        <v>0</v>
      </c>
      <c r="CR24" s="510">
        <f t="shared" ca="1" si="9"/>
        <v>0</v>
      </c>
      <c r="CS24" s="510">
        <f t="shared" ca="1" si="9"/>
        <v>0</v>
      </c>
      <c r="CT24" s="510">
        <f t="shared" ca="1" si="9"/>
        <v>0</v>
      </c>
      <c r="CU24" s="510">
        <f t="shared" ca="1" si="9"/>
        <v>0</v>
      </c>
      <c r="CV24" s="510">
        <f t="shared" ca="1" si="9"/>
        <v>0</v>
      </c>
      <c r="CW24" s="510">
        <f t="shared" ca="1" si="9"/>
        <v>0</v>
      </c>
      <c r="CX24" s="510">
        <f t="shared" ca="1" si="9"/>
        <v>0</v>
      </c>
      <c r="CY24" s="510">
        <f t="shared" ca="1" si="9"/>
        <v>0</v>
      </c>
      <c r="CZ24" s="510">
        <f t="shared" ca="1" si="9"/>
        <v>0</v>
      </c>
      <c r="DA24" s="510">
        <f t="shared" ca="1" si="9"/>
        <v>0</v>
      </c>
      <c r="DB24" s="510">
        <f t="shared" ca="1" si="9"/>
        <v>0</v>
      </c>
      <c r="DC24" s="510">
        <f t="shared" ca="1" si="9"/>
        <v>0</v>
      </c>
      <c r="DD24" s="510">
        <f t="shared" ca="1" si="9"/>
        <v>0</v>
      </c>
      <c r="DE24" s="510">
        <f t="shared" ca="1" si="9"/>
        <v>0</v>
      </c>
      <c r="DF24" s="510">
        <f t="shared" ca="1" si="9"/>
        <v>0</v>
      </c>
      <c r="DG24" s="510">
        <f t="shared" ca="1" si="9"/>
        <v>0</v>
      </c>
      <c r="DH24" s="510">
        <f t="shared" ca="1" si="9"/>
        <v>0</v>
      </c>
      <c r="DI24" s="510">
        <f t="shared" ca="1" si="9"/>
        <v>0</v>
      </c>
      <c r="DJ24" s="510">
        <f t="shared" ca="1" si="9"/>
        <v>0</v>
      </c>
      <c r="DK24" s="510">
        <f t="shared" ca="1" si="9"/>
        <v>0</v>
      </c>
      <c r="DL24" s="510">
        <f t="shared" ca="1" si="9"/>
        <v>0</v>
      </c>
      <c r="DM24" s="510">
        <f t="shared" ca="1" si="9"/>
        <v>0</v>
      </c>
      <c r="DN24" s="510">
        <f t="shared" ca="1" si="9"/>
        <v>0</v>
      </c>
      <c r="DO24" s="510">
        <f t="shared" ca="1" si="9"/>
        <v>0</v>
      </c>
      <c r="DP24" s="510">
        <f t="shared" ca="1" si="9"/>
        <v>0</v>
      </c>
      <c r="DQ24" s="510">
        <f t="shared" ca="1" si="9"/>
        <v>0</v>
      </c>
      <c r="DR24" s="510">
        <f t="shared" ca="1" si="9"/>
        <v>0</v>
      </c>
      <c r="DS24" s="510">
        <f t="shared" ca="1" si="9"/>
        <v>0</v>
      </c>
      <c r="DT24" s="510">
        <f t="shared" ca="1" si="9"/>
        <v>0</v>
      </c>
      <c r="DU24" s="510">
        <f t="shared" ca="1" si="9"/>
        <v>0</v>
      </c>
      <c r="DV24" s="510">
        <f t="shared" ca="1" si="9"/>
        <v>0</v>
      </c>
      <c r="DW24" s="510">
        <f t="shared" ca="1" si="9"/>
        <v>0</v>
      </c>
    </row>
    <row r="25" spans="1:131" s="398" customFormat="1">
      <c r="A25" s="1019" t="str">
        <f>A18</f>
        <v>Principal</v>
      </c>
      <c r="B25" s="673"/>
      <c r="C25" s="673"/>
      <c r="D25" s="872"/>
      <c r="E25" s="872"/>
      <c r="F25" s="611"/>
      <c r="G25" s="510">
        <f ca="1">(G23=$B$9)*G18+((G$23-G$12)/(H$12-G$12)*H18+(G$12-F$23)/(G$12-F$12)*G18)*(G23&gt;$B$10)+(G23=$B$10)*(SUM($F$18:F18)-SUM($F$25:F25)+G18+(G$23-G$12)/(H$12-G$12)*H18)</f>
        <v>-14620.773894815633</v>
      </c>
      <c r="H25" s="510">
        <f ca="1">(H23=$B$9)*H18+((H$23-H$12)/(I$12-H$12)*I18+(H$12-G$23)/(H$12-G$12)*H18)*(H23&gt;$B$10)+(H23=$B$10)*(SUM($F$18:G18)-SUM($F$25:G25)+H18+(H$23-H$12)/(I$12-H$12)*I18)</f>
        <v>0</v>
      </c>
      <c r="I25" s="510">
        <f ca="1">(I23=$B$9)*I18+((I$23-I$12)/(J$12-I$12)*J18+(I$12-H$23)/(I$12-H$12)*I18)*(I23&gt;$B$10)+(I23=$B$10)*(SUM($F$18:H18)-SUM($F$25:H25)+I18+(I$23-I$12)/(J$12-I$12)*J18)</f>
        <v>0</v>
      </c>
      <c r="J25" s="510">
        <f ca="1">(J23=$B$9)*J18+((J$23-J$12)/(K$12-J$12)*K18+(J$12-I$23)/(J$12-I$12)*J18)*(J23&gt;$B$10)+(J23=$B$10)*(SUM($F$18:I18)-SUM($F$25:I25)+J18+(J$23-J$12)/(K$12-J$12)*K18)</f>
        <v>0</v>
      </c>
      <c r="K25" s="510">
        <f ca="1">(K23=$B$9)*K18+((K$23-K$12)/(L$12-K$12)*L18+(K$12-J$23)/(K$12-J$12)*K18)*(K23&gt;$B$10)+(K23=$B$10)*(SUM($F$18:J18)-SUM($F$25:J25)+K18+(K$23-K$12)/(L$12-K$12)*L18)</f>
        <v>0</v>
      </c>
      <c r="L25" s="510">
        <f ca="1">(L23=$B$9)*L18+((L$23-L$12)/(M$12-L$12)*M18+(L$12-K$23)/(L$12-K$12)*L18)*(L23&gt;$B$10)+(L23=$B$10)*(SUM($F$18:K18)-SUM($F$25:K25)+L18+(L$23-L$12)/(M$12-L$12)*M18)</f>
        <v>0</v>
      </c>
      <c r="M25" s="510">
        <f ca="1">(M23=$B$9)*M18+((M$23-M$12)/(N$12-M$12)*N18+(M$12-L$23)/(M$12-L$12)*M18)*(M23&gt;$B$10)+(M23=$B$10)*(SUM($F$18:L18)-SUM($F$25:L25)+M18+(M$23-M$12)/(N$12-M$12)*N18)</f>
        <v>0</v>
      </c>
      <c r="N25" s="510">
        <f ca="1">(N23=$B$9)*N18+((N$23-N$12)/(O$12-N$12)*O18+(N$12-M$23)/(N$12-M$12)*N18)*(N23&gt;$B$10)+(N23=$B$10)*(SUM($F$18:M18)-SUM($F$25:M25)+N18+(N$23-N$12)/(O$12-N$12)*O18)</f>
        <v>0</v>
      </c>
      <c r="O25" s="510">
        <f ca="1">(O23=$B$9)*O18+((O$23-O$12)/(P$12-O$12)*P18+(O$12-N$23)/(O$12-N$12)*O18)*(O23&gt;$B$10)+(O23=$B$10)*(SUM($F$18:N18)-SUM($F$25:N25)+O18+(O$23-O$12)/(P$12-O$12)*P18)</f>
        <v>0</v>
      </c>
      <c r="P25" s="510">
        <f ca="1">(P23=$B$9)*P18+((P$23-P$12)/(Q$12-P$12)*Q18+(P$12-O$23)/(P$12-O$12)*P18)*(P23&gt;$B$10)+(P23=$B$10)*(SUM($F$18:O18)-SUM($F$25:O25)+P18+(P$23-P$12)/(Q$12-P$12)*Q18)</f>
        <v>0</v>
      </c>
      <c r="Q25" s="510">
        <f ca="1">(Q23=$B$9)*Q18+((Q$23-Q$12)/(R$12-Q$12)*R18+(Q$12-P$23)/(Q$12-P$12)*Q18)*(Q23&gt;$B$10)+(Q23=$B$10)*(SUM($F$18:P18)-SUM($F$25:P25)+Q18+(Q$23-Q$12)/(R$12-Q$12)*R18)</f>
        <v>0</v>
      </c>
      <c r="R25" s="510">
        <f ca="1">(R23=$B$9)*R18+((R$23-R$12)/(S$12-R$12)*S18+(R$12-Q$23)/(R$12-Q$12)*R18)*(R23&gt;$B$10)+(R23=$B$10)*(SUM($F$18:Q18)-SUM($F$25:Q25)+R18+(R$23-R$12)/(S$12-R$12)*S18)</f>
        <v>0</v>
      </c>
      <c r="S25" s="510">
        <f ca="1">(S23=$B$9)*S18+((S$23-S$12)/(T$12-S$12)*T18+(S$12-R$23)/(S$12-R$12)*S18)*(S23&gt;$B$10)+(S23=$B$10)*(SUM($F$18:R18)-SUM($F$25:R25)+S18+(S$23-S$12)/(T$12-S$12)*T18)</f>
        <v>0</v>
      </c>
      <c r="T25" s="510">
        <f ca="1">(T23=$B$9)*T18+((T$23-T$12)/(U$12-T$12)*U18+(T$12-S$23)/(T$12-S$12)*T18)*(T23&gt;$B$10)+(T23=$B$10)*(SUM($F$18:S18)-SUM($F$25:S25)+T18+(T$23-T$12)/(U$12-T$12)*U18)</f>
        <v>0</v>
      </c>
      <c r="U25" s="510">
        <f ca="1">(U23=$B$9)*U18+((U$23-U$12)/(V$12-U$12)*V18+(U$12-T$23)/(U$12-T$12)*U18)*(U23&gt;$B$10)+(U23=$B$10)*(SUM($F$18:T18)-SUM($F$25:T25)+U18+(U$23-U$12)/(V$12-U$12)*V18)</f>
        <v>0</v>
      </c>
      <c r="V25" s="510">
        <f ca="1">(V23=$B$9)*V18+((V$23-V$12)/(W$12-V$12)*W18+(V$12-U$23)/(V$12-U$12)*V18)*(V23&gt;$B$10)+(V23=$B$10)*(SUM($F$18:U18)-SUM($F$25:U25)+V18+(V$23-V$12)/(W$12-V$12)*W18)</f>
        <v>0</v>
      </c>
      <c r="W25" s="510">
        <f ca="1">(W23=$B$9)*W18+((W$23-W$12)/(X$12-W$12)*X18+(W$12-V$23)/(W$12-V$12)*W18)*(W23&gt;$B$10)+(W23=$B$10)*(SUM($F$18:V18)-SUM($F$25:V25)+W18+(W$23-W$12)/(X$12-W$12)*X18)</f>
        <v>0</v>
      </c>
      <c r="X25" s="510">
        <f ca="1">(X23=$B$9)*X18+((X$23-X$12)/(Y$12-X$12)*Y18+(X$12-W$23)/(X$12-W$12)*X18)*(X23&gt;$B$10)+(X23=$B$10)*(SUM($F$18:W18)-SUM($F$25:W25)+X18+(X$23-X$12)/(Y$12-X$12)*Y18)</f>
        <v>0</v>
      </c>
      <c r="Y25" s="510">
        <f ca="1">(Y23=$B$9)*Y18+((Y$23-Y$12)/(Z$12-Y$12)*Z18+(Y$12-X$23)/(Y$12-X$12)*Y18)*(Y23&gt;$B$10)+(Y23=$B$10)*(SUM($F$18:X18)-SUM($F$25:X25)+Y18+(Y$23-Y$12)/(Z$12-Y$12)*Z18)</f>
        <v>0</v>
      </c>
      <c r="Z25" s="510">
        <f ca="1">(Z23=$B$9)*Z18+((Z$23-Z$12)/(AA$12-Z$12)*AA18+(Z$12-Y$23)/(Z$12-Y$12)*Z18)*(Z23&gt;$B$10)+(Z23=$B$10)*(SUM($F$18:Y18)-SUM($F$25:Y25)+Z18+(Z$23-Z$12)/(AA$12-Z$12)*AA18)</f>
        <v>0</v>
      </c>
      <c r="AA25" s="510">
        <f ca="1">(AA23=$B$9)*AA18+((AA$23-AA$12)/(AB$12-AA$12)*AB18+(AA$12-Z$23)/(AA$12-Z$12)*AA18)*(AA23&gt;$B$10)+(AA23=$B$10)*(SUM($F$18:Z18)-SUM($F$25:Z25)+AA18+(AA$23-AA$12)/(AB$12-AA$12)*AB18)</f>
        <v>0</v>
      </c>
      <c r="AB25" s="510">
        <f ca="1">(AB23=$B$9)*AB18+((AB$23-AB$12)/(AC$12-AB$12)*AC18+(AB$12-AA$23)/(AB$12-AA$12)*AB18)*(AB23&gt;$B$10)+(AB23=$B$10)*(SUM($F$18:AA18)-SUM($F$25:AA25)+AB18+(AB$23-AB$12)/(AC$12-AB$12)*AC18)</f>
        <v>0</v>
      </c>
      <c r="AC25" s="510">
        <f ca="1">(AC23=$B$9)*AC18+((AC$23-AC$12)/(AD$12-AC$12)*AD18+(AC$12-AB$23)/(AC$12-AB$12)*AC18)*(AC23&gt;$B$10)+(AC23=$B$10)*(SUM($F$18:AB18)-SUM($F$25:AB25)+AC18+(AC$23-AC$12)/(AD$12-AC$12)*AD18)</f>
        <v>0</v>
      </c>
      <c r="AD25" s="510">
        <f ca="1">(AD23=$B$9)*AD18+((AD$23-AD$12)/(AE$12-AD$12)*AE18+(AD$12-AC$23)/(AD$12-AC$12)*AD18)*(AD23&gt;$B$10)+(AD23=$B$10)*(SUM($F$18:AC18)-SUM($F$25:AC25)+AD18+(AD$23-AD$12)/(AE$12-AD$12)*AE18)</f>
        <v>0</v>
      </c>
      <c r="AE25" s="510">
        <f ca="1">(AE23=$B$9)*AE18+((AE$23-AE$12)/(AF$12-AE$12)*AF18+(AE$12-AD$23)/(AE$12-AD$12)*AE18)*(AE23&gt;$B$10)+(AE23=$B$10)*(SUM($F$18:AD18)-SUM($F$25:AD25)+AE18+(AE$23-AE$12)/(AF$12-AE$12)*AF18)</f>
        <v>1.2180248256112014</v>
      </c>
      <c r="AF25" s="510">
        <f ca="1">(AF23=$B$9)*AF18+((AF$23-AF$12)/(AG$12-AF$12)*AG18+(AF$12-AE$23)/(AF$12-AE$12)*AF18)*(AF23&gt;$B$10)+(AF23=$B$10)*(SUM($F$18:AE18)-SUM($F$25:AE25)+AF18+(AF$23-AF$12)/(AG$12-AF$12)*AG18)</f>
        <v>223.35827710865127</v>
      </c>
      <c r="AG25" s="510">
        <f ca="1">(AG23=$B$9)*AG18+((AG$23-AG$12)/(AH$12-AG$12)*AH18+(AG$12-AF$23)/(AG$12-AF$12)*AG18)*(AG23&gt;$B$10)+(AG23=$B$10)*(SUM($F$18:AF18)-SUM($F$25:AF25)+AG18+(AG$23-AG$12)/(AH$12-AG$12)*AH18)</f>
        <v>84.15813396743637</v>
      </c>
      <c r="AH25" s="510">
        <f ca="1">(AH23=$B$9)*AH18+((AH$23-AH$12)/(AI$12-AH$12)*AI18+(AH$12-AG$23)/(AH$12-AG$12)*AH18)*(AH23&gt;$B$10)+(AH23=$B$10)*(SUM($F$18:AG18)-SUM($F$25:AG25)+AH18+(AH$23-AH$12)/(AI$12-AH$12)*AI18)</f>
        <v>257.93193668367644</v>
      </c>
      <c r="AI25" s="510">
        <f ca="1">(AI23=$B$9)*AI18+((AI$23-AI$12)/(AJ$12-AI$12)*AJ18+(AI$12-AH$23)/(AI$12-AH$12)*AI18)*(AI23&gt;$B$10)+(AI23=$B$10)*(SUM($F$18:AH18)-SUM($F$25:AH25)+AI18+(AI$23-AI$12)/(AJ$12-AI$12)*AJ18)</f>
        <v>124.9660650306416</v>
      </c>
      <c r="AJ25" s="510">
        <f ca="1">(AJ23=$B$9)*AJ18+((AJ$23-AJ$12)/(AK$12-AJ$12)*AK18+(AJ$12-AI$23)/(AJ$12-AI$12)*AJ18)*(AJ23&gt;$B$10)+(AJ23=$B$10)*(SUM($F$18:AI18)-SUM($F$25:AI25)+AJ18+(AJ$23-AJ$12)/(AK$12-AJ$12)*AK18)</f>
        <v>1940.5522182093084</v>
      </c>
      <c r="AK25" s="510">
        <f ca="1">(AK23=$B$9)*AK18+((AK$23-AK$12)/(AL$12-AK$12)*AL18+(AK$12-AJ$23)/(AK$12-AJ$12)*AK18)*(AK23&gt;$B$10)+(AK23=$B$10)*(SUM($F$18:AJ18)-SUM($F$25:AJ25)+AK18+(AK$23-AK$12)/(AL$12-AK$12)*AL18)</f>
        <v>1589.2814621531377</v>
      </c>
      <c r="AL25" s="510">
        <f ca="1">(AL23=$B$9)*AL18+((AL$23-AL$12)/(AM$12-AL$12)*AM18+(AL$12-AK$23)/(AL$12-AK$12)*AL18)*(AL23&gt;$B$10)+(AL23=$B$10)*(SUM($F$18:AK18)-SUM($F$25:AK25)+AL18+(AL$23-AL$12)/(AM$12-AL$12)*AM18)</f>
        <v>1956.1014412167845</v>
      </c>
      <c r="AM25" s="510">
        <f ca="1">(AM23=$B$9)*AM18+((AM$23-AM$12)/(AN$12-AM$12)*AN18+(AM$12-AL$23)/(AM$12-AL$12)*AM18)*(AM23&gt;$B$10)+(AM23=$B$10)*(SUM($F$18:AL18)-SUM($F$25:AL25)+AM18+(AM$23-AM$12)/(AN$12-AM$12)*AN18)</f>
        <v>1792.8421321566354</v>
      </c>
      <c r="AN25" s="510">
        <f ca="1">(AN23=$B$9)*AN18+((AN$23-AN$12)/(AO$12-AN$12)*AO18+(AN$12-AM$23)/(AN$12-AM$12)*AN18)*(AN23&gt;$B$10)+(AN23=$B$10)*(SUM($F$18:AM18)-SUM($F$25:AM25)+AN18+(AN$23-AN$12)/(AO$12-AN$12)*AO18)</f>
        <v>2163.3434694059388</v>
      </c>
      <c r="AO25" s="510">
        <f ca="1">(AO23=$B$9)*AO18+((AO$23-AO$12)/(AP$12-AO$12)*AP18+(AO$12-AN$23)/(AO$12-AN$12)*AO18)*(AO23&gt;$B$10)+(AO23=$B$10)*(SUM($F$18:AN18)-SUM($F$25:AN25)+AO18+(AO$23-AO$12)/(AP$12-AO$12)*AP18)</f>
        <v>1993.8884487668754</v>
      </c>
      <c r="AP25" s="510">
        <f ca="1">(AP23=$B$9)*AP18+((AP$23-AP$12)/(AQ$12-AP$12)*AQ18+(AP$12-AO$23)/(AP$12-AO$12)*AP18)*(AP23&gt;$B$10)+(AP23=$B$10)*(SUM($F$18:AO18)-SUM($F$25:AO25)+AP18+(AP$23-AP$12)/(AQ$12-AP$12)*AQ18)</f>
        <v>2378.3801506232162</v>
      </c>
      <c r="AQ25" s="510">
        <f ca="1">(AQ23=$B$9)*AQ18+((AQ$23-AQ$12)/(AR$12-AQ$12)*AR18+(AQ$12-AP$23)/(AQ$12-AP$12)*AQ18)*(AQ23&gt;$B$10)+(AQ23=$B$10)*(SUM($F$18:AP18)-SUM($F$25:AP25)+AQ18+(AQ$23-AQ$12)/(AR$12-AQ$12)*AR18)</f>
        <v>2216.0359145871525</v>
      </c>
      <c r="AR25" s="510">
        <f ca="1">(AR23=$B$9)*AR18+((AR$23-AR$12)/(AS$12-AR$12)*AS18+(AR$12-AQ$23)/(AR$12-AQ$12)*AR18)*(AR23&gt;$B$10)+(AR23=$B$10)*(SUM($F$18:AQ18)-SUM($F$25:AQ25)+AR18+(AR$23-AR$12)/(AS$12-AR$12)*AS18)</f>
        <v>2625.9140545900214</v>
      </c>
      <c r="AS25" s="510">
        <f ca="1">(AS23=$B$9)*AS18+((AS$23-AS$12)/(AT$12-AS$12)*AT18+(AS$12-AR$23)/(AS$12-AR$12)*AS18)*(AS23&gt;$B$10)+(AS23=$B$10)*(SUM($F$18:AR18)-SUM($F$25:AR25)+AS18+(AS$23-AS$12)/(AT$12-AS$12)*AT18)</f>
        <v>2445.7916747567842</v>
      </c>
      <c r="AT25" s="510">
        <f ca="1">(AT23=$B$9)*AT18+((AT$23-AT$12)/(AU$12-AT$12)*AU18+(AT$12-AS$23)/(AT$12-AS$12)*AT18)*(AT23&gt;$B$10)+(AT23=$B$10)*(SUM($F$18:AS18)-SUM($F$25:AS25)+AT18+(AT$23-AT$12)/(AU$12-AT$12)*AU18)</f>
        <v>2881.6001065352175</v>
      </c>
      <c r="AU25" s="510">
        <f ca="1">(AU23=$B$9)*AU18+((AU$23-AU$12)/(AV$12-AU$12)*AV18+(AU$12-AT$23)/(AU$12-AT$12)*AU18)*(AU23&gt;$B$10)+(AU23=$B$10)*(SUM($F$18:AT18)-SUM($F$25:AT25)+AU18+(AU$23-AU$12)/(AV$12-AU$12)*AV18)</f>
        <v>2096.5193666460864</v>
      </c>
      <c r="AV25" s="510">
        <f ca="1">(AV23=$B$9)*AV18+((AV$23-AV$12)/(AW$12-AV$12)*AW18+(AV$12-AU$23)/(AV$12-AU$12)*AV18)*(AV23&gt;$B$10)+(AV23=$B$10)*(SUM($F$18:AU18)-SUM($F$25:AU25)+AV18+(AV$23-AV$12)/(AW$12-AV$12)*AW18)</f>
        <v>0</v>
      </c>
      <c r="AW25" s="510">
        <f ca="1">(AW23=$B$9)*AW18+((AW$23-AW$12)/(AX$12-AW$12)*AX18+(AW$12-AV$23)/(AW$12-AV$12)*AW18)*(AW23&gt;$B$10)+(AW23=$B$10)*(SUM($F$18:AV18)-SUM($F$25:AV25)+AW18+(AW$23-AW$12)/(AX$12-AW$12)*AX18)</f>
        <v>0</v>
      </c>
      <c r="AX25" s="510">
        <f ca="1">(AX23=$B$9)*AX18+((AX$23-AX$12)/(AY$12-AX$12)*AY18+(AX$12-AW$23)/(AX$12-AW$12)*AX18)*(AX23&gt;$B$10)+(AX23=$B$10)*(SUM($F$18:AW18)-SUM($F$25:AW25)+AX18+(AX$23-AX$12)/(AY$12-AX$12)*AY18)</f>
        <v>0</v>
      </c>
      <c r="AY25" s="510">
        <f ca="1">(AY23=$B$9)*AY18+((AY$23-AY$12)/(AZ$12-AY$12)*AZ18+(AY$12-AX$23)/(AY$12-AX$12)*AY18)*(AY23&gt;$B$10)+(AY23=$B$10)*(SUM($F$18:AX18)-SUM($F$25:AX25)+AY18+(AY$23-AY$12)/(AZ$12-AY$12)*AZ18)</f>
        <v>0</v>
      </c>
      <c r="AZ25" s="510">
        <f ca="1">(AZ23=$B$9)*AZ18+((AZ$23-AZ$12)/(BA$12-AZ$12)*BA18+(AZ$12-AY$23)/(AZ$12-AY$12)*AZ18)*(AZ23&gt;$B$10)+(AZ23=$B$10)*(SUM($F$18:AY18)-SUM($F$25:AY25)+AZ18+(AZ$23-AZ$12)/(BA$12-AZ$12)*BA18)</f>
        <v>0</v>
      </c>
      <c r="BA25" s="510">
        <f ca="1">(BA23=$B$9)*BA18+((BA$23-BA$12)/(BB$12-BA$12)*BB18+(BA$12-AZ$23)/(BA$12-AZ$12)*BA18)*(BA23&gt;$B$10)+(BA23=$B$10)*(SUM($F$18:AZ18)-SUM($F$25:AZ25)+BA18+(BA$23-BA$12)/(BB$12-BA$12)*BB18)</f>
        <v>0</v>
      </c>
      <c r="BB25" s="510">
        <f ca="1">(BB23=$B$9)*BB18+((BB$23-BB$12)/(BC$12-BB$12)*BC18+(BB$12-BA$23)/(BB$12-BA$12)*BB18)*(BB23&gt;$B$10)+(BB23=$B$10)*(SUM($F$18:BA18)-SUM($F$25:BA25)+BB18+(BB$23-BB$12)/(BC$12-BB$12)*BC18)</f>
        <v>0</v>
      </c>
      <c r="BC25" s="510">
        <f ca="1">(BC23=$B$9)*BC18+((BC$23-BC$12)/(BD$12-BC$12)*BD18+(BC$12-BB$23)/(BC$12-BB$12)*BC18)*(BC23&gt;$B$10)+(BC23=$B$10)*(SUM($F$18:BB18)-SUM($F$25:BB25)+BC18+(BC$23-BC$12)/(BD$12-BC$12)*BD18)</f>
        <v>0</v>
      </c>
      <c r="BD25" s="510">
        <f ca="1">(BD23=$B$9)*BD18+((BD$23-BD$12)/(BE$12-BD$12)*BE18+(BD$12-BC$23)/(BD$12-BC$12)*BD18)*(BD23&gt;$B$10)+(BD23=$B$10)*(SUM($F$18:BC18)-SUM($F$25:BC25)+BD18+(BD$23-BD$12)/(BE$12-BD$12)*BE18)</f>
        <v>0</v>
      </c>
      <c r="BE25" s="510">
        <f ca="1">(BE23=$B$9)*BE18+((BE$23-BE$12)/(BF$12-BE$12)*BF18+(BE$12-BD$23)/(BE$12-BD$12)*BE18)*(BE23&gt;$B$10)+(BE23=$B$10)*(SUM($F$18:BD18)-SUM($F$25:BD25)+BE18+(BE$23-BE$12)/(BF$12-BE$12)*BF18)</f>
        <v>0</v>
      </c>
      <c r="BF25" s="510">
        <f ca="1">(BF23=$B$9)*BF18+((BF$23-BF$12)/(BG$12-BF$12)*BG18+(BF$12-BE$23)/(BF$12-BE$12)*BF18)*(BF23&gt;$B$10)+(BF23=$B$10)*(SUM($F$18:BE18)-SUM($F$25:BE25)+BF18+(BF$23-BF$12)/(BG$12-BF$12)*BG18)</f>
        <v>0</v>
      </c>
      <c r="BG25" s="510">
        <f ca="1">(BG23=$B$9)*BG18+((BG$23-BG$12)/(BH$12-BG$12)*BH18+(BG$12-BF$23)/(BG$12-BF$12)*BG18)*(BG23&gt;$B$10)+(BG23=$B$10)*(SUM($F$18:BF18)-SUM($F$25:BF25)+BG18+(BG$23-BG$12)/(BH$12-BG$12)*BH18)</f>
        <v>0</v>
      </c>
      <c r="BH25" s="510">
        <f ca="1">(BH23=$B$9)*BH18+((BH$23-BH$12)/(BI$12-BH$12)*BI18+(BH$12-BG$23)/(BH$12-BG$12)*BH18)*(BH23&gt;$B$10)+(BH23=$B$10)*(SUM($F$18:BG18)-SUM($F$25:BG25)+BH18+(BH$23-BH$12)/(BI$12-BH$12)*BI18)</f>
        <v>0</v>
      </c>
      <c r="BI25" s="510">
        <f ca="1">(BI23=$B$9)*BI18+((BI$23-BI$12)/(BJ$12-BI$12)*BJ18+(BI$12-BH$23)/(BI$12-BH$12)*BI18)*(BI23&gt;$B$10)+(BI23=$B$10)*(SUM($F$18:BH18)-SUM($F$25:BH25)+BI18+(BI$23-BI$12)/(BJ$12-BI$12)*BJ18)</f>
        <v>0</v>
      </c>
      <c r="BJ25" s="510">
        <f ca="1">(BJ23=$B$9)*BJ18+((BJ$23-BJ$12)/(BK$12-BJ$12)*BK18+(BJ$12-BI$23)/(BJ$12-BI$12)*BJ18)*(BJ23&gt;$B$10)+(BJ23=$B$10)*(SUM($F$18:BI18)-SUM($F$25:BI25)+BJ18+(BJ$23-BJ$12)/(BK$12-BJ$12)*BK18)</f>
        <v>0</v>
      </c>
      <c r="BK25" s="510">
        <f ca="1">(BK23=$B$9)*BK18+((BK$23-BK$12)/(BL$12-BK$12)*BL18+(BK$12-BJ$23)/(BK$12-BJ$12)*BK18)*(BK23&gt;$B$10)+(BK23=$B$10)*(SUM($F$18:BJ18)-SUM($F$25:BJ25)+BK18+(BK$23-BK$12)/(BL$12-BK$12)*BL18)</f>
        <v>0</v>
      </c>
      <c r="BL25" s="510">
        <f ca="1">(BL23=$B$9)*BL18+((BL$23-BL$12)/(BM$12-BL$12)*BM18+(BL$12-BK$23)/(BL$12-BK$12)*BL18)*(BL23&gt;$B$10)+(BL23=$B$10)*(SUM($F$18:BK18)-SUM($F$25:BK25)+BL18+(BL$23-BL$12)/(BM$12-BL$12)*BM18)</f>
        <v>0</v>
      </c>
      <c r="BM25" s="510">
        <f ca="1">(BM23=$B$9)*BM18+((BM$23-BM$12)/(BN$12-BM$12)*BN18+(BM$12-BL$23)/(BM$12-BL$12)*BM18)*(BM23&gt;$B$10)+(BM23=$B$10)*(SUM($F$18:BL18)-SUM($F$25:BL25)+BM18+(BM$23-BM$12)/(BN$12-BM$12)*BN18)</f>
        <v>0</v>
      </c>
      <c r="BN25" s="510">
        <f ca="1">(BN23=$B$9)*BN18+((BN$23-BN$12)/(BO$12-BN$12)*BO18+(BN$12-BM$23)/(BN$12-BM$12)*BN18)*(BN23&gt;$B$10)+(BN23=$B$10)*(SUM($F$18:BM18)-SUM($F$25:BM25)+BN18+(BN$23-BN$12)/(BO$12-BN$12)*BO18)</f>
        <v>0</v>
      </c>
      <c r="BO25" s="510">
        <f ca="1">(BO23=$B$9)*BO18+((BO$23-BO$12)/(BP$12-BO$12)*BP18+(BO$12-BN$23)/(BO$12-BN$12)*BO18)*(BO23&gt;$B$10)+(BO23=$B$10)*(SUM($F$18:BN18)-SUM($F$25:BN25)+BO18+(BO$23-BO$12)/(BP$12-BO$12)*BP18)</f>
        <v>0</v>
      </c>
      <c r="BP25" s="510">
        <f ca="1">(BP23=$B$9)*BP18+((BP$23-BP$12)/(BQ$12-BP$12)*BQ18+(BP$12-BO$23)/(BP$12-BO$12)*BP18)*(BP23&gt;$B$10)+(BP23=$B$10)*(SUM($F$18:BO18)-SUM($F$25:BO25)+BP18+(BP$23-BP$12)/(BQ$12-BP$12)*BQ18)</f>
        <v>0</v>
      </c>
      <c r="BQ25" s="510">
        <f ca="1">(BQ23=$B$9)*BQ18+((BQ$23-BQ$12)/(BR$12-BQ$12)*BR18+(BQ$12-BP$23)/(BQ$12-BP$12)*BQ18)*(BQ23&gt;$B$10)+(BQ23=$B$10)*(SUM($F$18:BP18)-SUM($F$25:BP25)+BQ18+(BQ$23-BQ$12)/(BR$12-BQ$12)*BR18)</f>
        <v>0</v>
      </c>
      <c r="BR25" s="510">
        <f ca="1">(BR23=$B$9)*BR18+((BR$23-BR$12)/(BS$12-BR$12)*BS18+(BR$12-BQ$23)/(BR$12-BQ$12)*BR18)*(BR23&gt;$B$10)+(BR23=$B$10)*(SUM($F$18:BQ18)-SUM($F$25:BQ25)+BR18+(BR$23-BR$12)/(BS$12-BR$12)*BS18)</f>
        <v>0</v>
      </c>
      <c r="BS25" s="510">
        <f ca="1">(BS23=$B$9)*BS18+((BS$23-BS$12)/(BT$12-BS$12)*BT18+(BS$12-BR$23)/(BS$12-BR$12)*BS18)*(BS23&gt;$B$10)+(BS23=$B$10)*(SUM($F$18:BR18)-SUM($F$25:BR25)+BS18+(BS$23-BS$12)/(BT$12-BS$12)*BT18)</f>
        <v>0</v>
      </c>
      <c r="BT25" s="510">
        <f ca="1">(BT23=$B$9)*BT18+((BT$23-BT$12)/(BU$12-BT$12)*BU18+(BT$12-BS$23)/(BT$12-BS$12)*BT18)*(BT23&gt;$B$10)+(BT23=$B$10)*(SUM($F$18:BS18)-SUM($F$25:BS25)+BT18+(BT$23-BT$12)/(BU$12-BT$12)*BU18)</f>
        <v>0</v>
      </c>
      <c r="BU25" s="510">
        <f ca="1">(BU23=$B$9)*BU18+((BU$23-BU$12)/(BV$12-BU$12)*BV18+(BU$12-BT$23)/(BU$12-BT$12)*BU18)*(BU23&gt;$B$10)+(BU23=$B$10)*(SUM($F$18:BT18)-SUM($F$25:BT25)+BU18+(BU$23-BU$12)/(BV$12-BU$12)*BV18)</f>
        <v>0</v>
      </c>
      <c r="BV25" s="510">
        <f ca="1">(BV23=$B$9)*BV18+((BV$23-BV$12)/(BW$12-BV$12)*BW18+(BV$12-BU$23)/(BV$12-BU$12)*BV18)*(BV23&gt;$B$10)+(BV23=$B$10)*(SUM($F$18:BU18)-SUM($F$25:BU25)+BV18+(BV$23-BV$12)/(BW$12-BV$12)*BW18)</f>
        <v>0</v>
      </c>
      <c r="BW25" s="510">
        <f ca="1">(BW23=$B$9)*BW18+((BW$23-BW$12)/(BX$12-BW$12)*BX18+(BW$12-BV$23)/(BW$12-BV$12)*BW18)*(BW23&gt;$B$10)+(BW23=$B$10)*(SUM($F$18:BV18)-SUM($F$25:BV25)+BW18+(BW$23-BW$12)/(BX$12-BW$12)*BX18)</f>
        <v>0</v>
      </c>
      <c r="BX25" s="510">
        <f ca="1">(BX23=$B$9)*BX18+((BX$23-BX$12)/(BY$12-BX$12)*BY18+(BX$12-BW$23)/(BX$12-BW$12)*BX18)*(BX23&gt;$B$10)+(BX23=$B$10)*(SUM($F$18:BW18)-SUM($F$25:BW25)+BX18+(BX$23-BX$12)/(BY$12-BX$12)*BY18)</f>
        <v>0</v>
      </c>
      <c r="BY25" s="510">
        <f ca="1">(BY23=$B$9)*BY18+((BY$23-BY$12)/(BZ$12-BY$12)*BZ18+(BY$12-BX$23)/(BY$12-BX$12)*BY18)*(BY23&gt;$B$10)+(BY23=$B$10)*(SUM($F$18:BX18)-SUM($F$25:BX25)+BY18+(BY$23-BY$12)/(BZ$12-BY$12)*BZ18)</f>
        <v>0</v>
      </c>
      <c r="BZ25" s="510">
        <f ca="1">(BZ23=$B$9)*BZ18+((BZ$23-BZ$12)/(CA$12-BZ$12)*CA18+(BZ$12-BY$23)/(BZ$12-BY$12)*BZ18)*(BZ23&gt;$B$10)+(BZ23=$B$10)*(SUM($F$18:BY18)-SUM($F$25:BY25)+BZ18+(BZ$23-BZ$12)/(CA$12-BZ$12)*CA18)</f>
        <v>0</v>
      </c>
      <c r="CA25" s="510">
        <f ca="1">(CA23=$B$9)*CA18+((CA$23-CA$12)/(CB$12-CA$12)*CB18+(CA$12-BZ$23)/(CA$12-BZ$12)*CA18)*(CA23&gt;$B$10)+(CA23=$B$10)*(SUM($F$18:BZ18)-SUM($F$25:BZ25)+CA18+(CA$23-CA$12)/(CB$12-CA$12)*CB18)</f>
        <v>0</v>
      </c>
      <c r="CB25" s="510">
        <f ca="1">(CB23=$B$9)*CB18+((CB$23-CB$12)/(CC$12-CB$12)*CC18+(CB$12-CA$23)/(CB$12-CA$12)*CB18)*(CB23&gt;$B$10)+(CB23=$B$10)*(SUM($F$18:CA18)-SUM($F$25:CA25)+CB18+(CB$23-CB$12)/(CC$12-CB$12)*CC18)</f>
        <v>0</v>
      </c>
      <c r="CC25" s="510">
        <f ca="1">(CC23=$B$9)*CC18+((CC$23-CC$12)/(CD$12-CC$12)*CD18+(CC$12-CB$23)/(CC$12-CB$12)*CC18)*(CC23&gt;$B$10)+(CC23=$B$10)*(SUM($F$18:CB18)-SUM($F$25:CB25)+CC18+(CC$23-CC$12)/(CD$12-CC$12)*CD18)</f>
        <v>0</v>
      </c>
      <c r="CD25" s="510">
        <f ca="1">(CD23=$B$9)*CD18+((CD$23-CD$12)/(CE$12-CD$12)*CE18+(CD$12-CC$23)/(CD$12-CC$12)*CD18)*(CD23&gt;$B$10)+(CD23=$B$10)*(SUM($F$18:CC18)-SUM($F$25:CC25)+CD18+(CD$23-CD$12)/(CE$12-CD$12)*CE18)</f>
        <v>0</v>
      </c>
      <c r="CE25" s="510">
        <f ca="1">(CE23=$B$9)*CE18+((CE$23-CE$12)/(CF$12-CE$12)*CF18+(CE$12-CD$23)/(CE$12-CD$12)*CE18)*(CE23&gt;$B$10)+(CE23=$B$10)*(SUM($F$18:CD18)-SUM($F$25:CD25)+CE18+(CE$23-CE$12)/(CF$12-CE$12)*CF18)</f>
        <v>0</v>
      </c>
      <c r="CF25" s="510">
        <f ca="1">(CF23=$B$9)*CF18+((CF$23-CF$12)/(CG$12-CF$12)*CG18+(CF$12-CE$23)/(CF$12-CE$12)*CF18)*(CF23&gt;$B$10)+(CF23=$B$10)*(SUM($F$18:CE18)-SUM($F$25:CE25)+CF18+(CF$23-CF$12)/(CG$12-CF$12)*CG18)</f>
        <v>0</v>
      </c>
      <c r="CG25" s="510">
        <f ca="1">(CG23=$B$9)*CG18+((CG$23-CG$12)/(CH$12-CG$12)*CH18+(CG$12-CF$23)/(CG$12-CF$12)*CG18)*(CG23&gt;$B$10)+(CG23=$B$10)*(SUM($F$18:CF18)-SUM($F$25:CF25)+CG18+(CG$23-CG$12)/(CH$12-CG$12)*CH18)</f>
        <v>0</v>
      </c>
      <c r="CH25" s="510">
        <f ca="1">(CH23=$B$9)*CH18+((CH$23-CH$12)/(CI$12-CH$12)*CI18+(CH$12-CG$23)/(CH$12-CG$12)*CH18)*(CH23&gt;$B$10)+(CH23=$B$10)*(SUM($F$18:CG18)-SUM($F$25:CG25)+CH18+(CH$23-CH$12)/(CI$12-CH$12)*CI18)</f>
        <v>0</v>
      </c>
      <c r="CI25" s="510">
        <f ca="1">(CI23=$B$9)*CI18+((CI$23-CI$12)/(CJ$12-CI$12)*CJ18+(CI$12-CH$23)/(CI$12-CH$12)*CI18)*(CI23&gt;$B$10)+(CI23=$B$10)*(SUM($F$18:CH18)-SUM($F$25:CH25)+CI18+(CI$23-CI$12)/(CJ$12-CI$12)*CJ18)</f>
        <v>0</v>
      </c>
      <c r="CJ25" s="510">
        <f ca="1">(CJ23=$B$9)*CJ18+((CJ$23-CJ$12)/(CK$12-CJ$12)*CK18+(CJ$12-CI$23)/(CJ$12-CI$12)*CJ18)*(CJ23&gt;$B$10)+(CJ23=$B$10)*(SUM($F$18:CI18)-SUM($F$25:CI25)+CJ18+(CJ$23-CJ$12)/(CK$12-CJ$12)*CK18)</f>
        <v>0</v>
      </c>
      <c r="CK25" s="510">
        <f ca="1">(CK23=$B$9)*CK18+((CK$23-CK$12)/(CL$12-CK$12)*CL18+(CK$12-CJ$23)/(CK$12-CJ$12)*CK18)*(CK23&gt;$B$10)+(CK23=$B$10)*(SUM($F$18:CJ18)-SUM($F$25:CJ25)+CK18+(CK$23-CK$12)/(CL$12-CK$12)*CL18)</f>
        <v>0</v>
      </c>
      <c r="CL25" s="510">
        <f ca="1">(CL23=$B$9)*CL18+((CL$23-CL$12)/(CM$12-CL$12)*CM18+(CL$12-CK$23)/(CL$12-CK$12)*CL18)*(CL23&gt;$B$10)+(CL23=$B$10)*(SUM($F$18:CK18)-SUM($F$25:CK25)+CL18+(CL$23-CL$12)/(CM$12-CL$12)*CM18)</f>
        <v>0</v>
      </c>
      <c r="CM25" s="510">
        <f ca="1">(CM23=$B$9)*CM18+((CM$23-CM$12)/(CN$12-CM$12)*CN18+(CM$12-CL$23)/(CM$12-CL$12)*CM18)*(CM23&gt;$B$10)+(CM23=$B$10)*(SUM($F$18:CL18)-SUM($F$25:CL25)+CM18+(CM$23-CM$12)/(CN$12-CM$12)*CN18)</f>
        <v>0</v>
      </c>
      <c r="CN25" s="510">
        <f ca="1">(CN23=$B$9)*CN18+((CN$23-CN$12)/(CO$12-CN$12)*CO18+(CN$12-CM$23)/(CN$12-CM$12)*CN18)*(CN23&gt;$B$10)+(CN23=$B$10)*(SUM($F$18:CM18)-SUM($F$25:CM25)+CN18+(CN$23-CN$12)/(CO$12-CN$12)*CO18)</f>
        <v>0</v>
      </c>
      <c r="CO25" s="510">
        <f ca="1">(CO23=$B$9)*CO18+((CO$23-CO$12)/(CP$12-CO$12)*CP18+(CO$12-CN$23)/(CO$12-CN$12)*CO18)*(CO23&gt;$B$10)+(CO23=$B$10)*(SUM($F$18:CN18)-SUM($F$25:CN25)+CO18+(CO$23-CO$12)/(CP$12-CO$12)*CP18)</f>
        <v>0</v>
      </c>
      <c r="CP25" s="510">
        <f ca="1">(CP23=$B$9)*CP18+((CP$23-CP$12)/(CQ$12-CP$12)*CQ18+(CP$12-CO$23)/(CP$12-CO$12)*CP18)*(CP23&gt;$B$10)+(CP23=$B$10)*(SUM($F$18:CO18)-SUM($F$25:CO25)+CP18+(CP$23-CP$12)/(CQ$12-CP$12)*CQ18)</f>
        <v>0</v>
      </c>
      <c r="CQ25" s="510">
        <f ca="1">(CQ23=$B$9)*CQ18+((CQ$23-CQ$12)/(CR$12-CQ$12)*CR18+(CQ$12-CP$23)/(CQ$12-CP$12)*CQ18)*(CQ23&gt;$B$10)+(CQ23=$B$10)*(SUM($F$18:CP18)-SUM($F$25:CP25)+CQ18+(CQ$23-CQ$12)/(CR$12-CQ$12)*CR18)</f>
        <v>0</v>
      </c>
      <c r="CR25" s="510">
        <f ca="1">(CR23=$B$9)*CR18+((CR$23-CR$12)/(CS$12-CR$12)*CS18+(CR$12-CQ$23)/(CR$12-CQ$12)*CR18)*(CR23&gt;$B$10)+(CR23=$B$10)*(SUM($F$18:CQ18)-SUM($F$25:CQ25)+CR18+(CR$23-CR$12)/(CS$12-CR$12)*CS18)</f>
        <v>0</v>
      </c>
      <c r="CS25" s="510">
        <f ca="1">(CS23=$B$9)*CS18+((CS$23-CS$12)/(CT$12-CS$12)*CT18+(CS$12-CR$23)/(CS$12-CR$12)*CS18)*(CS23&gt;$B$10)+(CS23=$B$10)*(SUM($F$18:CR18)-SUM($F$25:CR25)+CS18+(CS$23-CS$12)/(CT$12-CS$12)*CT18)</f>
        <v>0</v>
      </c>
      <c r="CT25" s="510">
        <f ca="1">(CT23=$B$9)*CT18+((CT$23-CT$12)/(CU$12-CT$12)*CU18+(CT$12-CS$23)/(CT$12-CS$12)*CT18)*(CT23&gt;$B$10)+(CT23=$B$10)*(SUM($F$18:CS18)-SUM($F$25:CS25)+CT18+(CT$23-CT$12)/(CU$12-CT$12)*CU18)</f>
        <v>0</v>
      </c>
      <c r="CU25" s="510">
        <f ca="1">(CU23=$B$9)*CU18+((CU$23-CU$12)/(CV$12-CU$12)*CV18+(CU$12-CT$23)/(CU$12-CT$12)*CU18)*(CU23&gt;$B$10)+(CU23=$B$10)*(SUM($F$18:CT18)-SUM($F$25:CT25)+CU18+(CU$23-CU$12)/(CV$12-CU$12)*CV18)</f>
        <v>0</v>
      </c>
      <c r="CV25" s="510">
        <f ca="1">(CV23=$B$9)*CV18+((CV$23-CV$12)/(CW$12-CV$12)*CW18+(CV$12-CU$23)/(CV$12-CU$12)*CV18)*(CV23&gt;$B$10)+(CV23=$B$10)*(SUM($F$18:CU18)-SUM($F$25:CU25)+CV18+(CV$23-CV$12)/(CW$12-CV$12)*CW18)</f>
        <v>0</v>
      </c>
      <c r="CW25" s="510">
        <f ca="1">(CW23=$B$9)*CW18+((CW$23-CW$12)/(CX$12-CW$12)*CX18+(CW$12-CV$23)/(CW$12-CV$12)*CW18)*(CW23&gt;$B$10)+(CW23=$B$10)*(SUM($F$18:CV18)-SUM($F$25:CV25)+CW18+(CW$23-CW$12)/(CX$12-CW$12)*CX18)</f>
        <v>0</v>
      </c>
      <c r="CX25" s="510">
        <f ca="1">(CX23=$B$9)*CX18+((CX$23-CX$12)/(CY$12-CX$12)*CY18+(CX$12-CW$23)/(CX$12-CW$12)*CX18)*(CX23&gt;$B$10)+(CX23=$B$10)*(SUM($F$18:CW18)-SUM($F$25:CW25)+CX18+(CX$23-CX$12)/(CY$12-CX$12)*CY18)</f>
        <v>0</v>
      </c>
      <c r="CY25" s="510">
        <f ca="1">(CY23=$B$9)*CY18+((CY$23-CY$12)/(CZ$12-CY$12)*CZ18+(CY$12-CX$23)/(CY$12-CX$12)*CY18)*(CY23&gt;$B$10)+(CY23=$B$10)*(SUM($F$18:CX18)-SUM($F$25:CX25)+CY18+(CY$23-CY$12)/(CZ$12-CY$12)*CZ18)</f>
        <v>0</v>
      </c>
      <c r="CZ25" s="510">
        <f ca="1">(CZ23=$B$9)*CZ18+((CZ$23-CZ$12)/(DA$12-CZ$12)*DA18+(CZ$12-CY$23)/(CZ$12-CY$12)*CZ18)*(CZ23&gt;$B$10)+(CZ23=$B$10)*(SUM($F$18:CY18)-SUM($F$25:CY25)+CZ18+(CZ$23-CZ$12)/(DA$12-CZ$12)*DA18)</f>
        <v>0</v>
      </c>
      <c r="DA25" s="510">
        <f ca="1">(DA23=$B$9)*DA18+((DA$23-DA$12)/(DB$12-DA$12)*DB18+(DA$12-CZ$23)/(DA$12-CZ$12)*DA18)*(DA23&gt;$B$10)+(DA23=$B$10)*(SUM($F$18:CZ18)-SUM($F$25:CZ25)+DA18+(DA$23-DA$12)/(DB$12-DA$12)*DB18)</f>
        <v>0</v>
      </c>
      <c r="DB25" s="510">
        <f ca="1">(DB23=$B$9)*DB18+((DB$23-DB$12)/(DC$12-DB$12)*DC18+(DB$12-DA$23)/(DB$12-DA$12)*DB18)*(DB23&gt;$B$10)+(DB23=$B$10)*(SUM($F$18:DA18)-SUM($F$25:DA25)+DB18+(DB$23-DB$12)/(DC$12-DB$12)*DC18)</f>
        <v>0</v>
      </c>
      <c r="DC25" s="510">
        <f ca="1">(DC23=$B$9)*DC18+((DC$23-DC$12)/(DD$12-DC$12)*DD18+(DC$12-DB$23)/(DC$12-DB$12)*DC18)*(DC23&gt;$B$10)+(DC23=$B$10)*(SUM($F$18:DB18)-SUM($F$25:DB25)+DC18+(DC$23-DC$12)/(DD$12-DC$12)*DD18)</f>
        <v>0</v>
      </c>
      <c r="DD25" s="510">
        <f ca="1">(DD23=$B$9)*DD18+((DD$23-DD$12)/(DE$12-DD$12)*DE18+(DD$12-DC$23)/(DD$12-DC$12)*DD18)*(DD23&gt;$B$10)+(DD23=$B$10)*(SUM($F$18:DC18)-SUM($F$25:DC25)+DD18+(DD$23-DD$12)/(DE$12-DD$12)*DE18)</f>
        <v>0</v>
      </c>
      <c r="DE25" s="510">
        <f ca="1">(DE23=$B$9)*DE18+((DE$23-DE$12)/(DF$12-DE$12)*DF18+(DE$12-DD$23)/(DE$12-DD$12)*DE18)*(DE23&gt;$B$10)+(DE23=$B$10)*(SUM($F$18:DD18)-SUM($F$25:DD25)+DE18+(DE$23-DE$12)/(DF$12-DE$12)*DF18)</f>
        <v>0</v>
      </c>
      <c r="DF25" s="510">
        <f ca="1">(DF23=$B$9)*DF18+((DF$23-DF$12)/(DG$12-DF$12)*DG18+(DF$12-DE$23)/(DF$12-DE$12)*DF18)*(DF23&gt;$B$10)+(DF23=$B$10)*(SUM($F$18:DE18)-SUM($F$25:DE25)+DF18+(DF$23-DF$12)/(DG$12-DF$12)*DG18)</f>
        <v>0</v>
      </c>
      <c r="DG25" s="510">
        <f ca="1">(DG23=$B$9)*DG18+((DG$23-DG$12)/(DH$12-DG$12)*DH18+(DG$12-DF$23)/(DG$12-DF$12)*DG18)*(DG23&gt;$B$10)+(DG23=$B$10)*(SUM($F$18:DF18)-SUM($F$25:DF25)+DG18+(DG$23-DG$12)/(DH$12-DG$12)*DH18)</f>
        <v>0</v>
      </c>
      <c r="DH25" s="510">
        <f ca="1">(DH23=$B$9)*DH18+((DH$23-DH$12)/(DI$12-DH$12)*DI18+(DH$12-DG$23)/(DH$12-DG$12)*DH18)*(DH23&gt;$B$10)+(DH23=$B$10)*(SUM($F$18:DG18)-SUM($F$25:DG25)+DH18+(DH$23-DH$12)/(DI$12-DH$12)*DI18)</f>
        <v>0</v>
      </c>
      <c r="DI25" s="510">
        <f ca="1">(DI23=$B$9)*DI18+((DI$23-DI$12)/(DJ$12-DI$12)*DJ18+(DI$12-DH$23)/(DI$12-DH$12)*DI18)*(DI23&gt;$B$10)+(DI23=$B$10)*(SUM($F$18:DH18)-SUM($F$25:DH25)+DI18+(DI$23-DI$12)/(DJ$12-DI$12)*DJ18)</f>
        <v>0</v>
      </c>
      <c r="DJ25" s="510">
        <f ca="1">(DJ23=$B$9)*DJ18+((DJ$23-DJ$12)/(DK$12-DJ$12)*DK18+(DJ$12-DI$23)/(DJ$12-DI$12)*DJ18)*(DJ23&gt;$B$10)+(DJ23=$B$10)*(SUM($F$18:DI18)-SUM($F$25:DI25)+DJ18+(DJ$23-DJ$12)/(DK$12-DJ$12)*DK18)</f>
        <v>0</v>
      </c>
      <c r="DK25" s="510">
        <f ca="1">(DK23=$B$9)*DK18+((DK$23-DK$12)/(DL$12-DK$12)*DL18+(DK$12-DJ$23)/(DK$12-DJ$12)*DK18)*(DK23&gt;$B$10)+(DK23=$B$10)*(SUM($F$18:DJ18)-SUM($F$25:DJ25)+DK18+(DK$23-DK$12)/(DL$12-DK$12)*DL18)</f>
        <v>0</v>
      </c>
      <c r="DL25" s="510">
        <f ca="1">(DL23=$B$9)*DL18+((DL$23-DL$12)/(DM$12-DL$12)*DM18+(DL$12-DK$23)/(DL$12-DK$12)*DL18)*(DL23&gt;$B$10)+(DL23=$B$10)*(SUM($F$18:DK18)-SUM($F$25:DK25)+DL18+(DL$23-DL$12)/(DM$12-DL$12)*DM18)</f>
        <v>0</v>
      </c>
      <c r="DM25" s="510">
        <f ca="1">(DM23=$B$9)*DM18+((DM$23-DM$12)/(DN$12-DM$12)*DN18+(DM$12-DL$23)/(DM$12-DL$12)*DM18)*(DM23&gt;$B$10)+(DM23=$B$10)*(SUM($F$18:DL18)-SUM($F$25:DL25)+DM18+(DM$23-DM$12)/(DN$12-DM$12)*DN18)</f>
        <v>0</v>
      </c>
      <c r="DN25" s="510">
        <f ca="1">(DN23=$B$9)*DN18+((DN$23-DN$12)/(DO$12-DN$12)*DO18+(DN$12-DM$23)/(DN$12-DM$12)*DN18)*(DN23&gt;$B$10)+(DN23=$B$10)*(SUM($F$18:DM18)-SUM($F$25:DM25)+DN18+(DN$23-DN$12)/(DO$12-DN$12)*DO18)</f>
        <v>0</v>
      </c>
      <c r="DO25" s="510">
        <f ca="1">(DO23=$B$9)*DO18+((DO$23-DO$12)/(DP$12-DO$12)*DP18+(DO$12-DN$23)/(DO$12-DN$12)*DO18)*(DO23&gt;$B$10)+(DO23=$B$10)*(SUM($F$18:DN18)-SUM($F$25:DN25)+DO18+(DO$23-DO$12)/(DP$12-DO$12)*DP18)</f>
        <v>0</v>
      </c>
      <c r="DP25" s="510">
        <f ca="1">(DP23=$B$9)*DP18+((DP$23-DP$12)/(DQ$12-DP$12)*DQ18+(DP$12-DO$23)/(DP$12-DO$12)*DP18)*(DP23&gt;$B$10)+(DP23=$B$10)*(SUM($F$18:DO18)-SUM($F$25:DO25)+DP18+(DP$23-DP$12)/(DQ$12-DP$12)*DQ18)</f>
        <v>0</v>
      </c>
      <c r="DQ25" s="510">
        <f ca="1">(DQ23=$B$9)*DQ18+((DQ$23-DQ$12)/(DR$12-DQ$12)*DR18+(DQ$12-DP$23)/(DQ$12-DP$12)*DQ18)*(DQ23&gt;$B$10)+(DQ23=$B$10)*(SUM($F$18:DP18)-SUM($F$25:DP25)+DQ18+(DQ$23-DQ$12)/(DR$12-DQ$12)*DR18)</f>
        <v>0</v>
      </c>
      <c r="DR25" s="510">
        <f ca="1">(DR23=$B$9)*DR18+((DR$23-DR$12)/(DS$12-DR$12)*DS18+(DR$12-DQ$23)/(DR$12-DQ$12)*DR18)*(DR23&gt;$B$10)+(DR23=$B$10)*(SUM($F$18:DQ18)-SUM($F$25:DQ25)+DR18+(DR$23-DR$12)/(DS$12-DR$12)*DS18)</f>
        <v>0</v>
      </c>
      <c r="DS25" s="510">
        <f ca="1">(DS23=$B$9)*DS18+((DS$23-DS$12)/(DT$12-DS$12)*DT18+(DS$12-DR$23)/(DS$12-DR$12)*DS18)*(DS23&gt;$B$10)+(DS23=$B$10)*(SUM($F$18:DR18)-SUM($F$25:DR25)+DS18+(DS$23-DS$12)/(DT$12-DS$12)*DT18)</f>
        <v>0</v>
      </c>
      <c r="DT25" s="510">
        <f ca="1">(DT23=$B$9)*DT18+((DT$23-DT$12)/(DU$12-DT$12)*DU18+(DT$12-DS$23)/(DT$12-DS$12)*DT18)*(DT23&gt;$B$10)+(DT23=$B$10)*(SUM($F$18:DS18)-SUM($F$25:DS25)+DT18+(DT$23-DT$12)/(DU$12-DT$12)*DU18)</f>
        <v>0</v>
      </c>
      <c r="DU25" s="510">
        <f ca="1">(DU23=$B$9)*DU18+((DU$23-DU$12)/(DV$12-DU$12)*DV18+(DU$12-DT$23)/(DU$12-DT$12)*DU18)*(DU23&gt;$B$10)+(DU23=$B$10)*(SUM($F$18:DT18)-SUM($F$25:DT25)+DU18+(DU$23-DU$12)/(DV$12-DU$12)*DV18)</f>
        <v>0</v>
      </c>
      <c r="DV25" s="510">
        <f ca="1">(DV23=$B$9)*DV18+((DV$23-DV$12)/(DW$12-DV$12)*DW18+(DV$12-DU$23)/(DV$12-DU$12)*DV18)*(DV23&gt;$B$10)+(DV23=$B$10)*(SUM($F$18:DU18)-SUM($F$25:DU25)+DV18+(DV$23-DV$12)/(DW$12-DV$12)*DW18)</f>
        <v>0</v>
      </c>
      <c r="DW25" s="510">
        <f ca="1">(DW23=$B$9)*DW18+((DW$23-DW$12)/(DX$12-DW$12)*DX18+(DW$12-DV$23)/(DW$12-DV$12)*DW18)*(DW23&gt;$B$10)+(DW23=$B$10)*(SUM($F$18:DV18)-SUM($F$25:DV25)+DW18+(DW$23-DW$12)/(DX$12-DW$12)*DX18)</f>
        <v>0</v>
      </c>
      <c r="DX25" s="873"/>
      <c r="DY25" s="873"/>
      <c r="DZ25" s="873"/>
      <c r="EA25" s="873"/>
    </row>
    <row r="26" spans="1:131" s="398" customFormat="1">
      <c r="A26" s="1019" t="str">
        <f>A19</f>
        <v>Net Interests</v>
      </c>
      <c r="B26" s="673"/>
      <c r="C26" s="673"/>
      <c r="D26" s="872"/>
      <c r="E26" s="872"/>
      <c r="F26" s="611"/>
      <c r="G26" s="510">
        <f ca="1">(G23=$B$9)*G19+((G$23-G$12)/(H$12-G$12)*H19+(G$12-F$23)/(G$12-F$12)*G19)*(G23&gt;$B$10)+(G23=$B$10)*(SUM($F$19:F19)-SUM($F$26:F26)+G19+(G$23-G$12)/(H$12-G$12)*H19)</f>
        <v>0</v>
      </c>
      <c r="H26" s="510">
        <f ca="1">(H23=$B$9)*H19+((H$23-H$12)/(I$12-H$12)*I19+(H$12-G$23)/(H$12-G$12)*H19)*(H23&gt;$B$10)+(H23=$B$10)*(SUM($F$19:G19)-SUM($F$26:G26)+H19+(H$23-H$12)/(I$12-H$12)*I19)</f>
        <v>337.69539242776295</v>
      </c>
      <c r="I26" s="510">
        <f ca="1">(I23=$B$9)*I19+((I$23-I$12)/(J$12-I$12)*J19+(I$12-H$23)/(I$12-H$12)*I19)*(I23&gt;$B$10)+(I23=$B$10)*(SUM($F$19:H19)-SUM($F$26:H26)+I19+(I$23-I$12)/(J$12-I$12)*J19)</f>
        <v>330.39500489049681</v>
      </c>
      <c r="J26" s="510">
        <f ca="1">(J23=$B$9)*J19+((J$23-J$12)/(K$12-J$12)*K19+(J$12-I$23)/(J$12-I$12)*J19)*(J23&gt;$B$10)+(J23=$B$10)*(SUM($F$19:I19)-SUM($F$26:I26)+J19+(J$23-J$12)/(K$12-J$12)*K19)</f>
        <v>336.12334527386264</v>
      </c>
      <c r="K26" s="510">
        <f ca="1">(K23=$B$9)*K19+((K$23-K$12)/(L$12-K$12)*L19+(K$12-J$23)/(K$12-J$12)*K19)*(K23&gt;$B$10)+(K23=$B$10)*(SUM($F$19:J19)-SUM($F$26:J26)+K19+(K$23-K$12)/(L$12-K$12)*L19)</f>
        <v>340.54030952662924</v>
      </c>
      <c r="L26" s="510">
        <f ca="1">(L23=$B$9)*L19+((L$23-L$12)/(M$12-L$12)*M19+(L$12-K$23)/(L$12-K$12)*L19)*(L23&gt;$B$10)+(L23=$B$10)*(SUM($F$19:K19)-SUM($F$26:K26)+L19+(L$23-L$12)/(M$12-L$12)*M19)</f>
        <v>344.09345138506251</v>
      </c>
      <c r="M26" s="510">
        <f ca="1">(M23=$B$9)*M19+((M$23-M$12)/(N$12-M$12)*N19+(M$12-L$23)/(M$12-L$12)*M19)*(M23&gt;$B$10)+(M23=$B$10)*(SUM($F$19:L19)-SUM($F$26:L26)+M19+(M$23-M$12)/(N$12-M$12)*N19)</f>
        <v>345.50012950182622</v>
      </c>
      <c r="N26" s="510">
        <f ca="1">(N23=$B$9)*N19+((N$23-N$12)/(O$12-N$12)*O19+(N$12-M$23)/(N$12-M$12)*N19)*(N23&gt;$B$10)+(N23=$B$10)*(SUM($F$19:M19)-SUM($F$26:M26)+N19+(N$23-N$12)/(O$12-N$12)*O19)</f>
        <v>349.25622236812552</v>
      </c>
      <c r="O26" s="510">
        <f ca="1">(O23=$B$9)*O19+((O$23-O$12)/(P$12-O$12)*P19+(O$12-N$23)/(O$12-N$12)*O19)*(O23&gt;$B$10)+(O23=$B$10)*(SUM($F$19:N19)-SUM($F$26:N26)+O19+(O$23-O$12)/(P$12-O$12)*P19)</f>
        <v>347.81409238970855</v>
      </c>
      <c r="P26" s="510">
        <f ca="1">(P23=$B$9)*P19+((P$23-P$12)/(Q$12-P$12)*Q19+(P$12-O$23)/(P$12-O$12)*P19)*(P23&gt;$B$10)+(P23=$B$10)*(SUM($F$19:O19)-SUM($F$26:O26)+P19+(P$23-P$12)/(Q$12-P$12)*Q19)</f>
        <v>354.49596564466589</v>
      </c>
      <c r="Q26" s="510">
        <f ca="1">(Q23=$B$9)*Q19+((Q$23-Q$12)/(R$12-Q$12)*R19+(Q$12-P$23)/(Q$12-P$12)*Q19)*(Q23&gt;$B$10)+(Q23=$B$10)*(SUM($F$19:P19)-SUM($F$26:P26)+Q19+(Q$23-Q$12)/(R$12-Q$12)*R19)</f>
        <v>350.11224247122021</v>
      </c>
      <c r="R26" s="510">
        <f ca="1">(R23=$B$9)*R19+((R$23-R$12)/(S$12-R$12)*S19+(R$12-Q$23)/(R$12-Q$12)*R19)*(R23&gt;$B$10)+(R23=$B$10)*(SUM($F$19:Q19)-SUM($F$26:Q26)+R19+(R$23-R$12)/(S$12-R$12)*S19)</f>
        <v>358.83088122706903</v>
      </c>
      <c r="S26" s="510">
        <f ca="1">(S23=$B$9)*S19+((S$23-S$12)/(T$12-S$12)*T19+(S$12-R$23)/(S$12-R$12)*S19)*(S23&gt;$B$10)+(S23=$B$10)*(SUM($F$19:R19)-SUM($F$26:R26)+S19+(S$23-S$12)/(T$12-S$12)*T19)</f>
        <v>353.42924069042391</v>
      </c>
      <c r="T26" s="510">
        <f ca="1">(T23=$B$9)*T19+((T$23-T$12)/(U$12-T$12)*U19+(T$12-S$23)/(T$12-S$12)*T19)*(T23&gt;$B$10)+(T23=$B$10)*(SUM($F$19:S19)-SUM($F$26:S26)+T19+(T$23-T$12)/(U$12-T$12)*U19)</f>
        <v>365.20972055957083</v>
      </c>
      <c r="U26" s="510">
        <f ca="1">(U23=$B$9)*U19+((U$23-U$12)/(V$12-U$12)*V19+(U$12-T$23)/(U$12-T$12)*U19)*(U23&gt;$B$10)+(U23=$B$10)*(SUM($F$19:T19)-SUM($F$26:T26)+U19+(U$23-U$12)/(V$12-U$12)*V19)</f>
        <v>354.49685383667685</v>
      </c>
      <c r="V26" s="510">
        <f ca="1">(V23=$B$9)*V19+((V$23-V$12)/(W$12-V$12)*W19+(V$12-U$23)/(V$12-U$12)*V19)*(V23&gt;$B$10)+(V23=$B$10)*(SUM($F$19:U19)-SUM($F$26:U26)+V19+(V$23-V$12)/(W$12-V$12)*W19)</f>
        <v>370.68564309001664</v>
      </c>
      <c r="W26" s="510">
        <f ca="1">(W23=$B$9)*W19+((W$23-W$12)/(X$12-W$12)*X19+(W$12-V$23)/(W$12-V$12)*W19)*(W23&gt;$B$10)+(W23=$B$10)*(SUM($F$19:V19)-SUM($F$26:V26)+W19+(W$23-W$12)/(X$12-W$12)*X19)</f>
        <v>356.50987783337104</v>
      </c>
      <c r="X26" s="510">
        <f ca="1">(X23=$B$9)*X19+((X$23-X$12)/(Y$12-X$12)*Y19+(X$12-W$23)/(X$12-W$12)*X19)*(X23&gt;$B$10)+(X23=$B$10)*(SUM($F$19:W19)-SUM($F$26:W26)+X19+(X$23-X$12)/(Y$12-X$12)*Y19)</f>
        <v>376.24234675006556</v>
      </c>
      <c r="Y26" s="510">
        <f ca="1">(Y23=$B$9)*Y19+((Y$23-Y$12)/(Z$12-Y$12)*Z19+(Y$12-X$23)/(Y$12-X$12)*Y19)*(Y23&gt;$B$10)+(Y23=$B$10)*(SUM($F$19:X19)-SUM($F$26:X26)+Y19+(Y$23-Y$12)/(Z$12-Y$12)*Z19)</f>
        <v>358.3788557966999</v>
      </c>
      <c r="Z26" s="510">
        <f ca="1">(Z23=$B$9)*Z19+((Z$23-Z$12)/(AA$12-Z$12)*AA19+(Z$12-Y$23)/(Z$12-Y$12)*Z19)*(Z23&gt;$B$10)+(Z23=$B$10)*(SUM($F$19:Y19)-SUM($F$26:Y26)+Z19+(Z$23-Z$12)/(AA$12-Z$12)*AA19)</f>
        <v>380.83813447114278</v>
      </c>
      <c r="AA26" s="510">
        <f ca="1">(AA23=$B$9)*AA19+((AA$23-AA$12)/(AB$12-AA$12)*AB19+(AA$12-Z$23)/(AA$12-Z$12)*AA19)*(AA23&gt;$B$10)+(AA23=$B$10)*(SUM($F$19:Z19)-SUM($F$26:Z26)+AA19+(AA$23-AA$12)/(AB$12-AA$12)*AB19)</f>
        <v>361.08250450303615</v>
      </c>
      <c r="AB26" s="510">
        <f ca="1">(AB23=$B$9)*AB19+((AB$23-AB$12)/(AC$12-AB$12)*AC19+(AB$12-AA$23)/(AB$12-AA$12)*AB19)*(AB23&gt;$B$10)+(AB23=$B$10)*(SUM($F$19:AA19)-SUM($F$26:AA26)+AB19+(AB$23-AB$12)/(AC$12-AB$12)*AC19)</f>
        <v>362.13050920316886</v>
      </c>
      <c r="AC26" s="510">
        <f ca="1">(AC23=$B$9)*AC19+((AC$23-AC$12)/(AD$12-AC$12)*AD19+(AC$12-AB$23)/(AC$12-AB$12)*AC19)*(AC23&gt;$B$10)+(AC23=$B$10)*(SUM($F$19:AB19)-SUM($F$26:AB26)+AC19+(AC$23-AC$12)/(AD$12-AC$12)*AD19)</f>
        <v>341.69449350399066</v>
      </c>
      <c r="AD26" s="510">
        <f ca="1">(AD23=$B$9)*AD19+((AD$23-AD$12)/(AE$12-AD$12)*AE19+(AD$12-AC$23)/(AD$12-AC$12)*AD19)*(AD23&gt;$B$10)+(AD23=$B$10)*(SUM($F$19:AC19)-SUM($F$26:AC26)+AD19+(AD$23-AD$12)/(AE$12-AD$12)*AE19)</f>
        <v>367.93763959282819</v>
      </c>
      <c r="AE26" s="510">
        <f ca="1">(AE23=$B$9)*AE19+((AE$23-AE$12)/(AF$12-AE$12)*AF19+(AE$12-AD$23)/(AE$12-AD$12)*AE19)*(AE23&gt;$B$10)+(AE23=$B$10)*(SUM($F$19:AD19)-SUM($F$26:AD26)+AE19+(AE$23-AE$12)/(AF$12-AE$12)*AF19)</f>
        <v>347.17016568164627</v>
      </c>
      <c r="AF26" s="510">
        <f ca="1">(AF23=$B$9)*AF19+((AF$23-AF$12)/(AG$12-AF$12)*AG19+(AF$12-AE$23)/(AF$12-AE$12)*AF19)*(AF23&gt;$B$10)+(AF23=$B$10)*(SUM($F$19:AE19)-SUM($F$26:AE26)+AF19+(AF$23-AF$12)/(AG$12-AF$12)*AG19)</f>
        <v>1079.6279085695371</v>
      </c>
      <c r="AG26" s="510">
        <f ca="1">(AG23=$B$9)*AG19+((AG$23-AG$12)/(AH$12-AG$12)*AH19+(AG$12-AF$23)/(AG$12-AF$12)*AG19)*(AG23&gt;$B$10)+(AG23=$B$10)*(SUM($F$19:AF19)-SUM($F$26:AF26)+AG19+(AG$23-AG$12)/(AH$12-AG$12)*AH19)</f>
        <v>1053.1643813993501</v>
      </c>
      <c r="AH26" s="510">
        <f ca="1">(AH23=$B$9)*AH19+((AH$23-AH$12)/(AI$12-AH$12)*AI19+(AH$12-AG$23)/(AH$12-AG$12)*AH19)*(AH23&gt;$B$10)+(AH23=$B$10)*(SUM($F$19:AG19)-SUM($F$26:AG26)+AH19+(AH$23-AH$12)/(AI$12-AH$12)*AI19)</f>
        <v>1067.2261508406605</v>
      </c>
      <c r="AI26" s="510">
        <f ca="1">(AI23=$B$9)*AI19+((AI$23-AI$12)/(AJ$12-AI$12)*AJ19+(AI$12-AH$23)/(AI$12-AH$12)*AI19)*(AI23&gt;$B$10)+(AI23=$B$10)*(SUM($F$19:AH19)-SUM($F$26:AH26)+AI19+(AI$23-AI$12)/(AJ$12-AI$12)*AJ19)</f>
        <v>1045.3368556386542</v>
      </c>
      <c r="AJ26" s="510">
        <f ca="1">(AJ23=$B$9)*AJ19+((AJ$23-AJ$12)/(AK$12-AJ$12)*AK19+(AJ$12-AI$23)/(AJ$12-AI$12)*AJ19)*(AJ23&gt;$B$10)+(AJ23=$B$10)*(SUM($F$19:AI19)-SUM($F$26:AI26)+AJ19+(AJ$23-AJ$12)/(AK$12-AJ$12)*AK19)</f>
        <v>1051.7843464975513</v>
      </c>
      <c r="AK26" s="510">
        <f ca="1">(AK23=$B$9)*AK19+((AK$23-AK$12)/(AL$12-AK$12)*AL19+(AK$12-AJ$23)/(AK$12-AJ$12)*AK19)*(AK23&gt;$B$10)+(AK23=$B$10)*(SUM($F$19:AJ19)-SUM($F$26:AJ26)+AK19+(AK$23-AK$12)/(AL$12-AK$12)*AL19)</f>
        <v>957.65158971621952</v>
      </c>
      <c r="AL26" s="510">
        <f ca="1">(AL23=$B$9)*AL19+((AL$23-AL$12)/(AM$12-AL$12)*AM19+(AL$12-AK$23)/(AL$12-AK$12)*AL19)*(AL23&gt;$B$10)+(AL23=$B$10)*(SUM($F$19:AK19)-SUM($F$26:AK26)+AL19+(AL$23-AL$12)/(AM$12-AL$12)*AM19)</f>
        <v>909.4305060182769</v>
      </c>
      <c r="AM26" s="510">
        <f ca="1">(AM23=$B$9)*AM19+((AM$23-AM$12)/(AN$12-AM$12)*AN19+(AM$12-AL$23)/(AM$12-AL$12)*AM19)*(AM23&gt;$B$10)+(AM23=$B$10)*(SUM($F$19:AL19)-SUM($F$26:AL26)+AM19+(AM$23-AM$12)/(AN$12-AM$12)*AN19)</f>
        <v>817.0018789195168</v>
      </c>
      <c r="AN26" s="510">
        <f ca="1">(AN23=$B$9)*AN19+((AN$23-AN$12)/(AO$12-AN$12)*AO19+(AN$12-AM$23)/(AN$12-AM$12)*AN19)*(AN23&gt;$B$10)+(AN23=$B$10)*(SUM($F$19:AM19)-SUM($F$26:AM26)+AN19+(AN$23-AN$12)/(AO$12-AN$12)*AO19)</f>
        <v>758.24023368935423</v>
      </c>
      <c r="AO26" s="510">
        <f ca="1">(AO23=$B$9)*AO19+((AO$23-AO$12)/(AP$12-AO$12)*AP19+(AO$12-AN$23)/(AO$12-AN$12)*AO19)*(AO23&gt;$B$10)+(AO23=$B$10)*(SUM($F$19:AN19)-SUM($F$26:AN26)+AO19+(AO$23-AO$12)/(AP$12-AO$12)*AP19)</f>
        <v>660.05511861643151</v>
      </c>
      <c r="AP26" s="510">
        <f ca="1">(AP23=$B$9)*AP19+((AP$23-AP$12)/(AQ$12-AP$12)*AQ19+(AP$12-AO$23)/(AP$12-AO$12)*AP19)*(AP23&gt;$B$10)+(AP23=$B$10)*(SUM($F$19:AO19)-SUM($F$26:AO26)+AP19+(AP$23-AP$12)/(AQ$12-AP$12)*AQ19)</f>
        <v>590.58419578386417</v>
      </c>
      <c r="AQ26" s="510">
        <f ca="1">(AQ23=$B$9)*AQ19+((AQ$23-AQ$12)/(AR$12-AQ$12)*AR19+(AQ$12-AP$23)/(AQ$12-AP$12)*AQ19)*(AQ23&gt;$B$10)+(AQ23=$B$10)*(SUM($F$19:AP19)-SUM($F$26:AP26)+AQ19+(AQ$23-AQ$12)/(AR$12-AQ$12)*AR19)</f>
        <v>489.29024072657052</v>
      </c>
      <c r="AR26" s="510">
        <f ca="1">(AR23=$B$9)*AR19+((AR$23-AR$12)/(AS$12-AR$12)*AS19+(AR$12-AQ$23)/(AR$12-AQ$12)*AR19)*(AR23&gt;$B$10)+(AR23=$B$10)*(SUM($F$19:AQ19)-SUM($F$26:AQ26)+AR19+(AR$23-AR$12)/(AS$12-AR$12)*AS19)</f>
        <v>405.29706022250343</v>
      </c>
      <c r="AS26" s="510">
        <f ca="1">(AS23=$B$9)*AS19+((AS$23-AS$12)/(AT$12-AS$12)*AT19+(AS$12-AR$23)/(AS$12-AR$12)*AS19)*(AS23&gt;$B$10)+(AS23=$B$10)*(SUM($F$19:AR19)-SUM($F$26:AR26)+AS19+(AS$23-AS$12)/(AT$12-AS$12)*AT19)</f>
        <v>294.51570800587263</v>
      </c>
      <c r="AT26" s="510">
        <f ca="1">(AT23=$B$9)*AT19+((AT$23-AT$12)/(AU$12-AT$12)*AU19+(AT$12-AS$23)/(AT$12-AS$12)*AT19)*(AT23&gt;$B$10)+(AT23=$B$10)*(SUM($F$19:AS19)-SUM($F$26:AS26)+AT19+(AT$23-AT$12)/(AU$12-AT$12)*AU19)</f>
        <v>200.7614209458323</v>
      </c>
      <c r="AU26" s="510">
        <f ca="1">(AU23=$B$9)*AU19+((AU$23-AU$12)/(AV$12-AU$12)*AV19+(AU$12-AT$23)/(AU$12-AT$12)*AU19)*(AU23&gt;$B$10)+(AU23=$B$10)*(SUM($F$19:AT19)-SUM($F$26:AT26)+AU19+(AU$23-AU$12)/(AV$12-AU$12)*AV19)</f>
        <v>83.171508024754331</v>
      </c>
      <c r="AV26" s="510">
        <f ca="1">(AV23=$B$9)*AV19+((AV$23-AV$12)/(AW$12-AV$12)*AW19+(AV$12-AU$23)/(AV$12-AU$12)*AV19)*(AV23&gt;$B$10)+(AV23=$B$10)*(SUM($F$19:AU19)-SUM($F$26:AU26)+AV19+(AV$23-AV$12)/(AW$12-AV$12)*AW19)</f>
        <v>0</v>
      </c>
      <c r="AW26" s="510">
        <f ca="1">(AW23=$B$9)*AW19+((AW$23-AW$12)/(AX$12-AW$12)*AX19+(AW$12-AV$23)/(AW$12-AV$12)*AW19)*(AW23&gt;$B$10)+(AW23=$B$10)*(SUM($F$19:AV19)-SUM($F$26:AV26)+AW19+(AW$23-AW$12)/(AX$12-AW$12)*AX19)</f>
        <v>0</v>
      </c>
      <c r="AX26" s="510">
        <f ca="1">(AX23=$B$9)*AX19+((AX$23-AX$12)/(AY$12-AX$12)*AY19+(AX$12-AW$23)/(AX$12-AW$12)*AX19)*(AX23&gt;$B$10)+(AX23=$B$10)*(SUM($F$19:AW19)-SUM($F$26:AW26)+AX19+(AX$23-AX$12)/(AY$12-AX$12)*AY19)</f>
        <v>0</v>
      </c>
      <c r="AY26" s="510">
        <f ca="1">(AY23=$B$9)*AY19+((AY$23-AY$12)/(AZ$12-AY$12)*AZ19+(AY$12-AX$23)/(AY$12-AX$12)*AY19)*(AY23&gt;$B$10)+(AY23=$B$10)*(SUM($F$19:AX19)-SUM($F$26:AX26)+AY19+(AY$23-AY$12)/(AZ$12-AY$12)*AZ19)</f>
        <v>0</v>
      </c>
      <c r="AZ26" s="510">
        <f ca="1">(AZ23=$B$9)*AZ19+((AZ$23-AZ$12)/(BA$12-AZ$12)*BA19+(AZ$12-AY$23)/(AZ$12-AY$12)*AZ19)*(AZ23&gt;$B$10)+(AZ23=$B$10)*(SUM($F$19:AY19)-SUM($F$26:AY26)+AZ19+(AZ$23-AZ$12)/(BA$12-AZ$12)*BA19)</f>
        <v>0</v>
      </c>
      <c r="BA26" s="510">
        <f ca="1">(BA23=$B$9)*BA19+((BA$23-BA$12)/(BB$12-BA$12)*BB19+(BA$12-AZ$23)/(BA$12-AZ$12)*BA19)*(BA23&gt;$B$10)+(BA23=$B$10)*(SUM($F$19:AZ19)-SUM($F$26:AZ26)+BA19+(BA$23-BA$12)/(BB$12-BA$12)*BB19)</f>
        <v>0</v>
      </c>
      <c r="BB26" s="510">
        <f ca="1">(BB23=$B$9)*BB19+((BB$23-BB$12)/(BC$12-BB$12)*BC19+(BB$12-BA$23)/(BB$12-BA$12)*BB19)*(BB23&gt;$B$10)+(BB23=$B$10)*(SUM($F$19:BA19)-SUM($F$26:BA26)+BB19+(BB$23-BB$12)/(BC$12-BB$12)*BC19)</f>
        <v>0</v>
      </c>
      <c r="BC26" s="510">
        <f ca="1">(BC23=$B$9)*BC19+((BC$23-BC$12)/(BD$12-BC$12)*BD19+(BC$12-BB$23)/(BC$12-BB$12)*BC19)*(BC23&gt;$B$10)+(BC23=$B$10)*(SUM($F$19:BB19)-SUM($F$26:BB26)+BC19+(BC$23-BC$12)/(BD$12-BC$12)*BD19)</f>
        <v>0</v>
      </c>
      <c r="BD26" s="510">
        <f ca="1">(BD23=$B$9)*BD19+((BD$23-BD$12)/(BE$12-BD$12)*BE19+(BD$12-BC$23)/(BD$12-BC$12)*BD19)*(BD23&gt;$B$10)+(BD23=$B$10)*(SUM($F$19:BC19)-SUM($F$26:BC26)+BD19+(BD$23-BD$12)/(BE$12-BD$12)*BE19)</f>
        <v>0</v>
      </c>
      <c r="BE26" s="510">
        <f ca="1">(BE23=$B$9)*BE19+((BE$23-BE$12)/(BF$12-BE$12)*BF19+(BE$12-BD$23)/(BE$12-BD$12)*BE19)*(BE23&gt;$B$10)+(BE23=$B$10)*(SUM($F$19:BD19)-SUM($F$26:BD26)+BE19+(BE$23-BE$12)/(BF$12-BE$12)*BF19)</f>
        <v>0</v>
      </c>
      <c r="BF26" s="510">
        <f ca="1">(BF23=$B$9)*BF19+((BF$23-BF$12)/(BG$12-BF$12)*BG19+(BF$12-BE$23)/(BF$12-BE$12)*BF19)*(BF23&gt;$B$10)+(BF23=$B$10)*(SUM($F$19:BE19)-SUM($F$26:BE26)+BF19+(BF$23-BF$12)/(BG$12-BF$12)*BG19)</f>
        <v>0</v>
      </c>
      <c r="BG26" s="510">
        <f ca="1">(BG23=$B$9)*BG19+((BG$23-BG$12)/(BH$12-BG$12)*BH19+(BG$12-BF$23)/(BG$12-BF$12)*BG19)*(BG23&gt;$B$10)+(BG23=$B$10)*(SUM($F$19:BF19)-SUM($F$26:BF26)+BG19+(BG$23-BG$12)/(BH$12-BG$12)*BH19)</f>
        <v>0</v>
      </c>
      <c r="BH26" s="510">
        <f ca="1">(BH23=$B$9)*BH19+((BH$23-BH$12)/(BI$12-BH$12)*BI19+(BH$12-BG$23)/(BH$12-BG$12)*BH19)*(BH23&gt;$B$10)+(BH23=$B$10)*(SUM($F$19:BG19)-SUM($F$26:BG26)+BH19+(BH$23-BH$12)/(BI$12-BH$12)*BI19)</f>
        <v>0</v>
      </c>
      <c r="BI26" s="510">
        <f ca="1">(BI23=$B$9)*BI19+((BI$23-BI$12)/(BJ$12-BI$12)*BJ19+(BI$12-BH$23)/(BI$12-BH$12)*BI19)*(BI23&gt;$B$10)+(BI23=$B$10)*(SUM($F$19:BH19)-SUM($F$26:BH26)+BI19+(BI$23-BI$12)/(BJ$12-BI$12)*BJ19)</f>
        <v>0</v>
      </c>
      <c r="BJ26" s="510">
        <f ca="1">(BJ23=$B$9)*BJ19+((BJ$23-BJ$12)/(BK$12-BJ$12)*BK19+(BJ$12-BI$23)/(BJ$12-BI$12)*BJ19)*(BJ23&gt;$B$10)+(BJ23=$B$10)*(SUM($F$19:BI19)-SUM($F$26:BI26)+BJ19+(BJ$23-BJ$12)/(BK$12-BJ$12)*BK19)</f>
        <v>0</v>
      </c>
      <c r="BK26" s="510">
        <f ca="1">(BK23=$B$9)*BK19+((BK$23-BK$12)/(BL$12-BK$12)*BL19+(BK$12-BJ$23)/(BK$12-BJ$12)*BK19)*(BK23&gt;$B$10)+(BK23=$B$10)*(SUM($F$19:BJ19)-SUM($F$26:BJ26)+BK19+(BK$23-BK$12)/(BL$12-BK$12)*BL19)</f>
        <v>0</v>
      </c>
      <c r="BL26" s="510">
        <f ca="1">(BL23=$B$9)*BL19+((BL$23-BL$12)/(BM$12-BL$12)*BM19+(BL$12-BK$23)/(BL$12-BK$12)*BL19)*(BL23&gt;$B$10)+(BL23=$B$10)*(SUM($F$19:BK19)-SUM($F$26:BK26)+BL19+(BL$23-BL$12)/(BM$12-BL$12)*BM19)</f>
        <v>0</v>
      </c>
      <c r="BM26" s="510">
        <f ca="1">(BM23=$B$9)*BM19+((BM$23-BM$12)/(BN$12-BM$12)*BN19+(BM$12-BL$23)/(BM$12-BL$12)*BM19)*(BM23&gt;$B$10)+(BM23=$B$10)*(SUM($F$19:BL19)-SUM($F$26:BL26)+BM19+(BM$23-BM$12)/(BN$12-BM$12)*BN19)</f>
        <v>0</v>
      </c>
      <c r="BN26" s="510">
        <f ca="1">(BN23=$B$9)*BN19+((BN$23-BN$12)/(BO$12-BN$12)*BO19+(BN$12-BM$23)/(BN$12-BM$12)*BN19)*(BN23&gt;$B$10)+(BN23=$B$10)*(SUM($F$19:BM19)-SUM($F$26:BM26)+BN19+(BN$23-BN$12)/(BO$12-BN$12)*BO19)</f>
        <v>0</v>
      </c>
      <c r="BO26" s="510">
        <f ca="1">(BO23=$B$9)*BO19+((BO$23-BO$12)/(BP$12-BO$12)*BP19+(BO$12-BN$23)/(BO$12-BN$12)*BO19)*(BO23&gt;$B$10)+(BO23=$B$10)*(SUM($F$19:BN19)-SUM($F$26:BN26)+BO19+(BO$23-BO$12)/(BP$12-BO$12)*BP19)</f>
        <v>0</v>
      </c>
      <c r="BP26" s="510">
        <f ca="1">(BP23=$B$9)*BP19+((BP$23-BP$12)/(BQ$12-BP$12)*BQ19+(BP$12-BO$23)/(BP$12-BO$12)*BP19)*(BP23&gt;$B$10)+(BP23=$B$10)*(SUM($F$19:BO19)-SUM($F$26:BO26)+BP19+(BP$23-BP$12)/(BQ$12-BP$12)*BQ19)</f>
        <v>0</v>
      </c>
      <c r="BQ26" s="510">
        <f ca="1">(BQ23=$B$9)*BQ19+((BQ$23-BQ$12)/(BR$12-BQ$12)*BR19+(BQ$12-BP$23)/(BQ$12-BP$12)*BQ19)*(BQ23&gt;$B$10)+(BQ23=$B$10)*(SUM($F$19:BP19)-SUM($F$26:BP26)+BQ19+(BQ$23-BQ$12)/(BR$12-BQ$12)*BR19)</f>
        <v>0</v>
      </c>
      <c r="BR26" s="510">
        <f ca="1">(BR23=$B$9)*BR19+((BR$23-BR$12)/(BS$12-BR$12)*BS19+(BR$12-BQ$23)/(BR$12-BQ$12)*BR19)*(BR23&gt;$B$10)+(BR23=$B$10)*(SUM($F$19:BQ19)-SUM($F$26:BQ26)+BR19+(BR$23-BR$12)/(BS$12-BR$12)*BS19)</f>
        <v>0</v>
      </c>
      <c r="BS26" s="510">
        <f ca="1">(BS23=$B$9)*BS19+((BS$23-BS$12)/(BT$12-BS$12)*BT19+(BS$12-BR$23)/(BS$12-BR$12)*BS19)*(BS23&gt;$B$10)+(BS23=$B$10)*(SUM($F$19:BR19)-SUM($F$26:BR26)+BS19+(BS$23-BS$12)/(BT$12-BS$12)*BT19)</f>
        <v>0</v>
      </c>
      <c r="BT26" s="510">
        <f ca="1">(BT23=$B$9)*BT19+((BT$23-BT$12)/(BU$12-BT$12)*BU19+(BT$12-BS$23)/(BT$12-BS$12)*BT19)*(BT23&gt;$B$10)+(BT23=$B$10)*(SUM($F$19:BS19)-SUM($F$26:BS26)+BT19+(BT$23-BT$12)/(BU$12-BT$12)*BU19)</f>
        <v>0</v>
      </c>
      <c r="BU26" s="510">
        <f ca="1">(BU23=$B$9)*BU19+((BU$23-BU$12)/(BV$12-BU$12)*BV19+(BU$12-BT$23)/(BU$12-BT$12)*BU19)*(BU23&gt;$B$10)+(BU23=$B$10)*(SUM($F$19:BT19)-SUM($F$26:BT26)+BU19+(BU$23-BU$12)/(BV$12-BU$12)*BV19)</f>
        <v>0</v>
      </c>
      <c r="BV26" s="510">
        <f ca="1">(BV23=$B$9)*BV19+((BV$23-BV$12)/(BW$12-BV$12)*BW19+(BV$12-BU$23)/(BV$12-BU$12)*BV19)*(BV23&gt;$B$10)+(BV23=$B$10)*(SUM($F$19:BU19)-SUM($F$26:BU26)+BV19+(BV$23-BV$12)/(BW$12-BV$12)*BW19)</f>
        <v>0</v>
      </c>
      <c r="BW26" s="510">
        <f ca="1">(BW23=$B$9)*BW19+((BW$23-BW$12)/(BX$12-BW$12)*BX19+(BW$12-BV$23)/(BW$12-BV$12)*BW19)*(BW23&gt;$B$10)+(BW23=$B$10)*(SUM($F$19:BV19)-SUM($F$26:BV26)+BW19+(BW$23-BW$12)/(BX$12-BW$12)*BX19)</f>
        <v>0</v>
      </c>
      <c r="BX26" s="510">
        <f ca="1">(BX23=$B$9)*BX19+((BX$23-BX$12)/(BY$12-BX$12)*BY19+(BX$12-BW$23)/(BX$12-BW$12)*BX19)*(BX23&gt;$B$10)+(BX23=$B$10)*(SUM($F$19:BW19)-SUM($F$26:BW26)+BX19+(BX$23-BX$12)/(BY$12-BX$12)*BY19)</f>
        <v>0</v>
      </c>
      <c r="BY26" s="510">
        <f ca="1">(BY23=$B$9)*BY19+((BY$23-BY$12)/(BZ$12-BY$12)*BZ19+(BY$12-BX$23)/(BY$12-BX$12)*BY19)*(BY23&gt;$B$10)+(BY23=$B$10)*(SUM($F$19:BX19)-SUM($F$26:BX26)+BY19+(BY$23-BY$12)/(BZ$12-BY$12)*BZ19)</f>
        <v>0</v>
      </c>
      <c r="BZ26" s="510">
        <f ca="1">(BZ23=$B$9)*BZ19+((BZ$23-BZ$12)/(CA$12-BZ$12)*CA19+(BZ$12-BY$23)/(BZ$12-BY$12)*BZ19)*(BZ23&gt;$B$10)+(BZ23=$B$10)*(SUM($F$19:BY19)-SUM($F$26:BY26)+BZ19+(BZ$23-BZ$12)/(CA$12-BZ$12)*CA19)</f>
        <v>0</v>
      </c>
      <c r="CA26" s="510">
        <f ca="1">(CA23=$B$9)*CA19+((CA$23-CA$12)/(CB$12-CA$12)*CB19+(CA$12-BZ$23)/(CA$12-BZ$12)*CA19)*(CA23&gt;$B$10)+(CA23=$B$10)*(SUM($F$19:BZ19)-SUM($F$26:BZ26)+CA19+(CA$23-CA$12)/(CB$12-CA$12)*CB19)</f>
        <v>0</v>
      </c>
      <c r="CB26" s="510">
        <f ca="1">(CB23=$B$9)*CB19+((CB$23-CB$12)/(CC$12-CB$12)*CC19+(CB$12-CA$23)/(CB$12-CA$12)*CB19)*(CB23&gt;$B$10)+(CB23=$B$10)*(SUM($F$19:CA19)-SUM($F$26:CA26)+CB19+(CB$23-CB$12)/(CC$12-CB$12)*CC19)</f>
        <v>0</v>
      </c>
      <c r="CC26" s="510">
        <f ca="1">(CC23=$B$9)*CC19+((CC$23-CC$12)/(CD$12-CC$12)*CD19+(CC$12-CB$23)/(CC$12-CB$12)*CC19)*(CC23&gt;$B$10)+(CC23=$B$10)*(SUM($F$19:CB19)-SUM($F$26:CB26)+CC19+(CC$23-CC$12)/(CD$12-CC$12)*CD19)</f>
        <v>0</v>
      </c>
      <c r="CD26" s="510">
        <f ca="1">(CD23=$B$9)*CD19+((CD$23-CD$12)/(CE$12-CD$12)*CE19+(CD$12-CC$23)/(CD$12-CC$12)*CD19)*(CD23&gt;$B$10)+(CD23=$B$10)*(SUM($F$19:CC19)-SUM($F$26:CC26)+CD19+(CD$23-CD$12)/(CE$12-CD$12)*CE19)</f>
        <v>0</v>
      </c>
      <c r="CE26" s="510">
        <f ca="1">(CE23=$B$9)*CE19+((CE$23-CE$12)/(CF$12-CE$12)*CF19+(CE$12-CD$23)/(CE$12-CD$12)*CE19)*(CE23&gt;$B$10)+(CE23=$B$10)*(SUM($F$19:CD19)-SUM($F$26:CD26)+CE19+(CE$23-CE$12)/(CF$12-CE$12)*CF19)</f>
        <v>0</v>
      </c>
      <c r="CF26" s="510">
        <f ca="1">(CF23=$B$9)*CF19+((CF$23-CF$12)/(CG$12-CF$12)*CG19+(CF$12-CE$23)/(CF$12-CE$12)*CF19)*(CF23&gt;$B$10)+(CF23=$B$10)*(SUM($F$19:CE19)-SUM($F$26:CE26)+CF19+(CF$23-CF$12)/(CG$12-CF$12)*CG19)</f>
        <v>0</v>
      </c>
      <c r="CG26" s="510">
        <f ca="1">(CG23=$B$9)*CG19+((CG$23-CG$12)/(CH$12-CG$12)*CH19+(CG$12-CF$23)/(CG$12-CF$12)*CG19)*(CG23&gt;$B$10)+(CG23=$B$10)*(SUM($F$19:CF19)-SUM($F$26:CF26)+CG19+(CG$23-CG$12)/(CH$12-CG$12)*CH19)</f>
        <v>0</v>
      </c>
      <c r="CH26" s="510">
        <f ca="1">(CH23=$B$9)*CH19+((CH$23-CH$12)/(CI$12-CH$12)*CI19+(CH$12-CG$23)/(CH$12-CG$12)*CH19)*(CH23&gt;$B$10)+(CH23=$B$10)*(SUM($F$19:CG19)-SUM($F$26:CG26)+CH19+(CH$23-CH$12)/(CI$12-CH$12)*CI19)</f>
        <v>0</v>
      </c>
      <c r="CI26" s="510">
        <f ca="1">(CI23=$B$9)*CI19+((CI$23-CI$12)/(CJ$12-CI$12)*CJ19+(CI$12-CH$23)/(CI$12-CH$12)*CI19)*(CI23&gt;$B$10)+(CI23=$B$10)*(SUM($F$19:CH19)-SUM($F$26:CH26)+CI19+(CI$23-CI$12)/(CJ$12-CI$12)*CJ19)</f>
        <v>0</v>
      </c>
      <c r="CJ26" s="510">
        <f ca="1">(CJ23=$B$9)*CJ19+((CJ$23-CJ$12)/(CK$12-CJ$12)*CK19+(CJ$12-CI$23)/(CJ$12-CI$12)*CJ19)*(CJ23&gt;$B$10)+(CJ23=$B$10)*(SUM($F$19:CI19)-SUM($F$26:CI26)+CJ19+(CJ$23-CJ$12)/(CK$12-CJ$12)*CK19)</f>
        <v>0</v>
      </c>
      <c r="CK26" s="510">
        <f ca="1">(CK23=$B$9)*CK19+((CK$23-CK$12)/(CL$12-CK$12)*CL19+(CK$12-CJ$23)/(CK$12-CJ$12)*CK19)*(CK23&gt;$B$10)+(CK23=$B$10)*(SUM($F$19:CJ19)-SUM($F$26:CJ26)+CK19+(CK$23-CK$12)/(CL$12-CK$12)*CL19)</f>
        <v>0</v>
      </c>
      <c r="CL26" s="510">
        <f ca="1">(CL23=$B$9)*CL19+((CL$23-CL$12)/(CM$12-CL$12)*CM19+(CL$12-CK$23)/(CL$12-CK$12)*CL19)*(CL23&gt;$B$10)+(CL23=$B$10)*(SUM($F$19:CK19)-SUM($F$26:CK26)+CL19+(CL$23-CL$12)/(CM$12-CL$12)*CM19)</f>
        <v>0</v>
      </c>
      <c r="CM26" s="510">
        <f ca="1">(CM23=$B$9)*CM19+((CM$23-CM$12)/(CN$12-CM$12)*CN19+(CM$12-CL$23)/(CM$12-CL$12)*CM19)*(CM23&gt;$B$10)+(CM23=$B$10)*(SUM($F$19:CL19)-SUM($F$26:CL26)+CM19+(CM$23-CM$12)/(CN$12-CM$12)*CN19)</f>
        <v>0</v>
      </c>
      <c r="CN26" s="510">
        <f ca="1">(CN23=$B$9)*CN19+((CN$23-CN$12)/(CO$12-CN$12)*CO19+(CN$12-CM$23)/(CN$12-CM$12)*CN19)*(CN23&gt;$B$10)+(CN23=$B$10)*(SUM($F$19:CM19)-SUM($F$26:CM26)+CN19+(CN$23-CN$12)/(CO$12-CN$12)*CO19)</f>
        <v>0</v>
      </c>
      <c r="CO26" s="510">
        <f ca="1">(CO23=$B$9)*CO19+((CO$23-CO$12)/(CP$12-CO$12)*CP19+(CO$12-CN$23)/(CO$12-CN$12)*CO19)*(CO23&gt;$B$10)+(CO23=$B$10)*(SUM($F$19:CN19)-SUM($F$26:CN26)+CO19+(CO$23-CO$12)/(CP$12-CO$12)*CP19)</f>
        <v>0</v>
      </c>
      <c r="CP26" s="510">
        <f ca="1">(CP23=$B$9)*CP19+((CP$23-CP$12)/(CQ$12-CP$12)*CQ19+(CP$12-CO$23)/(CP$12-CO$12)*CP19)*(CP23&gt;$B$10)+(CP23=$B$10)*(SUM($F$19:CO19)-SUM($F$26:CO26)+CP19+(CP$23-CP$12)/(CQ$12-CP$12)*CQ19)</f>
        <v>0</v>
      </c>
      <c r="CQ26" s="510">
        <f ca="1">(CQ23=$B$9)*CQ19+((CQ$23-CQ$12)/(CR$12-CQ$12)*CR19+(CQ$12-CP$23)/(CQ$12-CP$12)*CQ19)*(CQ23&gt;$B$10)+(CQ23=$B$10)*(SUM($F$19:CP19)-SUM($F$26:CP26)+CQ19+(CQ$23-CQ$12)/(CR$12-CQ$12)*CR19)</f>
        <v>0</v>
      </c>
      <c r="CR26" s="510">
        <f ca="1">(CR23=$B$9)*CR19+((CR$23-CR$12)/(CS$12-CR$12)*CS19+(CR$12-CQ$23)/(CR$12-CQ$12)*CR19)*(CR23&gt;$B$10)+(CR23=$B$10)*(SUM($F$19:CQ19)-SUM($F$26:CQ26)+CR19+(CR$23-CR$12)/(CS$12-CR$12)*CS19)</f>
        <v>0</v>
      </c>
      <c r="CS26" s="510">
        <f ca="1">(CS23=$B$9)*CS19+((CS$23-CS$12)/(CT$12-CS$12)*CT19+(CS$12-CR$23)/(CS$12-CR$12)*CS19)*(CS23&gt;$B$10)+(CS23=$B$10)*(SUM($F$19:CR19)-SUM($F$26:CR26)+CS19+(CS$23-CS$12)/(CT$12-CS$12)*CT19)</f>
        <v>0</v>
      </c>
      <c r="CT26" s="510">
        <f ca="1">(CT23=$B$9)*CT19+((CT$23-CT$12)/(CU$12-CT$12)*CU19+(CT$12-CS$23)/(CT$12-CS$12)*CT19)*(CT23&gt;$B$10)+(CT23=$B$10)*(SUM($F$19:CS19)-SUM($F$26:CS26)+CT19+(CT$23-CT$12)/(CU$12-CT$12)*CU19)</f>
        <v>0</v>
      </c>
      <c r="CU26" s="510">
        <f ca="1">(CU23=$B$9)*CU19+((CU$23-CU$12)/(CV$12-CU$12)*CV19+(CU$12-CT$23)/(CU$12-CT$12)*CU19)*(CU23&gt;$B$10)+(CU23=$B$10)*(SUM($F$19:CT19)-SUM($F$26:CT26)+CU19+(CU$23-CU$12)/(CV$12-CU$12)*CV19)</f>
        <v>0</v>
      </c>
      <c r="CV26" s="510">
        <f ca="1">(CV23=$B$9)*CV19+((CV$23-CV$12)/(CW$12-CV$12)*CW19+(CV$12-CU$23)/(CV$12-CU$12)*CV19)*(CV23&gt;$B$10)+(CV23=$B$10)*(SUM($F$19:CU19)-SUM($F$26:CU26)+CV19+(CV$23-CV$12)/(CW$12-CV$12)*CW19)</f>
        <v>0</v>
      </c>
      <c r="CW26" s="510">
        <f ca="1">(CW23=$B$9)*CW19+((CW$23-CW$12)/(CX$12-CW$12)*CX19+(CW$12-CV$23)/(CW$12-CV$12)*CW19)*(CW23&gt;$B$10)+(CW23=$B$10)*(SUM($F$19:CV19)-SUM($F$26:CV26)+CW19+(CW$23-CW$12)/(CX$12-CW$12)*CX19)</f>
        <v>0</v>
      </c>
      <c r="CX26" s="510">
        <f ca="1">(CX23=$B$9)*CX19+((CX$23-CX$12)/(CY$12-CX$12)*CY19+(CX$12-CW$23)/(CX$12-CW$12)*CX19)*(CX23&gt;$B$10)+(CX23=$B$10)*(SUM($F$19:CW19)-SUM($F$26:CW26)+CX19+(CX$23-CX$12)/(CY$12-CX$12)*CY19)</f>
        <v>0</v>
      </c>
      <c r="CY26" s="510">
        <f ca="1">(CY23=$B$9)*CY19+((CY$23-CY$12)/(CZ$12-CY$12)*CZ19+(CY$12-CX$23)/(CY$12-CX$12)*CY19)*(CY23&gt;$B$10)+(CY23=$B$10)*(SUM($F$19:CX19)-SUM($F$26:CX26)+CY19+(CY$23-CY$12)/(CZ$12-CY$12)*CZ19)</f>
        <v>0</v>
      </c>
      <c r="CZ26" s="510">
        <f ca="1">(CZ23=$B$9)*CZ19+((CZ$23-CZ$12)/(DA$12-CZ$12)*DA19+(CZ$12-CY$23)/(CZ$12-CY$12)*CZ19)*(CZ23&gt;$B$10)+(CZ23=$B$10)*(SUM($F$19:CY19)-SUM($F$26:CY26)+CZ19+(CZ$23-CZ$12)/(DA$12-CZ$12)*DA19)</f>
        <v>0</v>
      </c>
      <c r="DA26" s="510">
        <f ca="1">(DA23=$B$9)*DA19+((DA$23-DA$12)/(DB$12-DA$12)*DB19+(DA$12-CZ$23)/(DA$12-CZ$12)*DA19)*(DA23&gt;$B$10)+(DA23=$B$10)*(SUM($F$19:CZ19)-SUM($F$26:CZ26)+DA19+(DA$23-DA$12)/(DB$12-DA$12)*DB19)</f>
        <v>0</v>
      </c>
      <c r="DB26" s="510">
        <f ca="1">(DB23=$B$9)*DB19+((DB$23-DB$12)/(DC$12-DB$12)*DC19+(DB$12-DA$23)/(DB$12-DA$12)*DB19)*(DB23&gt;$B$10)+(DB23=$B$10)*(SUM($F$19:DA19)-SUM($F$26:DA26)+DB19+(DB$23-DB$12)/(DC$12-DB$12)*DC19)</f>
        <v>0</v>
      </c>
      <c r="DC26" s="510">
        <f ca="1">(DC23=$B$9)*DC19+((DC$23-DC$12)/(DD$12-DC$12)*DD19+(DC$12-DB$23)/(DC$12-DB$12)*DC19)*(DC23&gt;$B$10)+(DC23=$B$10)*(SUM($F$19:DB19)-SUM($F$26:DB26)+DC19+(DC$23-DC$12)/(DD$12-DC$12)*DD19)</f>
        <v>0</v>
      </c>
      <c r="DD26" s="510">
        <f ca="1">(DD23=$B$9)*DD19+((DD$23-DD$12)/(DE$12-DD$12)*DE19+(DD$12-DC$23)/(DD$12-DC$12)*DD19)*(DD23&gt;$B$10)+(DD23=$B$10)*(SUM($F$19:DC19)-SUM($F$26:DC26)+DD19+(DD$23-DD$12)/(DE$12-DD$12)*DE19)</f>
        <v>0</v>
      </c>
      <c r="DE26" s="510">
        <f ca="1">(DE23=$B$9)*DE19+((DE$23-DE$12)/(DF$12-DE$12)*DF19+(DE$12-DD$23)/(DE$12-DD$12)*DE19)*(DE23&gt;$B$10)+(DE23=$B$10)*(SUM($F$19:DD19)-SUM($F$26:DD26)+DE19+(DE$23-DE$12)/(DF$12-DE$12)*DF19)</f>
        <v>0</v>
      </c>
      <c r="DF26" s="510">
        <f ca="1">(DF23=$B$9)*DF19+((DF$23-DF$12)/(DG$12-DF$12)*DG19+(DF$12-DE$23)/(DF$12-DE$12)*DF19)*(DF23&gt;$B$10)+(DF23=$B$10)*(SUM($F$19:DE19)-SUM($F$26:DE26)+DF19+(DF$23-DF$12)/(DG$12-DF$12)*DG19)</f>
        <v>0</v>
      </c>
      <c r="DG26" s="510">
        <f ca="1">(DG23=$B$9)*DG19+((DG$23-DG$12)/(DH$12-DG$12)*DH19+(DG$12-DF$23)/(DG$12-DF$12)*DG19)*(DG23&gt;$B$10)+(DG23=$B$10)*(SUM($F$19:DF19)-SUM($F$26:DF26)+DG19+(DG$23-DG$12)/(DH$12-DG$12)*DH19)</f>
        <v>0</v>
      </c>
      <c r="DH26" s="510">
        <f ca="1">(DH23=$B$9)*DH19+((DH$23-DH$12)/(DI$12-DH$12)*DI19+(DH$12-DG$23)/(DH$12-DG$12)*DH19)*(DH23&gt;$B$10)+(DH23=$B$10)*(SUM($F$19:DG19)-SUM($F$26:DG26)+DH19+(DH$23-DH$12)/(DI$12-DH$12)*DI19)</f>
        <v>0</v>
      </c>
      <c r="DI26" s="510">
        <f ca="1">(DI23=$B$9)*DI19+((DI$23-DI$12)/(DJ$12-DI$12)*DJ19+(DI$12-DH$23)/(DI$12-DH$12)*DI19)*(DI23&gt;$B$10)+(DI23=$B$10)*(SUM($F$19:DH19)-SUM($F$26:DH26)+DI19+(DI$23-DI$12)/(DJ$12-DI$12)*DJ19)</f>
        <v>0</v>
      </c>
      <c r="DJ26" s="510">
        <f ca="1">(DJ23=$B$9)*DJ19+((DJ$23-DJ$12)/(DK$12-DJ$12)*DK19+(DJ$12-DI$23)/(DJ$12-DI$12)*DJ19)*(DJ23&gt;$B$10)+(DJ23=$B$10)*(SUM($F$19:DI19)-SUM($F$26:DI26)+DJ19+(DJ$23-DJ$12)/(DK$12-DJ$12)*DK19)</f>
        <v>0</v>
      </c>
      <c r="DK26" s="510">
        <f ca="1">(DK23=$B$9)*DK19+((DK$23-DK$12)/(DL$12-DK$12)*DL19+(DK$12-DJ$23)/(DK$12-DJ$12)*DK19)*(DK23&gt;$B$10)+(DK23=$B$10)*(SUM($F$19:DJ19)-SUM($F$26:DJ26)+DK19+(DK$23-DK$12)/(DL$12-DK$12)*DL19)</f>
        <v>0</v>
      </c>
      <c r="DL26" s="510">
        <f ca="1">(DL23=$B$9)*DL19+((DL$23-DL$12)/(DM$12-DL$12)*DM19+(DL$12-DK$23)/(DL$12-DK$12)*DL19)*(DL23&gt;$B$10)+(DL23=$B$10)*(SUM($F$19:DK19)-SUM($F$26:DK26)+DL19+(DL$23-DL$12)/(DM$12-DL$12)*DM19)</f>
        <v>0</v>
      </c>
      <c r="DM26" s="510">
        <f ca="1">(DM23=$B$9)*DM19+((DM$23-DM$12)/(DN$12-DM$12)*DN19+(DM$12-DL$23)/(DM$12-DL$12)*DM19)*(DM23&gt;$B$10)+(DM23=$B$10)*(SUM($F$19:DL19)-SUM($F$26:DL26)+DM19+(DM$23-DM$12)/(DN$12-DM$12)*DN19)</f>
        <v>0</v>
      </c>
      <c r="DN26" s="510">
        <f ca="1">(DN23=$B$9)*DN19+((DN$23-DN$12)/(DO$12-DN$12)*DO19+(DN$12-DM$23)/(DN$12-DM$12)*DN19)*(DN23&gt;$B$10)+(DN23=$B$10)*(SUM($F$19:DM19)-SUM($F$26:DM26)+DN19+(DN$23-DN$12)/(DO$12-DN$12)*DO19)</f>
        <v>0</v>
      </c>
      <c r="DO26" s="510">
        <f ca="1">(DO23=$B$9)*DO19+((DO$23-DO$12)/(DP$12-DO$12)*DP19+(DO$12-DN$23)/(DO$12-DN$12)*DO19)*(DO23&gt;$B$10)+(DO23=$B$10)*(SUM($F$19:DN19)-SUM($F$26:DN26)+DO19+(DO$23-DO$12)/(DP$12-DO$12)*DP19)</f>
        <v>0</v>
      </c>
      <c r="DP26" s="510">
        <f ca="1">(DP23=$B$9)*DP19+((DP$23-DP$12)/(DQ$12-DP$12)*DQ19+(DP$12-DO$23)/(DP$12-DO$12)*DP19)*(DP23&gt;$B$10)+(DP23=$B$10)*(SUM($F$19:DO19)-SUM($F$26:DO26)+DP19+(DP$23-DP$12)/(DQ$12-DP$12)*DQ19)</f>
        <v>0</v>
      </c>
      <c r="DQ26" s="510">
        <f ca="1">(DQ23=$B$9)*DQ19+((DQ$23-DQ$12)/(DR$12-DQ$12)*DR19+(DQ$12-DP$23)/(DQ$12-DP$12)*DQ19)*(DQ23&gt;$B$10)+(DQ23=$B$10)*(SUM($F$19:DP19)-SUM($F$26:DP26)+DQ19+(DQ$23-DQ$12)/(DR$12-DQ$12)*DR19)</f>
        <v>0</v>
      </c>
      <c r="DR26" s="510">
        <f ca="1">(DR23=$B$9)*DR19+((DR$23-DR$12)/(DS$12-DR$12)*DS19+(DR$12-DQ$23)/(DR$12-DQ$12)*DR19)*(DR23&gt;$B$10)+(DR23=$B$10)*(SUM($F$19:DQ19)-SUM($F$26:DQ26)+DR19+(DR$23-DR$12)/(DS$12-DR$12)*DS19)</f>
        <v>0</v>
      </c>
      <c r="DS26" s="510">
        <f ca="1">(DS23=$B$9)*DS19+((DS$23-DS$12)/(DT$12-DS$12)*DT19+(DS$12-DR$23)/(DS$12-DR$12)*DS19)*(DS23&gt;$B$10)+(DS23=$B$10)*(SUM($F$19:DR19)-SUM($F$26:DR26)+DS19+(DS$23-DS$12)/(DT$12-DS$12)*DT19)</f>
        <v>0</v>
      </c>
      <c r="DT26" s="510">
        <f ca="1">(DT23=$B$9)*DT19+((DT$23-DT$12)/(DU$12-DT$12)*DU19+(DT$12-DS$23)/(DT$12-DS$12)*DT19)*(DT23&gt;$B$10)+(DT23=$B$10)*(SUM($F$19:DS19)-SUM($F$26:DS26)+DT19+(DT$23-DT$12)/(DU$12-DT$12)*DU19)</f>
        <v>0</v>
      </c>
      <c r="DU26" s="510">
        <f ca="1">(DU23=$B$9)*DU19+((DU$23-DU$12)/(DV$12-DU$12)*DV19+(DU$12-DT$23)/(DU$12-DT$12)*DU19)*(DU23&gt;$B$10)+(DU23=$B$10)*(SUM($F$19:DT19)-SUM($F$26:DT26)+DU19+(DU$23-DU$12)/(DV$12-DU$12)*DV19)</f>
        <v>0</v>
      </c>
      <c r="DV26" s="510">
        <f ca="1">(DV23=$B$9)*DV19+((DV$23-DV$12)/(DW$12-DV$12)*DW19+(DV$12-DU$23)/(DV$12-DU$12)*DV19)*(DV23&gt;$B$10)+(DV23=$B$10)*(SUM($F$19:DU19)-SUM($F$26:DU26)+DV19+(DV$23-DV$12)/(DW$12-DV$12)*DW19)</f>
        <v>0</v>
      </c>
      <c r="DW26" s="510">
        <f ca="1">(DW23=$B$9)*DW19+((DW$23-DW$12)/(DX$12-DW$12)*DX19+(DW$12-DV$23)/(DW$12-DV$12)*DW19)*(DW23&gt;$B$10)+(DW23=$B$10)*(SUM($F$19:DV19)-SUM($F$26:DV26)+DW19+(DW$23-DW$12)/(DX$12-DW$12)*DX19)</f>
        <v>0</v>
      </c>
      <c r="DX26" s="873"/>
      <c r="DY26" s="873"/>
      <c r="DZ26" s="873"/>
      <c r="EA26" s="873"/>
    </row>
    <row r="27" spans="1:131">
      <c r="A27" s="1019" t="str">
        <f>A20</f>
        <v>Net Dividend Flows</v>
      </c>
      <c r="B27" s="673"/>
      <c r="C27" s="673"/>
      <c r="D27" s="476"/>
      <c r="E27" s="476"/>
      <c r="F27" s="611"/>
      <c r="G27" s="510">
        <f ca="1">(G23=$B$9)*G20+((G$23-G$12)/(H$12-G$12)*H20+(G$12-F$23)/(G$12-F$12)*G20)*(G23&gt;$B$10)+(G23=$B$10)*(SUM($F$20:F20)-SUM($F$27:F27)+G20+(G$23-G$12)/(H$12-G$12)*H20)</f>
        <v>-500</v>
      </c>
      <c r="H27" s="510">
        <f ca="1">(H23=$B$9)*H20+((H$23-H$12)/(I$12-H$12)*I20+(H$12-G$23)/(H$12-G$12)*H20)*(H23&gt;$B$10)+(H23=$B$10)*(SUM($F$20:G20)-SUM($F$27:G27)+H20+(H$23-H$12)/(I$12-H$12)*I20)</f>
        <v>0</v>
      </c>
      <c r="I27" s="510">
        <f ca="1">(I23=$B$9)*I20+((I$23-I$12)/(J$12-I$12)*J20+(I$12-H$23)/(I$12-H$12)*I20)*(I23&gt;$B$10)+(I23=$B$10)*(SUM($F$20:H20)-SUM($F$27:H27)+I20+(I$23-I$12)/(J$12-I$12)*J20)</f>
        <v>0</v>
      </c>
      <c r="J27" s="510">
        <f ca="1">(J23=$B$9)*J20+((J$23-J$12)/(K$12-J$12)*K20+(J$12-I$23)/(J$12-I$12)*J20)*(J23&gt;$B$10)+(J23=$B$10)*(SUM($F$20:I20)-SUM($F$27:I27)+J20+(J$23-J$12)/(K$12-J$12)*K20)</f>
        <v>0</v>
      </c>
      <c r="K27" s="510">
        <f ca="1">(K23=$B$9)*K20+((K$23-K$12)/(L$12-K$12)*L20+(K$12-J$23)/(K$12-J$12)*K20)*(K23&gt;$B$10)+(K23=$B$10)*(SUM($F$20:J20)-SUM($F$27:J27)+K20+(K$23-K$12)/(L$12-K$12)*L20)</f>
        <v>0</v>
      </c>
      <c r="L27" s="510">
        <f ca="1">(L23=$B$9)*L20+((L$23-L$12)/(M$12-L$12)*M20+(L$12-K$23)/(L$12-K$12)*L20)*(L23&gt;$B$10)+(L23=$B$10)*(SUM($F$20:K20)-SUM($F$27:K27)+L20+(L$23-L$12)/(M$12-L$12)*M20)</f>
        <v>0</v>
      </c>
      <c r="M27" s="510">
        <f ca="1">(M23=$B$9)*M20+((M$23-M$12)/(N$12-M$12)*N20+(M$12-L$23)/(M$12-L$12)*M20)*(M23&gt;$B$10)+(M23=$B$10)*(SUM($F$20:L20)-SUM($F$27:L27)+M20+(M$23-M$12)/(N$12-M$12)*N20)</f>
        <v>0</v>
      </c>
      <c r="N27" s="510">
        <f ca="1">(N23=$B$9)*N20+((N$23-N$12)/(O$12-N$12)*O20+(N$12-M$23)/(N$12-M$12)*N20)*(N23&gt;$B$10)+(N23=$B$10)*(SUM($F$20:M20)-SUM($F$27:M27)+N20+(N$23-N$12)/(O$12-N$12)*O20)</f>
        <v>0</v>
      </c>
      <c r="O27" s="510">
        <f ca="1">(O23=$B$9)*O20+((O$23-O$12)/(P$12-O$12)*P20+(O$12-N$23)/(O$12-N$12)*O20)*(O23&gt;$B$10)+(O23=$B$10)*(SUM($F$20:N20)-SUM($F$27:N27)+O20+(O$23-O$12)/(P$12-O$12)*P20)</f>
        <v>0</v>
      </c>
      <c r="P27" s="510">
        <f ca="1">(P23=$B$9)*P20+((P$23-P$12)/(Q$12-P$12)*Q20+(P$12-O$23)/(P$12-O$12)*P20)*(P23&gt;$B$10)+(P23=$B$10)*(SUM($F$20:O20)-SUM($F$27:O27)+P20+(P$23-P$12)/(Q$12-P$12)*Q20)</f>
        <v>0</v>
      </c>
      <c r="Q27" s="510">
        <f ca="1">(Q23=$B$9)*Q20+((Q$23-Q$12)/(R$12-Q$12)*R20+(Q$12-P$23)/(Q$12-P$12)*Q20)*(Q23&gt;$B$10)+(Q23=$B$10)*(SUM($F$20:P20)-SUM($F$27:P27)+Q20+(Q$23-Q$12)/(R$12-Q$12)*R20)</f>
        <v>0</v>
      </c>
      <c r="R27" s="510">
        <f ca="1">(R23=$B$9)*R20+((R$23-R$12)/(S$12-R$12)*S20+(R$12-Q$23)/(R$12-Q$12)*R20)*(R23&gt;$B$10)+(R23=$B$10)*(SUM($F$20:Q20)-SUM($F$27:Q27)+R20+(R$23-R$12)/(S$12-R$12)*S20)</f>
        <v>0</v>
      </c>
      <c r="S27" s="510">
        <f ca="1">(S23=$B$9)*S20+((S$23-S$12)/(T$12-S$12)*T20+(S$12-R$23)/(S$12-R$12)*S20)*(S23&gt;$B$10)+(S23=$B$10)*(SUM($F$20:R20)-SUM($F$27:R27)+S20+(S$23-S$12)/(T$12-S$12)*T20)</f>
        <v>0</v>
      </c>
      <c r="T27" s="510">
        <f ca="1">(T23=$B$9)*T20+((T$23-T$12)/(U$12-T$12)*U20+(T$12-S$23)/(T$12-S$12)*T20)*(T23&gt;$B$10)+(T23=$B$10)*(SUM($F$20:S20)-SUM($F$27:S27)+T20+(T$23-T$12)/(U$12-T$12)*U20)</f>
        <v>0</v>
      </c>
      <c r="U27" s="510">
        <f ca="1">(U23=$B$9)*U20+((U$23-U$12)/(V$12-U$12)*V20+(U$12-T$23)/(U$12-T$12)*U20)*(U23&gt;$B$10)+(U23=$B$10)*(SUM($F$20:T20)-SUM($F$27:T27)+U20+(U$23-U$12)/(V$12-U$12)*V20)</f>
        <v>0</v>
      </c>
      <c r="V27" s="510">
        <f ca="1">(V23=$B$9)*V20+((V$23-V$12)/(W$12-V$12)*W20+(V$12-U$23)/(V$12-U$12)*V20)*(V23&gt;$B$10)+(V23=$B$10)*(SUM($F$20:U20)-SUM($F$27:U27)+V20+(V$23-V$12)/(W$12-V$12)*W20)</f>
        <v>0</v>
      </c>
      <c r="W27" s="510">
        <f ca="1">(W23=$B$9)*W20+((W$23-W$12)/(X$12-W$12)*X20+(W$12-V$23)/(W$12-V$12)*W20)*(W23&gt;$B$10)+(W23=$B$10)*(SUM($F$20:V20)-SUM($F$27:V27)+W20+(W$23-W$12)/(X$12-W$12)*X20)</f>
        <v>0</v>
      </c>
      <c r="X27" s="510">
        <f ca="1">(X23=$B$9)*X20+((X$23-X$12)/(Y$12-X$12)*Y20+(X$12-W$23)/(X$12-W$12)*X20)*(X23&gt;$B$10)+(X23=$B$10)*(SUM($F$20:W20)-SUM($F$27:W27)+X20+(X$23-X$12)/(Y$12-X$12)*Y20)</f>
        <v>0</v>
      </c>
      <c r="Y27" s="510">
        <f ca="1">(Y23=$B$9)*Y20+((Y$23-Y$12)/(Z$12-Y$12)*Z20+(Y$12-X$23)/(Y$12-X$12)*Y20)*(Y23&gt;$B$10)+(Y23=$B$10)*(SUM($F$20:X20)-SUM($F$27:X27)+Y20+(Y$23-Y$12)/(Z$12-Y$12)*Z20)</f>
        <v>0</v>
      </c>
      <c r="Z27" s="510">
        <f ca="1">(Z23=$B$9)*Z20+((Z$23-Z$12)/(AA$12-Z$12)*AA20+(Z$12-Y$23)/(Z$12-Y$12)*Z20)*(Z23&gt;$B$10)+(Z23=$B$10)*(SUM($F$20:Y20)-SUM($F$27:Y27)+Z20+(Z$23-Z$12)/(AA$12-Z$12)*AA20)</f>
        <v>0</v>
      </c>
      <c r="AA27" s="510">
        <f ca="1">(AA23=$B$9)*AA20+((AA$23-AA$12)/(AB$12-AA$12)*AB20+(AA$12-Z$23)/(AA$12-Z$12)*AA20)*(AA23&gt;$B$10)+(AA23=$B$10)*(SUM($F$20:Z20)-SUM($F$27:Z27)+AA20+(AA$23-AA$12)/(AB$12-AA$12)*AB20)</f>
        <v>0</v>
      </c>
      <c r="AB27" s="510">
        <f ca="1">(AB23=$B$9)*AB20+((AB$23-AB$12)/(AC$12-AB$12)*AC20+(AB$12-AA$23)/(AB$12-AA$12)*AB20)*(AB23&gt;$B$10)+(AB23=$B$10)*(SUM($F$20:AA20)-SUM($F$27:AA27)+AB20+(AB$23-AB$12)/(AC$12-AB$12)*AC20)</f>
        <v>0</v>
      </c>
      <c r="AC27" s="510">
        <f ca="1">(AC23=$B$9)*AC20+((AC$23-AC$12)/(AD$12-AC$12)*AD20+(AC$12-AB$23)/(AC$12-AB$12)*AC20)*(AC23&gt;$B$10)+(AC23=$B$10)*(SUM($F$20:AB20)-SUM($F$27:AB27)+AC20+(AC$23-AC$12)/(AD$12-AC$12)*AD20)</f>
        <v>0</v>
      </c>
      <c r="AD27" s="510">
        <f ca="1">(AD23=$B$9)*AD20+((AD$23-AD$12)/(AE$12-AD$12)*AE20+(AD$12-AC$23)/(AD$12-AC$12)*AD20)*(AD23&gt;$B$10)+(AD23=$B$10)*(SUM($F$20:AC20)-SUM($F$27:AC27)+AD20+(AD$23-AD$12)/(AE$12-AD$12)*AE20)</f>
        <v>0</v>
      </c>
      <c r="AE27" s="510">
        <f ca="1">(AE23=$B$9)*AE20+((AE$23-AE$12)/(AF$12-AE$12)*AF20+(AE$12-AD$23)/(AE$12-AD$12)*AE20)*(AE23&gt;$B$10)+(AE23=$B$10)*(SUM($F$20:AD20)-SUM($F$27:AD27)+AE20+(AE$23-AE$12)/(AF$12-AE$12)*AF20)</f>
        <v>0</v>
      </c>
      <c r="AF27" s="510">
        <f ca="1">(AF23=$B$9)*AF20+((AF$23-AF$12)/(AG$12-AF$12)*AG20+(AF$12-AE$23)/(AF$12-AE$12)*AF20)*(AF23&gt;$B$10)+(AF23=$B$10)*(SUM($F$20:AE20)-SUM($F$27:AE27)+AF20+(AF$23-AF$12)/(AG$12-AF$12)*AG20)</f>
        <v>0</v>
      </c>
      <c r="AG27" s="510">
        <f ca="1">(AG23=$B$9)*AG20+((AG$23-AG$12)/(AH$12-AG$12)*AH20+(AG$12-AF$23)/(AG$12-AF$12)*AG20)*(AG23&gt;$B$10)+(AG23=$B$10)*(SUM($F$20:AF20)-SUM($F$27:AF27)+AG20+(AG$23-AG$12)/(AH$12-AG$12)*AH20)</f>
        <v>0</v>
      </c>
      <c r="AH27" s="510">
        <f ca="1">(AH23=$B$9)*AH20+((AH$23-AH$12)/(AI$12-AH$12)*AI20+(AH$12-AG$23)/(AH$12-AG$12)*AH20)*(AH23&gt;$B$10)+(AH23=$B$10)*(SUM($F$20:AG20)-SUM($F$27:AG27)+AH20+(AH$23-AH$12)/(AI$12-AH$12)*AI20)</f>
        <v>0</v>
      </c>
      <c r="AI27" s="510">
        <f ca="1">(AI23=$B$9)*AI20+((AI$23-AI$12)/(AJ$12-AI$12)*AJ20+(AI$12-AH$23)/(AI$12-AH$12)*AI20)*(AI23&gt;$B$10)+(AI23=$B$10)*(SUM($F$20:AH20)-SUM($F$27:AH27)+AI20+(AI$23-AI$12)/(AJ$12-AI$12)*AJ20)</f>
        <v>0</v>
      </c>
      <c r="AJ27" s="510">
        <f ca="1">(AJ23=$B$9)*AJ20+((AJ$23-AJ$12)/(AK$12-AJ$12)*AK20+(AJ$12-AI$23)/(AJ$12-AI$12)*AJ20)*(AJ23&gt;$B$10)+(AJ23=$B$10)*(SUM($F$20:AI20)-SUM($F$27:AI27)+AJ20+(AJ$23-AJ$12)/(AK$12-AJ$12)*AK20)</f>
        <v>0</v>
      </c>
      <c r="AK27" s="510">
        <f ca="1">(AK23=$B$9)*AK20+((AK$23-AK$12)/(AL$12-AK$12)*AL20+(AK$12-AJ$23)/(AK$12-AJ$12)*AK20)*(AK23&gt;$B$10)+(AK23=$B$10)*(SUM($F$20:AJ20)-SUM($F$27:AJ27)+AK20+(AK$23-AK$12)/(AL$12-AK$12)*AL20)</f>
        <v>0</v>
      </c>
      <c r="AL27" s="510">
        <f ca="1">(AL23=$B$9)*AL20+((AL$23-AL$12)/(AM$12-AL$12)*AM20+(AL$12-AK$23)/(AL$12-AK$12)*AL20)*(AL23&gt;$B$10)+(AL23=$B$10)*(SUM($F$20:AK20)-SUM($F$27:AK27)+AL20+(AL$23-AL$12)/(AM$12-AL$12)*AM20)</f>
        <v>0</v>
      </c>
      <c r="AM27" s="510">
        <f ca="1">(AM23=$B$9)*AM20+((AM$23-AM$12)/(AN$12-AM$12)*AN20+(AM$12-AL$23)/(AM$12-AL$12)*AM20)*(AM23&gt;$B$10)+(AM23=$B$10)*(SUM($F$20:AL20)-SUM($F$27:AL27)+AM20+(AM$23-AM$12)/(AN$12-AM$12)*AN20)</f>
        <v>0</v>
      </c>
      <c r="AN27" s="510">
        <f ca="1">(AN23=$B$9)*AN20+((AN$23-AN$12)/(AO$12-AN$12)*AO20+(AN$12-AM$23)/(AN$12-AM$12)*AN20)*(AN23&gt;$B$10)+(AN23=$B$10)*(SUM($F$20:AM20)-SUM($F$27:AM27)+AN20+(AN$23-AN$12)/(AO$12-AN$12)*AO20)</f>
        <v>0</v>
      </c>
      <c r="AO27" s="510">
        <f ca="1">(AO23=$B$9)*AO20+((AO$23-AO$12)/(AP$12-AO$12)*AP20+(AO$12-AN$23)/(AO$12-AN$12)*AO20)*(AO23&gt;$B$10)+(AO23=$B$10)*(SUM($F$20:AN20)-SUM($F$27:AN27)+AO20+(AO$23-AO$12)/(AP$12-AO$12)*AP20)</f>
        <v>0</v>
      </c>
      <c r="AP27" s="510">
        <f ca="1">(AP23=$B$9)*AP20+((AP$23-AP$12)/(AQ$12-AP$12)*AQ20+(AP$12-AO$23)/(AP$12-AO$12)*AP20)*(AP23&gt;$B$10)+(AP23=$B$10)*(SUM($F$20:AO20)-SUM($F$27:AO27)+AP20+(AP$23-AP$12)/(AQ$12-AP$12)*AQ20)</f>
        <v>0</v>
      </c>
      <c r="AQ27" s="510">
        <f ca="1">(AQ23=$B$9)*AQ20+((AQ$23-AQ$12)/(AR$12-AQ$12)*AR20+(AQ$12-AP$23)/(AQ$12-AP$12)*AQ20)*(AQ23&gt;$B$10)+(AQ23=$B$10)*(SUM($F$20:AP20)-SUM($F$27:AP27)+AQ20+(AQ$23-AQ$12)/(AR$12-AQ$12)*AR20)</f>
        <v>0</v>
      </c>
      <c r="AR27" s="510">
        <f ca="1">(AR23=$B$9)*AR20+((AR$23-AR$12)/(AS$12-AR$12)*AS20+(AR$12-AQ$23)/(AR$12-AQ$12)*AR20)*(AR23&gt;$B$10)+(AR23=$B$10)*(SUM($F$20:AQ20)-SUM($F$27:AQ27)+AR20+(AR$23-AR$12)/(AS$12-AR$12)*AS20)</f>
        <v>0</v>
      </c>
      <c r="AS27" s="510">
        <f ca="1">(AS23=$B$9)*AS20+((AS$23-AS$12)/(AT$12-AS$12)*AT20+(AS$12-AR$23)/(AS$12-AR$12)*AS20)*(AS23&gt;$B$10)+(AS23=$B$10)*(SUM($F$20:AR20)-SUM($F$27:AR27)+AS20+(AS$23-AS$12)/(AT$12-AS$12)*AT20)</f>
        <v>0</v>
      </c>
      <c r="AT27" s="510">
        <f ca="1">(AT23=$B$9)*AT20+((AT$23-AT$12)/(AU$12-AT$12)*AU20+(AT$12-AS$23)/(AT$12-AS$12)*AT20)*(AT23&gt;$B$10)+(AT23=$B$10)*(SUM($F$20:AS20)-SUM($F$27:AS27)+AT20+(AT$23-AT$12)/(AU$12-AT$12)*AU20)</f>
        <v>0.20810589905741414</v>
      </c>
      <c r="AU27" s="510">
        <f ca="1">(AU23=$B$9)*AU20+((AU$23-AU$12)/(AV$12-AU$12)*AV20+(AU$12-AT$23)/(AU$12-AT$12)*AU20)*(AU23&gt;$B$10)+(AU23=$B$10)*(SUM($F$20:AT20)-SUM($F$27:AT27)+AU20+(AU$23-AU$12)/(AV$12-AU$12)*AV20)</f>
        <v>53.690190817316278</v>
      </c>
      <c r="AV27" s="510">
        <f ca="1">(AV23=$B$9)*AV20+((AV$23-AV$12)/(AW$12-AV$12)*AW20+(AV$12-AU$23)/(AV$12-AU$12)*AV20)*(AV23&gt;$B$10)+(AV23=$B$10)*(SUM($F$20:AU20)-SUM($F$27:AU27)+AV20+(AV$23-AV$12)/(AW$12-AV$12)*AW20)</f>
        <v>2983.7674178961593</v>
      </c>
      <c r="AW27" s="510">
        <f ca="1">(AW23=$B$9)*AW20+((AW$23-AW$12)/(AX$12-AW$12)*AX20+(AW$12-AV$23)/(AW$12-AV$12)*AW20)*(AW23&gt;$B$10)+(AW23=$B$10)*(SUM($F$20:AV20)-SUM($F$27:AV27)+AW20+(AW$23-AW$12)/(AX$12-AW$12)*AX20)</f>
        <v>2441.3333975635619</v>
      </c>
      <c r="AX27" s="510">
        <f ca="1">(AX23=$B$9)*AX20+((AX$23-AX$12)/(AY$12-AX$12)*AY20+(AX$12-AW$23)/(AX$12-AW$12)*AX20)*(AX23&gt;$B$10)+(AX23=$B$10)*(SUM($F$20:AW20)-SUM($F$27:AW27)+AX20+(AX$23-AX$12)/(AY$12-AX$12)*AY20)</f>
        <v>3049.0719732914777</v>
      </c>
      <c r="AY27" s="510">
        <f ca="1">(AY23=$B$9)*AY20+((AY$23-AY$12)/(AZ$12-AY$12)*AZ20+(AY$12-AX$23)/(AY$12-AX$12)*AY20)*(AY23&gt;$B$10)+(AY23=$B$10)*(SUM($F$20:AX20)-SUM($F$27:AX27)+AY20+(AY$23-AY$12)/(AZ$12-AY$12)*AZ20)</f>
        <v>2487.4846336080732</v>
      </c>
      <c r="AZ27" s="510">
        <f ca="1">(AZ23=$B$9)*AZ20+((AZ$23-AZ$12)/(BA$12-AZ$12)*BA20+(AZ$12-AY$23)/(AZ$12-AY$12)*AZ20)*(AZ23&gt;$B$10)+(AZ23=$B$10)*(SUM($F$20:AY20)-SUM($F$27:AY27)+AZ20+(AZ$23-AZ$12)/(BA$12-AZ$12)*BA20)</f>
        <v>3107.4457076630943</v>
      </c>
      <c r="BA27" s="510">
        <f ca="1">(BA23=$B$9)*BA20+((BA$23-BA$12)/(BB$12-BA$12)*BB20+(BA$12-AZ$23)/(BA$12-AZ$12)*BA20)*(BA23&gt;$B$10)+(BA23=$B$10)*(SUM($F$20:AZ20)-SUM($F$27:AZ27)+BA20+(BA$23-BA$12)/(BB$12-BA$12)*BB20)</f>
        <v>2517.5080219128567</v>
      </c>
      <c r="BB27" s="510">
        <f ca="1">(BB23=$B$9)*BB20+((BB$23-BB$12)/(BC$12-BB$12)*BC20+(BB$12-BA$23)/(BB$12-BA$12)*BB20)*(BB23&gt;$B$10)+(BB23=$B$10)*(SUM($F$20:BA20)-SUM($F$27:BA27)+BB20+(BB$23-BB$12)/(BC$12-BB$12)*BC20)</f>
        <v>3156.1747688474229</v>
      </c>
      <c r="BC27" s="510">
        <f ca="1">(BC23=$B$9)*BC20+((BC$23-BC$12)/(BD$12-BC$12)*BD20+(BC$12-BB$23)/(BC$12-BB$12)*BC20)*(BC23&gt;$B$10)+(BC23=$B$10)*(SUM($F$20:BB20)-SUM($F$27:BB27)+BC20+(BC$23-BC$12)/(BD$12-BC$12)*BD20)</f>
        <v>2577.7984678589301</v>
      </c>
      <c r="BD27" s="510">
        <f ca="1">(BD23=$B$9)*BD20+((BD$23-BD$12)/(BE$12-BD$12)*BE20+(BD$12-BC$23)/(BD$12-BC$12)*BD20)*(BD23&gt;$B$10)+(BD23=$B$10)*(SUM($F$20:BC20)-SUM($F$27:BC27)+BD20+(BD$23-BD$12)/(BE$12-BD$12)*BE20)</f>
        <v>3228.839393259092</v>
      </c>
      <c r="BE27" s="510">
        <f ca="1">(BE23=$B$9)*BE20+((BE$23-BE$12)/(BF$12-BE$12)*BF20+(BE$12-BD$23)/(BE$12-BD$12)*BE20)*(BE23&gt;$B$10)+(BE23=$B$10)*(SUM($F$20:BD20)-SUM($F$27:BD27)+BE20+(BE$23-BE$12)/(BF$12-BE$12)*BF20)</f>
        <v>2613.0502037649162</v>
      </c>
      <c r="BF27" s="510">
        <f ca="1">(BF23=$B$9)*BF20+((BF$23-BF$12)/(BG$12-BF$12)*BG20+(BF$12-BE$23)/(BF$12-BE$12)*BF20)*(BF23&gt;$B$10)+(BF23=$B$10)*(SUM($F$20:BE20)-SUM($F$27:BE27)+BF20+(BF$23-BF$12)/(BG$12-BF$12)*BG20)</f>
        <v>3267.2441163985814</v>
      </c>
      <c r="BG27" s="510">
        <f ca="1">(BG23=$B$9)*BG20+((BG$23-BG$12)/(BH$12-BG$12)*BH20+(BG$12-BF$23)/(BG$12-BF$12)*BG20)*(BG23&gt;$B$10)+(BG23=$B$10)*(SUM($F$20:BF20)-SUM($F$27:BF27)+BG20+(BG$23-BG$12)/(BH$12-BG$12)*BH20)</f>
        <v>2646.9756391372011</v>
      </c>
      <c r="BH27" s="510">
        <f ca="1">(BH23=$B$9)*BH20+((BH$23-BH$12)/(BI$12-BH$12)*BI20+(BH$12-BG$23)/(BH$12-BG$12)*BH20)*(BH23&gt;$B$10)+(BH23=$B$10)*(SUM($F$20:BG20)-SUM($F$27:BG27)+BH20+(BH$23-BH$12)/(BI$12-BH$12)*BI20)</f>
        <v>3308.8653416339707</v>
      </c>
      <c r="BI27" s="510">
        <f ca="1">(BI23=$B$9)*BI20+((BI$23-BI$12)/(BJ$12-BI$12)*BJ20+(BI$12-BH$23)/(BI$12-BH$12)*BI20)*(BI23&gt;$B$10)+(BI23=$B$10)*(SUM($F$20:BH20)-SUM($F$27:BH27)+BI20+(BI$23-BI$12)/(BJ$12-BI$12)*BJ20)</f>
        <v>2661.3780378237479</v>
      </c>
      <c r="BJ27" s="510">
        <f ca="1">(BJ23=$B$9)*BJ20+((BJ$23-BJ$12)/(BK$12-BJ$12)*BK20+(BJ$12-BI$23)/(BJ$12-BI$12)*BJ20)*(BJ23&gt;$B$10)+(BJ23=$B$10)*(SUM($F$20:BI20)-SUM($F$27:BI27)+BJ20+(BJ$23-BJ$12)/(BK$12-BJ$12)*BK20)</f>
        <v>3338.4767150020889</v>
      </c>
      <c r="BK27" s="510">
        <f ca="1">(BK23=$B$9)*BK20+((BK$23-BK$12)/(BL$12-BK$12)*BL20+(BK$12-BJ$23)/(BK$12-BJ$12)*BK20)*(BK23&gt;$B$10)+(BK23=$B$10)*(SUM($F$20:BJ20)-SUM($F$27:BJ27)+BK20+(BK$23-BK$12)/(BL$12-BK$12)*BL20)</f>
        <v>2663.7314921670763</v>
      </c>
      <c r="BL27" s="510">
        <f ca="1">(BL23=$B$9)*BL20+((BL$23-BL$12)/(BM$12-BL$12)*BM20+(BL$12-BK$23)/(BL$12-BK$12)*BL20)*(BL23&gt;$B$10)+(BL23=$B$10)*(SUM($F$20:BK20)-SUM($F$27:BK27)+BL20+(BL$23-BL$12)/(BM$12-BL$12)*BM20)</f>
        <v>3344.1541819159343</v>
      </c>
      <c r="BM27" s="510">
        <f ca="1">(BM23=$B$9)*BM20+((BM$23-BM$12)/(BN$12-BM$12)*BN20+(BM$12-BL$23)/(BM$12-BL$12)*BM20)*(BM23&gt;$B$10)+(BM23=$B$10)*(SUM($F$20:BL20)-SUM($F$27:BL27)+BM20+(BM$23-BM$12)/(BN$12-BM$12)*BN20)</f>
        <v>2686.5586758534837</v>
      </c>
      <c r="BN27" s="510">
        <f ca="1">(BN23=$B$9)*BN20+((BN$23-BN$12)/(BO$12-BN$12)*BO20+(BN$12-BM$23)/(BN$12-BM$12)*BN20)*(BN23&gt;$B$10)+(BN23=$B$10)*(SUM($F$20:BM20)-SUM($F$27:BM27)+BN20+(BN$23-BN$12)/(BO$12-BN$12)*BO20)</f>
        <v>3360.8715638139779</v>
      </c>
      <c r="BO27" s="510">
        <f ca="1">(BO23=$B$9)*BO20+((BO$23-BO$12)/(BP$12-BO$12)*BP20+(BO$12-BN$23)/(BO$12-BN$12)*BO20)*(BO23&gt;$B$10)+(BO23=$B$10)*(SUM($F$20:BN20)-SUM($F$27:BN27)+BO20+(BO$23-BO$12)/(BP$12-BO$12)*BP20)</f>
        <v>2697.4701355060656</v>
      </c>
      <c r="BP27" s="510">
        <f ca="1">(BP23=$B$9)*BP20+((BP$23-BP$12)/(BQ$12-BP$12)*BQ20+(BP$12-BO$23)/(BP$12-BO$12)*BP20)*(BP23&gt;$B$10)+(BP23=$B$10)*(SUM($F$20:BO20)-SUM($F$27:BO27)+BP20+(BP$23-BP$12)/(BQ$12-BP$12)*BQ20)</f>
        <v>0</v>
      </c>
      <c r="BQ27" s="510">
        <f ca="1">(BQ23=$B$9)*BQ20+((BQ$23-BQ$12)/(BR$12-BQ$12)*BR20+(BQ$12-BP$23)/(BQ$12-BP$12)*BQ20)*(BQ23&gt;$B$10)+(BQ23=$B$10)*(SUM($F$20:BP20)-SUM($F$27:BP27)+BQ20+(BQ$23-BQ$12)/(BR$12-BQ$12)*BR20)</f>
        <v>0</v>
      </c>
      <c r="BR27" s="510">
        <f ca="1">(BR23=$B$9)*BR20+((BR$23-BR$12)/(BS$12-BR$12)*BS20+(BR$12-BQ$23)/(BR$12-BQ$12)*BR20)*(BR23&gt;$B$10)+(BR23=$B$10)*(SUM($F$20:BQ20)-SUM($F$27:BQ27)+BR20+(BR$23-BR$12)/(BS$12-BR$12)*BS20)</f>
        <v>0</v>
      </c>
      <c r="BS27" s="510">
        <f ca="1">(BS23=$B$9)*BS20+((BS$23-BS$12)/(BT$12-BS$12)*BT20+(BS$12-BR$23)/(BS$12-BR$12)*BS20)*(BS23&gt;$B$10)+(BS23=$B$10)*(SUM($F$20:BR20)-SUM($F$27:BR27)+BS20+(BS$23-BS$12)/(BT$12-BS$12)*BT20)</f>
        <v>0</v>
      </c>
      <c r="BT27" s="510">
        <f ca="1">(BT23=$B$9)*BT20+((BT$23-BT$12)/(BU$12-BT$12)*BU20+(BT$12-BS$23)/(BT$12-BS$12)*BT20)*(BT23&gt;$B$10)+(BT23=$B$10)*(SUM($F$20:BS20)-SUM($F$27:BS27)+BT20+(BT$23-BT$12)/(BU$12-BT$12)*BU20)</f>
        <v>0</v>
      </c>
      <c r="BU27" s="510">
        <f ca="1">(BU23=$B$9)*BU20+((BU$23-BU$12)/(BV$12-BU$12)*BV20+(BU$12-BT$23)/(BU$12-BT$12)*BU20)*(BU23&gt;$B$10)+(BU23=$B$10)*(SUM($F$20:BT20)-SUM($F$27:BT27)+BU20+(BU$23-BU$12)/(BV$12-BU$12)*BV20)</f>
        <v>0</v>
      </c>
      <c r="BV27" s="510">
        <f ca="1">(BV23=$B$9)*BV20+((BV$23-BV$12)/(BW$12-BV$12)*BW20+(BV$12-BU$23)/(BV$12-BU$12)*BV20)*(BV23&gt;$B$10)+(BV23=$B$10)*(SUM($F$20:BU20)-SUM($F$27:BU27)+BV20+(BV$23-BV$12)/(BW$12-BV$12)*BW20)</f>
        <v>0</v>
      </c>
      <c r="BW27" s="510">
        <f ca="1">(BW23=$B$9)*BW20+((BW$23-BW$12)/(BX$12-BW$12)*BX20+(BW$12-BV$23)/(BW$12-BV$12)*BW20)*(BW23&gt;$B$10)+(BW23=$B$10)*(SUM($F$20:BV20)-SUM($F$27:BV27)+BW20+(BW$23-BW$12)/(BX$12-BW$12)*BX20)</f>
        <v>0</v>
      </c>
      <c r="BX27" s="510">
        <f ca="1">(BX23=$B$9)*BX20+((BX$23-BX$12)/(BY$12-BX$12)*BY20+(BX$12-BW$23)/(BX$12-BW$12)*BX20)*(BX23&gt;$B$10)+(BX23=$B$10)*(SUM($F$20:BW20)-SUM($F$27:BW27)+BX20+(BX$23-BX$12)/(BY$12-BX$12)*BY20)</f>
        <v>0</v>
      </c>
      <c r="BY27" s="510">
        <f ca="1">(BY23=$B$9)*BY20+((BY$23-BY$12)/(BZ$12-BY$12)*BZ20+(BY$12-BX$23)/(BY$12-BX$12)*BY20)*(BY23&gt;$B$10)+(BY23=$B$10)*(SUM($F$20:BX20)-SUM($F$27:BX27)+BY20+(BY$23-BY$12)/(BZ$12-BY$12)*BZ20)</f>
        <v>0</v>
      </c>
      <c r="BZ27" s="510">
        <f ca="1">(BZ23=$B$9)*BZ20+((BZ$23-BZ$12)/(CA$12-BZ$12)*CA20+(BZ$12-BY$23)/(BZ$12-BY$12)*BZ20)*(BZ23&gt;$B$10)+(BZ23=$B$10)*(SUM($F$20:BY20)-SUM($F$27:BY27)+BZ20+(BZ$23-BZ$12)/(CA$12-BZ$12)*CA20)</f>
        <v>0</v>
      </c>
      <c r="CA27" s="510">
        <f ca="1">(CA23=$B$9)*CA20+((CA$23-CA$12)/(CB$12-CA$12)*CB20+(CA$12-BZ$23)/(CA$12-BZ$12)*CA20)*(CA23&gt;$B$10)+(CA23=$B$10)*(SUM($F$20:BZ20)-SUM($F$27:BZ27)+CA20+(CA$23-CA$12)/(CB$12-CA$12)*CB20)</f>
        <v>0</v>
      </c>
      <c r="CB27" s="510">
        <f ca="1">(CB23=$B$9)*CB20+((CB$23-CB$12)/(CC$12-CB$12)*CC20+(CB$12-CA$23)/(CB$12-CA$12)*CB20)*(CB23&gt;$B$10)+(CB23=$B$10)*(SUM($F$20:CA20)-SUM($F$27:CA27)+CB20+(CB$23-CB$12)/(CC$12-CB$12)*CC20)</f>
        <v>0</v>
      </c>
      <c r="CC27" s="510">
        <f ca="1">(CC23=$B$9)*CC20+((CC$23-CC$12)/(CD$12-CC$12)*CD20+(CC$12-CB$23)/(CC$12-CB$12)*CC20)*(CC23&gt;$B$10)+(CC23=$B$10)*(SUM($F$20:CB20)-SUM($F$27:CB27)+CC20+(CC$23-CC$12)/(CD$12-CC$12)*CD20)</f>
        <v>0</v>
      </c>
      <c r="CD27" s="510">
        <f ca="1">(CD23=$B$9)*CD20+((CD$23-CD$12)/(CE$12-CD$12)*CE20+(CD$12-CC$23)/(CD$12-CC$12)*CD20)*(CD23&gt;$B$10)+(CD23=$B$10)*(SUM($F$20:CC20)-SUM($F$27:CC27)+CD20+(CD$23-CD$12)/(CE$12-CD$12)*CE20)</f>
        <v>0</v>
      </c>
      <c r="CE27" s="510">
        <f ca="1">(CE23=$B$9)*CE20+((CE$23-CE$12)/(CF$12-CE$12)*CF20+(CE$12-CD$23)/(CE$12-CD$12)*CE20)*(CE23&gt;$B$10)+(CE23=$B$10)*(SUM($F$20:CD20)-SUM($F$27:CD27)+CE20+(CE$23-CE$12)/(CF$12-CE$12)*CF20)</f>
        <v>0</v>
      </c>
      <c r="CF27" s="510">
        <f ca="1">(CF23=$B$9)*CF20+((CF$23-CF$12)/(CG$12-CF$12)*CG20+(CF$12-CE$23)/(CF$12-CE$12)*CF20)*(CF23&gt;$B$10)+(CF23=$B$10)*(SUM($F$20:CE20)-SUM($F$27:CE27)+CF20+(CF$23-CF$12)/(CG$12-CF$12)*CG20)</f>
        <v>0</v>
      </c>
      <c r="CG27" s="510">
        <f ca="1">(CG23=$B$9)*CG20+((CG$23-CG$12)/(CH$12-CG$12)*CH20+(CG$12-CF$23)/(CG$12-CF$12)*CG20)*(CG23&gt;$B$10)+(CG23=$B$10)*(SUM($F$20:CF20)-SUM($F$27:CF27)+CG20+(CG$23-CG$12)/(CH$12-CG$12)*CH20)</f>
        <v>0</v>
      </c>
      <c r="CH27" s="510">
        <f ca="1">(CH23=$B$9)*CH20+((CH$23-CH$12)/(CI$12-CH$12)*CI20+(CH$12-CG$23)/(CH$12-CG$12)*CH20)*(CH23&gt;$B$10)+(CH23=$B$10)*(SUM($F$20:CG20)-SUM($F$27:CG27)+CH20+(CH$23-CH$12)/(CI$12-CH$12)*CI20)</f>
        <v>0</v>
      </c>
      <c r="CI27" s="510">
        <f ca="1">(CI23=$B$9)*CI20+((CI$23-CI$12)/(CJ$12-CI$12)*CJ20+(CI$12-CH$23)/(CI$12-CH$12)*CI20)*(CI23&gt;$B$10)+(CI23=$B$10)*(SUM($F$20:CH20)-SUM($F$27:CH27)+CI20+(CI$23-CI$12)/(CJ$12-CI$12)*CJ20)</f>
        <v>0</v>
      </c>
      <c r="CJ27" s="510">
        <f ca="1">(CJ23=$B$9)*CJ20+((CJ$23-CJ$12)/(CK$12-CJ$12)*CK20+(CJ$12-CI$23)/(CJ$12-CI$12)*CJ20)*(CJ23&gt;$B$10)+(CJ23=$B$10)*(SUM($F$20:CI20)-SUM($F$27:CI27)+CJ20+(CJ$23-CJ$12)/(CK$12-CJ$12)*CK20)</f>
        <v>0</v>
      </c>
      <c r="CK27" s="510">
        <f ca="1">(CK23=$B$9)*CK20+((CK$23-CK$12)/(CL$12-CK$12)*CL20+(CK$12-CJ$23)/(CK$12-CJ$12)*CK20)*(CK23&gt;$B$10)+(CK23=$B$10)*(SUM($F$20:CJ20)-SUM($F$27:CJ27)+CK20+(CK$23-CK$12)/(CL$12-CK$12)*CL20)</f>
        <v>0</v>
      </c>
      <c r="CL27" s="510">
        <f ca="1">(CL23=$B$9)*CL20+((CL$23-CL$12)/(CM$12-CL$12)*CM20+(CL$12-CK$23)/(CL$12-CK$12)*CL20)*(CL23&gt;$B$10)+(CL23=$B$10)*(SUM($F$20:CK20)-SUM($F$27:CK27)+CL20+(CL$23-CL$12)/(CM$12-CL$12)*CM20)</f>
        <v>0</v>
      </c>
      <c r="CM27" s="510">
        <f ca="1">(CM23=$B$9)*CM20+((CM$23-CM$12)/(CN$12-CM$12)*CN20+(CM$12-CL$23)/(CM$12-CL$12)*CM20)*(CM23&gt;$B$10)+(CM23=$B$10)*(SUM($F$20:CL20)-SUM($F$27:CL27)+CM20+(CM$23-CM$12)/(CN$12-CM$12)*CN20)</f>
        <v>0</v>
      </c>
      <c r="CN27" s="510">
        <f ca="1">(CN23=$B$9)*CN20+((CN$23-CN$12)/(CO$12-CN$12)*CO20+(CN$12-CM$23)/(CN$12-CM$12)*CN20)*(CN23&gt;$B$10)+(CN23=$B$10)*(SUM($F$20:CM20)-SUM($F$27:CM27)+CN20+(CN$23-CN$12)/(CO$12-CN$12)*CO20)</f>
        <v>0</v>
      </c>
      <c r="CO27" s="510">
        <f ca="1">(CO23=$B$9)*CO20+((CO$23-CO$12)/(CP$12-CO$12)*CP20+(CO$12-CN$23)/(CO$12-CN$12)*CO20)*(CO23&gt;$B$10)+(CO23=$B$10)*(SUM($F$20:CN20)-SUM($F$27:CN27)+CO20+(CO$23-CO$12)/(CP$12-CO$12)*CP20)</f>
        <v>0</v>
      </c>
      <c r="CP27" s="510">
        <f ca="1">(CP23=$B$9)*CP20+((CP$23-CP$12)/(CQ$12-CP$12)*CQ20+(CP$12-CO$23)/(CP$12-CO$12)*CP20)*(CP23&gt;$B$10)+(CP23=$B$10)*(SUM($F$20:CO20)-SUM($F$27:CO27)+CP20+(CP$23-CP$12)/(CQ$12-CP$12)*CQ20)</f>
        <v>0</v>
      </c>
      <c r="CQ27" s="510">
        <f ca="1">(CQ23=$B$9)*CQ20+((CQ$23-CQ$12)/(CR$12-CQ$12)*CR20+(CQ$12-CP$23)/(CQ$12-CP$12)*CQ20)*(CQ23&gt;$B$10)+(CQ23=$B$10)*(SUM($F$20:CP20)-SUM($F$27:CP27)+CQ20+(CQ$23-CQ$12)/(CR$12-CQ$12)*CR20)</f>
        <v>0</v>
      </c>
      <c r="CR27" s="510">
        <f ca="1">(CR23=$B$9)*CR20+((CR$23-CR$12)/(CS$12-CR$12)*CS20+(CR$12-CQ$23)/(CR$12-CQ$12)*CR20)*(CR23&gt;$B$10)+(CR23=$B$10)*(SUM($F$20:CQ20)-SUM($F$27:CQ27)+CR20+(CR$23-CR$12)/(CS$12-CR$12)*CS20)</f>
        <v>0</v>
      </c>
      <c r="CS27" s="510">
        <f ca="1">(CS23=$B$9)*CS20+((CS$23-CS$12)/(CT$12-CS$12)*CT20+(CS$12-CR$23)/(CS$12-CR$12)*CS20)*(CS23&gt;$B$10)+(CS23=$B$10)*(SUM($F$20:CR20)-SUM($F$27:CR27)+CS20+(CS$23-CS$12)/(CT$12-CS$12)*CT20)</f>
        <v>0</v>
      </c>
      <c r="CT27" s="510">
        <f ca="1">(CT23=$B$9)*CT20+((CT$23-CT$12)/(CU$12-CT$12)*CU20+(CT$12-CS$23)/(CT$12-CS$12)*CT20)*(CT23&gt;$B$10)+(CT23=$B$10)*(SUM($F$20:CS20)-SUM($F$27:CS27)+CT20+(CT$23-CT$12)/(CU$12-CT$12)*CU20)</f>
        <v>0</v>
      </c>
      <c r="CU27" s="510">
        <f ca="1">(CU23=$B$9)*CU20+((CU$23-CU$12)/(CV$12-CU$12)*CV20+(CU$12-CT$23)/(CU$12-CT$12)*CU20)*(CU23&gt;$B$10)+(CU23=$B$10)*(SUM($F$20:CT20)-SUM($F$27:CT27)+CU20+(CU$23-CU$12)/(CV$12-CU$12)*CV20)</f>
        <v>0</v>
      </c>
      <c r="CV27" s="510">
        <f ca="1">(CV23=$B$9)*CV20+((CV$23-CV$12)/(CW$12-CV$12)*CW20+(CV$12-CU$23)/(CV$12-CU$12)*CV20)*(CV23&gt;$B$10)+(CV23=$B$10)*(SUM($F$20:CU20)-SUM($F$27:CU27)+CV20+(CV$23-CV$12)/(CW$12-CV$12)*CW20)</f>
        <v>0</v>
      </c>
      <c r="CW27" s="510">
        <f ca="1">(CW23=$B$9)*CW20+((CW$23-CW$12)/(CX$12-CW$12)*CX20+(CW$12-CV$23)/(CW$12-CV$12)*CW20)*(CW23&gt;$B$10)+(CW23=$B$10)*(SUM($F$20:CV20)-SUM($F$27:CV27)+CW20+(CW$23-CW$12)/(CX$12-CW$12)*CX20)</f>
        <v>0</v>
      </c>
      <c r="CX27" s="510">
        <f ca="1">(CX23=$B$9)*CX20+((CX$23-CX$12)/(CY$12-CX$12)*CY20+(CX$12-CW$23)/(CX$12-CW$12)*CX20)*(CX23&gt;$B$10)+(CX23=$B$10)*(SUM($F$20:CW20)-SUM($F$27:CW27)+CX20+(CX$23-CX$12)/(CY$12-CX$12)*CY20)</f>
        <v>0</v>
      </c>
      <c r="CY27" s="510">
        <f ca="1">(CY23=$B$9)*CY20+((CY$23-CY$12)/(CZ$12-CY$12)*CZ20+(CY$12-CX$23)/(CY$12-CX$12)*CY20)*(CY23&gt;$B$10)+(CY23=$B$10)*(SUM($F$20:CX20)-SUM($F$27:CX27)+CY20+(CY$23-CY$12)/(CZ$12-CY$12)*CZ20)</f>
        <v>0</v>
      </c>
      <c r="CZ27" s="510">
        <f ca="1">(CZ23=$B$9)*CZ20+((CZ$23-CZ$12)/(DA$12-CZ$12)*DA20+(CZ$12-CY$23)/(CZ$12-CY$12)*CZ20)*(CZ23&gt;$B$10)+(CZ23=$B$10)*(SUM($F$20:CY20)-SUM($F$27:CY27)+CZ20+(CZ$23-CZ$12)/(DA$12-CZ$12)*DA20)</f>
        <v>0</v>
      </c>
      <c r="DA27" s="510">
        <f ca="1">(DA23=$B$9)*DA20+((DA$23-DA$12)/(DB$12-DA$12)*DB20+(DA$12-CZ$23)/(DA$12-CZ$12)*DA20)*(DA23&gt;$B$10)+(DA23=$B$10)*(SUM($F$20:CZ20)-SUM($F$27:CZ27)+DA20+(DA$23-DA$12)/(DB$12-DA$12)*DB20)</f>
        <v>0</v>
      </c>
      <c r="DB27" s="510">
        <f ca="1">(DB23=$B$9)*DB20+((DB$23-DB$12)/(DC$12-DB$12)*DC20+(DB$12-DA$23)/(DB$12-DA$12)*DB20)*(DB23&gt;$B$10)+(DB23=$B$10)*(SUM($F$20:DA20)-SUM($F$27:DA27)+DB20+(DB$23-DB$12)/(DC$12-DB$12)*DC20)</f>
        <v>0</v>
      </c>
      <c r="DC27" s="510">
        <f ca="1">(DC23=$B$9)*DC20+((DC$23-DC$12)/(DD$12-DC$12)*DD20+(DC$12-DB$23)/(DC$12-DB$12)*DC20)*(DC23&gt;$B$10)+(DC23=$B$10)*(SUM($F$20:DB20)-SUM($F$27:DB27)+DC20+(DC$23-DC$12)/(DD$12-DC$12)*DD20)</f>
        <v>0</v>
      </c>
      <c r="DD27" s="510">
        <f ca="1">(DD23=$B$9)*DD20+((DD$23-DD$12)/(DE$12-DD$12)*DE20+(DD$12-DC$23)/(DD$12-DC$12)*DD20)*(DD23&gt;$B$10)+(DD23=$B$10)*(SUM($F$20:DC20)-SUM($F$27:DC27)+DD20+(DD$23-DD$12)/(DE$12-DD$12)*DE20)</f>
        <v>0</v>
      </c>
      <c r="DE27" s="510">
        <f ca="1">(DE23=$B$9)*DE20+((DE$23-DE$12)/(DF$12-DE$12)*DF20+(DE$12-DD$23)/(DE$12-DD$12)*DE20)*(DE23&gt;$B$10)+(DE23=$B$10)*(SUM($F$20:DD20)-SUM($F$27:DD27)+DE20+(DE$23-DE$12)/(DF$12-DE$12)*DF20)</f>
        <v>0</v>
      </c>
      <c r="DF27" s="510">
        <f ca="1">(DF23=$B$9)*DF20+((DF$23-DF$12)/(DG$12-DF$12)*DG20+(DF$12-DE$23)/(DF$12-DE$12)*DF20)*(DF23&gt;$B$10)+(DF23=$B$10)*(SUM($F$20:DE20)-SUM($F$27:DE27)+DF20+(DF$23-DF$12)/(DG$12-DF$12)*DG20)</f>
        <v>0</v>
      </c>
      <c r="DG27" s="510">
        <f ca="1">(DG23=$B$9)*DG20+((DG$23-DG$12)/(DH$12-DG$12)*DH20+(DG$12-DF$23)/(DG$12-DF$12)*DG20)*(DG23&gt;$B$10)+(DG23=$B$10)*(SUM($F$20:DF20)-SUM($F$27:DF27)+DG20+(DG$23-DG$12)/(DH$12-DG$12)*DH20)</f>
        <v>0</v>
      </c>
      <c r="DH27" s="510">
        <f ca="1">(DH23=$B$9)*DH20+((DH$23-DH$12)/(DI$12-DH$12)*DI20+(DH$12-DG$23)/(DH$12-DG$12)*DH20)*(DH23&gt;$B$10)+(DH23=$B$10)*(SUM($F$20:DG20)-SUM($F$27:DG27)+DH20+(DH$23-DH$12)/(DI$12-DH$12)*DI20)</f>
        <v>0</v>
      </c>
      <c r="DI27" s="510">
        <f ca="1">(DI23=$B$9)*DI20+((DI$23-DI$12)/(DJ$12-DI$12)*DJ20+(DI$12-DH$23)/(DI$12-DH$12)*DI20)*(DI23&gt;$B$10)+(DI23=$B$10)*(SUM($F$20:DH20)-SUM($F$27:DH27)+DI20+(DI$23-DI$12)/(DJ$12-DI$12)*DJ20)</f>
        <v>0</v>
      </c>
      <c r="DJ27" s="510">
        <f ca="1">(DJ23=$B$9)*DJ20+((DJ$23-DJ$12)/(DK$12-DJ$12)*DK20+(DJ$12-DI$23)/(DJ$12-DI$12)*DJ20)*(DJ23&gt;$B$10)+(DJ23=$B$10)*(SUM($F$20:DI20)-SUM($F$27:DI27)+DJ20+(DJ$23-DJ$12)/(DK$12-DJ$12)*DK20)</f>
        <v>0</v>
      </c>
      <c r="DK27" s="510">
        <f ca="1">(DK23=$B$9)*DK20+((DK$23-DK$12)/(DL$12-DK$12)*DL20+(DK$12-DJ$23)/(DK$12-DJ$12)*DK20)*(DK23&gt;$B$10)+(DK23=$B$10)*(SUM($F$20:DJ20)-SUM($F$27:DJ27)+DK20+(DK$23-DK$12)/(DL$12-DK$12)*DL20)</f>
        <v>0</v>
      </c>
      <c r="DL27" s="510">
        <f ca="1">(DL23=$B$9)*DL20+((DL$23-DL$12)/(DM$12-DL$12)*DM20+(DL$12-DK$23)/(DL$12-DK$12)*DL20)*(DL23&gt;$B$10)+(DL23=$B$10)*(SUM($F$20:DK20)-SUM($F$27:DK27)+DL20+(DL$23-DL$12)/(DM$12-DL$12)*DM20)</f>
        <v>0</v>
      </c>
      <c r="DM27" s="510">
        <f ca="1">(DM23=$B$9)*DM20+((DM$23-DM$12)/(DN$12-DM$12)*DN20+(DM$12-DL$23)/(DM$12-DL$12)*DM20)*(DM23&gt;$B$10)+(DM23=$B$10)*(SUM($F$20:DL20)-SUM($F$27:DL27)+DM20+(DM$23-DM$12)/(DN$12-DM$12)*DN20)</f>
        <v>0</v>
      </c>
      <c r="DN27" s="510">
        <f ca="1">(DN23=$B$9)*DN20+((DN$23-DN$12)/(DO$12-DN$12)*DO20+(DN$12-DM$23)/(DN$12-DM$12)*DN20)*(DN23&gt;$B$10)+(DN23=$B$10)*(SUM($F$20:DM20)-SUM($F$27:DM27)+DN20+(DN$23-DN$12)/(DO$12-DN$12)*DO20)</f>
        <v>0</v>
      </c>
      <c r="DO27" s="510">
        <f ca="1">(DO23=$B$9)*DO20+((DO$23-DO$12)/(DP$12-DO$12)*DP20+(DO$12-DN$23)/(DO$12-DN$12)*DO20)*(DO23&gt;$B$10)+(DO23=$B$10)*(SUM($F$20:DN20)-SUM($F$27:DN27)+DO20+(DO$23-DO$12)/(DP$12-DO$12)*DP20)</f>
        <v>0</v>
      </c>
      <c r="DP27" s="510">
        <f ca="1">(DP23=$B$9)*DP20+((DP$23-DP$12)/(DQ$12-DP$12)*DQ20+(DP$12-DO$23)/(DP$12-DO$12)*DP20)*(DP23&gt;$B$10)+(DP23=$B$10)*(SUM($F$20:DO20)-SUM($F$27:DO27)+DP20+(DP$23-DP$12)/(DQ$12-DP$12)*DQ20)</f>
        <v>0</v>
      </c>
      <c r="DQ27" s="510">
        <f ca="1">(DQ23=$B$9)*DQ20+((DQ$23-DQ$12)/(DR$12-DQ$12)*DR20+(DQ$12-DP$23)/(DQ$12-DP$12)*DQ20)*(DQ23&gt;$B$10)+(DQ23=$B$10)*(SUM($F$20:DP20)-SUM($F$27:DP27)+DQ20+(DQ$23-DQ$12)/(DR$12-DQ$12)*DR20)</f>
        <v>0</v>
      </c>
      <c r="DR27" s="510">
        <f ca="1">(DR23=$B$9)*DR20+((DR$23-DR$12)/(DS$12-DR$12)*DS20+(DR$12-DQ$23)/(DR$12-DQ$12)*DR20)*(DR23&gt;$B$10)+(DR23=$B$10)*(SUM($F$20:DQ20)-SUM($F$27:DQ27)+DR20+(DR$23-DR$12)/(DS$12-DR$12)*DS20)</f>
        <v>0</v>
      </c>
      <c r="DS27" s="510">
        <f ca="1">(DS23=$B$9)*DS20+((DS$23-DS$12)/(DT$12-DS$12)*DT20+(DS$12-DR$23)/(DS$12-DR$12)*DS20)*(DS23&gt;$B$10)+(DS23=$B$10)*(SUM($F$20:DR20)-SUM($F$27:DR27)+DS20+(DS$23-DS$12)/(DT$12-DS$12)*DT20)</f>
        <v>0</v>
      </c>
      <c r="DT27" s="510">
        <f ca="1">(DT23=$B$9)*DT20+((DT$23-DT$12)/(DU$12-DT$12)*DU20+(DT$12-DS$23)/(DT$12-DS$12)*DT20)*(DT23&gt;$B$10)+(DT23=$B$10)*(SUM($F$20:DS20)-SUM($F$27:DS27)+DT20+(DT$23-DT$12)/(DU$12-DT$12)*DU20)</f>
        <v>0</v>
      </c>
      <c r="DU27" s="510">
        <f ca="1">(DU23=$B$9)*DU20+((DU$23-DU$12)/(DV$12-DU$12)*DV20+(DU$12-DT$23)/(DU$12-DT$12)*DU20)*(DU23&gt;$B$10)+(DU23=$B$10)*(SUM($F$20:DT20)-SUM($F$27:DT27)+DU20+(DU$23-DU$12)/(DV$12-DU$12)*DV20)</f>
        <v>0</v>
      </c>
      <c r="DV27" s="510">
        <f ca="1">(DV23=$B$9)*DV20+((DV$23-DV$12)/(DW$12-DV$12)*DW20+(DV$12-DU$23)/(DV$12-DU$12)*DV20)*(DV23&gt;$B$10)+(DV23=$B$10)*(SUM($F$20:DU20)-SUM($F$27:DU27)+DV20+(DV$23-DV$12)/(DW$12-DV$12)*DW20)</f>
        <v>0</v>
      </c>
      <c r="DW27" s="510">
        <f ca="1">(DW23=$B$9)*DW20+((DW$23-DW$12)/(DX$12-DW$12)*DX20+(DW$12-DV$23)/(DW$12-DV$12)*DW20)*(DW23&gt;$B$10)+(DW23=$B$10)*(SUM($F$20:DV20)-SUM($F$27:DV27)+DW20+(DW$23-DW$12)/(DX$12-DW$12)*DX20)</f>
        <v>0</v>
      </c>
    </row>
    <row r="28" spans="1:131">
      <c r="A28" s="344" t="s">
        <v>892</v>
      </c>
      <c r="B28" s="708"/>
      <c r="C28" s="708"/>
      <c r="D28" s="476"/>
      <c r="E28" s="476"/>
      <c r="F28" s="335"/>
      <c r="G28" s="513">
        <f ca="1">G27+G24</f>
        <v>-15120.773894815633</v>
      </c>
      <c r="H28" s="513">
        <f ca="1">H27+H24</f>
        <v>337.69539242776295</v>
      </c>
      <c r="I28" s="513">
        <f ca="1">I27+I24</f>
        <v>330.39500489049681</v>
      </c>
      <c r="J28" s="513">
        <f ca="1">J27+J24</f>
        <v>336.12334527386264</v>
      </c>
      <c r="K28" s="513">
        <f t="shared" ref="K28:BV28" ca="1" si="10">K27+K24</f>
        <v>340.54030952662924</v>
      </c>
      <c r="L28" s="513">
        <f t="shared" ca="1" si="10"/>
        <v>344.09345138506251</v>
      </c>
      <c r="M28" s="513">
        <f t="shared" ca="1" si="10"/>
        <v>345.50012950182622</v>
      </c>
      <c r="N28" s="513">
        <f t="shared" ca="1" si="10"/>
        <v>349.25622236812552</v>
      </c>
      <c r="O28" s="513">
        <f t="shared" ca="1" si="10"/>
        <v>347.81409238970855</v>
      </c>
      <c r="P28" s="513">
        <f t="shared" ca="1" si="10"/>
        <v>354.49596564466589</v>
      </c>
      <c r="Q28" s="513">
        <f t="shared" ca="1" si="10"/>
        <v>350.11224247122021</v>
      </c>
      <c r="R28" s="513">
        <f t="shared" ca="1" si="10"/>
        <v>358.83088122706903</v>
      </c>
      <c r="S28" s="513">
        <f t="shared" ca="1" si="10"/>
        <v>353.42924069042391</v>
      </c>
      <c r="T28" s="513">
        <f t="shared" ca="1" si="10"/>
        <v>365.20972055957083</v>
      </c>
      <c r="U28" s="513">
        <f t="shared" ca="1" si="10"/>
        <v>354.49685383667685</v>
      </c>
      <c r="V28" s="513">
        <f t="shared" ca="1" si="10"/>
        <v>370.68564309001664</v>
      </c>
      <c r="W28" s="513">
        <f t="shared" ca="1" si="10"/>
        <v>356.50987783337104</v>
      </c>
      <c r="X28" s="513">
        <f t="shared" ca="1" si="10"/>
        <v>376.24234675006556</v>
      </c>
      <c r="Y28" s="513">
        <f t="shared" ca="1" si="10"/>
        <v>358.3788557966999</v>
      </c>
      <c r="Z28" s="513">
        <f t="shared" ca="1" si="10"/>
        <v>380.83813447114278</v>
      </c>
      <c r="AA28" s="513">
        <f t="shared" ca="1" si="10"/>
        <v>361.08250450303615</v>
      </c>
      <c r="AB28" s="513">
        <f t="shared" ca="1" si="10"/>
        <v>362.13050920316886</v>
      </c>
      <c r="AC28" s="513">
        <f t="shared" ca="1" si="10"/>
        <v>341.69449350399066</v>
      </c>
      <c r="AD28" s="513">
        <f t="shared" ca="1" si="10"/>
        <v>367.93763959282819</v>
      </c>
      <c r="AE28" s="513">
        <f t="shared" ca="1" si="10"/>
        <v>348.38819050725749</v>
      </c>
      <c r="AF28" s="513">
        <f t="shared" ca="1" si="10"/>
        <v>1302.9861856781883</v>
      </c>
      <c r="AG28" s="513">
        <f t="shared" ca="1" si="10"/>
        <v>1137.3225153667865</v>
      </c>
      <c r="AH28" s="513">
        <f t="shared" ca="1" si="10"/>
        <v>1325.1580875243369</v>
      </c>
      <c r="AI28" s="513">
        <f t="shared" ca="1" si="10"/>
        <v>1170.3029206692959</v>
      </c>
      <c r="AJ28" s="513">
        <f t="shared" ca="1" si="10"/>
        <v>2992.3365647068595</v>
      </c>
      <c r="AK28" s="513">
        <f t="shared" ca="1" si="10"/>
        <v>2546.9330518693573</v>
      </c>
      <c r="AL28" s="513">
        <f t="shared" ca="1" si="10"/>
        <v>2865.5319472350611</v>
      </c>
      <c r="AM28" s="513">
        <f t="shared" ca="1" si="10"/>
        <v>2609.8440110761521</v>
      </c>
      <c r="AN28" s="513">
        <f t="shared" ca="1" si="10"/>
        <v>2921.583703095293</v>
      </c>
      <c r="AO28" s="513">
        <f t="shared" ca="1" si="10"/>
        <v>2653.9435673833068</v>
      </c>
      <c r="AP28" s="513">
        <f t="shared" ca="1" si="10"/>
        <v>2968.9643464070805</v>
      </c>
      <c r="AQ28" s="513">
        <f t="shared" ca="1" si="10"/>
        <v>2705.3261553137231</v>
      </c>
      <c r="AR28" s="513">
        <f t="shared" ca="1" si="10"/>
        <v>3031.211114812525</v>
      </c>
      <c r="AS28" s="513">
        <f t="shared" ca="1" si="10"/>
        <v>2740.3073827626567</v>
      </c>
      <c r="AT28" s="513">
        <f t="shared" ca="1" si="10"/>
        <v>3082.5696333801075</v>
      </c>
      <c r="AU28" s="513">
        <f t="shared" ca="1" si="10"/>
        <v>2233.3810654881572</v>
      </c>
      <c r="AV28" s="513">
        <f t="shared" ca="1" si="10"/>
        <v>2983.7674178961593</v>
      </c>
      <c r="AW28" s="513">
        <f t="shared" ca="1" si="10"/>
        <v>2441.3333975635619</v>
      </c>
      <c r="AX28" s="513">
        <f t="shared" ca="1" si="10"/>
        <v>3049.0719732914777</v>
      </c>
      <c r="AY28" s="513">
        <f t="shared" ca="1" si="10"/>
        <v>2487.4846336080732</v>
      </c>
      <c r="AZ28" s="513">
        <f t="shared" ca="1" si="10"/>
        <v>3107.4457076630943</v>
      </c>
      <c r="BA28" s="513">
        <f t="shared" ca="1" si="10"/>
        <v>2517.5080219128567</v>
      </c>
      <c r="BB28" s="513">
        <f t="shared" ca="1" si="10"/>
        <v>3156.1747688474229</v>
      </c>
      <c r="BC28" s="513">
        <f t="shared" ca="1" si="10"/>
        <v>2577.7984678589301</v>
      </c>
      <c r="BD28" s="513">
        <f t="shared" ca="1" si="10"/>
        <v>3228.839393259092</v>
      </c>
      <c r="BE28" s="513">
        <f t="shared" ca="1" si="10"/>
        <v>2613.0502037649162</v>
      </c>
      <c r="BF28" s="513">
        <f t="shared" ca="1" si="10"/>
        <v>3267.2441163985814</v>
      </c>
      <c r="BG28" s="513">
        <f t="shared" ca="1" si="10"/>
        <v>2646.9756391372011</v>
      </c>
      <c r="BH28" s="513">
        <f t="shared" ca="1" si="10"/>
        <v>3308.8653416339707</v>
      </c>
      <c r="BI28" s="513">
        <f t="shared" ca="1" si="10"/>
        <v>2661.3780378237479</v>
      </c>
      <c r="BJ28" s="513">
        <f t="shared" ca="1" si="10"/>
        <v>3338.4767150020889</v>
      </c>
      <c r="BK28" s="513">
        <f t="shared" ca="1" si="10"/>
        <v>2663.7314921670763</v>
      </c>
      <c r="BL28" s="513">
        <f t="shared" ca="1" si="10"/>
        <v>3344.1541819159343</v>
      </c>
      <c r="BM28" s="513">
        <f t="shared" ca="1" si="10"/>
        <v>2686.5586758534837</v>
      </c>
      <c r="BN28" s="513">
        <f t="shared" ca="1" si="10"/>
        <v>3360.8715638139779</v>
      </c>
      <c r="BO28" s="513">
        <f t="shared" ca="1" si="10"/>
        <v>2697.4701355060656</v>
      </c>
      <c r="BP28" s="513">
        <f t="shared" ca="1" si="10"/>
        <v>0</v>
      </c>
      <c r="BQ28" s="513">
        <f t="shared" ca="1" si="10"/>
        <v>0</v>
      </c>
      <c r="BR28" s="513">
        <f t="shared" ca="1" si="10"/>
        <v>0</v>
      </c>
      <c r="BS28" s="513">
        <f t="shared" ca="1" si="10"/>
        <v>0</v>
      </c>
      <c r="BT28" s="513">
        <f t="shared" ca="1" si="10"/>
        <v>0</v>
      </c>
      <c r="BU28" s="513">
        <f t="shared" ca="1" si="10"/>
        <v>0</v>
      </c>
      <c r="BV28" s="513">
        <f t="shared" ca="1" si="10"/>
        <v>0</v>
      </c>
      <c r="BW28" s="513">
        <f t="shared" ref="BW28:DW28" ca="1" si="11">BW27+BW24</f>
        <v>0</v>
      </c>
      <c r="BX28" s="513">
        <f t="shared" ca="1" si="11"/>
        <v>0</v>
      </c>
      <c r="BY28" s="513">
        <f t="shared" ca="1" si="11"/>
        <v>0</v>
      </c>
      <c r="BZ28" s="513">
        <f t="shared" ca="1" si="11"/>
        <v>0</v>
      </c>
      <c r="CA28" s="513">
        <f t="shared" ca="1" si="11"/>
        <v>0</v>
      </c>
      <c r="CB28" s="513">
        <f t="shared" ca="1" si="11"/>
        <v>0</v>
      </c>
      <c r="CC28" s="513">
        <f t="shared" ca="1" si="11"/>
        <v>0</v>
      </c>
      <c r="CD28" s="513">
        <f t="shared" ca="1" si="11"/>
        <v>0</v>
      </c>
      <c r="CE28" s="513">
        <f t="shared" ca="1" si="11"/>
        <v>0</v>
      </c>
      <c r="CF28" s="513">
        <f t="shared" ca="1" si="11"/>
        <v>0</v>
      </c>
      <c r="CG28" s="513">
        <f t="shared" ca="1" si="11"/>
        <v>0</v>
      </c>
      <c r="CH28" s="513">
        <f t="shared" ca="1" si="11"/>
        <v>0</v>
      </c>
      <c r="CI28" s="513">
        <f t="shared" ca="1" si="11"/>
        <v>0</v>
      </c>
      <c r="CJ28" s="513">
        <f t="shared" ca="1" si="11"/>
        <v>0</v>
      </c>
      <c r="CK28" s="513">
        <f t="shared" ca="1" si="11"/>
        <v>0</v>
      </c>
      <c r="CL28" s="513">
        <f t="shared" ca="1" si="11"/>
        <v>0</v>
      </c>
      <c r="CM28" s="513">
        <f t="shared" ca="1" si="11"/>
        <v>0</v>
      </c>
      <c r="CN28" s="513">
        <f t="shared" ca="1" si="11"/>
        <v>0</v>
      </c>
      <c r="CO28" s="513">
        <f t="shared" ca="1" si="11"/>
        <v>0</v>
      </c>
      <c r="CP28" s="513">
        <f t="shared" ca="1" si="11"/>
        <v>0</v>
      </c>
      <c r="CQ28" s="513">
        <f t="shared" ca="1" si="11"/>
        <v>0</v>
      </c>
      <c r="CR28" s="513">
        <f t="shared" ca="1" si="11"/>
        <v>0</v>
      </c>
      <c r="CS28" s="513">
        <f t="shared" ca="1" si="11"/>
        <v>0</v>
      </c>
      <c r="CT28" s="513">
        <f t="shared" ca="1" si="11"/>
        <v>0</v>
      </c>
      <c r="CU28" s="513">
        <f t="shared" ca="1" si="11"/>
        <v>0</v>
      </c>
      <c r="CV28" s="513">
        <f t="shared" ca="1" si="11"/>
        <v>0</v>
      </c>
      <c r="CW28" s="513">
        <f t="shared" ca="1" si="11"/>
        <v>0</v>
      </c>
      <c r="CX28" s="513">
        <f t="shared" ca="1" si="11"/>
        <v>0</v>
      </c>
      <c r="CY28" s="513">
        <f t="shared" ca="1" si="11"/>
        <v>0</v>
      </c>
      <c r="CZ28" s="513">
        <f t="shared" ca="1" si="11"/>
        <v>0</v>
      </c>
      <c r="DA28" s="513">
        <f t="shared" ca="1" si="11"/>
        <v>0</v>
      </c>
      <c r="DB28" s="513">
        <f t="shared" ca="1" si="11"/>
        <v>0</v>
      </c>
      <c r="DC28" s="513">
        <f t="shared" ca="1" si="11"/>
        <v>0</v>
      </c>
      <c r="DD28" s="513">
        <f t="shared" ca="1" si="11"/>
        <v>0</v>
      </c>
      <c r="DE28" s="513">
        <f t="shared" ca="1" si="11"/>
        <v>0</v>
      </c>
      <c r="DF28" s="513">
        <f t="shared" ca="1" si="11"/>
        <v>0</v>
      </c>
      <c r="DG28" s="513">
        <f t="shared" ca="1" si="11"/>
        <v>0</v>
      </c>
      <c r="DH28" s="513">
        <f t="shared" ca="1" si="11"/>
        <v>0</v>
      </c>
      <c r="DI28" s="513">
        <f t="shared" ca="1" si="11"/>
        <v>0</v>
      </c>
      <c r="DJ28" s="513">
        <f t="shared" ca="1" si="11"/>
        <v>0</v>
      </c>
      <c r="DK28" s="513">
        <f t="shared" ca="1" si="11"/>
        <v>0</v>
      </c>
      <c r="DL28" s="513">
        <f t="shared" ca="1" si="11"/>
        <v>0</v>
      </c>
      <c r="DM28" s="513">
        <f t="shared" ca="1" si="11"/>
        <v>0</v>
      </c>
      <c r="DN28" s="513">
        <f t="shared" ca="1" si="11"/>
        <v>0</v>
      </c>
      <c r="DO28" s="513">
        <f t="shared" ca="1" si="11"/>
        <v>0</v>
      </c>
      <c r="DP28" s="513">
        <f t="shared" ca="1" si="11"/>
        <v>0</v>
      </c>
      <c r="DQ28" s="513">
        <f t="shared" ca="1" si="11"/>
        <v>0</v>
      </c>
      <c r="DR28" s="513">
        <f t="shared" ca="1" si="11"/>
        <v>0</v>
      </c>
      <c r="DS28" s="513">
        <f t="shared" ca="1" si="11"/>
        <v>0</v>
      </c>
      <c r="DT28" s="513">
        <f t="shared" ca="1" si="11"/>
        <v>0</v>
      </c>
      <c r="DU28" s="513">
        <f t="shared" ca="1" si="11"/>
        <v>0</v>
      </c>
      <c r="DV28" s="513">
        <f t="shared" ca="1" si="11"/>
        <v>0</v>
      </c>
      <c r="DW28" s="513">
        <f t="shared" ca="1" si="11"/>
        <v>0</v>
      </c>
    </row>
    <row r="29" spans="1:131">
      <c r="A29" s="344" t="s">
        <v>1257</v>
      </c>
      <c r="B29" s="708"/>
      <c r="C29" s="708"/>
      <c r="D29" s="541"/>
      <c r="E29" s="476"/>
      <c r="F29" s="335"/>
      <c r="G29" s="513">
        <f ca="1">G28*(G3&lt;=10)</f>
        <v>-15120.773894815633</v>
      </c>
      <c r="H29" s="513">
        <f t="shared" ref="H29:BS29" ca="1" si="12">H28*(H3&lt;=10)</f>
        <v>337.69539242776295</v>
      </c>
      <c r="I29" s="513">
        <f t="shared" ca="1" si="12"/>
        <v>330.39500489049681</v>
      </c>
      <c r="J29" s="513">
        <f t="shared" ca="1" si="12"/>
        <v>336.12334527386264</v>
      </c>
      <c r="K29" s="513">
        <f t="shared" ca="1" si="12"/>
        <v>340.54030952662924</v>
      </c>
      <c r="L29" s="513">
        <f t="shared" ca="1" si="12"/>
        <v>344.09345138506251</v>
      </c>
      <c r="M29" s="513">
        <f t="shared" ca="1" si="12"/>
        <v>345.50012950182622</v>
      </c>
      <c r="N29" s="513">
        <f t="shared" ca="1" si="12"/>
        <v>349.25622236812552</v>
      </c>
      <c r="O29" s="513">
        <f t="shared" ca="1" si="12"/>
        <v>347.81409238970855</v>
      </c>
      <c r="P29" s="513">
        <f t="shared" ca="1" si="12"/>
        <v>354.49596564466589</v>
      </c>
      <c r="Q29" s="513">
        <f t="shared" ca="1" si="12"/>
        <v>350.11224247122021</v>
      </c>
      <c r="R29" s="513">
        <f t="shared" ca="1" si="12"/>
        <v>358.83088122706903</v>
      </c>
      <c r="S29" s="513">
        <f t="shared" ca="1" si="12"/>
        <v>353.42924069042391</v>
      </c>
      <c r="T29" s="513">
        <f t="shared" ca="1" si="12"/>
        <v>365.20972055957083</v>
      </c>
      <c r="U29" s="513">
        <f t="shared" ca="1" si="12"/>
        <v>354.49685383667685</v>
      </c>
      <c r="V29" s="513">
        <f t="shared" ca="1" si="12"/>
        <v>370.68564309001664</v>
      </c>
      <c r="W29" s="513">
        <f t="shared" ca="1" si="12"/>
        <v>356.50987783337104</v>
      </c>
      <c r="X29" s="513">
        <f t="shared" ca="1" si="12"/>
        <v>376.24234675006556</v>
      </c>
      <c r="Y29" s="513">
        <f t="shared" ca="1" si="12"/>
        <v>358.3788557966999</v>
      </c>
      <c r="Z29" s="513">
        <f t="shared" ca="1" si="12"/>
        <v>380.83813447114278</v>
      </c>
      <c r="AA29" s="513">
        <f t="shared" ca="1" si="12"/>
        <v>361.08250450303615</v>
      </c>
      <c r="AB29" s="513">
        <f t="shared" ca="1" si="12"/>
        <v>0</v>
      </c>
      <c r="AC29" s="513">
        <f t="shared" ca="1" si="12"/>
        <v>0</v>
      </c>
      <c r="AD29" s="513">
        <f t="shared" ca="1" si="12"/>
        <v>0</v>
      </c>
      <c r="AE29" s="513">
        <f t="shared" ca="1" si="12"/>
        <v>0</v>
      </c>
      <c r="AF29" s="513">
        <f t="shared" ca="1" si="12"/>
        <v>0</v>
      </c>
      <c r="AG29" s="513">
        <f t="shared" ca="1" si="12"/>
        <v>0</v>
      </c>
      <c r="AH29" s="513">
        <f t="shared" ca="1" si="12"/>
        <v>0</v>
      </c>
      <c r="AI29" s="513">
        <f t="shared" ca="1" si="12"/>
        <v>0</v>
      </c>
      <c r="AJ29" s="513">
        <f t="shared" ca="1" si="12"/>
        <v>0</v>
      </c>
      <c r="AK29" s="513">
        <f t="shared" ca="1" si="12"/>
        <v>0</v>
      </c>
      <c r="AL29" s="513">
        <f t="shared" ca="1" si="12"/>
        <v>0</v>
      </c>
      <c r="AM29" s="513">
        <f t="shared" ca="1" si="12"/>
        <v>0</v>
      </c>
      <c r="AN29" s="513">
        <f t="shared" ca="1" si="12"/>
        <v>0</v>
      </c>
      <c r="AO29" s="513">
        <f t="shared" ca="1" si="12"/>
        <v>0</v>
      </c>
      <c r="AP29" s="513">
        <f t="shared" ca="1" si="12"/>
        <v>0</v>
      </c>
      <c r="AQ29" s="513">
        <f t="shared" ca="1" si="12"/>
        <v>0</v>
      </c>
      <c r="AR29" s="513">
        <f t="shared" ca="1" si="12"/>
        <v>0</v>
      </c>
      <c r="AS29" s="513">
        <f t="shared" ca="1" si="12"/>
        <v>0</v>
      </c>
      <c r="AT29" s="513">
        <f t="shared" ca="1" si="12"/>
        <v>0</v>
      </c>
      <c r="AU29" s="513">
        <f t="shared" ca="1" si="12"/>
        <v>0</v>
      </c>
      <c r="AV29" s="513">
        <f t="shared" ca="1" si="12"/>
        <v>0</v>
      </c>
      <c r="AW29" s="513">
        <f t="shared" ca="1" si="12"/>
        <v>0</v>
      </c>
      <c r="AX29" s="513">
        <f t="shared" ca="1" si="12"/>
        <v>0</v>
      </c>
      <c r="AY29" s="513">
        <f t="shared" ca="1" si="12"/>
        <v>0</v>
      </c>
      <c r="AZ29" s="513">
        <f t="shared" ca="1" si="12"/>
        <v>0</v>
      </c>
      <c r="BA29" s="513">
        <f t="shared" ca="1" si="12"/>
        <v>0</v>
      </c>
      <c r="BB29" s="513">
        <f t="shared" ca="1" si="12"/>
        <v>0</v>
      </c>
      <c r="BC29" s="513">
        <f t="shared" ca="1" si="12"/>
        <v>0</v>
      </c>
      <c r="BD29" s="513">
        <f t="shared" ca="1" si="12"/>
        <v>0</v>
      </c>
      <c r="BE29" s="513">
        <f t="shared" ca="1" si="12"/>
        <v>0</v>
      </c>
      <c r="BF29" s="513">
        <f t="shared" ca="1" si="12"/>
        <v>0</v>
      </c>
      <c r="BG29" s="513">
        <f t="shared" ca="1" si="12"/>
        <v>0</v>
      </c>
      <c r="BH29" s="513">
        <f t="shared" ca="1" si="12"/>
        <v>0</v>
      </c>
      <c r="BI29" s="513">
        <f t="shared" ca="1" si="12"/>
        <v>0</v>
      </c>
      <c r="BJ29" s="513">
        <f t="shared" ca="1" si="12"/>
        <v>0</v>
      </c>
      <c r="BK29" s="513">
        <f t="shared" ca="1" si="12"/>
        <v>0</v>
      </c>
      <c r="BL29" s="513">
        <f t="shared" ca="1" si="12"/>
        <v>0</v>
      </c>
      <c r="BM29" s="513">
        <f t="shared" ca="1" si="12"/>
        <v>0</v>
      </c>
      <c r="BN29" s="513">
        <f t="shared" ca="1" si="12"/>
        <v>0</v>
      </c>
      <c r="BO29" s="513">
        <f t="shared" ca="1" si="12"/>
        <v>0</v>
      </c>
      <c r="BP29" s="513">
        <f t="shared" ca="1" si="12"/>
        <v>0</v>
      </c>
      <c r="BQ29" s="513">
        <f t="shared" ca="1" si="12"/>
        <v>0</v>
      </c>
      <c r="BR29" s="513">
        <f t="shared" ca="1" si="12"/>
        <v>0</v>
      </c>
      <c r="BS29" s="513">
        <f t="shared" ca="1" si="12"/>
        <v>0</v>
      </c>
      <c r="BT29" s="513">
        <f t="shared" ref="BT29:DW29" ca="1" si="13">BT28*(BT3&lt;=10)</f>
        <v>0</v>
      </c>
      <c r="BU29" s="513">
        <f t="shared" ca="1" si="13"/>
        <v>0</v>
      </c>
      <c r="BV29" s="513">
        <f t="shared" ca="1" si="13"/>
        <v>0</v>
      </c>
      <c r="BW29" s="513">
        <f t="shared" ca="1" si="13"/>
        <v>0</v>
      </c>
      <c r="BX29" s="513">
        <f t="shared" ca="1" si="13"/>
        <v>0</v>
      </c>
      <c r="BY29" s="513">
        <f t="shared" ca="1" si="13"/>
        <v>0</v>
      </c>
      <c r="BZ29" s="513">
        <f t="shared" ca="1" si="13"/>
        <v>0</v>
      </c>
      <c r="CA29" s="513">
        <f t="shared" ca="1" si="13"/>
        <v>0</v>
      </c>
      <c r="CB29" s="513">
        <f t="shared" ca="1" si="13"/>
        <v>0</v>
      </c>
      <c r="CC29" s="513">
        <f t="shared" ca="1" si="13"/>
        <v>0</v>
      </c>
      <c r="CD29" s="513">
        <f t="shared" ca="1" si="13"/>
        <v>0</v>
      </c>
      <c r="CE29" s="513">
        <f t="shared" ca="1" si="13"/>
        <v>0</v>
      </c>
      <c r="CF29" s="513">
        <f t="shared" ca="1" si="13"/>
        <v>0</v>
      </c>
      <c r="CG29" s="513">
        <f t="shared" ca="1" si="13"/>
        <v>0</v>
      </c>
      <c r="CH29" s="513">
        <f t="shared" ca="1" si="13"/>
        <v>0</v>
      </c>
      <c r="CI29" s="513">
        <f t="shared" ca="1" si="13"/>
        <v>0</v>
      </c>
      <c r="CJ29" s="513">
        <f t="shared" ca="1" si="13"/>
        <v>0</v>
      </c>
      <c r="CK29" s="513">
        <f t="shared" ca="1" si="13"/>
        <v>0</v>
      </c>
      <c r="CL29" s="513">
        <f t="shared" ca="1" si="13"/>
        <v>0</v>
      </c>
      <c r="CM29" s="513">
        <f t="shared" ca="1" si="13"/>
        <v>0</v>
      </c>
      <c r="CN29" s="513">
        <f t="shared" ca="1" si="13"/>
        <v>0</v>
      </c>
      <c r="CO29" s="513">
        <f t="shared" ca="1" si="13"/>
        <v>0</v>
      </c>
      <c r="CP29" s="513">
        <f t="shared" ca="1" si="13"/>
        <v>0</v>
      </c>
      <c r="CQ29" s="513">
        <f t="shared" ca="1" si="13"/>
        <v>0</v>
      </c>
      <c r="CR29" s="513">
        <f t="shared" ca="1" si="13"/>
        <v>0</v>
      </c>
      <c r="CS29" s="513">
        <f t="shared" ca="1" si="13"/>
        <v>0</v>
      </c>
      <c r="CT29" s="513">
        <f t="shared" ca="1" si="13"/>
        <v>0</v>
      </c>
      <c r="CU29" s="513">
        <f t="shared" ca="1" si="13"/>
        <v>0</v>
      </c>
      <c r="CV29" s="513">
        <f t="shared" ca="1" si="13"/>
        <v>0</v>
      </c>
      <c r="CW29" s="513">
        <f t="shared" ca="1" si="13"/>
        <v>0</v>
      </c>
      <c r="CX29" s="513">
        <f t="shared" ca="1" si="13"/>
        <v>0</v>
      </c>
      <c r="CY29" s="513">
        <f t="shared" ca="1" si="13"/>
        <v>0</v>
      </c>
      <c r="CZ29" s="513">
        <f t="shared" ca="1" si="13"/>
        <v>0</v>
      </c>
      <c r="DA29" s="513">
        <f t="shared" ca="1" si="13"/>
        <v>0</v>
      </c>
      <c r="DB29" s="513">
        <f t="shared" ca="1" si="13"/>
        <v>0</v>
      </c>
      <c r="DC29" s="513">
        <f t="shared" ca="1" si="13"/>
        <v>0</v>
      </c>
      <c r="DD29" s="513">
        <f t="shared" ca="1" si="13"/>
        <v>0</v>
      </c>
      <c r="DE29" s="513">
        <f t="shared" ca="1" si="13"/>
        <v>0</v>
      </c>
      <c r="DF29" s="513">
        <f t="shared" ca="1" si="13"/>
        <v>0</v>
      </c>
      <c r="DG29" s="513">
        <f t="shared" ca="1" si="13"/>
        <v>0</v>
      </c>
      <c r="DH29" s="513">
        <f t="shared" ca="1" si="13"/>
        <v>0</v>
      </c>
      <c r="DI29" s="513">
        <f t="shared" ca="1" si="13"/>
        <v>0</v>
      </c>
      <c r="DJ29" s="513">
        <f t="shared" ca="1" si="13"/>
        <v>0</v>
      </c>
      <c r="DK29" s="513">
        <f t="shared" ca="1" si="13"/>
        <v>0</v>
      </c>
      <c r="DL29" s="513">
        <f t="shared" ca="1" si="13"/>
        <v>0</v>
      </c>
      <c r="DM29" s="513">
        <f t="shared" ca="1" si="13"/>
        <v>0</v>
      </c>
      <c r="DN29" s="513">
        <f t="shared" ca="1" si="13"/>
        <v>0</v>
      </c>
      <c r="DO29" s="513">
        <f t="shared" ca="1" si="13"/>
        <v>0</v>
      </c>
      <c r="DP29" s="513">
        <f t="shared" ca="1" si="13"/>
        <v>0</v>
      </c>
      <c r="DQ29" s="513">
        <f t="shared" ca="1" si="13"/>
        <v>0</v>
      </c>
      <c r="DR29" s="513">
        <f t="shared" ca="1" si="13"/>
        <v>0</v>
      </c>
      <c r="DS29" s="513">
        <f t="shared" ca="1" si="13"/>
        <v>0</v>
      </c>
      <c r="DT29" s="513">
        <f t="shared" ca="1" si="13"/>
        <v>0</v>
      </c>
      <c r="DU29" s="513">
        <f t="shared" ca="1" si="13"/>
        <v>0</v>
      </c>
      <c r="DV29" s="513">
        <f t="shared" ca="1" si="13"/>
        <v>0</v>
      </c>
      <c r="DW29" s="513">
        <f t="shared" ca="1" si="13"/>
        <v>0</v>
      </c>
    </row>
    <row r="30" spans="1:131" s="310" customFormat="1">
      <c r="A30" s="398" t="s">
        <v>1258</v>
      </c>
      <c r="B30" s="969"/>
      <c r="C30" s="969"/>
      <c r="D30" s="641"/>
      <c r="E30" s="643"/>
      <c r="F30" s="335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18"/>
      <c r="S30" s="518"/>
      <c r="T30" s="518"/>
      <c r="U30" s="518"/>
      <c r="V30" s="518"/>
      <c r="W30" s="518"/>
      <c r="X30" s="518"/>
      <c r="Y30" s="518"/>
      <c r="Z30" s="518"/>
      <c r="AA30" s="518"/>
      <c r="AB30" s="518"/>
      <c r="AC30" s="518"/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/>
      <c r="AO30" s="518"/>
      <c r="AP30" s="518"/>
      <c r="AQ30" s="518"/>
      <c r="AR30" s="518"/>
      <c r="AS30" s="518"/>
      <c r="AT30" s="518"/>
      <c r="AU30" s="518"/>
      <c r="AV30" s="518"/>
      <c r="AW30" s="518"/>
      <c r="AX30" s="518"/>
      <c r="AY30" s="518"/>
      <c r="AZ30" s="518"/>
      <c r="BA30" s="518"/>
      <c r="BB30" s="518"/>
      <c r="BC30" s="518"/>
      <c r="BD30" s="518"/>
      <c r="BE30" s="518"/>
      <c r="BF30" s="518"/>
      <c r="BG30" s="518"/>
      <c r="BH30" s="518"/>
      <c r="BI30" s="518"/>
      <c r="BJ30" s="518"/>
      <c r="BK30" s="518"/>
      <c r="BL30" s="518"/>
      <c r="BM30" s="518"/>
      <c r="BN30" s="518"/>
      <c r="BO30" s="518"/>
      <c r="BP30" s="518"/>
      <c r="BQ30" s="518"/>
      <c r="BR30" s="518"/>
      <c r="BS30" s="518"/>
      <c r="BT30" s="518"/>
      <c r="BU30" s="518"/>
      <c r="BV30" s="518"/>
      <c r="BW30" s="518"/>
      <c r="BX30" s="518"/>
      <c r="BY30" s="518"/>
      <c r="BZ30" s="518"/>
      <c r="CA30" s="518"/>
      <c r="CB30" s="518"/>
      <c r="CC30" s="518"/>
      <c r="CD30" s="518"/>
      <c r="CE30" s="518"/>
      <c r="CF30" s="518"/>
      <c r="CG30" s="518"/>
      <c r="CH30" s="518"/>
      <c r="CI30" s="518"/>
      <c r="CJ30" s="518"/>
      <c r="CK30" s="518"/>
      <c r="CL30" s="518"/>
      <c r="CM30" s="518"/>
      <c r="CN30" s="518"/>
      <c r="CO30" s="518"/>
      <c r="CP30" s="518"/>
      <c r="CQ30" s="518"/>
      <c r="CR30" s="518"/>
      <c r="CS30" s="518"/>
      <c r="CT30" s="518"/>
      <c r="CU30" s="518"/>
      <c r="CV30" s="518"/>
      <c r="CW30" s="518"/>
      <c r="CX30" s="518"/>
      <c r="CY30" s="518"/>
      <c r="CZ30" s="518"/>
      <c r="DA30" s="518"/>
      <c r="DB30" s="518"/>
      <c r="DC30" s="518"/>
      <c r="DD30" s="518"/>
      <c r="DE30" s="518"/>
      <c r="DF30" s="518"/>
      <c r="DG30" s="518"/>
      <c r="DH30" s="518"/>
      <c r="DI30" s="518"/>
      <c r="DJ30" s="518"/>
      <c r="DK30" s="518"/>
      <c r="DL30" s="518"/>
      <c r="DM30" s="518"/>
      <c r="DN30" s="518"/>
      <c r="DO30" s="518"/>
      <c r="DP30" s="518"/>
      <c r="DQ30" s="518"/>
      <c r="DR30" s="518"/>
      <c r="DS30" s="518"/>
      <c r="DT30" s="518"/>
      <c r="DU30" s="518"/>
      <c r="DV30" s="518"/>
      <c r="DW30" s="518"/>
      <c r="DX30" s="537"/>
      <c r="DY30" s="537"/>
      <c r="DZ30" s="537"/>
      <c r="EA30" s="537"/>
    </row>
    <row r="31" spans="1:131" s="310" customFormat="1">
      <c r="A31" s="398" t="s">
        <v>1116</v>
      </c>
      <c r="B31" s="673"/>
      <c r="C31" s="673"/>
      <c r="E31" s="396">
        <f ca="1">ABS(SUM(G21:DW21)-SUM(G28:DW28))</f>
        <v>0</v>
      </c>
      <c r="I31" s="1041"/>
      <c r="DX31" s="537"/>
      <c r="DY31" s="537"/>
      <c r="DZ31" s="537"/>
      <c r="EA31" s="537"/>
    </row>
    <row r="32" spans="1:131" s="310" customFormat="1">
      <c r="A32" s="398" t="s">
        <v>1259</v>
      </c>
      <c r="B32" s="673"/>
      <c r="C32" s="673"/>
      <c r="E32" s="396">
        <f ca="1">COUNTIF(H24:DW28,"&lt;0")</f>
        <v>0</v>
      </c>
      <c r="F32" s="640"/>
      <c r="G32" s="642"/>
      <c r="H32" s="642"/>
      <c r="I32" s="642"/>
      <c r="J32" s="642"/>
      <c r="K32" s="642"/>
      <c r="L32" s="642"/>
      <c r="M32" s="642"/>
      <c r="N32" s="642"/>
      <c r="O32" s="642"/>
      <c r="P32" s="642"/>
      <c r="Q32" s="642"/>
      <c r="R32" s="642"/>
      <c r="S32" s="642"/>
      <c r="T32" s="642"/>
      <c r="U32" s="642"/>
      <c r="V32" s="642"/>
      <c r="W32" s="642"/>
      <c r="X32" s="642"/>
      <c r="Y32" s="642"/>
      <c r="Z32" s="642"/>
      <c r="AA32" s="642"/>
      <c r="AB32" s="642"/>
      <c r="AC32" s="642"/>
      <c r="AD32" s="642"/>
      <c r="AE32" s="642"/>
      <c r="AF32" s="642"/>
      <c r="AG32" s="642"/>
      <c r="AH32" s="642"/>
      <c r="AI32" s="642"/>
      <c r="AJ32" s="642"/>
      <c r="AK32" s="642"/>
      <c r="AL32" s="642"/>
      <c r="AM32" s="642"/>
      <c r="AN32" s="642"/>
      <c r="AO32" s="642"/>
      <c r="AP32" s="642"/>
      <c r="AQ32" s="642"/>
      <c r="AR32" s="642"/>
      <c r="AS32" s="642"/>
      <c r="AT32" s="642"/>
      <c r="AU32" s="642"/>
      <c r="AV32" s="642"/>
      <c r="AW32" s="642"/>
      <c r="AX32" s="642"/>
      <c r="AY32" s="642"/>
      <c r="AZ32" s="642"/>
      <c r="BA32" s="642"/>
      <c r="BB32" s="642"/>
      <c r="BC32" s="642"/>
      <c r="BD32" s="642"/>
      <c r="BE32" s="642"/>
      <c r="BF32" s="642"/>
      <c r="BG32" s="642"/>
      <c r="BH32" s="642"/>
      <c r="BI32" s="642"/>
      <c r="BJ32" s="642"/>
      <c r="BK32" s="642"/>
      <c r="BL32" s="642"/>
      <c r="BM32" s="642"/>
      <c r="BN32" s="642"/>
      <c r="BO32" s="642"/>
      <c r="BP32" s="642"/>
      <c r="BQ32" s="642"/>
      <c r="BR32" s="642"/>
      <c r="BS32" s="642"/>
      <c r="BT32" s="642"/>
      <c r="BU32" s="642"/>
      <c r="BV32" s="642"/>
      <c r="BW32" s="642"/>
      <c r="BX32" s="642"/>
      <c r="BY32" s="642"/>
      <c r="BZ32" s="642"/>
      <c r="CA32" s="642"/>
      <c r="CB32" s="642"/>
      <c r="CC32" s="642"/>
      <c r="CD32" s="642"/>
      <c r="CE32" s="642"/>
      <c r="CF32" s="642"/>
      <c r="CG32" s="642"/>
      <c r="CH32" s="642"/>
      <c r="CI32" s="642"/>
      <c r="CJ32" s="642"/>
      <c r="CK32" s="642"/>
      <c r="CL32" s="642"/>
      <c r="CM32" s="642"/>
      <c r="CN32" s="642"/>
      <c r="CO32" s="642"/>
      <c r="CP32" s="642"/>
      <c r="CQ32" s="642"/>
      <c r="CR32" s="642"/>
      <c r="CS32" s="642"/>
      <c r="CT32" s="642"/>
      <c r="CU32" s="642"/>
      <c r="CV32" s="642"/>
      <c r="CW32" s="642"/>
      <c r="CX32" s="642"/>
      <c r="CY32" s="642"/>
      <c r="CZ32" s="642"/>
      <c r="DA32" s="642"/>
      <c r="DB32" s="642"/>
      <c r="DC32" s="642"/>
      <c r="DD32" s="642"/>
      <c r="DE32" s="642"/>
      <c r="DF32" s="642"/>
      <c r="DG32" s="642"/>
      <c r="DH32" s="642"/>
      <c r="DI32" s="642"/>
      <c r="DJ32" s="642"/>
      <c r="DK32" s="642"/>
      <c r="DL32" s="642"/>
      <c r="DM32" s="642"/>
      <c r="DN32" s="642"/>
      <c r="DO32" s="642"/>
      <c r="DP32" s="642"/>
      <c r="DQ32" s="642"/>
      <c r="DR32" s="642"/>
      <c r="DS32" s="642"/>
      <c r="DT32" s="642"/>
      <c r="DU32" s="642"/>
      <c r="DV32" s="642"/>
      <c r="DW32" s="642"/>
      <c r="DX32" s="537"/>
      <c r="DY32" s="537"/>
      <c r="DZ32" s="537"/>
      <c r="EA32" s="537"/>
    </row>
    <row r="33" spans="1:131" s="310" customFormat="1">
      <c r="A33" s="304"/>
      <c r="B33" s="970"/>
      <c r="C33" s="970"/>
      <c r="D33" s="644"/>
      <c r="E33" s="370"/>
      <c r="G33" s="645"/>
      <c r="DX33" s="537"/>
      <c r="DY33" s="537"/>
      <c r="DZ33" s="537"/>
      <c r="EA33" s="537"/>
    </row>
    <row r="34" spans="1:131">
      <c r="A34" s="861" t="str">
        <f>Inputs!$A$317&amp;" Operation Flows"</f>
        <v>Investor 1 Operation Flows</v>
      </c>
      <c r="B34" s="1060">
        <f>Inputs!C317</f>
        <v>0</v>
      </c>
      <c r="C34" s="1018"/>
      <c r="D34" s="963"/>
      <c r="E34" s="864"/>
      <c r="F34" s="870"/>
      <c r="G34" s="638">
        <f>G$12</f>
        <v>47298</v>
      </c>
      <c r="H34" s="638">
        <f t="shared" ref="H34:BS34" si="14">H$12</f>
        <v>47848</v>
      </c>
      <c r="I34" s="638">
        <f t="shared" si="14"/>
        <v>48029</v>
      </c>
      <c r="J34" s="638">
        <f t="shared" si="14"/>
        <v>48213</v>
      </c>
      <c r="K34" s="638">
        <f t="shared" si="14"/>
        <v>48395</v>
      </c>
      <c r="L34" s="638">
        <f t="shared" si="14"/>
        <v>48579</v>
      </c>
      <c r="M34" s="638">
        <f t="shared" si="14"/>
        <v>48760</v>
      </c>
      <c r="N34" s="638">
        <f t="shared" si="14"/>
        <v>48944</v>
      </c>
      <c r="O34" s="638">
        <f t="shared" si="14"/>
        <v>49125</v>
      </c>
      <c r="P34" s="638">
        <f t="shared" si="14"/>
        <v>49309</v>
      </c>
      <c r="Q34" s="638">
        <f t="shared" si="14"/>
        <v>49490</v>
      </c>
      <c r="R34" s="638">
        <f t="shared" si="14"/>
        <v>49674</v>
      </c>
      <c r="S34" s="638">
        <f t="shared" si="14"/>
        <v>49856</v>
      </c>
      <c r="T34" s="638">
        <f t="shared" si="14"/>
        <v>50040</v>
      </c>
      <c r="U34" s="638">
        <f t="shared" si="14"/>
        <v>50221</v>
      </c>
      <c r="V34" s="638">
        <f t="shared" si="14"/>
        <v>50405</v>
      </c>
      <c r="W34" s="638">
        <f t="shared" si="14"/>
        <v>50586</v>
      </c>
      <c r="X34" s="638">
        <f t="shared" si="14"/>
        <v>50770</v>
      </c>
      <c r="Y34" s="638">
        <f t="shared" si="14"/>
        <v>50951</v>
      </c>
      <c r="Z34" s="638">
        <f t="shared" si="14"/>
        <v>51135</v>
      </c>
      <c r="AA34" s="638">
        <f t="shared" si="14"/>
        <v>51317</v>
      </c>
      <c r="AB34" s="638">
        <f t="shared" si="14"/>
        <v>51501</v>
      </c>
      <c r="AC34" s="638">
        <f t="shared" si="14"/>
        <v>51682</v>
      </c>
      <c r="AD34" s="638">
        <f t="shared" si="14"/>
        <v>51866</v>
      </c>
      <c r="AE34" s="638">
        <f t="shared" si="14"/>
        <v>52047</v>
      </c>
      <c r="AF34" s="638">
        <f t="shared" si="14"/>
        <v>52231</v>
      </c>
      <c r="AG34" s="638">
        <f t="shared" si="14"/>
        <v>52412</v>
      </c>
      <c r="AH34" s="638">
        <f t="shared" si="14"/>
        <v>52596</v>
      </c>
      <c r="AI34" s="638">
        <f t="shared" si="14"/>
        <v>52778</v>
      </c>
      <c r="AJ34" s="638">
        <f t="shared" si="14"/>
        <v>52962</v>
      </c>
      <c r="AK34" s="638">
        <f t="shared" si="14"/>
        <v>53143</v>
      </c>
      <c r="AL34" s="638">
        <f t="shared" si="14"/>
        <v>53327</v>
      </c>
      <c r="AM34" s="638">
        <f t="shared" si="14"/>
        <v>53508</v>
      </c>
      <c r="AN34" s="638">
        <f t="shared" si="14"/>
        <v>53692</v>
      </c>
      <c r="AO34" s="638">
        <f t="shared" si="14"/>
        <v>53873</v>
      </c>
      <c r="AP34" s="638">
        <f t="shared" si="14"/>
        <v>54057</v>
      </c>
      <c r="AQ34" s="638">
        <f t="shared" si="14"/>
        <v>54239</v>
      </c>
      <c r="AR34" s="638">
        <f t="shared" si="14"/>
        <v>54423</v>
      </c>
      <c r="AS34" s="638">
        <f t="shared" si="14"/>
        <v>54604</v>
      </c>
      <c r="AT34" s="638">
        <f t="shared" si="14"/>
        <v>54788</v>
      </c>
      <c r="AU34" s="638">
        <f t="shared" si="14"/>
        <v>54969</v>
      </c>
      <c r="AV34" s="638">
        <f t="shared" si="14"/>
        <v>55153</v>
      </c>
      <c r="AW34" s="638">
        <f t="shared" si="14"/>
        <v>55334</v>
      </c>
      <c r="AX34" s="638">
        <f t="shared" si="14"/>
        <v>55518</v>
      </c>
      <c r="AY34" s="638">
        <f t="shared" si="14"/>
        <v>55700</v>
      </c>
      <c r="AZ34" s="638">
        <f t="shared" si="14"/>
        <v>55884</v>
      </c>
      <c r="BA34" s="638">
        <f t="shared" si="14"/>
        <v>56065</v>
      </c>
      <c r="BB34" s="638">
        <f t="shared" si="14"/>
        <v>56249</v>
      </c>
      <c r="BC34" s="638">
        <f t="shared" si="14"/>
        <v>56430</v>
      </c>
      <c r="BD34" s="638">
        <f t="shared" si="14"/>
        <v>56614</v>
      </c>
      <c r="BE34" s="638">
        <f t="shared" si="14"/>
        <v>56795</v>
      </c>
      <c r="BF34" s="638">
        <f t="shared" si="14"/>
        <v>56979</v>
      </c>
      <c r="BG34" s="638">
        <f t="shared" si="14"/>
        <v>57161</v>
      </c>
      <c r="BH34" s="638">
        <f t="shared" si="14"/>
        <v>57345</v>
      </c>
      <c r="BI34" s="638">
        <f t="shared" si="14"/>
        <v>57526</v>
      </c>
      <c r="BJ34" s="638">
        <f t="shared" si="14"/>
        <v>57710</v>
      </c>
      <c r="BK34" s="638">
        <f t="shared" si="14"/>
        <v>57891</v>
      </c>
      <c r="BL34" s="638">
        <f t="shared" si="14"/>
        <v>58075</v>
      </c>
      <c r="BM34" s="638">
        <f t="shared" si="14"/>
        <v>58256</v>
      </c>
      <c r="BN34" s="638">
        <f t="shared" si="14"/>
        <v>58440</v>
      </c>
      <c r="BO34" s="638">
        <f t="shared" si="14"/>
        <v>58622</v>
      </c>
      <c r="BP34" s="638">
        <f t="shared" si="14"/>
        <v>58806</v>
      </c>
      <c r="BQ34" s="638">
        <f t="shared" si="14"/>
        <v>58987</v>
      </c>
      <c r="BR34" s="638">
        <f t="shared" si="14"/>
        <v>59171</v>
      </c>
      <c r="BS34" s="638">
        <f t="shared" si="14"/>
        <v>59352</v>
      </c>
      <c r="BT34" s="638">
        <f t="shared" ref="BT34:DW34" si="15">BT$12</f>
        <v>59536</v>
      </c>
      <c r="BU34" s="638">
        <f t="shared" si="15"/>
        <v>59717</v>
      </c>
      <c r="BV34" s="638">
        <f t="shared" si="15"/>
        <v>59901</v>
      </c>
      <c r="BW34" s="638">
        <f t="shared" si="15"/>
        <v>60083</v>
      </c>
      <c r="BX34" s="638">
        <f t="shared" si="15"/>
        <v>60267</v>
      </c>
      <c r="BY34" s="638">
        <f t="shared" si="15"/>
        <v>60448</v>
      </c>
      <c r="BZ34" s="638">
        <f t="shared" si="15"/>
        <v>60632</v>
      </c>
      <c r="CA34" s="638">
        <f t="shared" si="15"/>
        <v>60813</v>
      </c>
      <c r="CB34" s="638">
        <f t="shared" si="15"/>
        <v>60997</v>
      </c>
      <c r="CC34" s="638">
        <f t="shared" si="15"/>
        <v>61178</v>
      </c>
      <c r="CD34" s="638">
        <f t="shared" si="15"/>
        <v>61362</v>
      </c>
      <c r="CE34" s="638">
        <f t="shared" si="15"/>
        <v>61544</v>
      </c>
      <c r="CF34" s="638">
        <f t="shared" si="15"/>
        <v>61728</v>
      </c>
      <c r="CG34" s="638">
        <f t="shared" si="15"/>
        <v>61909</v>
      </c>
      <c r="CH34" s="638">
        <f t="shared" si="15"/>
        <v>62093</v>
      </c>
      <c r="CI34" s="638">
        <f t="shared" si="15"/>
        <v>62274</v>
      </c>
      <c r="CJ34" s="638">
        <f t="shared" si="15"/>
        <v>62458</v>
      </c>
      <c r="CK34" s="638">
        <f t="shared" si="15"/>
        <v>62639</v>
      </c>
      <c r="CL34" s="638">
        <f t="shared" si="15"/>
        <v>62823</v>
      </c>
      <c r="CM34" s="638">
        <f t="shared" si="15"/>
        <v>63005</v>
      </c>
      <c r="CN34" s="638">
        <f t="shared" si="15"/>
        <v>63189</v>
      </c>
      <c r="CO34" s="638">
        <f t="shared" si="15"/>
        <v>63370</v>
      </c>
      <c r="CP34" s="638">
        <f t="shared" si="15"/>
        <v>63554</v>
      </c>
      <c r="CQ34" s="638">
        <f t="shared" si="15"/>
        <v>63735</v>
      </c>
      <c r="CR34" s="638">
        <f t="shared" si="15"/>
        <v>63919</v>
      </c>
      <c r="CS34" s="638">
        <f t="shared" si="15"/>
        <v>64100</v>
      </c>
      <c r="CT34" s="638">
        <f t="shared" si="15"/>
        <v>64284</v>
      </c>
      <c r="CU34" s="638">
        <f t="shared" si="15"/>
        <v>64466</v>
      </c>
      <c r="CV34" s="638">
        <f t="shared" si="15"/>
        <v>64650</v>
      </c>
      <c r="CW34" s="638">
        <f t="shared" si="15"/>
        <v>64831</v>
      </c>
      <c r="CX34" s="638">
        <f t="shared" si="15"/>
        <v>65015</v>
      </c>
      <c r="CY34" s="638">
        <f t="shared" si="15"/>
        <v>65196</v>
      </c>
      <c r="CZ34" s="638">
        <f t="shared" si="15"/>
        <v>65380</v>
      </c>
      <c r="DA34" s="638">
        <f t="shared" si="15"/>
        <v>65561</v>
      </c>
      <c r="DB34" s="638">
        <f t="shared" si="15"/>
        <v>65745</v>
      </c>
      <c r="DC34" s="638">
        <f t="shared" si="15"/>
        <v>65927</v>
      </c>
      <c r="DD34" s="638">
        <f t="shared" si="15"/>
        <v>66111</v>
      </c>
      <c r="DE34" s="638">
        <f t="shared" si="15"/>
        <v>66292</v>
      </c>
      <c r="DF34" s="638">
        <f t="shared" si="15"/>
        <v>66476</v>
      </c>
      <c r="DG34" s="638">
        <f t="shared" si="15"/>
        <v>66657</v>
      </c>
      <c r="DH34" s="638">
        <f t="shared" si="15"/>
        <v>66841</v>
      </c>
      <c r="DI34" s="638">
        <f t="shared" si="15"/>
        <v>67022</v>
      </c>
      <c r="DJ34" s="638">
        <f t="shared" si="15"/>
        <v>67206</v>
      </c>
      <c r="DK34" s="638">
        <f t="shared" si="15"/>
        <v>67388</v>
      </c>
      <c r="DL34" s="638">
        <f t="shared" si="15"/>
        <v>67572</v>
      </c>
      <c r="DM34" s="638">
        <f t="shared" si="15"/>
        <v>67753</v>
      </c>
      <c r="DN34" s="638">
        <f t="shared" si="15"/>
        <v>67937</v>
      </c>
      <c r="DO34" s="638">
        <f t="shared" si="15"/>
        <v>68118</v>
      </c>
      <c r="DP34" s="638">
        <f t="shared" si="15"/>
        <v>68302</v>
      </c>
      <c r="DQ34" s="638">
        <f t="shared" si="15"/>
        <v>68483</v>
      </c>
      <c r="DR34" s="638">
        <f t="shared" si="15"/>
        <v>68667</v>
      </c>
      <c r="DS34" s="638">
        <f t="shared" si="15"/>
        <v>68849</v>
      </c>
      <c r="DT34" s="638">
        <f t="shared" si="15"/>
        <v>69033</v>
      </c>
      <c r="DU34" s="638">
        <f t="shared" si="15"/>
        <v>69214</v>
      </c>
      <c r="DV34" s="638">
        <f t="shared" si="15"/>
        <v>69398</v>
      </c>
      <c r="DW34" s="638">
        <f t="shared" si="15"/>
        <v>69579</v>
      </c>
    </row>
    <row r="35" spans="1:131">
      <c r="A35" s="1019" t="str">
        <f>"SHL " &amp; A18</f>
        <v>SHL Principal</v>
      </c>
      <c r="B35" s="976">
        <f ca="1">Inputs!D330</f>
        <v>0</v>
      </c>
      <c r="C35" s="971"/>
      <c r="D35" s="471"/>
      <c r="E35" s="471"/>
      <c r="F35" s="611"/>
      <c r="G35" s="976">
        <f ca="1">IF(G$4=0,-$B$35,DS!G151*G7)</f>
        <v>0</v>
      </c>
      <c r="H35" s="976">
        <f ca="1">IF(H$4=0,-$B$35,DS!H151*H7)</f>
        <v>0</v>
      </c>
      <c r="I35" s="976">
        <f ca="1">IF(I$4=0,-$B$35,DS!I151*I7)</f>
        <v>0</v>
      </c>
      <c r="J35" s="976">
        <f ca="1">IF(J$4=0,-$B$35,DS!J151*J7)</f>
        <v>0</v>
      </c>
      <c r="K35" s="976">
        <f ca="1">IF(K$4=0,-$B$35,DS!K151*K7)</f>
        <v>0</v>
      </c>
      <c r="L35" s="976">
        <f ca="1">IF(L$4=0,-$B$35,DS!L151*L7)</f>
        <v>0</v>
      </c>
      <c r="M35" s="976">
        <f ca="1">IF(M$4=0,-$B$35,DS!M151*M7)</f>
        <v>0</v>
      </c>
      <c r="N35" s="976">
        <f ca="1">IF(N$4=0,-$B$35,DS!N151*N7)</f>
        <v>0</v>
      </c>
      <c r="O35" s="976">
        <f ca="1">IF(O$4=0,-$B$35,DS!O151*O7)</f>
        <v>0</v>
      </c>
      <c r="P35" s="976">
        <f ca="1">IF(P$4=0,-$B$35,DS!P151*P7)</f>
        <v>0</v>
      </c>
      <c r="Q35" s="976">
        <f ca="1">IF(Q$4=0,-$B$35,DS!Q151*Q7)</f>
        <v>0</v>
      </c>
      <c r="R35" s="976">
        <f ca="1">IF(R$4=0,-$B$35,DS!R151*R7)</f>
        <v>0</v>
      </c>
      <c r="S35" s="976">
        <f ca="1">IF(S$4=0,-$B$35,DS!S151*S7)</f>
        <v>0</v>
      </c>
      <c r="T35" s="976">
        <f ca="1">IF(T$4=0,-$B$35,DS!T151*T7)</f>
        <v>0</v>
      </c>
      <c r="U35" s="976">
        <f ca="1">IF(U$4=0,-$B$35,DS!U151*U7)</f>
        <v>0</v>
      </c>
      <c r="V35" s="976">
        <f ca="1">IF(V$4=0,-$B$35,DS!V151*V7)</f>
        <v>0</v>
      </c>
      <c r="W35" s="976">
        <f ca="1">IF(W$4=0,-$B$35,DS!W151*W7)</f>
        <v>0</v>
      </c>
      <c r="X35" s="976">
        <f ca="1">IF(X$4=0,-$B$35,DS!X151*X7)</f>
        <v>0</v>
      </c>
      <c r="Y35" s="976">
        <f ca="1">IF(Y$4=0,-$B$35,DS!Y151*Y7)</f>
        <v>0</v>
      </c>
      <c r="Z35" s="976">
        <f ca="1">IF(Z$4=0,-$B$35,DS!Z151*Z7)</f>
        <v>0</v>
      </c>
      <c r="AA35" s="976">
        <f ca="1">IF(AA$4=0,-$B$35,DS!AA151*AA7)</f>
        <v>0</v>
      </c>
      <c r="AB35" s="976">
        <f ca="1">IF(AB$4=0,-$B$35,DS!AB151*AB7)</f>
        <v>0</v>
      </c>
      <c r="AC35" s="976">
        <f ca="1">IF(AC$4=0,-$B$35,DS!AC151*AC7)</f>
        <v>0</v>
      </c>
      <c r="AD35" s="976">
        <f ca="1">IF(AD$4=0,-$B$35,DS!AD151*AD7)</f>
        <v>0</v>
      </c>
      <c r="AE35" s="976">
        <f ca="1">IF(AE$4=0,-$B$35,DS!AE151*AE7)</f>
        <v>0</v>
      </c>
      <c r="AF35" s="976">
        <f ca="1">IF(AF$4=0,-$B$35,DS!AF151*AF7)</f>
        <v>0</v>
      </c>
      <c r="AG35" s="976">
        <f ca="1">IF(AG$4=0,-$B$35,DS!AG151*AG7)</f>
        <v>0</v>
      </c>
      <c r="AH35" s="976">
        <f ca="1">IF(AH$4=0,-$B$35,DS!AH151*AH7)</f>
        <v>0</v>
      </c>
      <c r="AI35" s="976">
        <f ca="1">IF(AI$4=0,-$B$35,DS!AI151*AI7)</f>
        <v>0</v>
      </c>
      <c r="AJ35" s="976">
        <f ca="1">IF(AJ$4=0,-$B$35,DS!AJ151*AJ7)</f>
        <v>0</v>
      </c>
      <c r="AK35" s="976">
        <f ca="1">IF(AK$4=0,-$B$35,DS!AK151*AK7)</f>
        <v>0</v>
      </c>
      <c r="AL35" s="976">
        <f ca="1">IF(AL$4=0,-$B$35,DS!AL151*AL7)</f>
        <v>0</v>
      </c>
      <c r="AM35" s="976">
        <f ca="1">IF(AM$4=0,-$B$35,DS!AM151*AM7)</f>
        <v>0</v>
      </c>
      <c r="AN35" s="976">
        <f ca="1">IF(AN$4=0,-$B$35,DS!AN151*AN7)</f>
        <v>0</v>
      </c>
      <c r="AO35" s="976">
        <f ca="1">IF(AO$4=0,-$B$35,DS!AO151*AO7)</f>
        <v>0</v>
      </c>
      <c r="AP35" s="976">
        <f ca="1">IF(AP$4=0,-$B$35,DS!AP151*AP7)</f>
        <v>0</v>
      </c>
      <c r="AQ35" s="976">
        <f ca="1">IF(AQ$4=0,-$B$35,DS!AQ151*AQ7)</f>
        <v>0</v>
      </c>
      <c r="AR35" s="976">
        <f ca="1">IF(AR$4=0,-$B$35,DS!AR151*AR7)</f>
        <v>0</v>
      </c>
      <c r="AS35" s="976">
        <f ca="1">IF(AS$4=0,-$B$35,DS!AS151*AS7)</f>
        <v>0</v>
      </c>
      <c r="AT35" s="976">
        <f ca="1">IF(AT$4=0,-$B$35,DS!AT151*AT7)</f>
        <v>0</v>
      </c>
      <c r="AU35" s="976">
        <f ca="1">IF(AU$4=0,-$B$35,DS!AU151*AU7)</f>
        <v>0</v>
      </c>
      <c r="AV35" s="976">
        <f ca="1">IF(AV$4=0,-$B$35,DS!AV151*AV7)</f>
        <v>0</v>
      </c>
      <c r="AW35" s="976">
        <f ca="1">IF(AW$4=0,-$B$35,DS!AW151*AW7)</f>
        <v>0</v>
      </c>
      <c r="AX35" s="976">
        <f ca="1">IF(AX$4=0,-$B$35,DS!AX151*AX7)</f>
        <v>0</v>
      </c>
      <c r="AY35" s="976">
        <f ca="1">IF(AY$4=0,-$B$35,DS!AY151*AY7)</f>
        <v>0</v>
      </c>
      <c r="AZ35" s="976">
        <f ca="1">IF(AZ$4=0,-$B$35,DS!AZ151*AZ7)</f>
        <v>0</v>
      </c>
      <c r="BA35" s="976">
        <f ca="1">IF(BA$4=0,-$B$35,DS!BA151*BA7)</f>
        <v>0</v>
      </c>
      <c r="BB35" s="976">
        <f ca="1">IF(BB$4=0,-$B$35,DS!BB151*BB7)</f>
        <v>0</v>
      </c>
      <c r="BC35" s="976">
        <f ca="1">IF(BC$4=0,-$B$35,DS!BC151*BC7)</f>
        <v>0</v>
      </c>
      <c r="BD35" s="976">
        <f ca="1">IF(BD$4=0,-$B$35,DS!BD151*BD7)</f>
        <v>0</v>
      </c>
      <c r="BE35" s="976">
        <f ca="1">IF(BE$4=0,-$B$35,DS!BE151*BE7)</f>
        <v>0</v>
      </c>
      <c r="BF35" s="976">
        <f ca="1">IF(BF$4=0,-$B$35,DS!BF151*BF7)</f>
        <v>0</v>
      </c>
      <c r="BG35" s="976">
        <f ca="1">IF(BG$4=0,-$B$35,DS!BG151*BG7)</f>
        <v>0</v>
      </c>
      <c r="BH35" s="976">
        <f ca="1">IF(BH$4=0,-$B$35,DS!BH151*BH7)</f>
        <v>0</v>
      </c>
      <c r="BI35" s="976">
        <f ca="1">IF(BI$4=0,-$B$35,DS!BI151*BI7)</f>
        <v>0</v>
      </c>
      <c r="BJ35" s="976">
        <f ca="1">IF(BJ$4=0,-$B$35,DS!BJ151*BJ7)</f>
        <v>0</v>
      </c>
      <c r="BK35" s="976">
        <f ca="1">IF(BK$4=0,-$B$35,DS!BK151*BK7)</f>
        <v>0</v>
      </c>
      <c r="BL35" s="976">
        <f ca="1">IF(BL$4=0,-$B$35,DS!BL151*BL7)</f>
        <v>0</v>
      </c>
      <c r="BM35" s="976">
        <f ca="1">IF(BM$4=0,-$B$35,DS!BM151*BM7)</f>
        <v>0</v>
      </c>
      <c r="BN35" s="976">
        <f ca="1">IF(BN$4=0,-$B$35,DS!BN151*BN7)</f>
        <v>0</v>
      </c>
      <c r="BO35" s="976">
        <f ca="1">IF(BO$4=0,-$B$35,DS!BO151*BO7)</f>
        <v>0</v>
      </c>
      <c r="BP35" s="976">
        <f ca="1">IF(BP$4=0,-$B$35,DS!BP151*BP7)</f>
        <v>0</v>
      </c>
      <c r="BQ35" s="976">
        <f ca="1">IF(BQ$4=0,-$B$35,DS!BQ151*BQ7)</f>
        <v>0</v>
      </c>
      <c r="BR35" s="976">
        <f ca="1">IF(BR$4=0,-$B$35,DS!BR151*BR7)</f>
        <v>0</v>
      </c>
      <c r="BS35" s="976">
        <f ca="1">IF(BS$4=0,-$B$35,DS!BS151*BS7)</f>
        <v>0</v>
      </c>
      <c r="BT35" s="976">
        <f ca="1">IF(BT$4=0,-$B$35,DS!BT151*BT7)</f>
        <v>0</v>
      </c>
      <c r="BU35" s="976">
        <f ca="1">IF(BU$4=0,-$B$35,DS!BU151*BU7)</f>
        <v>0</v>
      </c>
      <c r="BV35" s="976">
        <f ca="1">IF(BV$4=0,-$B$35,DS!BV151*BV7)</f>
        <v>0</v>
      </c>
      <c r="BW35" s="976">
        <f ca="1">IF(BW$4=0,-$B$35,DS!BW151*BW7)</f>
        <v>0</v>
      </c>
      <c r="BX35" s="976">
        <f ca="1">IF(BX$4=0,-$B$35,DS!BX151*BX7)</f>
        <v>0</v>
      </c>
      <c r="BY35" s="976">
        <f ca="1">IF(BY$4=0,-$B$35,DS!BY151*BY7)</f>
        <v>0</v>
      </c>
      <c r="BZ35" s="976">
        <f ca="1">IF(BZ$4=0,-$B$35,DS!BZ151*BZ7)</f>
        <v>0</v>
      </c>
      <c r="CA35" s="976">
        <f ca="1">IF(CA$4=0,-$B$35,DS!CA151*CA7)</f>
        <v>0</v>
      </c>
      <c r="CB35" s="976">
        <f ca="1">IF(CB$4=0,-$B$35,DS!CB151*CB7)</f>
        <v>0</v>
      </c>
      <c r="CC35" s="976">
        <f ca="1">IF(CC$4=0,-$B$35,DS!CC151*CC7)</f>
        <v>0</v>
      </c>
      <c r="CD35" s="976">
        <f ca="1">IF(CD$4=0,-$B$35,DS!CD151*CD7)</f>
        <v>0</v>
      </c>
      <c r="CE35" s="976">
        <f ca="1">IF(CE$4=0,-$B$35,DS!CE151*CE7)</f>
        <v>0</v>
      </c>
      <c r="CF35" s="976">
        <f ca="1">IF(CF$4=0,-$B$35,DS!CF151*CF7)</f>
        <v>0</v>
      </c>
      <c r="CG35" s="976">
        <f ca="1">IF(CG$4=0,-$B$35,DS!CG151*CG7)</f>
        <v>0</v>
      </c>
      <c r="CH35" s="976">
        <f ca="1">IF(CH$4=0,-$B$35,DS!CH151*CH7)</f>
        <v>0</v>
      </c>
      <c r="CI35" s="976">
        <f ca="1">IF(CI$4=0,-$B$35,DS!CI151*CI7)</f>
        <v>0</v>
      </c>
      <c r="CJ35" s="976">
        <f ca="1">IF(CJ$4=0,-$B$35,DS!CJ151*CJ7)</f>
        <v>0</v>
      </c>
      <c r="CK35" s="976">
        <f ca="1">IF(CK$4=0,-$B$35,DS!CK151*CK7)</f>
        <v>0</v>
      </c>
      <c r="CL35" s="976">
        <f ca="1">IF(CL$4=0,-$B$35,DS!CL151*CL7)</f>
        <v>0</v>
      </c>
      <c r="CM35" s="976">
        <f ca="1">IF(CM$4=0,-$B$35,DS!CM151*CM7)</f>
        <v>0</v>
      </c>
      <c r="CN35" s="976">
        <f ca="1">IF(CN$4=0,-$B$35,DS!CN151*CN7)</f>
        <v>0</v>
      </c>
      <c r="CO35" s="976">
        <f ca="1">IF(CO$4=0,-$B$35,DS!CO151*CO7)</f>
        <v>0</v>
      </c>
      <c r="CP35" s="976">
        <f ca="1">IF(CP$4=0,-$B$35,DS!CP151*CP7)</f>
        <v>0</v>
      </c>
      <c r="CQ35" s="976">
        <f ca="1">IF(CQ$4=0,-$B$35,DS!CQ151*CQ7)</f>
        <v>0</v>
      </c>
      <c r="CR35" s="976">
        <f ca="1">IF(CR$4=0,-$B$35,DS!CR151*CR7)</f>
        <v>0</v>
      </c>
      <c r="CS35" s="976">
        <f ca="1">IF(CS$4=0,-$B$35,DS!CS151*CS7)</f>
        <v>0</v>
      </c>
      <c r="CT35" s="976">
        <f ca="1">IF(CT$4=0,-$B$35,DS!CT151*CT7)</f>
        <v>0</v>
      </c>
      <c r="CU35" s="976">
        <f ca="1">IF(CU$4=0,-$B$35,DS!CU151*CU7)</f>
        <v>0</v>
      </c>
      <c r="CV35" s="976">
        <f ca="1">IF(CV$4=0,-$B$35,DS!CV151*CV7)</f>
        <v>0</v>
      </c>
      <c r="CW35" s="976">
        <f ca="1">IF(CW$4=0,-$B$35,DS!CW151*CW7)</f>
        <v>0</v>
      </c>
      <c r="CX35" s="976">
        <f ca="1">IF(CX$4=0,-$B$35,DS!CX151*CX7)</f>
        <v>0</v>
      </c>
      <c r="CY35" s="976">
        <f ca="1">IF(CY$4=0,-$B$35,DS!CY151*CY7)</f>
        <v>0</v>
      </c>
      <c r="CZ35" s="976">
        <f ca="1">IF(CZ$4=0,-$B$35,DS!CZ151*CZ7)</f>
        <v>0</v>
      </c>
      <c r="DA35" s="976">
        <f ca="1">IF(DA$4=0,-$B$35,DS!DA151*DA7)</f>
        <v>0</v>
      </c>
      <c r="DB35" s="976">
        <f ca="1">IF(DB$4=0,-$B$35,DS!DB151*DB7)</f>
        <v>0</v>
      </c>
      <c r="DC35" s="976">
        <f ca="1">IF(DC$4=0,-$B$35,DS!DC151*DC7)</f>
        <v>0</v>
      </c>
      <c r="DD35" s="976">
        <f ca="1">IF(DD$4=0,-$B$35,DS!DD151*DD7)</f>
        <v>0</v>
      </c>
      <c r="DE35" s="976">
        <f ca="1">IF(DE$4=0,-$B$35,DS!DE151*DE7)</f>
        <v>0</v>
      </c>
      <c r="DF35" s="976">
        <f ca="1">IF(DF$4=0,-$B$35,DS!DF151*DF7)</f>
        <v>0</v>
      </c>
      <c r="DG35" s="976">
        <f ca="1">IF(DG$4=0,-$B$35,DS!DG151*DG7)</f>
        <v>0</v>
      </c>
      <c r="DH35" s="976">
        <f ca="1">IF(DH$4=0,-$B$35,DS!DH151*DH7)</f>
        <v>0</v>
      </c>
      <c r="DI35" s="976">
        <f ca="1">IF(DI$4=0,-$B$35,DS!DI151*DI7)</f>
        <v>0</v>
      </c>
      <c r="DJ35" s="976">
        <f ca="1">IF(DJ$4=0,-$B$35,DS!DJ151*DJ7)</f>
        <v>0</v>
      </c>
      <c r="DK35" s="976">
        <f ca="1">IF(DK$4=0,-$B$35,DS!DK151*DK7)</f>
        <v>0</v>
      </c>
      <c r="DL35" s="976">
        <f ca="1">IF(DL$4=0,-$B$35,DS!DL151*DL7)</f>
        <v>0</v>
      </c>
      <c r="DM35" s="976">
        <f ca="1">IF(DM$4=0,-$B$35,DS!DM151*DM7)</f>
        <v>0</v>
      </c>
      <c r="DN35" s="976">
        <f ca="1">IF(DN$4=0,-$B$35,DS!DN151*DN7)</f>
        <v>0</v>
      </c>
      <c r="DO35" s="976">
        <f ca="1">IF(DO$4=0,-$B$35,DS!DO151*DO7)</f>
        <v>0</v>
      </c>
      <c r="DP35" s="976">
        <f ca="1">IF(DP$4=0,-$B$35,DS!DP151*DP7)</f>
        <v>0</v>
      </c>
      <c r="DQ35" s="976">
        <f ca="1">IF(DQ$4=0,-$B$35,DS!DQ151*DQ7)</f>
        <v>0</v>
      </c>
      <c r="DR35" s="976">
        <f ca="1">IF(DR$4=0,-$B$35,DS!DR151*DR7)</f>
        <v>0</v>
      </c>
      <c r="DS35" s="976">
        <f ca="1">IF(DS$4=0,-$B$35,DS!DS151*DS7)</f>
        <v>0</v>
      </c>
      <c r="DT35" s="976">
        <f ca="1">IF(DT$4=0,-$B$35,DS!DT151*DT7)</f>
        <v>0</v>
      </c>
      <c r="DU35" s="976">
        <f ca="1">IF(DU$4=0,-$B$35,DS!DU151*DU7)</f>
        <v>0</v>
      </c>
      <c r="DV35" s="976">
        <f ca="1">IF(DV$4=0,-$B$35,DS!DV151*DV7)</f>
        <v>0</v>
      </c>
      <c r="DW35" s="976">
        <f ca="1">IF(DW$4=0,-$B$35,DS!DW151*DW7)</f>
        <v>0</v>
      </c>
    </row>
    <row r="36" spans="1:131">
      <c r="A36" s="1019" t="s">
        <v>1260</v>
      </c>
      <c r="B36" s="971"/>
      <c r="C36" s="971"/>
      <c r="D36" s="471"/>
      <c r="E36" s="476"/>
      <c r="F36" s="611"/>
      <c r="G36" s="976">
        <f ca="1">(DS!G149+DS!G150-DS!G152)*G7</f>
        <v>0</v>
      </c>
      <c r="H36" s="976">
        <f ca="1">(DS!H149+DS!H150-DS!H152)*H7</f>
        <v>0</v>
      </c>
      <c r="I36" s="976">
        <f ca="1">(DS!I149+DS!I150-DS!I152)*I7</f>
        <v>0</v>
      </c>
      <c r="J36" s="976">
        <f ca="1">(DS!J149+DS!J150-DS!J152)*J7</f>
        <v>0</v>
      </c>
      <c r="K36" s="976">
        <f ca="1">(DS!K149+DS!K150-DS!K152)*K7</f>
        <v>0</v>
      </c>
      <c r="L36" s="976">
        <f ca="1">(DS!L149+DS!L150-DS!L152)*L7</f>
        <v>0</v>
      </c>
      <c r="M36" s="976">
        <f ca="1">(DS!M149+DS!M150-DS!M152)*M7</f>
        <v>0</v>
      </c>
      <c r="N36" s="976">
        <f ca="1">(DS!N149+DS!N150-DS!N152)*N7</f>
        <v>0</v>
      </c>
      <c r="O36" s="976">
        <f ca="1">(DS!O149+DS!O150-DS!O152)*O7</f>
        <v>0</v>
      </c>
      <c r="P36" s="976">
        <f ca="1">(DS!P149+DS!P150-DS!P152)*P7</f>
        <v>0</v>
      </c>
      <c r="Q36" s="976">
        <f ca="1">(DS!Q149+DS!Q150-DS!Q152)*Q7</f>
        <v>0</v>
      </c>
      <c r="R36" s="976">
        <f ca="1">(DS!R149+DS!R150-DS!R152)*R7</f>
        <v>0</v>
      </c>
      <c r="S36" s="976">
        <f ca="1">(DS!S149+DS!S150-DS!S152)*S7</f>
        <v>0</v>
      </c>
      <c r="T36" s="976">
        <f ca="1">(DS!T149+DS!T150-DS!T152)*T7</f>
        <v>0</v>
      </c>
      <c r="U36" s="976">
        <f ca="1">(DS!U149+DS!U150-DS!U152)*U7</f>
        <v>0</v>
      </c>
      <c r="V36" s="976">
        <f ca="1">(DS!V149+DS!V150-DS!V152)*V7</f>
        <v>0</v>
      </c>
      <c r="W36" s="976">
        <f ca="1">(DS!W149+DS!W150-DS!W152)*W7</f>
        <v>0</v>
      </c>
      <c r="X36" s="976">
        <f ca="1">(DS!X149+DS!X150-DS!X152)*X7</f>
        <v>0</v>
      </c>
      <c r="Y36" s="976">
        <f ca="1">(DS!Y149+DS!Y150-DS!Y152)*Y7</f>
        <v>0</v>
      </c>
      <c r="Z36" s="976">
        <f ca="1">(DS!Z149+DS!Z150-DS!Z152)*Z7</f>
        <v>0</v>
      </c>
      <c r="AA36" s="976">
        <f ca="1">(DS!AA149+DS!AA150-DS!AA152)*AA7</f>
        <v>0</v>
      </c>
      <c r="AB36" s="976">
        <f ca="1">(DS!AB149+DS!AB150-DS!AB152)*AB7</f>
        <v>0</v>
      </c>
      <c r="AC36" s="976">
        <f ca="1">(DS!AC149+DS!AC150-DS!AC152)*AC7</f>
        <v>0</v>
      </c>
      <c r="AD36" s="976">
        <f ca="1">(DS!AD149+DS!AD150-DS!AD152)*AD7</f>
        <v>0</v>
      </c>
      <c r="AE36" s="976">
        <f ca="1">(DS!AE149+DS!AE150-DS!AE152)*AE7</f>
        <v>0</v>
      </c>
      <c r="AF36" s="976">
        <f ca="1">(DS!AF149+DS!AF150-DS!AF152)*AF7</f>
        <v>0</v>
      </c>
      <c r="AG36" s="976">
        <f ca="1">(DS!AG149+DS!AG150-DS!AG152)*AG7</f>
        <v>0</v>
      </c>
      <c r="AH36" s="976">
        <f ca="1">(DS!AH149+DS!AH150-DS!AH152)*AH7</f>
        <v>0</v>
      </c>
      <c r="AI36" s="976">
        <f ca="1">(DS!AI149+DS!AI150-DS!AI152)*AI7</f>
        <v>0</v>
      </c>
      <c r="AJ36" s="976">
        <f ca="1">(DS!AJ149+DS!AJ150-DS!AJ152)*AJ7</f>
        <v>0</v>
      </c>
      <c r="AK36" s="976">
        <f ca="1">(DS!AK149+DS!AK150-DS!AK152)*AK7</f>
        <v>0</v>
      </c>
      <c r="AL36" s="976">
        <f ca="1">(DS!AL149+DS!AL150-DS!AL152)*AL7</f>
        <v>0</v>
      </c>
      <c r="AM36" s="976">
        <f ca="1">(DS!AM149+DS!AM150-DS!AM152)*AM7</f>
        <v>0</v>
      </c>
      <c r="AN36" s="976">
        <f ca="1">(DS!AN149+DS!AN150-DS!AN152)*AN7</f>
        <v>0</v>
      </c>
      <c r="AO36" s="976">
        <f ca="1">(DS!AO149+DS!AO150-DS!AO152)*AO7</f>
        <v>0</v>
      </c>
      <c r="AP36" s="976">
        <f ca="1">(DS!AP149+DS!AP150-DS!AP152)*AP7</f>
        <v>0</v>
      </c>
      <c r="AQ36" s="976">
        <f ca="1">(DS!AQ149+DS!AQ150-DS!AQ152)*AQ7</f>
        <v>0</v>
      </c>
      <c r="AR36" s="976">
        <f ca="1">(DS!AR149+DS!AR150-DS!AR152)*AR7</f>
        <v>0</v>
      </c>
      <c r="AS36" s="976">
        <f ca="1">(DS!AS149+DS!AS150-DS!AS152)*AS7</f>
        <v>0</v>
      </c>
      <c r="AT36" s="976">
        <f ca="1">(DS!AT149+DS!AT150-DS!AT152)*AT7</f>
        <v>0</v>
      </c>
      <c r="AU36" s="976">
        <f ca="1">(DS!AU149+DS!AU150-DS!AU152)*AU7</f>
        <v>0</v>
      </c>
      <c r="AV36" s="976">
        <f ca="1">(DS!AV149+DS!AV150-DS!AV152)*AV7</f>
        <v>0</v>
      </c>
      <c r="AW36" s="976">
        <f ca="1">(DS!AW149+DS!AW150-DS!AW152)*AW7</f>
        <v>0</v>
      </c>
      <c r="AX36" s="976">
        <f ca="1">(DS!AX149+DS!AX150-DS!AX152)*AX7</f>
        <v>0</v>
      </c>
      <c r="AY36" s="976">
        <f ca="1">(DS!AY149+DS!AY150-DS!AY152)*AY7</f>
        <v>0</v>
      </c>
      <c r="AZ36" s="976">
        <f ca="1">(DS!AZ149+DS!AZ150-DS!AZ152)*AZ7</f>
        <v>0</v>
      </c>
      <c r="BA36" s="976">
        <f ca="1">(DS!BA149+DS!BA150-DS!BA152)*BA7</f>
        <v>0</v>
      </c>
      <c r="BB36" s="976">
        <f ca="1">(DS!BB149+DS!BB150-DS!BB152)*BB7</f>
        <v>0</v>
      </c>
      <c r="BC36" s="976">
        <f ca="1">(DS!BC149+DS!BC150-DS!BC152)*BC7</f>
        <v>0</v>
      </c>
      <c r="BD36" s="976">
        <f ca="1">(DS!BD149+DS!BD150-DS!BD152)*BD7</f>
        <v>0</v>
      </c>
      <c r="BE36" s="976">
        <f ca="1">(DS!BE149+DS!BE150-DS!BE152)*BE7</f>
        <v>0</v>
      </c>
      <c r="BF36" s="976">
        <f ca="1">(DS!BF149+DS!BF150-DS!BF152)*BF7</f>
        <v>0</v>
      </c>
      <c r="BG36" s="976">
        <f ca="1">(DS!BG149+DS!BG150-DS!BG152)*BG7</f>
        <v>0</v>
      </c>
      <c r="BH36" s="976">
        <f ca="1">(DS!BH149+DS!BH150-DS!BH152)*BH7</f>
        <v>0</v>
      </c>
      <c r="BI36" s="976">
        <f ca="1">(DS!BI149+DS!BI150-DS!BI152)*BI7</f>
        <v>0</v>
      </c>
      <c r="BJ36" s="976">
        <f ca="1">(DS!BJ149+DS!BJ150-DS!BJ152)*BJ7</f>
        <v>0</v>
      </c>
      <c r="BK36" s="976">
        <f ca="1">(DS!BK149+DS!BK150-DS!BK152)*BK7</f>
        <v>0</v>
      </c>
      <c r="BL36" s="976">
        <f ca="1">(DS!BL149+DS!BL150-DS!BL152)*BL7</f>
        <v>0</v>
      </c>
      <c r="BM36" s="976">
        <f ca="1">(DS!BM149+DS!BM150-DS!BM152)*BM7</f>
        <v>0</v>
      </c>
      <c r="BN36" s="976">
        <f ca="1">(DS!BN149+DS!BN150-DS!BN152)*BN7</f>
        <v>0</v>
      </c>
      <c r="BO36" s="976">
        <f ca="1">(DS!BO149+DS!BO150-DS!BO152)*BO7</f>
        <v>0</v>
      </c>
      <c r="BP36" s="976">
        <f>(DS!BP149+DS!BP150-DS!BP152)*BP7</f>
        <v>0</v>
      </c>
      <c r="BQ36" s="976">
        <f>(DS!BQ149+DS!BQ150-DS!BQ152)*BQ7</f>
        <v>0</v>
      </c>
      <c r="BR36" s="976">
        <f>(DS!BR149+DS!BR150-DS!BR152)*BR7</f>
        <v>0</v>
      </c>
      <c r="BS36" s="976">
        <f>(DS!BS149+DS!BS150-DS!BS152)*BS7</f>
        <v>0</v>
      </c>
      <c r="BT36" s="976">
        <f>(DS!BT149+DS!BT150-DS!BT152)*BT7</f>
        <v>0</v>
      </c>
      <c r="BU36" s="976">
        <f>(DS!BU149+DS!BU150-DS!BU152)*BU7</f>
        <v>0</v>
      </c>
      <c r="BV36" s="976">
        <f>(DS!BV149+DS!BV150-DS!BV152)*BV7</f>
        <v>0</v>
      </c>
      <c r="BW36" s="976">
        <f>(DS!BW149+DS!BW150-DS!BW152)*BW7</f>
        <v>0</v>
      </c>
      <c r="BX36" s="976">
        <f>(DS!BX149+DS!BX150-DS!BX152)*BX7</f>
        <v>0</v>
      </c>
      <c r="BY36" s="976">
        <f>(DS!BY149+DS!BY150-DS!BY152)*BY7</f>
        <v>0</v>
      </c>
      <c r="BZ36" s="976">
        <f>(DS!BZ149+DS!BZ150-DS!BZ152)*BZ7</f>
        <v>0</v>
      </c>
      <c r="CA36" s="976">
        <f>(DS!CA149+DS!CA150-DS!CA152)*CA7</f>
        <v>0</v>
      </c>
      <c r="CB36" s="976">
        <f>(DS!CB149+DS!CB150-DS!CB152)*CB7</f>
        <v>0</v>
      </c>
      <c r="CC36" s="976">
        <f>(DS!CC149+DS!CC150-DS!CC152)*CC7</f>
        <v>0</v>
      </c>
      <c r="CD36" s="976">
        <f>(DS!CD149+DS!CD150-DS!CD152)*CD7</f>
        <v>0</v>
      </c>
      <c r="CE36" s="976">
        <f>(DS!CE149+DS!CE150-DS!CE152)*CE7</f>
        <v>0</v>
      </c>
      <c r="CF36" s="976">
        <f>(DS!CF149+DS!CF150-DS!CF152)*CF7</f>
        <v>0</v>
      </c>
      <c r="CG36" s="976">
        <f>(DS!CG149+DS!CG150-DS!CG152)*CG7</f>
        <v>0</v>
      </c>
      <c r="CH36" s="976">
        <f>(DS!CH149+DS!CH150-DS!CH152)*CH7</f>
        <v>0</v>
      </c>
      <c r="CI36" s="976">
        <f>(DS!CI149+DS!CI150-DS!CI152)*CI7</f>
        <v>0</v>
      </c>
      <c r="CJ36" s="976">
        <f>(DS!CJ149+DS!CJ150-DS!CJ152)*CJ7</f>
        <v>0</v>
      </c>
      <c r="CK36" s="976">
        <f>(DS!CK149+DS!CK150-DS!CK152)*CK7</f>
        <v>0</v>
      </c>
      <c r="CL36" s="976">
        <f>(DS!CL149+DS!CL150-DS!CL152)*CL7</f>
        <v>0</v>
      </c>
      <c r="CM36" s="976">
        <f>(DS!CM149+DS!CM150-DS!CM152)*CM7</f>
        <v>0</v>
      </c>
      <c r="CN36" s="976">
        <f>(DS!CN149+DS!CN150-DS!CN152)*CN7</f>
        <v>0</v>
      </c>
      <c r="CO36" s="976">
        <f>(DS!CO149+DS!CO150-DS!CO152)*CO7</f>
        <v>0</v>
      </c>
      <c r="CP36" s="976">
        <f>(DS!CP149+DS!CP150-DS!CP152)*CP7</f>
        <v>0</v>
      </c>
      <c r="CQ36" s="976">
        <f>(DS!CQ149+DS!CQ150-DS!CQ152)*CQ7</f>
        <v>0</v>
      </c>
      <c r="CR36" s="976">
        <f>(DS!CR149+DS!CR150-DS!CR152)*CR7</f>
        <v>0</v>
      </c>
      <c r="CS36" s="976">
        <f>(DS!CS149+DS!CS150-DS!CS152)*CS7</f>
        <v>0</v>
      </c>
      <c r="CT36" s="976">
        <f>(DS!CT149+DS!CT150-DS!CT152)*CT7</f>
        <v>0</v>
      </c>
      <c r="CU36" s="976">
        <f>(DS!CU149+DS!CU150-DS!CU152)*CU7</f>
        <v>0</v>
      </c>
      <c r="CV36" s="976">
        <f>(DS!CV149+DS!CV150-DS!CV152)*CV7</f>
        <v>0</v>
      </c>
      <c r="CW36" s="976">
        <f>(DS!CW149+DS!CW150-DS!CW152)*CW7</f>
        <v>0</v>
      </c>
      <c r="CX36" s="976">
        <f>(DS!CX149+DS!CX150-DS!CX152)*CX7</f>
        <v>0</v>
      </c>
      <c r="CY36" s="976">
        <f>(DS!CY149+DS!CY150-DS!CY152)*CY7</f>
        <v>0</v>
      </c>
      <c r="CZ36" s="976">
        <f>(DS!CZ149+DS!CZ150-DS!CZ152)*CZ7</f>
        <v>0</v>
      </c>
      <c r="DA36" s="976">
        <f>(DS!DA149+DS!DA150-DS!DA152)*DA7</f>
        <v>0</v>
      </c>
      <c r="DB36" s="976">
        <f>(DS!DB149+DS!DB150-DS!DB152)*DB7</f>
        <v>0</v>
      </c>
      <c r="DC36" s="976">
        <f>(DS!DC149+DS!DC150-DS!DC152)*DC7</f>
        <v>0</v>
      </c>
      <c r="DD36" s="976">
        <f>(DS!DD149+DS!DD150-DS!DD152)*DD7</f>
        <v>0</v>
      </c>
      <c r="DE36" s="976">
        <f>(DS!DE149+DS!DE150-DS!DE152)*DE7</f>
        <v>0</v>
      </c>
      <c r="DF36" s="976">
        <f>(DS!DF149+DS!DF150-DS!DF152)*DF7</f>
        <v>0</v>
      </c>
      <c r="DG36" s="976">
        <f>(DS!DG149+DS!DG150-DS!DG152)*DG7</f>
        <v>0</v>
      </c>
      <c r="DH36" s="976">
        <f>(DS!DH149+DS!DH150-DS!DH152)*DH7</f>
        <v>0</v>
      </c>
      <c r="DI36" s="976">
        <f>(DS!DI149+DS!DI150-DS!DI152)*DI7</f>
        <v>0</v>
      </c>
      <c r="DJ36" s="976">
        <f>(DS!DJ149+DS!DJ150-DS!DJ152)*DJ7</f>
        <v>0</v>
      </c>
      <c r="DK36" s="976">
        <f>(DS!DK149+DS!DK150-DS!DK152)*DK7</f>
        <v>0</v>
      </c>
      <c r="DL36" s="976">
        <f>(DS!DL149+DS!DL150-DS!DL152)*DL7</f>
        <v>0</v>
      </c>
      <c r="DM36" s="976">
        <f>(DS!DM149+DS!DM150-DS!DM152)*DM7</f>
        <v>0</v>
      </c>
      <c r="DN36" s="976">
        <f>(DS!DN149+DS!DN150-DS!DN152)*DN7</f>
        <v>0</v>
      </c>
      <c r="DO36" s="976">
        <f>(DS!DO149+DS!DO150-DS!DO152)*DO7</f>
        <v>0</v>
      </c>
      <c r="DP36" s="976">
        <f>(DS!DP149+DS!DP150-DS!DP152)*DP7</f>
        <v>0</v>
      </c>
      <c r="DQ36" s="976">
        <f>(DS!DQ149+DS!DQ150-DS!DQ152)*DQ7</f>
        <v>0</v>
      </c>
      <c r="DR36" s="976">
        <f>(DS!DR149+DS!DR150-DS!DR152)*DR7</f>
        <v>0</v>
      </c>
      <c r="DS36" s="976">
        <f>(DS!DS149+DS!DS150-DS!DS152)*DS7</f>
        <v>0</v>
      </c>
      <c r="DT36" s="976">
        <f>(DS!DT149+DS!DT150-DS!DT152)*DT7</f>
        <v>0</v>
      </c>
      <c r="DU36" s="976">
        <f>(DS!DU149+DS!DU150-DS!DU152)*DU7</f>
        <v>0</v>
      </c>
      <c r="DV36" s="976">
        <f>(DS!DV149+DS!DV150-DS!DV152)*DV7</f>
        <v>0</v>
      </c>
      <c r="DW36" s="976">
        <f>(DS!DW149+DS!DW150-DS!DW152)*DW7</f>
        <v>0</v>
      </c>
    </row>
    <row r="37" spans="1:131">
      <c r="A37" s="1020" t="s">
        <v>1261</v>
      </c>
      <c r="B37" s="971"/>
      <c r="C37" s="971"/>
      <c r="D37" s="471"/>
      <c r="E37" s="476"/>
      <c r="F37" s="611"/>
      <c r="G37" s="976">
        <f ca="1">(DS!G149-DS!G152)*G7</f>
        <v>0</v>
      </c>
      <c r="H37" s="976">
        <f ca="1">(DS!H149-DS!H152)*H7</f>
        <v>0</v>
      </c>
      <c r="I37" s="976">
        <f ca="1">(DS!I149-DS!I152)*I7</f>
        <v>0</v>
      </c>
      <c r="J37" s="976">
        <f ca="1">(DS!J149-DS!J152)*J7</f>
        <v>0</v>
      </c>
      <c r="K37" s="976">
        <f ca="1">(DS!K149-DS!K152)*K7</f>
        <v>0</v>
      </c>
      <c r="L37" s="976">
        <f ca="1">(DS!L149-DS!L152)*L7</f>
        <v>0</v>
      </c>
      <c r="M37" s="976">
        <f ca="1">(DS!M149-DS!M152)*M7</f>
        <v>0</v>
      </c>
      <c r="N37" s="976">
        <f ca="1">(DS!N149-DS!N152)*N7</f>
        <v>0</v>
      </c>
      <c r="O37" s="976">
        <f ca="1">(DS!O149-DS!O152)*O7</f>
        <v>0</v>
      </c>
      <c r="P37" s="976">
        <f ca="1">(DS!P149-DS!P152)*P7</f>
        <v>0</v>
      </c>
      <c r="Q37" s="976">
        <f ca="1">(DS!Q149-DS!Q152)*Q7</f>
        <v>0</v>
      </c>
      <c r="R37" s="976">
        <f ca="1">(DS!R149-DS!R152)*R7</f>
        <v>0</v>
      </c>
      <c r="S37" s="976">
        <f ca="1">(DS!S149-DS!S152)*S7</f>
        <v>0</v>
      </c>
      <c r="T37" s="976">
        <f ca="1">(DS!T149-DS!T152)*T7</f>
        <v>0</v>
      </c>
      <c r="U37" s="976">
        <f ca="1">(DS!U149-DS!U152)*U7</f>
        <v>0</v>
      </c>
      <c r="V37" s="976">
        <f ca="1">(DS!V149-DS!V152)*V7</f>
        <v>0</v>
      </c>
      <c r="W37" s="976">
        <f ca="1">(DS!W149-DS!W152)*W7</f>
        <v>0</v>
      </c>
      <c r="X37" s="976">
        <f ca="1">(DS!X149-DS!X152)*X7</f>
        <v>0</v>
      </c>
      <c r="Y37" s="976">
        <f ca="1">(DS!Y149-DS!Y152)*Y7</f>
        <v>0</v>
      </c>
      <c r="Z37" s="976">
        <f ca="1">(DS!Z149-DS!Z152)*Z7</f>
        <v>0</v>
      </c>
      <c r="AA37" s="976">
        <f ca="1">(DS!AA149-DS!AA152)*AA7</f>
        <v>0</v>
      </c>
      <c r="AB37" s="976">
        <f ca="1">(DS!AB149-DS!AB152)*AB7</f>
        <v>0</v>
      </c>
      <c r="AC37" s="976">
        <f ca="1">(DS!AC149-DS!AC152)*AC7</f>
        <v>0</v>
      </c>
      <c r="AD37" s="976">
        <f ca="1">(DS!AD149-DS!AD152)*AD7</f>
        <v>0</v>
      </c>
      <c r="AE37" s="976">
        <f ca="1">(DS!AE149-DS!AE152)*AE7</f>
        <v>0</v>
      </c>
      <c r="AF37" s="976">
        <f ca="1">(DS!AF149-DS!AF152)*AF7</f>
        <v>0</v>
      </c>
      <c r="AG37" s="976">
        <f ca="1">(DS!AG149-DS!AG152)*AG7</f>
        <v>0</v>
      </c>
      <c r="AH37" s="976">
        <f ca="1">(DS!AH149-DS!AH152)*AH7</f>
        <v>0</v>
      </c>
      <c r="AI37" s="976">
        <f ca="1">(DS!AI149-DS!AI152)*AI7</f>
        <v>0</v>
      </c>
      <c r="AJ37" s="976">
        <f ca="1">(DS!AJ149-DS!AJ152)*AJ7</f>
        <v>0</v>
      </c>
      <c r="AK37" s="976">
        <f ca="1">(DS!AK149-DS!AK152)*AK7</f>
        <v>0</v>
      </c>
      <c r="AL37" s="976">
        <f ca="1">(DS!AL149-DS!AL152)*AL7</f>
        <v>0</v>
      </c>
      <c r="AM37" s="976">
        <f ca="1">(DS!AM149-DS!AM152)*AM7</f>
        <v>0</v>
      </c>
      <c r="AN37" s="976">
        <f ca="1">(DS!AN149-DS!AN152)*AN7</f>
        <v>0</v>
      </c>
      <c r="AO37" s="976">
        <f ca="1">(DS!AO149-DS!AO152)*AO7</f>
        <v>0</v>
      </c>
      <c r="AP37" s="976">
        <f ca="1">(DS!AP149-DS!AP152)*AP7</f>
        <v>0</v>
      </c>
      <c r="AQ37" s="976">
        <f ca="1">(DS!AQ149-DS!AQ152)*AQ7</f>
        <v>0</v>
      </c>
      <c r="AR37" s="976">
        <f ca="1">(DS!AR149-DS!AR152)*AR7</f>
        <v>0</v>
      </c>
      <c r="AS37" s="976">
        <f ca="1">(DS!AS149-DS!AS152)*AS7</f>
        <v>0</v>
      </c>
      <c r="AT37" s="976">
        <f ca="1">(DS!AT149-DS!AT152)*AT7</f>
        <v>0</v>
      </c>
      <c r="AU37" s="976">
        <f ca="1">(DS!AU149-DS!AU152)*AU7</f>
        <v>0</v>
      </c>
      <c r="AV37" s="976">
        <f ca="1">(DS!AV149-DS!AV152)*AV7</f>
        <v>0</v>
      </c>
      <c r="AW37" s="976">
        <f ca="1">(DS!AW149-DS!AW152)*AW7</f>
        <v>0</v>
      </c>
      <c r="AX37" s="976">
        <f ca="1">(DS!AX149-DS!AX152)*AX7</f>
        <v>0</v>
      </c>
      <c r="AY37" s="976">
        <f ca="1">(DS!AY149-DS!AY152)*AY7</f>
        <v>0</v>
      </c>
      <c r="AZ37" s="976">
        <f ca="1">(DS!AZ149-DS!AZ152)*AZ7</f>
        <v>0</v>
      </c>
      <c r="BA37" s="976">
        <f ca="1">(DS!BA149-DS!BA152)*BA7</f>
        <v>0</v>
      </c>
      <c r="BB37" s="976">
        <f ca="1">(DS!BB149-DS!BB152)*BB7</f>
        <v>0</v>
      </c>
      <c r="BC37" s="976">
        <f ca="1">(DS!BC149-DS!BC152)*BC7</f>
        <v>0</v>
      </c>
      <c r="BD37" s="976">
        <f ca="1">(DS!BD149-DS!BD152)*BD7</f>
        <v>0</v>
      </c>
      <c r="BE37" s="976">
        <f ca="1">(DS!BE149-DS!BE152)*BE7</f>
        <v>0</v>
      </c>
      <c r="BF37" s="976">
        <f ca="1">(DS!BF149-DS!BF152)*BF7</f>
        <v>0</v>
      </c>
      <c r="BG37" s="976">
        <f ca="1">(DS!BG149-DS!BG152)*BG7</f>
        <v>0</v>
      </c>
      <c r="BH37" s="976">
        <f ca="1">(DS!BH149-DS!BH152)*BH7</f>
        <v>0</v>
      </c>
      <c r="BI37" s="976">
        <f ca="1">(DS!BI149-DS!BI152)*BI7</f>
        <v>0</v>
      </c>
      <c r="BJ37" s="976">
        <f ca="1">(DS!BJ149-DS!BJ152)*BJ7</f>
        <v>0</v>
      </c>
      <c r="BK37" s="976">
        <f ca="1">(DS!BK149-DS!BK152)*BK7</f>
        <v>0</v>
      </c>
      <c r="BL37" s="976">
        <f ca="1">(DS!BL149-DS!BL152)*BL7</f>
        <v>0</v>
      </c>
      <c r="BM37" s="976">
        <f ca="1">(DS!BM149-DS!BM152)*BM7</f>
        <v>0</v>
      </c>
      <c r="BN37" s="976">
        <f ca="1">(DS!BN149-DS!BN152)*BN7</f>
        <v>0</v>
      </c>
      <c r="BO37" s="976">
        <f ca="1">(DS!BO149-DS!BO152)*BO7</f>
        <v>0</v>
      </c>
      <c r="BP37" s="976">
        <f>(DS!BP149-DS!BP152)*BP7</f>
        <v>0</v>
      </c>
      <c r="BQ37" s="976">
        <f>(DS!BQ149-DS!BQ152)*BQ7</f>
        <v>0</v>
      </c>
      <c r="BR37" s="976">
        <f>(DS!BR149-DS!BR152)*BR7</f>
        <v>0</v>
      </c>
      <c r="BS37" s="976">
        <f>(DS!BS149-DS!BS152)*BS7</f>
        <v>0</v>
      </c>
      <c r="BT37" s="976">
        <f>(DS!BT149-DS!BT152)*BT7</f>
        <v>0</v>
      </c>
      <c r="BU37" s="976">
        <f>(DS!BU149-DS!BU152)*BU7</f>
        <v>0</v>
      </c>
      <c r="BV37" s="976">
        <f>(DS!BV149-DS!BV152)*BV7</f>
        <v>0</v>
      </c>
      <c r="BW37" s="976">
        <f>(DS!BW149-DS!BW152)*BW7</f>
        <v>0</v>
      </c>
      <c r="BX37" s="976">
        <f>(DS!BX149-DS!BX152)*BX7</f>
        <v>0</v>
      </c>
      <c r="BY37" s="976">
        <f>(DS!BY149-DS!BY152)*BY7</f>
        <v>0</v>
      </c>
      <c r="BZ37" s="976">
        <f>(DS!BZ149-DS!BZ152)*BZ7</f>
        <v>0</v>
      </c>
      <c r="CA37" s="976">
        <f>(DS!CA149-DS!CA152)*CA7</f>
        <v>0</v>
      </c>
      <c r="CB37" s="976">
        <f>(DS!CB149-DS!CB152)*CB7</f>
        <v>0</v>
      </c>
      <c r="CC37" s="976">
        <f>(DS!CC149-DS!CC152)*CC7</f>
        <v>0</v>
      </c>
      <c r="CD37" s="976">
        <f>(DS!CD149-DS!CD152)*CD7</f>
        <v>0</v>
      </c>
      <c r="CE37" s="976">
        <f>(DS!CE149-DS!CE152)*CE7</f>
        <v>0</v>
      </c>
      <c r="CF37" s="976">
        <f>(DS!CF149-DS!CF152)*CF7</f>
        <v>0</v>
      </c>
      <c r="CG37" s="976">
        <f>(DS!CG149-DS!CG152)*CG7</f>
        <v>0</v>
      </c>
      <c r="CH37" s="976">
        <f>(DS!CH149-DS!CH152)*CH7</f>
        <v>0</v>
      </c>
      <c r="CI37" s="976">
        <f>(DS!CI149-DS!CI152)*CI7</f>
        <v>0</v>
      </c>
      <c r="CJ37" s="976">
        <f>(DS!CJ149-DS!CJ152)*CJ7</f>
        <v>0</v>
      </c>
      <c r="CK37" s="976">
        <f>(DS!CK149-DS!CK152)*CK7</f>
        <v>0</v>
      </c>
      <c r="CL37" s="976">
        <f>(DS!CL149-DS!CL152)*CL7</f>
        <v>0</v>
      </c>
      <c r="CM37" s="976">
        <f>(DS!CM149-DS!CM152)*CM7</f>
        <v>0</v>
      </c>
      <c r="CN37" s="976">
        <f>(DS!CN149-DS!CN152)*CN7</f>
        <v>0</v>
      </c>
      <c r="CO37" s="976">
        <f>(DS!CO149-DS!CO152)*CO7</f>
        <v>0</v>
      </c>
      <c r="CP37" s="976">
        <f>(DS!CP149-DS!CP152)*CP7</f>
        <v>0</v>
      </c>
      <c r="CQ37" s="976">
        <f>(DS!CQ149-DS!CQ152)*CQ7</f>
        <v>0</v>
      </c>
      <c r="CR37" s="976">
        <f>(DS!CR149-DS!CR152)*CR7</f>
        <v>0</v>
      </c>
      <c r="CS37" s="976">
        <f>(DS!CS149-DS!CS152)*CS7</f>
        <v>0</v>
      </c>
      <c r="CT37" s="976">
        <f>(DS!CT149-DS!CT152)*CT7</f>
        <v>0</v>
      </c>
      <c r="CU37" s="976">
        <f>(DS!CU149-DS!CU152)*CU7</f>
        <v>0</v>
      </c>
      <c r="CV37" s="976">
        <f>(DS!CV149-DS!CV152)*CV7</f>
        <v>0</v>
      </c>
      <c r="CW37" s="976">
        <f>(DS!CW149-DS!CW152)*CW7</f>
        <v>0</v>
      </c>
      <c r="CX37" s="976">
        <f>(DS!CX149-DS!CX152)*CX7</f>
        <v>0</v>
      </c>
      <c r="CY37" s="976">
        <f>(DS!CY149-DS!CY152)*CY7</f>
        <v>0</v>
      </c>
      <c r="CZ37" s="976">
        <f>(DS!CZ149-DS!CZ152)*CZ7</f>
        <v>0</v>
      </c>
      <c r="DA37" s="976">
        <f>(DS!DA149-DS!DA152)*DA7</f>
        <v>0</v>
      </c>
      <c r="DB37" s="976">
        <f>(DS!DB149-DS!DB152)*DB7</f>
        <v>0</v>
      </c>
      <c r="DC37" s="976">
        <f>(DS!DC149-DS!DC152)*DC7</f>
        <v>0</v>
      </c>
      <c r="DD37" s="976">
        <f>(DS!DD149-DS!DD152)*DD7</f>
        <v>0</v>
      </c>
      <c r="DE37" s="976">
        <f>(DS!DE149-DS!DE152)*DE7</f>
        <v>0</v>
      </c>
      <c r="DF37" s="976">
        <f>(DS!DF149-DS!DF152)*DF7</f>
        <v>0</v>
      </c>
      <c r="DG37" s="976">
        <f>(DS!DG149-DS!DG152)*DG7</f>
        <v>0</v>
      </c>
      <c r="DH37" s="976">
        <f>(DS!DH149-DS!DH152)*DH7</f>
        <v>0</v>
      </c>
      <c r="DI37" s="976">
        <f>(DS!DI149-DS!DI152)*DI7</f>
        <v>0</v>
      </c>
      <c r="DJ37" s="976">
        <f>(DS!DJ149-DS!DJ152)*DJ7</f>
        <v>0</v>
      </c>
      <c r="DK37" s="976">
        <f>(DS!DK149-DS!DK152)*DK7</f>
        <v>0</v>
      </c>
      <c r="DL37" s="976">
        <f>(DS!DL149-DS!DL152)*DL7</f>
        <v>0</v>
      </c>
      <c r="DM37" s="976">
        <f>(DS!DM149-DS!DM152)*DM7</f>
        <v>0</v>
      </c>
      <c r="DN37" s="976">
        <f>(DS!DN149-DS!DN152)*DN7</f>
        <v>0</v>
      </c>
      <c r="DO37" s="976">
        <f>(DS!DO149-DS!DO152)*DO7</f>
        <v>0</v>
      </c>
      <c r="DP37" s="976">
        <f>(DS!DP149-DS!DP152)*DP7</f>
        <v>0</v>
      </c>
      <c r="DQ37" s="976">
        <f>(DS!DQ149-DS!DQ152)*DQ7</f>
        <v>0</v>
      </c>
      <c r="DR37" s="976">
        <f>(DS!DR149-DS!DR152)*DR7</f>
        <v>0</v>
      </c>
      <c r="DS37" s="976">
        <f>(DS!DS149-DS!DS152)*DS7</f>
        <v>0</v>
      </c>
      <c r="DT37" s="976">
        <f>(DS!DT149-DS!DT152)*DT7</f>
        <v>0</v>
      </c>
      <c r="DU37" s="976">
        <f>(DS!DU149-DS!DU152)*DU7</f>
        <v>0</v>
      </c>
      <c r="DV37" s="976">
        <f>(DS!DV149-DS!DV152)*DV7</f>
        <v>0</v>
      </c>
      <c r="DW37" s="976">
        <f>(DS!DW149-DS!DW152)*DW7</f>
        <v>0</v>
      </c>
    </row>
    <row r="38" spans="1:131">
      <c r="A38" s="1019" t="s">
        <v>1165</v>
      </c>
      <c r="B38" s="976">
        <f>Inputs!D317</f>
        <v>0</v>
      </c>
      <c r="C38" s="971"/>
      <c r="D38" s="471"/>
      <c r="E38" s="476"/>
      <c r="F38" s="611"/>
      <c r="G38" s="510">
        <f ca="1">IF(G$3=0,-$B$38,G14*G7*$B$34)</f>
        <v>0</v>
      </c>
      <c r="H38" s="510">
        <f t="shared" ref="H38:AL38" ca="1" si="16">IF(H$3=0,-$B$38,H14*H7*$B$34)</f>
        <v>0</v>
      </c>
      <c r="I38" s="510">
        <f t="shared" ca="1" si="16"/>
        <v>0</v>
      </c>
      <c r="J38" s="510">
        <f t="shared" ca="1" si="16"/>
        <v>0</v>
      </c>
      <c r="K38" s="510">
        <f t="shared" ca="1" si="16"/>
        <v>0</v>
      </c>
      <c r="L38" s="510">
        <f t="shared" ca="1" si="16"/>
        <v>0</v>
      </c>
      <c r="M38" s="510">
        <f t="shared" ca="1" si="16"/>
        <v>0</v>
      </c>
      <c r="N38" s="510">
        <f t="shared" ca="1" si="16"/>
        <v>0</v>
      </c>
      <c r="O38" s="510">
        <f t="shared" ca="1" si="16"/>
        <v>0</v>
      </c>
      <c r="P38" s="510">
        <f t="shared" ca="1" si="16"/>
        <v>0</v>
      </c>
      <c r="Q38" s="510">
        <f t="shared" ca="1" si="16"/>
        <v>0</v>
      </c>
      <c r="R38" s="510">
        <f t="shared" ca="1" si="16"/>
        <v>0</v>
      </c>
      <c r="S38" s="510">
        <f t="shared" ca="1" si="16"/>
        <v>0</v>
      </c>
      <c r="T38" s="510">
        <f t="shared" ca="1" si="16"/>
        <v>0</v>
      </c>
      <c r="U38" s="510">
        <f t="shared" ca="1" si="16"/>
        <v>0</v>
      </c>
      <c r="V38" s="510">
        <f t="shared" ca="1" si="16"/>
        <v>0</v>
      </c>
      <c r="W38" s="510">
        <f t="shared" ca="1" si="16"/>
        <v>0</v>
      </c>
      <c r="X38" s="510">
        <f t="shared" ca="1" si="16"/>
        <v>0</v>
      </c>
      <c r="Y38" s="510">
        <f t="shared" ca="1" si="16"/>
        <v>0</v>
      </c>
      <c r="Z38" s="510">
        <f t="shared" ca="1" si="16"/>
        <v>0</v>
      </c>
      <c r="AA38" s="510">
        <f t="shared" ca="1" si="16"/>
        <v>0</v>
      </c>
      <c r="AB38" s="510">
        <f t="shared" ca="1" si="16"/>
        <v>0</v>
      </c>
      <c r="AC38" s="510">
        <f t="shared" ca="1" si="16"/>
        <v>0</v>
      </c>
      <c r="AD38" s="510">
        <f t="shared" ca="1" si="16"/>
        <v>0</v>
      </c>
      <c r="AE38" s="510">
        <f t="shared" ca="1" si="16"/>
        <v>0</v>
      </c>
      <c r="AF38" s="510">
        <f t="shared" ca="1" si="16"/>
        <v>0</v>
      </c>
      <c r="AG38" s="510">
        <f t="shared" ca="1" si="16"/>
        <v>0</v>
      </c>
      <c r="AH38" s="510">
        <f t="shared" ca="1" si="16"/>
        <v>0</v>
      </c>
      <c r="AI38" s="510">
        <f t="shared" ca="1" si="16"/>
        <v>0</v>
      </c>
      <c r="AJ38" s="510">
        <f t="shared" ca="1" si="16"/>
        <v>0</v>
      </c>
      <c r="AK38" s="510">
        <f t="shared" ca="1" si="16"/>
        <v>0</v>
      </c>
      <c r="AL38" s="510">
        <f t="shared" ca="1" si="16"/>
        <v>0</v>
      </c>
      <c r="AM38" s="510">
        <f t="shared" ref="AM38:BR38" ca="1" si="17">IF(AM$3=0,-$B$38,AM14*AM7*$B$34)</f>
        <v>0</v>
      </c>
      <c r="AN38" s="510">
        <f t="shared" ca="1" si="17"/>
        <v>0</v>
      </c>
      <c r="AO38" s="510">
        <f t="shared" ca="1" si="17"/>
        <v>0</v>
      </c>
      <c r="AP38" s="510">
        <f t="shared" ca="1" si="17"/>
        <v>0</v>
      </c>
      <c r="AQ38" s="510">
        <f t="shared" ca="1" si="17"/>
        <v>0</v>
      </c>
      <c r="AR38" s="510">
        <f t="shared" ca="1" si="17"/>
        <v>0</v>
      </c>
      <c r="AS38" s="510">
        <f t="shared" ca="1" si="17"/>
        <v>0</v>
      </c>
      <c r="AT38" s="510">
        <f t="shared" ca="1" si="17"/>
        <v>0</v>
      </c>
      <c r="AU38" s="510">
        <f t="shared" ca="1" si="17"/>
        <v>0</v>
      </c>
      <c r="AV38" s="510">
        <f t="shared" ca="1" si="17"/>
        <v>0</v>
      </c>
      <c r="AW38" s="510">
        <f t="shared" ca="1" si="17"/>
        <v>0</v>
      </c>
      <c r="AX38" s="510">
        <f t="shared" ca="1" si="17"/>
        <v>0</v>
      </c>
      <c r="AY38" s="510">
        <f t="shared" ca="1" si="17"/>
        <v>0</v>
      </c>
      <c r="AZ38" s="510">
        <f t="shared" ca="1" si="17"/>
        <v>0</v>
      </c>
      <c r="BA38" s="510">
        <f t="shared" ca="1" si="17"/>
        <v>0</v>
      </c>
      <c r="BB38" s="510">
        <f t="shared" ca="1" si="17"/>
        <v>0</v>
      </c>
      <c r="BC38" s="510">
        <f t="shared" ca="1" si="17"/>
        <v>0</v>
      </c>
      <c r="BD38" s="510">
        <f t="shared" ca="1" si="17"/>
        <v>0</v>
      </c>
      <c r="BE38" s="510">
        <f t="shared" ca="1" si="17"/>
        <v>0</v>
      </c>
      <c r="BF38" s="510">
        <f t="shared" ca="1" si="17"/>
        <v>0</v>
      </c>
      <c r="BG38" s="510">
        <f t="shared" ca="1" si="17"/>
        <v>0</v>
      </c>
      <c r="BH38" s="510">
        <f t="shared" ca="1" si="17"/>
        <v>0</v>
      </c>
      <c r="BI38" s="510">
        <f t="shared" ca="1" si="17"/>
        <v>0</v>
      </c>
      <c r="BJ38" s="510">
        <f t="shared" ca="1" si="17"/>
        <v>0</v>
      </c>
      <c r="BK38" s="510">
        <f t="shared" ca="1" si="17"/>
        <v>0</v>
      </c>
      <c r="BL38" s="510">
        <f t="shared" ca="1" si="17"/>
        <v>0</v>
      </c>
      <c r="BM38" s="510">
        <f t="shared" ca="1" si="17"/>
        <v>0</v>
      </c>
      <c r="BN38" s="510">
        <f t="shared" ca="1" si="17"/>
        <v>0</v>
      </c>
      <c r="BO38" s="510">
        <f t="shared" ca="1" si="17"/>
        <v>0</v>
      </c>
      <c r="BP38" s="510">
        <f t="shared" si="17"/>
        <v>0</v>
      </c>
      <c r="BQ38" s="510">
        <f t="shared" si="17"/>
        <v>0</v>
      </c>
      <c r="BR38" s="510">
        <f t="shared" si="17"/>
        <v>0</v>
      </c>
      <c r="BS38" s="510">
        <f t="shared" ref="BS38:CX38" si="18">IF(BS$3=0,-$B$38,BS14*BS7*$B$34)</f>
        <v>0</v>
      </c>
      <c r="BT38" s="510">
        <f t="shared" si="18"/>
        <v>0</v>
      </c>
      <c r="BU38" s="510">
        <f t="shared" si="18"/>
        <v>0</v>
      </c>
      <c r="BV38" s="510">
        <f t="shared" si="18"/>
        <v>0</v>
      </c>
      <c r="BW38" s="510">
        <f t="shared" si="18"/>
        <v>0</v>
      </c>
      <c r="BX38" s="510">
        <f t="shared" si="18"/>
        <v>0</v>
      </c>
      <c r="BY38" s="510">
        <f t="shared" si="18"/>
        <v>0</v>
      </c>
      <c r="BZ38" s="510">
        <f t="shared" si="18"/>
        <v>0</v>
      </c>
      <c r="CA38" s="510">
        <f t="shared" si="18"/>
        <v>0</v>
      </c>
      <c r="CB38" s="510">
        <f t="shared" si="18"/>
        <v>0</v>
      </c>
      <c r="CC38" s="510">
        <f t="shared" si="18"/>
        <v>0</v>
      </c>
      <c r="CD38" s="510">
        <f t="shared" si="18"/>
        <v>0</v>
      </c>
      <c r="CE38" s="510">
        <f t="shared" si="18"/>
        <v>0</v>
      </c>
      <c r="CF38" s="510">
        <f t="shared" si="18"/>
        <v>0</v>
      </c>
      <c r="CG38" s="510">
        <f t="shared" si="18"/>
        <v>0</v>
      </c>
      <c r="CH38" s="510">
        <f t="shared" si="18"/>
        <v>0</v>
      </c>
      <c r="CI38" s="510">
        <f t="shared" si="18"/>
        <v>0</v>
      </c>
      <c r="CJ38" s="510">
        <f t="shared" si="18"/>
        <v>0</v>
      </c>
      <c r="CK38" s="510">
        <f t="shared" si="18"/>
        <v>0</v>
      </c>
      <c r="CL38" s="510">
        <f t="shared" si="18"/>
        <v>0</v>
      </c>
      <c r="CM38" s="510">
        <f t="shared" si="18"/>
        <v>0</v>
      </c>
      <c r="CN38" s="510">
        <f t="shared" si="18"/>
        <v>0</v>
      </c>
      <c r="CO38" s="510">
        <f t="shared" si="18"/>
        <v>0</v>
      </c>
      <c r="CP38" s="510">
        <f t="shared" si="18"/>
        <v>0</v>
      </c>
      <c r="CQ38" s="510">
        <f t="shared" si="18"/>
        <v>0</v>
      </c>
      <c r="CR38" s="510">
        <f t="shared" si="18"/>
        <v>0</v>
      </c>
      <c r="CS38" s="510">
        <f t="shared" si="18"/>
        <v>0</v>
      </c>
      <c r="CT38" s="510">
        <f t="shared" si="18"/>
        <v>0</v>
      </c>
      <c r="CU38" s="510">
        <f t="shared" si="18"/>
        <v>0</v>
      </c>
      <c r="CV38" s="510">
        <f t="shared" si="18"/>
        <v>0</v>
      </c>
      <c r="CW38" s="510">
        <f t="shared" si="18"/>
        <v>0</v>
      </c>
      <c r="CX38" s="510">
        <f t="shared" si="18"/>
        <v>0</v>
      </c>
      <c r="CY38" s="510">
        <f t="shared" ref="CY38:DW38" si="19">IF(CY$3=0,-$B$38,CY14*CY7*$B$34)</f>
        <v>0</v>
      </c>
      <c r="CZ38" s="510">
        <f t="shared" si="19"/>
        <v>0</v>
      </c>
      <c r="DA38" s="510">
        <f t="shared" si="19"/>
        <v>0</v>
      </c>
      <c r="DB38" s="510">
        <f t="shared" si="19"/>
        <v>0</v>
      </c>
      <c r="DC38" s="510">
        <f t="shared" si="19"/>
        <v>0</v>
      </c>
      <c r="DD38" s="510">
        <f t="shared" si="19"/>
        <v>0</v>
      </c>
      <c r="DE38" s="510">
        <f t="shared" si="19"/>
        <v>0</v>
      </c>
      <c r="DF38" s="510">
        <f t="shared" si="19"/>
        <v>0</v>
      </c>
      <c r="DG38" s="510">
        <f t="shared" si="19"/>
        <v>0</v>
      </c>
      <c r="DH38" s="510">
        <f t="shared" si="19"/>
        <v>0</v>
      </c>
      <c r="DI38" s="510">
        <f t="shared" si="19"/>
        <v>0</v>
      </c>
      <c r="DJ38" s="510">
        <f t="shared" si="19"/>
        <v>0</v>
      </c>
      <c r="DK38" s="510">
        <f t="shared" si="19"/>
        <v>0</v>
      </c>
      <c r="DL38" s="510">
        <f t="shared" si="19"/>
        <v>0</v>
      </c>
      <c r="DM38" s="510">
        <f t="shared" si="19"/>
        <v>0</v>
      </c>
      <c r="DN38" s="510">
        <f t="shared" si="19"/>
        <v>0</v>
      </c>
      <c r="DO38" s="510">
        <f t="shared" si="19"/>
        <v>0</v>
      </c>
      <c r="DP38" s="510">
        <f t="shared" si="19"/>
        <v>0</v>
      </c>
      <c r="DQ38" s="510">
        <f t="shared" si="19"/>
        <v>0</v>
      </c>
      <c r="DR38" s="510">
        <f t="shared" si="19"/>
        <v>0</v>
      </c>
      <c r="DS38" s="510">
        <f t="shared" si="19"/>
        <v>0</v>
      </c>
      <c r="DT38" s="510">
        <f t="shared" si="19"/>
        <v>0</v>
      </c>
      <c r="DU38" s="510">
        <f t="shared" si="19"/>
        <v>0</v>
      </c>
      <c r="DV38" s="510">
        <f t="shared" si="19"/>
        <v>0</v>
      </c>
      <c r="DW38" s="510">
        <f t="shared" si="19"/>
        <v>0</v>
      </c>
    </row>
    <row r="39" spans="1:131">
      <c r="A39" s="1020" t="s">
        <v>1164</v>
      </c>
      <c r="B39" s="1151">
        <f>Inputs!D427</f>
        <v>0</v>
      </c>
      <c r="C39" s="971"/>
      <c r="D39" s="471"/>
      <c r="E39" s="476"/>
      <c r="F39" s="611"/>
      <c r="G39" s="510">
        <f ca="1">IF(G$3=0,-$B$38,G14*G7*$B$34*(1-$B$39))</f>
        <v>0</v>
      </c>
      <c r="H39" s="510">
        <f t="shared" ref="H39:BS39" ca="1" si="20">IF(H$3=0,-$B$38,H14*H7*$B$34*(1-$B$39))</f>
        <v>0</v>
      </c>
      <c r="I39" s="510">
        <f t="shared" ca="1" si="20"/>
        <v>0</v>
      </c>
      <c r="J39" s="510">
        <f t="shared" ca="1" si="20"/>
        <v>0</v>
      </c>
      <c r="K39" s="510">
        <f t="shared" ca="1" si="20"/>
        <v>0</v>
      </c>
      <c r="L39" s="510">
        <f t="shared" ca="1" si="20"/>
        <v>0</v>
      </c>
      <c r="M39" s="510">
        <f t="shared" ca="1" si="20"/>
        <v>0</v>
      </c>
      <c r="N39" s="510">
        <f t="shared" ca="1" si="20"/>
        <v>0</v>
      </c>
      <c r="O39" s="510">
        <f t="shared" ca="1" si="20"/>
        <v>0</v>
      </c>
      <c r="P39" s="510">
        <f t="shared" ca="1" si="20"/>
        <v>0</v>
      </c>
      <c r="Q39" s="510">
        <f t="shared" ca="1" si="20"/>
        <v>0</v>
      </c>
      <c r="R39" s="510">
        <f t="shared" ca="1" si="20"/>
        <v>0</v>
      </c>
      <c r="S39" s="510">
        <f t="shared" ca="1" si="20"/>
        <v>0</v>
      </c>
      <c r="T39" s="510">
        <f t="shared" ca="1" si="20"/>
        <v>0</v>
      </c>
      <c r="U39" s="510">
        <f t="shared" ca="1" si="20"/>
        <v>0</v>
      </c>
      <c r="V39" s="510">
        <f t="shared" ca="1" si="20"/>
        <v>0</v>
      </c>
      <c r="W39" s="510">
        <f t="shared" ca="1" si="20"/>
        <v>0</v>
      </c>
      <c r="X39" s="510">
        <f t="shared" ca="1" si="20"/>
        <v>0</v>
      </c>
      <c r="Y39" s="510">
        <f t="shared" ca="1" si="20"/>
        <v>0</v>
      </c>
      <c r="Z39" s="510">
        <f t="shared" ca="1" si="20"/>
        <v>0</v>
      </c>
      <c r="AA39" s="510">
        <f t="shared" ca="1" si="20"/>
        <v>0</v>
      </c>
      <c r="AB39" s="510">
        <f t="shared" ca="1" si="20"/>
        <v>0</v>
      </c>
      <c r="AC39" s="510">
        <f t="shared" ca="1" si="20"/>
        <v>0</v>
      </c>
      <c r="AD39" s="510">
        <f t="shared" ca="1" si="20"/>
        <v>0</v>
      </c>
      <c r="AE39" s="510">
        <f t="shared" ca="1" si="20"/>
        <v>0</v>
      </c>
      <c r="AF39" s="510">
        <f t="shared" ca="1" si="20"/>
        <v>0</v>
      </c>
      <c r="AG39" s="510">
        <f t="shared" ca="1" si="20"/>
        <v>0</v>
      </c>
      <c r="AH39" s="510">
        <f t="shared" ca="1" si="20"/>
        <v>0</v>
      </c>
      <c r="AI39" s="510">
        <f t="shared" ca="1" si="20"/>
        <v>0</v>
      </c>
      <c r="AJ39" s="510">
        <f t="shared" ca="1" si="20"/>
        <v>0</v>
      </c>
      <c r="AK39" s="510">
        <f t="shared" ca="1" si="20"/>
        <v>0</v>
      </c>
      <c r="AL39" s="510">
        <f t="shared" ca="1" si="20"/>
        <v>0</v>
      </c>
      <c r="AM39" s="510">
        <f t="shared" ca="1" si="20"/>
        <v>0</v>
      </c>
      <c r="AN39" s="510">
        <f t="shared" ca="1" si="20"/>
        <v>0</v>
      </c>
      <c r="AO39" s="510">
        <f t="shared" ca="1" si="20"/>
        <v>0</v>
      </c>
      <c r="AP39" s="510">
        <f t="shared" ca="1" si="20"/>
        <v>0</v>
      </c>
      <c r="AQ39" s="510">
        <f t="shared" ca="1" si="20"/>
        <v>0</v>
      </c>
      <c r="AR39" s="510">
        <f t="shared" ca="1" si="20"/>
        <v>0</v>
      </c>
      <c r="AS39" s="510">
        <f t="shared" ca="1" si="20"/>
        <v>0</v>
      </c>
      <c r="AT39" s="510">
        <f t="shared" ca="1" si="20"/>
        <v>0</v>
      </c>
      <c r="AU39" s="510">
        <f t="shared" ca="1" si="20"/>
        <v>0</v>
      </c>
      <c r="AV39" s="510">
        <f t="shared" ca="1" si="20"/>
        <v>0</v>
      </c>
      <c r="AW39" s="510">
        <f t="shared" ca="1" si="20"/>
        <v>0</v>
      </c>
      <c r="AX39" s="510">
        <f t="shared" ca="1" si="20"/>
        <v>0</v>
      </c>
      <c r="AY39" s="510">
        <f t="shared" ca="1" si="20"/>
        <v>0</v>
      </c>
      <c r="AZ39" s="510">
        <f t="shared" ca="1" si="20"/>
        <v>0</v>
      </c>
      <c r="BA39" s="510">
        <f t="shared" ca="1" si="20"/>
        <v>0</v>
      </c>
      <c r="BB39" s="510">
        <f t="shared" ca="1" si="20"/>
        <v>0</v>
      </c>
      <c r="BC39" s="510">
        <f t="shared" ca="1" si="20"/>
        <v>0</v>
      </c>
      <c r="BD39" s="510">
        <f t="shared" ca="1" si="20"/>
        <v>0</v>
      </c>
      <c r="BE39" s="510">
        <f t="shared" ca="1" si="20"/>
        <v>0</v>
      </c>
      <c r="BF39" s="510">
        <f t="shared" ca="1" si="20"/>
        <v>0</v>
      </c>
      <c r="BG39" s="510">
        <f t="shared" ca="1" si="20"/>
        <v>0</v>
      </c>
      <c r="BH39" s="510">
        <f t="shared" ca="1" si="20"/>
        <v>0</v>
      </c>
      <c r="BI39" s="510">
        <f t="shared" ca="1" si="20"/>
        <v>0</v>
      </c>
      <c r="BJ39" s="510">
        <f t="shared" ca="1" si="20"/>
        <v>0</v>
      </c>
      <c r="BK39" s="510">
        <f t="shared" ca="1" si="20"/>
        <v>0</v>
      </c>
      <c r="BL39" s="510">
        <f t="shared" ca="1" si="20"/>
        <v>0</v>
      </c>
      <c r="BM39" s="510">
        <f t="shared" ca="1" si="20"/>
        <v>0</v>
      </c>
      <c r="BN39" s="510">
        <f t="shared" ca="1" si="20"/>
        <v>0</v>
      </c>
      <c r="BO39" s="510">
        <f t="shared" ca="1" si="20"/>
        <v>0</v>
      </c>
      <c r="BP39" s="510">
        <f t="shared" si="20"/>
        <v>0</v>
      </c>
      <c r="BQ39" s="510">
        <f t="shared" si="20"/>
        <v>0</v>
      </c>
      <c r="BR39" s="510">
        <f t="shared" si="20"/>
        <v>0</v>
      </c>
      <c r="BS39" s="510">
        <f t="shared" si="20"/>
        <v>0</v>
      </c>
      <c r="BT39" s="510">
        <f t="shared" ref="BT39:DW39" si="21">IF(BT$3=0,-$B$38,BT14*BT7*$B$34*(1-$B$39))</f>
        <v>0</v>
      </c>
      <c r="BU39" s="510">
        <f t="shared" si="21"/>
        <v>0</v>
      </c>
      <c r="BV39" s="510">
        <f t="shared" si="21"/>
        <v>0</v>
      </c>
      <c r="BW39" s="510">
        <f t="shared" si="21"/>
        <v>0</v>
      </c>
      <c r="BX39" s="510">
        <f t="shared" si="21"/>
        <v>0</v>
      </c>
      <c r="BY39" s="510">
        <f t="shared" si="21"/>
        <v>0</v>
      </c>
      <c r="BZ39" s="510">
        <f t="shared" si="21"/>
        <v>0</v>
      </c>
      <c r="CA39" s="510">
        <f t="shared" si="21"/>
        <v>0</v>
      </c>
      <c r="CB39" s="510">
        <f t="shared" si="21"/>
        <v>0</v>
      </c>
      <c r="CC39" s="510">
        <f t="shared" si="21"/>
        <v>0</v>
      </c>
      <c r="CD39" s="510">
        <f t="shared" si="21"/>
        <v>0</v>
      </c>
      <c r="CE39" s="510">
        <f t="shared" si="21"/>
        <v>0</v>
      </c>
      <c r="CF39" s="510">
        <f t="shared" si="21"/>
        <v>0</v>
      </c>
      <c r="CG39" s="510">
        <f t="shared" si="21"/>
        <v>0</v>
      </c>
      <c r="CH39" s="510">
        <f t="shared" si="21"/>
        <v>0</v>
      </c>
      <c r="CI39" s="510">
        <f t="shared" si="21"/>
        <v>0</v>
      </c>
      <c r="CJ39" s="510">
        <f t="shared" si="21"/>
        <v>0</v>
      </c>
      <c r="CK39" s="510">
        <f t="shared" si="21"/>
        <v>0</v>
      </c>
      <c r="CL39" s="510">
        <f t="shared" si="21"/>
        <v>0</v>
      </c>
      <c r="CM39" s="510">
        <f t="shared" si="21"/>
        <v>0</v>
      </c>
      <c r="CN39" s="510">
        <f t="shared" si="21"/>
        <v>0</v>
      </c>
      <c r="CO39" s="510">
        <f t="shared" si="21"/>
        <v>0</v>
      </c>
      <c r="CP39" s="510">
        <f t="shared" si="21"/>
        <v>0</v>
      </c>
      <c r="CQ39" s="510">
        <f t="shared" si="21"/>
        <v>0</v>
      </c>
      <c r="CR39" s="510">
        <f t="shared" si="21"/>
        <v>0</v>
      </c>
      <c r="CS39" s="510">
        <f t="shared" si="21"/>
        <v>0</v>
      </c>
      <c r="CT39" s="510">
        <f t="shared" si="21"/>
        <v>0</v>
      </c>
      <c r="CU39" s="510">
        <f t="shared" si="21"/>
        <v>0</v>
      </c>
      <c r="CV39" s="510">
        <f t="shared" si="21"/>
        <v>0</v>
      </c>
      <c r="CW39" s="510">
        <f t="shared" si="21"/>
        <v>0</v>
      </c>
      <c r="CX39" s="510">
        <f t="shared" si="21"/>
        <v>0</v>
      </c>
      <c r="CY39" s="510">
        <f t="shared" si="21"/>
        <v>0</v>
      </c>
      <c r="CZ39" s="510">
        <f t="shared" si="21"/>
        <v>0</v>
      </c>
      <c r="DA39" s="510">
        <f t="shared" si="21"/>
        <v>0</v>
      </c>
      <c r="DB39" s="510">
        <f t="shared" si="21"/>
        <v>0</v>
      </c>
      <c r="DC39" s="510">
        <f t="shared" si="21"/>
        <v>0</v>
      </c>
      <c r="DD39" s="510">
        <f t="shared" si="21"/>
        <v>0</v>
      </c>
      <c r="DE39" s="510">
        <f t="shared" si="21"/>
        <v>0</v>
      </c>
      <c r="DF39" s="510">
        <f t="shared" si="21"/>
        <v>0</v>
      </c>
      <c r="DG39" s="510">
        <f t="shared" si="21"/>
        <v>0</v>
      </c>
      <c r="DH39" s="510">
        <f t="shared" si="21"/>
        <v>0</v>
      </c>
      <c r="DI39" s="510">
        <f t="shared" si="21"/>
        <v>0</v>
      </c>
      <c r="DJ39" s="510">
        <f t="shared" si="21"/>
        <v>0</v>
      </c>
      <c r="DK39" s="510">
        <f t="shared" si="21"/>
        <v>0</v>
      </c>
      <c r="DL39" s="510">
        <f t="shared" si="21"/>
        <v>0</v>
      </c>
      <c r="DM39" s="510">
        <f t="shared" si="21"/>
        <v>0</v>
      </c>
      <c r="DN39" s="510">
        <f t="shared" si="21"/>
        <v>0</v>
      </c>
      <c r="DO39" s="510">
        <f t="shared" si="21"/>
        <v>0</v>
      </c>
      <c r="DP39" s="510">
        <f t="shared" si="21"/>
        <v>0</v>
      </c>
      <c r="DQ39" s="510">
        <f t="shared" si="21"/>
        <v>0</v>
      </c>
      <c r="DR39" s="510">
        <f t="shared" si="21"/>
        <v>0</v>
      </c>
      <c r="DS39" s="510">
        <f t="shared" si="21"/>
        <v>0</v>
      </c>
      <c r="DT39" s="510">
        <f t="shared" si="21"/>
        <v>0</v>
      </c>
      <c r="DU39" s="510">
        <f t="shared" si="21"/>
        <v>0</v>
      </c>
      <c r="DV39" s="510">
        <f t="shared" si="21"/>
        <v>0</v>
      </c>
      <c r="DW39" s="510">
        <f t="shared" si="21"/>
        <v>0</v>
      </c>
    </row>
    <row r="40" spans="1:131">
      <c r="A40" s="344" t="str">
        <f>"Total "&amp;Inputs!$A$317</f>
        <v>Total Investor 1</v>
      </c>
      <c r="B40" s="971"/>
      <c r="C40" s="971"/>
      <c r="D40" s="541"/>
      <c r="E40" s="476"/>
      <c r="F40" s="518"/>
      <c r="G40" s="513">
        <f ca="1">G35+G36+G38</f>
        <v>0</v>
      </c>
      <c r="H40" s="513">
        <f t="shared" ref="H40:AL40" ca="1" si="22">H35+H36+H38</f>
        <v>0</v>
      </c>
      <c r="I40" s="513">
        <f t="shared" ca="1" si="22"/>
        <v>0</v>
      </c>
      <c r="J40" s="513">
        <f t="shared" ca="1" si="22"/>
        <v>0</v>
      </c>
      <c r="K40" s="513">
        <f t="shared" ca="1" si="22"/>
        <v>0</v>
      </c>
      <c r="L40" s="513">
        <f t="shared" ca="1" si="22"/>
        <v>0</v>
      </c>
      <c r="M40" s="513">
        <f t="shared" ca="1" si="22"/>
        <v>0</v>
      </c>
      <c r="N40" s="513">
        <f t="shared" ca="1" si="22"/>
        <v>0</v>
      </c>
      <c r="O40" s="513">
        <f t="shared" ca="1" si="22"/>
        <v>0</v>
      </c>
      <c r="P40" s="513">
        <f t="shared" ca="1" si="22"/>
        <v>0</v>
      </c>
      <c r="Q40" s="513">
        <f t="shared" ca="1" si="22"/>
        <v>0</v>
      </c>
      <c r="R40" s="513">
        <f t="shared" ca="1" si="22"/>
        <v>0</v>
      </c>
      <c r="S40" s="513">
        <f t="shared" ca="1" si="22"/>
        <v>0</v>
      </c>
      <c r="T40" s="513">
        <f t="shared" ca="1" si="22"/>
        <v>0</v>
      </c>
      <c r="U40" s="513">
        <f t="shared" ca="1" si="22"/>
        <v>0</v>
      </c>
      <c r="V40" s="513">
        <f t="shared" ca="1" si="22"/>
        <v>0</v>
      </c>
      <c r="W40" s="513">
        <f t="shared" ca="1" si="22"/>
        <v>0</v>
      </c>
      <c r="X40" s="513">
        <f t="shared" ca="1" si="22"/>
        <v>0</v>
      </c>
      <c r="Y40" s="513">
        <f t="shared" ca="1" si="22"/>
        <v>0</v>
      </c>
      <c r="Z40" s="513">
        <f t="shared" ca="1" si="22"/>
        <v>0</v>
      </c>
      <c r="AA40" s="513">
        <f t="shared" ca="1" si="22"/>
        <v>0</v>
      </c>
      <c r="AB40" s="513">
        <f t="shared" ca="1" si="22"/>
        <v>0</v>
      </c>
      <c r="AC40" s="513">
        <f t="shared" ca="1" si="22"/>
        <v>0</v>
      </c>
      <c r="AD40" s="513">
        <f t="shared" ca="1" si="22"/>
        <v>0</v>
      </c>
      <c r="AE40" s="513">
        <f t="shared" ca="1" si="22"/>
        <v>0</v>
      </c>
      <c r="AF40" s="513">
        <f t="shared" ca="1" si="22"/>
        <v>0</v>
      </c>
      <c r="AG40" s="513">
        <f t="shared" ca="1" si="22"/>
        <v>0</v>
      </c>
      <c r="AH40" s="513">
        <f t="shared" ca="1" si="22"/>
        <v>0</v>
      </c>
      <c r="AI40" s="513">
        <f t="shared" ca="1" si="22"/>
        <v>0</v>
      </c>
      <c r="AJ40" s="513">
        <f t="shared" ca="1" si="22"/>
        <v>0</v>
      </c>
      <c r="AK40" s="513">
        <f t="shared" ca="1" si="22"/>
        <v>0</v>
      </c>
      <c r="AL40" s="513">
        <f t="shared" ca="1" si="22"/>
        <v>0</v>
      </c>
      <c r="AM40" s="513">
        <f t="shared" ref="AM40:BR40" ca="1" si="23">AM35+AM36+AM38</f>
        <v>0</v>
      </c>
      <c r="AN40" s="513">
        <f t="shared" ca="1" si="23"/>
        <v>0</v>
      </c>
      <c r="AO40" s="513">
        <f t="shared" ca="1" si="23"/>
        <v>0</v>
      </c>
      <c r="AP40" s="513">
        <f t="shared" ca="1" si="23"/>
        <v>0</v>
      </c>
      <c r="AQ40" s="513">
        <f t="shared" ca="1" si="23"/>
        <v>0</v>
      </c>
      <c r="AR40" s="513">
        <f t="shared" ca="1" si="23"/>
        <v>0</v>
      </c>
      <c r="AS40" s="513">
        <f t="shared" ca="1" si="23"/>
        <v>0</v>
      </c>
      <c r="AT40" s="513">
        <f t="shared" ca="1" si="23"/>
        <v>0</v>
      </c>
      <c r="AU40" s="513">
        <f t="shared" ca="1" si="23"/>
        <v>0</v>
      </c>
      <c r="AV40" s="513">
        <f t="shared" ca="1" si="23"/>
        <v>0</v>
      </c>
      <c r="AW40" s="513">
        <f t="shared" ca="1" si="23"/>
        <v>0</v>
      </c>
      <c r="AX40" s="513">
        <f t="shared" ca="1" si="23"/>
        <v>0</v>
      </c>
      <c r="AY40" s="513">
        <f t="shared" ca="1" si="23"/>
        <v>0</v>
      </c>
      <c r="AZ40" s="513">
        <f t="shared" ca="1" si="23"/>
        <v>0</v>
      </c>
      <c r="BA40" s="513">
        <f t="shared" ca="1" si="23"/>
        <v>0</v>
      </c>
      <c r="BB40" s="513">
        <f t="shared" ca="1" si="23"/>
        <v>0</v>
      </c>
      <c r="BC40" s="513">
        <f t="shared" ca="1" si="23"/>
        <v>0</v>
      </c>
      <c r="BD40" s="513">
        <f t="shared" ca="1" si="23"/>
        <v>0</v>
      </c>
      <c r="BE40" s="513">
        <f t="shared" ca="1" si="23"/>
        <v>0</v>
      </c>
      <c r="BF40" s="513">
        <f t="shared" ca="1" si="23"/>
        <v>0</v>
      </c>
      <c r="BG40" s="513">
        <f t="shared" ca="1" si="23"/>
        <v>0</v>
      </c>
      <c r="BH40" s="513">
        <f t="shared" ca="1" si="23"/>
        <v>0</v>
      </c>
      <c r="BI40" s="513">
        <f t="shared" ca="1" si="23"/>
        <v>0</v>
      </c>
      <c r="BJ40" s="513">
        <f t="shared" ca="1" si="23"/>
        <v>0</v>
      </c>
      <c r="BK40" s="513">
        <f t="shared" ca="1" si="23"/>
        <v>0</v>
      </c>
      <c r="BL40" s="513">
        <f t="shared" ca="1" si="23"/>
        <v>0</v>
      </c>
      <c r="BM40" s="513">
        <f t="shared" ca="1" si="23"/>
        <v>0</v>
      </c>
      <c r="BN40" s="513">
        <f t="shared" ca="1" si="23"/>
        <v>0</v>
      </c>
      <c r="BO40" s="513">
        <f t="shared" ca="1" si="23"/>
        <v>0</v>
      </c>
      <c r="BP40" s="513">
        <f t="shared" ca="1" si="23"/>
        <v>0</v>
      </c>
      <c r="BQ40" s="513">
        <f t="shared" ca="1" si="23"/>
        <v>0</v>
      </c>
      <c r="BR40" s="513">
        <f t="shared" ca="1" si="23"/>
        <v>0</v>
      </c>
      <c r="BS40" s="513">
        <f t="shared" ref="BS40:CX40" ca="1" si="24">BS35+BS36+BS38</f>
        <v>0</v>
      </c>
      <c r="BT40" s="513">
        <f t="shared" ca="1" si="24"/>
        <v>0</v>
      </c>
      <c r="BU40" s="513">
        <f t="shared" ca="1" si="24"/>
        <v>0</v>
      </c>
      <c r="BV40" s="513">
        <f t="shared" ca="1" si="24"/>
        <v>0</v>
      </c>
      <c r="BW40" s="513">
        <f t="shared" ca="1" si="24"/>
        <v>0</v>
      </c>
      <c r="BX40" s="513">
        <f t="shared" ca="1" si="24"/>
        <v>0</v>
      </c>
      <c r="BY40" s="513">
        <f t="shared" ca="1" si="24"/>
        <v>0</v>
      </c>
      <c r="BZ40" s="513">
        <f t="shared" ca="1" si="24"/>
        <v>0</v>
      </c>
      <c r="CA40" s="513">
        <f t="shared" ca="1" si="24"/>
        <v>0</v>
      </c>
      <c r="CB40" s="513">
        <f t="shared" ca="1" si="24"/>
        <v>0</v>
      </c>
      <c r="CC40" s="513">
        <f t="shared" ca="1" si="24"/>
        <v>0</v>
      </c>
      <c r="CD40" s="513">
        <f t="shared" ca="1" si="24"/>
        <v>0</v>
      </c>
      <c r="CE40" s="513">
        <f t="shared" ca="1" si="24"/>
        <v>0</v>
      </c>
      <c r="CF40" s="513">
        <f t="shared" ca="1" si="24"/>
        <v>0</v>
      </c>
      <c r="CG40" s="513">
        <f t="shared" ca="1" si="24"/>
        <v>0</v>
      </c>
      <c r="CH40" s="513">
        <f t="shared" ca="1" si="24"/>
        <v>0</v>
      </c>
      <c r="CI40" s="513">
        <f t="shared" ca="1" si="24"/>
        <v>0</v>
      </c>
      <c r="CJ40" s="513">
        <f t="shared" ca="1" si="24"/>
        <v>0</v>
      </c>
      <c r="CK40" s="513">
        <f t="shared" ca="1" si="24"/>
        <v>0</v>
      </c>
      <c r="CL40" s="513">
        <f t="shared" ca="1" si="24"/>
        <v>0</v>
      </c>
      <c r="CM40" s="513">
        <f t="shared" ca="1" si="24"/>
        <v>0</v>
      </c>
      <c r="CN40" s="513">
        <f t="shared" ca="1" si="24"/>
        <v>0</v>
      </c>
      <c r="CO40" s="513">
        <f t="shared" ca="1" si="24"/>
        <v>0</v>
      </c>
      <c r="CP40" s="513">
        <f t="shared" ca="1" si="24"/>
        <v>0</v>
      </c>
      <c r="CQ40" s="513">
        <f t="shared" ca="1" si="24"/>
        <v>0</v>
      </c>
      <c r="CR40" s="513">
        <f t="shared" ca="1" si="24"/>
        <v>0</v>
      </c>
      <c r="CS40" s="513">
        <f t="shared" ca="1" si="24"/>
        <v>0</v>
      </c>
      <c r="CT40" s="513">
        <f t="shared" ca="1" si="24"/>
        <v>0</v>
      </c>
      <c r="CU40" s="513">
        <f t="shared" ca="1" si="24"/>
        <v>0</v>
      </c>
      <c r="CV40" s="513">
        <f t="shared" ca="1" si="24"/>
        <v>0</v>
      </c>
      <c r="CW40" s="513">
        <f t="shared" ca="1" si="24"/>
        <v>0</v>
      </c>
      <c r="CX40" s="513">
        <f t="shared" ca="1" si="24"/>
        <v>0</v>
      </c>
      <c r="CY40" s="513">
        <f t="shared" ref="CY40:DW40" ca="1" si="25">CY35+CY36+CY38</f>
        <v>0</v>
      </c>
      <c r="CZ40" s="513">
        <f t="shared" ca="1" si="25"/>
        <v>0</v>
      </c>
      <c r="DA40" s="513">
        <f t="shared" ca="1" si="25"/>
        <v>0</v>
      </c>
      <c r="DB40" s="513">
        <f t="shared" ca="1" si="25"/>
        <v>0</v>
      </c>
      <c r="DC40" s="513">
        <f t="shared" ca="1" si="25"/>
        <v>0</v>
      </c>
      <c r="DD40" s="513">
        <f t="shared" ca="1" si="25"/>
        <v>0</v>
      </c>
      <c r="DE40" s="513">
        <f t="shared" ca="1" si="25"/>
        <v>0</v>
      </c>
      <c r="DF40" s="513">
        <f t="shared" ca="1" si="25"/>
        <v>0</v>
      </c>
      <c r="DG40" s="513">
        <f t="shared" ca="1" si="25"/>
        <v>0</v>
      </c>
      <c r="DH40" s="513">
        <f t="shared" ca="1" si="25"/>
        <v>0</v>
      </c>
      <c r="DI40" s="513">
        <f t="shared" ca="1" si="25"/>
        <v>0</v>
      </c>
      <c r="DJ40" s="513">
        <f t="shared" ca="1" si="25"/>
        <v>0</v>
      </c>
      <c r="DK40" s="513">
        <f t="shared" ca="1" si="25"/>
        <v>0</v>
      </c>
      <c r="DL40" s="513">
        <f t="shared" ca="1" si="25"/>
        <v>0</v>
      </c>
      <c r="DM40" s="513">
        <f t="shared" ca="1" si="25"/>
        <v>0</v>
      </c>
      <c r="DN40" s="513">
        <f t="shared" ca="1" si="25"/>
        <v>0</v>
      </c>
      <c r="DO40" s="513">
        <f t="shared" ca="1" si="25"/>
        <v>0</v>
      </c>
      <c r="DP40" s="513">
        <f t="shared" ca="1" si="25"/>
        <v>0</v>
      </c>
      <c r="DQ40" s="513">
        <f t="shared" ca="1" si="25"/>
        <v>0</v>
      </c>
      <c r="DR40" s="513">
        <f t="shared" ca="1" si="25"/>
        <v>0</v>
      </c>
      <c r="DS40" s="513">
        <f t="shared" ca="1" si="25"/>
        <v>0</v>
      </c>
      <c r="DT40" s="513">
        <f t="shared" ca="1" si="25"/>
        <v>0</v>
      </c>
      <c r="DU40" s="513">
        <f t="shared" ca="1" si="25"/>
        <v>0</v>
      </c>
      <c r="DV40" s="513">
        <f t="shared" ca="1" si="25"/>
        <v>0</v>
      </c>
      <c r="DW40" s="513">
        <f t="shared" ca="1" si="25"/>
        <v>0</v>
      </c>
    </row>
    <row r="41" spans="1:131">
      <c r="B41" s="971"/>
      <c r="C41" s="971"/>
      <c r="D41" s="471"/>
      <c r="E41" s="471"/>
    </row>
    <row r="42" spans="1:131">
      <c r="A42" s="861" t="str">
        <f>Inputs!$A$317&amp;" Distribution Flows"</f>
        <v>Investor 1 Distribution Flows</v>
      </c>
      <c r="B42" s="862"/>
      <c r="C42" s="862"/>
      <c r="D42" s="963"/>
      <c r="E42" s="864"/>
      <c r="F42" s="870"/>
      <c r="G42" s="638">
        <f>G$23</f>
        <v>47298</v>
      </c>
      <c r="H42" s="638">
        <f>H$23</f>
        <v>47849</v>
      </c>
      <c r="I42" s="638">
        <f>I$23</f>
        <v>48030</v>
      </c>
      <c r="J42" s="638">
        <f>J$23</f>
        <v>48214</v>
      </c>
      <c r="K42" s="638">
        <f t="shared" ref="K42:BV42" si="26">K$23</f>
        <v>48396</v>
      </c>
      <c r="L42" s="638">
        <f t="shared" si="26"/>
        <v>48580</v>
      </c>
      <c r="M42" s="638">
        <f t="shared" si="26"/>
        <v>48761</v>
      </c>
      <c r="N42" s="638">
        <f t="shared" si="26"/>
        <v>48945</v>
      </c>
      <c r="O42" s="638">
        <f t="shared" si="26"/>
        <v>49126</v>
      </c>
      <c r="P42" s="638">
        <f t="shared" si="26"/>
        <v>49310</v>
      </c>
      <c r="Q42" s="638">
        <f t="shared" si="26"/>
        <v>49491</v>
      </c>
      <c r="R42" s="638">
        <f t="shared" si="26"/>
        <v>49675</v>
      </c>
      <c r="S42" s="638">
        <f t="shared" si="26"/>
        <v>49857</v>
      </c>
      <c r="T42" s="638">
        <f t="shared" si="26"/>
        <v>50041</v>
      </c>
      <c r="U42" s="638">
        <f t="shared" si="26"/>
        <v>50222</v>
      </c>
      <c r="V42" s="638">
        <f t="shared" si="26"/>
        <v>50406</v>
      </c>
      <c r="W42" s="638">
        <f t="shared" si="26"/>
        <v>50587</v>
      </c>
      <c r="X42" s="638">
        <f t="shared" si="26"/>
        <v>50771</v>
      </c>
      <c r="Y42" s="638">
        <f t="shared" si="26"/>
        <v>50952</v>
      </c>
      <c r="Z42" s="638">
        <f t="shared" si="26"/>
        <v>51136</v>
      </c>
      <c r="AA42" s="638">
        <f t="shared" si="26"/>
        <v>51318</v>
      </c>
      <c r="AB42" s="638">
        <f t="shared" si="26"/>
        <v>51502</v>
      </c>
      <c r="AC42" s="638">
        <f t="shared" si="26"/>
        <v>51683</v>
      </c>
      <c r="AD42" s="638">
        <f t="shared" si="26"/>
        <v>51867</v>
      </c>
      <c r="AE42" s="638">
        <f t="shared" si="26"/>
        <v>52048</v>
      </c>
      <c r="AF42" s="638">
        <f t="shared" si="26"/>
        <v>52232</v>
      </c>
      <c r="AG42" s="638">
        <f t="shared" si="26"/>
        <v>52413</v>
      </c>
      <c r="AH42" s="638">
        <f t="shared" si="26"/>
        <v>52597</v>
      </c>
      <c r="AI42" s="638">
        <f t="shared" si="26"/>
        <v>52779</v>
      </c>
      <c r="AJ42" s="638">
        <f t="shared" si="26"/>
        <v>52963</v>
      </c>
      <c r="AK42" s="638">
        <f t="shared" si="26"/>
        <v>53144</v>
      </c>
      <c r="AL42" s="638">
        <f t="shared" si="26"/>
        <v>53328</v>
      </c>
      <c r="AM42" s="638">
        <f t="shared" si="26"/>
        <v>53509</v>
      </c>
      <c r="AN42" s="638">
        <f t="shared" si="26"/>
        <v>53693</v>
      </c>
      <c r="AO42" s="638">
        <f t="shared" si="26"/>
        <v>53874</v>
      </c>
      <c r="AP42" s="638">
        <f t="shared" si="26"/>
        <v>54058</v>
      </c>
      <c r="AQ42" s="638">
        <f t="shared" si="26"/>
        <v>54240</v>
      </c>
      <c r="AR42" s="638">
        <f t="shared" si="26"/>
        <v>54424</v>
      </c>
      <c r="AS42" s="638">
        <f t="shared" si="26"/>
        <v>54605</v>
      </c>
      <c r="AT42" s="638">
        <f t="shared" si="26"/>
        <v>54789</v>
      </c>
      <c r="AU42" s="638">
        <f t="shared" si="26"/>
        <v>54970</v>
      </c>
      <c r="AV42" s="638">
        <f t="shared" si="26"/>
        <v>55154</v>
      </c>
      <c r="AW42" s="638">
        <f t="shared" si="26"/>
        <v>55335</v>
      </c>
      <c r="AX42" s="638">
        <f t="shared" si="26"/>
        <v>55519</v>
      </c>
      <c r="AY42" s="638">
        <f t="shared" si="26"/>
        <v>55701</v>
      </c>
      <c r="AZ42" s="638">
        <f t="shared" si="26"/>
        <v>55885</v>
      </c>
      <c r="BA42" s="638">
        <f t="shared" si="26"/>
        <v>56066</v>
      </c>
      <c r="BB42" s="638">
        <f t="shared" si="26"/>
        <v>56250</v>
      </c>
      <c r="BC42" s="638">
        <f t="shared" si="26"/>
        <v>56431</v>
      </c>
      <c r="BD42" s="638">
        <f t="shared" si="26"/>
        <v>56615</v>
      </c>
      <c r="BE42" s="638">
        <f t="shared" si="26"/>
        <v>56796</v>
      </c>
      <c r="BF42" s="638">
        <f t="shared" si="26"/>
        <v>56980</v>
      </c>
      <c r="BG42" s="638">
        <f t="shared" si="26"/>
        <v>57162</v>
      </c>
      <c r="BH42" s="638">
        <f t="shared" si="26"/>
        <v>57346</v>
      </c>
      <c r="BI42" s="638">
        <f t="shared" si="26"/>
        <v>57527</v>
      </c>
      <c r="BJ42" s="638">
        <f t="shared" si="26"/>
        <v>57711</v>
      </c>
      <c r="BK42" s="638">
        <f t="shared" si="26"/>
        <v>57892</v>
      </c>
      <c r="BL42" s="638">
        <f t="shared" si="26"/>
        <v>58076</v>
      </c>
      <c r="BM42" s="638">
        <f t="shared" si="26"/>
        <v>58257</v>
      </c>
      <c r="BN42" s="638">
        <f t="shared" si="26"/>
        <v>58441</v>
      </c>
      <c r="BO42" s="638">
        <f t="shared" si="26"/>
        <v>58623</v>
      </c>
      <c r="BP42" s="638">
        <f t="shared" si="26"/>
        <v>58807</v>
      </c>
      <c r="BQ42" s="638">
        <f t="shared" si="26"/>
        <v>58988</v>
      </c>
      <c r="BR42" s="638">
        <f t="shared" si="26"/>
        <v>59172</v>
      </c>
      <c r="BS42" s="638">
        <f t="shared" si="26"/>
        <v>59353</v>
      </c>
      <c r="BT42" s="638">
        <f t="shared" si="26"/>
        <v>59537</v>
      </c>
      <c r="BU42" s="638">
        <f t="shared" si="26"/>
        <v>59718</v>
      </c>
      <c r="BV42" s="638">
        <f t="shared" si="26"/>
        <v>59902</v>
      </c>
      <c r="BW42" s="638">
        <f t="shared" ref="BW42:DW42" si="27">BW$23</f>
        <v>60084</v>
      </c>
      <c r="BX42" s="638">
        <f t="shared" si="27"/>
        <v>60268</v>
      </c>
      <c r="BY42" s="638">
        <f t="shared" si="27"/>
        <v>60449</v>
      </c>
      <c r="BZ42" s="638">
        <f t="shared" si="27"/>
        <v>60633</v>
      </c>
      <c r="CA42" s="638">
        <f t="shared" si="27"/>
        <v>60814</v>
      </c>
      <c r="CB42" s="638">
        <f t="shared" si="27"/>
        <v>60998</v>
      </c>
      <c r="CC42" s="638">
        <f t="shared" si="27"/>
        <v>61179</v>
      </c>
      <c r="CD42" s="638">
        <f t="shared" si="27"/>
        <v>61363</v>
      </c>
      <c r="CE42" s="638">
        <f t="shared" si="27"/>
        <v>61545</v>
      </c>
      <c r="CF42" s="638">
        <f t="shared" si="27"/>
        <v>61729</v>
      </c>
      <c r="CG42" s="638">
        <f t="shared" si="27"/>
        <v>61910</v>
      </c>
      <c r="CH42" s="638">
        <f t="shared" si="27"/>
        <v>62094</v>
      </c>
      <c r="CI42" s="638">
        <f t="shared" si="27"/>
        <v>62275</v>
      </c>
      <c r="CJ42" s="638">
        <f t="shared" si="27"/>
        <v>62459</v>
      </c>
      <c r="CK42" s="638">
        <f t="shared" si="27"/>
        <v>62640</v>
      </c>
      <c r="CL42" s="638">
        <f t="shared" si="27"/>
        <v>62824</v>
      </c>
      <c r="CM42" s="638">
        <f t="shared" si="27"/>
        <v>63006</v>
      </c>
      <c r="CN42" s="638">
        <f t="shared" si="27"/>
        <v>63190</v>
      </c>
      <c r="CO42" s="638">
        <f t="shared" si="27"/>
        <v>63371</v>
      </c>
      <c r="CP42" s="638">
        <f t="shared" si="27"/>
        <v>63555</v>
      </c>
      <c r="CQ42" s="638">
        <f t="shared" si="27"/>
        <v>63736</v>
      </c>
      <c r="CR42" s="638">
        <f t="shared" si="27"/>
        <v>63920</v>
      </c>
      <c r="CS42" s="638">
        <f t="shared" si="27"/>
        <v>64101</v>
      </c>
      <c r="CT42" s="638">
        <f t="shared" si="27"/>
        <v>64285</v>
      </c>
      <c r="CU42" s="638">
        <f t="shared" si="27"/>
        <v>64467</v>
      </c>
      <c r="CV42" s="638">
        <f t="shared" si="27"/>
        <v>64651</v>
      </c>
      <c r="CW42" s="638">
        <f t="shared" si="27"/>
        <v>64832</v>
      </c>
      <c r="CX42" s="638">
        <f t="shared" si="27"/>
        <v>65016</v>
      </c>
      <c r="CY42" s="638">
        <f t="shared" si="27"/>
        <v>65197</v>
      </c>
      <c r="CZ42" s="638">
        <f t="shared" si="27"/>
        <v>65381</v>
      </c>
      <c r="DA42" s="638">
        <f t="shared" si="27"/>
        <v>65562</v>
      </c>
      <c r="DB42" s="638">
        <f t="shared" si="27"/>
        <v>65746</v>
      </c>
      <c r="DC42" s="638">
        <f t="shared" si="27"/>
        <v>65928</v>
      </c>
      <c r="DD42" s="638">
        <f t="shared" si="27"/>
        <v>66112</v>
      </c>
      <c r="DE42" s="638">
        <f t="shared" si="27"/>
        <v>66293</v>
      </c>
      <c r="DF42" s="638">
        <f t="shared" si="27"/>
        <v>66477</v>
      </c>
      <c r="DG42" s="638">
        <f t="shared" si="27"/>
        <v>66658</v>
      </c>
      <c r="DH42" s="638">
        <f t="shared" si="27"/>
        <v>66842</v>
      </c>
      <c r="DI42" s="638">
        <f t="shared" si="27"/>
        <v>67023</v>
      </c>
      <c r="DJ42" s="638">
        <f t="shared" si="27"/>
        <v>67207</v>
      </c>
      <c r="DK42" s="638">
        <f t="shared" si="27"/>
        <v>67389</v>
      </c>
      <c r="DL42" s="638">
        <f t="shared" si="27"/>
        <v>67573</v>
      </c>
      <c r="DM42" s="638">
        <f t="shared" si="27"/>
        <v>67754</v>
      </c>
      <c r="DN42" s="638">
        <f t="shared" si="27"/>
        <v>67938</v>
      </c>
      <c r="DO42" s="638">
        <f t="shared" si="27"/>
        <v>68119</v>
      </c>
      <c r="DP42" s="638">
        <f t="shared" si="27"/>
        <v>68303</v>
      </c>
      <c r="DQ42" s="638">
        <f t="shared" si="27"/>
        <v>68484</v>
      </c>
      <c r="DR42" s="638">
        <f t="shared" si="27"/>
        <v>68668</v>
      </c>
      <c r="DS42" s="638">
        <f t="shared" si="27"/>
        <v>68850</v>
      </c>
      <c r="DT42" s="638">
        <f t="shared" si="27"/>
        <v>69034</v>
      </c>
      <c r="DU42" s="638">
        <f t="shared" si="27"/>
        <v>69215</v>
      </c>
      <c r="DV42" s="638">
        <f t="shared" si="27"/>
        <v>69399</v>
      </c>
      <c r="DW42" s="638">
        <f t="shared" si="27"/>
        <v>69580</v>
      </c>
    </row>
    <row r="43" spans="1:131">
      <c r="A43" s="1019" t="str">
        <f>A35</f>
        <v>SHL Principal</v>
      </c>
      <c r="B43" s="971"/>
      <c r="C43" s="971"/>
      <c r="D43" s="471"/>
      <c r="E43" s="471"/>
      <c r="F43" s="611"/>
      <c r="G43" s="510">
        <f ca="1">(G$42=$B$9)*G35+((G$42-G$34)/(H$34-G$34)*H35+(G$34-F$42)/(G$34-F$34)*G35)*(G$42&gt;$B$10)+IF(G$42=$B$10,SUM($F35:F35)-SUM($F43:F43)+G35+(G$42-G$34)/(H$34-G$34)*H35,0)</f>
        <v>0</v>
      </c>
      <c r="H43" s="510">
        <f ca="1">(H$42=$B$9)*H35+((H$42-H$34)/(I$34-H$34)*I35+(H$34-G$42)/(H$34-G$34)*H35)*(H$42&gt;$B$10)+IF(H$42=$B$10,SUM($F35:G35)-SUM($F43:G43)+H35+(H$42-H$34)/(I$34-H$34)*I35,0)</f>
        <v>0</v>
      </c>
      <c r="I43" s="510">
        <f ca="1">(I$42=$B$9)*I35+((I$42-I$34)/(J$34-I$34)*J35+(I$34-H$42)/(I$34-H$34)*I35)*(I$42&gt;$B$10)+IF(I$42=$B$10,SUM($F35:H35)-SUM($F43:H43)+I35+(I$42-I$34)/(J$34-I$34)*J35,0)</f>
        <v>0</v>
      </c>
      <c r="J43" s="510">
        <f ca="1">(J$42=$B$9)*J35+((J$42-J$34)/(K$34-J$34)*K35+(J$34-I$42)/(J$34-I$34)*J35)*(J$42&gt;$B$10)+IF(J$42=$B$10,SUM($F35:I35)-SUM($F43:I43)+J35+(J$42-J$34)/(K$34-J$34)*K35,0)</f>
        <v>0</v>
      </c>
      <c r="K43" s="510">
        <f ca="1">(K$42=$B$9)*K35+((K$42-K$34)/(L$34-K$34)*L35+(K$34-J$42)/(K$34-J$34)*K35)*(K$42&gt;$B$10)+IF(K$42=$B$10,SUM($F35:J35)-SUM($F43:J43)+K35+(K$42-K$34)/(L$34-K$34)*L35,0)</f>
        <v>0</v>
      </c>
      <c r="L43" s="510">
        <f ca="1">(L$42=$B$9)*L35+((L$42-L$34)/(M$34-L$34)*M35+(L$34-K$42)/(L$34-K$34)*L35)*(L$42&gt;$B$10)+IF(L$42=$B$10,SUM($F35:K35)-SUM($F43:K43)+L35+(L$42-L$34)/(M$34-L$34)*M35,0)</f>
        <v>0</v>
      </c>
      <c r="M43" s="510">
        <f ca="1">(M$42=$B$9)*M35+((M$42-M$34)/(N$34-M$34)*N35+(M$34-L$42)/(M$34-L$34)*M35)*(M$42&gt;$B$10)+IF(M$42=$B$10,SUM($F35:L35)-SUM($F43:L43)+M35+(M$42-M$34)/(N$34-M$34)*N35,0)</f>
        <v>0</v>
      </c>
      <c r="N43" s="510">
        <f ca="1">(N$42=$B$9)*N35+((N$42-N$34)/(O$34-N$34)*O35+(N$34-M$42)/(N$34-M$34)*N35)*(N$42&gt;$B$10)+IF(N$42=$B$10,SUM($F35:M35)-SUM($F43:M43)+N35+(N$42-N$34)/(O$34-N$34)*O35,0)</f>
        <v>0</v>
      </c>
      <c r="O43" s="510">
        <f ca="1">(O$42=$B$9)*O35+((O$42-O$34)/(P$34-O$34)*P35+(O$34-N$42)/(O$34-N$34)*O35)*(O$42&gt;$B$10)+IF(O$42=$B$10,SUM($F35:N35)-SUM($F43:N43)+O35+(O$42-O$34)/(P$34-O$34)*P35,0)</f>
        <v>0</v>
      </c>
      <c r="P43" s="510">
        <f ca="1">(P$42=$B$9)*P35+((P$42-P$34)/(Q$34-P$34)*Q35+(P$34-O$42)/(P$34-O$34)*P35)*(P$42&gt;$B$10)+IF(P$42=$B$10,SUM($F35:O35)-SUM($F43:O43)+P35+(P$42-P$34)/(Q$34-P$34)*Q35,0)</f>
        <v>0</v>
      </c>
      <c r="Q43" s="510">
        <f ca="1">(Q$42=$B$9)*Q35+((Q$42-Q$34)/(R$34-Q$34)*R35+(Q$34-P$42)/(Q$34-P$34)*Q35)*(Q$42&gt;$B$10)+IF(Q$42=$B$10,SUM($F35:P35)-SUM($F43:P43)+Q35+(Q$42-Q$34)/(R$34-Q$34)*R35,0)</f>
        <v>0</v>
      </c>
      <c r="R43" s="510">
        <f ca="1">(R$42=$B$9)*R35+((R$42-R$34)/(S$34-R$34)*S35+(R$34-Q$42)/(R$34-Q$34)*R35)*(R$42&gt;$B$10)+IF(R$42=$B$10,SUM($F35:Q35)-SUM($F43:Q43)+R35+(R$42-R$34)/(S$34-R$34)*S35,0)</f>
        <v>0</v>
      </c>
      <c r="S43" s="510">
        <f ca="1">(S$42=$B$9)*S35+((S$42-S$34)/(T$34-S$34)*T35+(S$34-R$42)/(S$34-R$34)*S35)*(S$42&gt;$B$10)+IF(S$42=$B$10,SUM($F35:R35)-SUM($F43:R43)+S35+(S$42-S$34)/(T$34-S$34)*T35,0)</f>
        <v>0</v>
      </c>
      <c r="T43" s="510">
        <f ca="1">(T$42=$B$9)*T35+((T$42-T$34)/(U$34-T$34)*U35+(T$34-S$42)/(T$34-S$34)*T35)*(T$42&gt;$B$10)+IF(T$42=$B$10,SUM($F35:S35)-SUM($F43:S43)+T35+(T$42-T$34)/(U$34-T$34)*U35,0)</f>
        <v>0</v>
      </c>
      <c r="U43" s="510">
        <f ca="1">(U$42=$B$9)*U35+((U$42-U$34)/(V$34-U$34)*V35+(U$34-T$42)/(U$34-T$34)*U35)*(U$42&gt;$B$10)+IF(U$42=$B$10,SUM($F35:T35)-SUM($F43:T43)+U35+(U$42-U$34)/(V$34-U$34)*V35,0)</f>
        <v>0</v>
      </c>
      <c r="V43" s="510">
        <f ca="1">(V$42=$B$9)*V35+((V$42-V$34)/(W$34-V$34)*W35+(V$34-U$42)/(V$34-U$34)*V35)*(V$42&gt;$B$10)+IF(V$42=$B$10,SUM($F35:U35)-SUM($F43:U43)+V35+(V$42-V$34)/(W$34-V$34)*W35,0)</f>
        <v>0</v>
      </c>
      <c r="W43" s="510">
        <f ca="1">(W$42=$B$9)*W35+((W$42-W$34)/(X$34-W$34)*X35+(W$34-V$42)/(W$34-V$34)*W35)*(W$42&gt;$B$10)+IF(W$42=$B$10,SUM($F35:V35)-SUM($F43:V43)+W35+(W$42-W$34)/(X$34-W$34)*X35,0)</f>
        <v>0</v>
      </c>
      <c r="X43" s="510">
        <f ca="1">(X$42=$B$9)*X35+((X$42-X$34)/(Y$34-X$34)*Y35+(X$34-W$42)/(X$34-W$34)*X35)*(X$42&gt;$B$10)+IF(X$42=$B$10,SUM($F35:W35)-SUM($F43:W43)+X35+(X$42-X$34)/(Y$34-X$34)*Y35,0)</f>
        <v>0</v>
      </c>
      <c r="Y43" s="510">
        <f ca="1">(Y$42=$B$9)*Y35+((Y$42-Y$34)/(Z$34-Y$34)*Z35+(Y$34-X$42)/(Y$34-X$34)*Y35)*(Y$42&gt;$B$10)+IF(Y$42=$B$10,SUM($F35:X35)-SUM($F43:X43)+Y35+(Y$42-Y$34)/(Z$34-Y$34)*Z35,0)</f>
        <v>0</v>
      </c>
      <c r="Z43" s="510">
        <f ca="1">(Z$42=$B$9)*Z35+((Z$42-Z$34)/(AA$34-Z$34)*AA35+(Z$34-Y$42)/(Z$34-Y$34)*Z35)*(Z$42&gt;$B$10)+IF(Z$42=$B$10,SUM($F35:Y35)-SUM($F43:Y43)+Z35+(Z$42-Z$34)/(AA$34-Z$34)*AA35,0)</f>
        <v>0</v>
      </c>
      <c r="AA43" s="510">
        <f ca="1">(AA$42=$B$9)*AA35+((AA$42-AA$34)/(AB$34-AA$34)*AB35+(AA$34-Z$42)/(AA$34-Z$34)*AA35)*(AA$42&gt;$B$10)+IF(AA$42=$B$10,SUM($F35:Z35)-SUM($F43:Z43)+AA35+(AA$42-AA$34)/(AB$34-AA$34)*AB35,0)</f>
        <v>0</v>
      </c>
      <c r="AB43" s="510">
        <f ca="1">(AB$42=$B$9)*AB35+((AB$42-AB$34)/(AC$34-AB$34)*AC35+(AB$34-AA$42)/(AB$34-AA$34)*AB35)*(AB$42&gt;$B$10)+IF(AB$42=$B$10,SUM($F35:AA35)-SUM($F43:AA43)+AB35+(AB$42-AB$34)/(AC$34-AB$34)*AC35,0)</f>
        <v>0</v>
      </c>
      <c r="AC43" s="510">
        <f ca="1">(AC$42=$B$9)*AC35+((AC$42-AC$34)/(AD$34-AC$34)*AD35+(AC$34-AB$42)/(AC$34-AB$34)*AC35)*(AC$42&gt;$B$10)+IF(AC$42=$B$10,SUM($F35:AB35)-SUM($F43:AB43)+AC35+(AC$42-AC$34)/(AD$34-AC$34)*AD35,0)</f>
        <v>0</v>
      </c>
      <c r="AD43" s="510">
        <f ca="1">(AD$42=$B$9)*AD35+((AD$42-AD$34)/(AE$34-AD$34)*AE35+(AD$34-AC$42)/(AD$34-AC$34)*AD35)*(AD$42&gt;$B$10)+IF(AD$42=$B$10,SUM($F35:AC35)-SUM($F43:AC43)+AD35+(AD$42-AD$34)/(AE$34-AD$34)*AE35,0)</f>
        <v>0</v>
      </c>
      <c r="AE43" s="510">
        <f ca="1">(AE$42=$B$9)*AE35+((AE$42-AE$34)/(AF$34-AE$34)*AF35+(AE$34-AD$42)/(AE$34-AD$34)*AE35)*(AE$42&gt;$B$10)+IF(AE$42=$B$10,SUM($F35:AD35)-SUM($F43:AD43)+AE35+(AE$42-AE$34)/(AF$34-AE$34)*AF35,0)</f>
        <v>0</v>
      </c>
      <c r="AF43" s="510">
        <f ca="1">(AF$42=$B$9)*AF35+((AF$42-AF$34)/(AG$34-AF$34)*AG35+(AF$34-AE$42)/(AF$34-AE$34)*AF35)*(AF$42&gt;$B$10)+IF(AF$42=$B$10,SUM($F35:AE35)-SUM($F43:AE43)+AF35+(AF$42-AF$34)/(AG$34-AF$34)*AG35,0)</f>
        <v>0</v>
      </c>
      <c r="AG43" s="510">
        <f ca="1">(AG$42=$B$9)*AG35+((AG$42-AG$34)/(AH$34-AG$34)*AH35+(AG$34-AF$42)/(AG$34-AF$34)*AG35)*(AG$42&gt;$B$10)+IF(AG$42=$B$10,SUM($F35:AF35)-SUM($F43:AF43)+AG35+(AG$42-AG$34)/(AH$34-AG$34)*AH35,0)</f>
        <v>0</v>
      </c>
      <c r="AH43" s="510">
        <f ca="1">(AH$42=$B$9)*AH35+((AH$42-AH$34)/(AI$34-AH$34)*AI35+(AH$34-AG$42)/(AH$34-AG$34)*AH35)*(AH$42&gt;$B$10)+IF(AH$42=$B$10,SUM($F35:AG35)-SUM($F43:AG43)+AH35+(AH$42-AH$34)/(AI$34-AH$34)*AI35,0)</f>
        <v>0</v>
      </c>
      <c r="AI43" s="510">
        <f ca="1">(AI$42=$B$9)*AI35+((AI$42-AI$34)/(AJ$34-AI$34)*AJ35+(AI$34-AH$42)/(AI$34-AH$34)*AI35)*(AI$42&gt;$B$10)+IF(AI$42=$B$10,SUM($F35:AH35)-SUM($F43:AH43)+AI35+(AI$42-AI$34)/(AJ$34-AI$34)*AJ35,0)</f>
        <v>0</v>
      </c>
      <c r="AJ43" s="510">
        <f ca="1">(AJ$42=$B$9)*AJ35+((AJ$42-AJ$34)/(AK$34-AJ$34)*AK35+(AJ$34-AI$42)/(AJ$34-AI$34)*AJ35)*(AJ$42&gt;$B$10)+IF(AJ$42=$B$10,SUM($F35:AI35)-SUM($F43:AI43)+AJ35+(AJ$42-AJ$34)/(AK$34-AJ$34)*AK35,0)</f>
        <v>0</v>
      </c>
      <c r="AK43" s="510">
        <f ca="1">(AK$42=$B$9)*AK35+((AK$42-AK$34)/(AL$34-AK$34)*AL35+(AK$34-AJ$42)/(AK$34-AJ$34)*AK35)*(AK$42&gt;$B$10)+IF(AK$42=$B$10,SUM($F35:AJ35)-SUM($F43:AJ43)+AK35+(AK$42-AK$34)/(AL$34-AK$34)*AL35,0)</f>
        <v>0</v>
      </c>
      <c r="AL43" s="510">
        <f ca="1">(AL$42=$B$9)*AL35+((AL$42-AL$34)/(AM$34-AL$34)*AM35+(AL$34-AK$42)/(AL$34-AK$34)*AL35)*(AL$42&gt;$B$10)+IF(AL$42=$B$10,SUM($F35:AK35)-SUM($F43:AK43)+AL35+(AL$42-AL$34)/(AM$34-AL$34)*AM35,0)</f>
        <v>0</v>
      </c>
      <c r="AM43" s="510">
        <f ca="1">(AM$42=$B$9)*AM35+((AM$42-AM$34)/(AN$34-AM$34)*AN35+(AM$34-AL$42)/(AM$34-AL$34)*AM35)*(AM$42&gt;$B$10)+IF(AM$42=$B$10,SUM($F35:AL35)-SUM($F43:AL43)+AM35+(AM$42-AM$34)/(AN$34-AM$34)*AN35,0)</f>
        <v>0</v>
      </c>
      <c r="AN43" s="510">
        <f ca="1">(AN$42=$B$9)*AN35+((AN$42-AN$34)/(AO$34-AN$34)*AO35+(AN$34-AM$42)/(AN$34-AM$34)*AN35)*(AN$42&gt;$B$10)+IF(AN$42=$B$10,SUM($F35:AM35)-SUM($F43:AM43)+AN35+(AN$42-AN$34)/(AO$34-AN$34)*AO35,0)</f>
        <v>0</v>
      </c>
      <c r="AO43" s="510">
        <f ca="1">(AO$42=$B$9)*AO35+((AO$42-AO$34)/(AP$34-AO$34)*AP35+(AO$34-AN$42)/(AO$34-AN$34)*AO35)*(AO$42&gt;$B$10)+IF(AO$42=$B$10,SUM($F35:AN35)-SUM($F43:AN43)+AO35+(AO$42-AO$34)/(AP$34-AO$34)*AP35,0)</f>
        <v>0</v>
      </c>
      <c r="AP43" s="510">
        <f ca="1">(AP$42=$B$9)*AP35+((AP$42-AP$34)/(AQ$34-AP$34)*AQ35+(AP$34-AO$42)/(AP$34-AO$34)*AP35)*(AP$42&gt;$B$10)+IF(AP$42=$B$10,SUM($F35:AO35)-SUM($F43:AO43)+AP35+(AP$42-AP$34)/(AQ$34-AP$34)*AQ35,0)</f>
        <v>0</v>
      </c>
      <c r="AQ43" s="510">
        <f ca="1">(AQ$42=$B$9)*AQ35+((AQ$42-AQ$34)/(AR$34-AQ$34)*AR35+(AQ$34-AP$42)/(AQ$34-AP$34)*AQ35)*(AQ$42&gt;$B$10)+IF(AQ$42=$B$10,SUM($F35:AP35)-SUM($F43:AP43)+AQ35+(AQ$42-AQ$34)/(AR$34-AQ$34)*AR35,0)</f>
        <v>0</v>
      </c>
      <c r="AR43" s="510">
        <f ca="1">(AR$42=$B$9)*AR35+((AR$42-AR$34)/(AS$34-AR$34)*AS35+(AR$34-AQ$42)/(AR$34-AQ$34)*AR35)*(AR$42&gt;$B$10)+IF(AR$42=$B$10,SUM($F35:AQ35)-SUM($F43:AQ43)+AR35+(AR$42-AR$34)/(AS$34-AR$34)*AS35,0)</f>
        <v>0</v>
      </c>
      <c r="AS43" s="510">
        <f ca="1">(AS$42=$B$9)*AS35+((AS$42-AS$34)/(AT$34-AS$34)*AT35+(AS$34-AR$42)/(AS$34-AR$34)*AS35)*(AS$42&gt;$B$10)+IF(AS$42=$B$10,SUM($F35:AR35)-SUM($F43:AR43)+AS35+(AS$42-AS$34)/(AT$34-AS$34)*AT35,0)</f>
        <v>0</v>
      </c>
      <c r="AT43" s="510">
        <f ca="1">(AT$42=$B$9)*AT35+((AT$42-AT$34)/(AU$34-AT$34)*AU35+(AT$34-AS$42)/(AT$34-AS$34)*AT35)*(AT$42&gt;$B$10)+IF(AT$42=$B$10,SUM($F35:AS35)-SUM($F43:AS43)+AT35+(AT$42-AT$34)/(AU$34-AT$34)*AU35,0)</f>
        <v>0</v>
      </c>
      <c r="AU43" s="510">
        <f ca="1">(AU$42=$B$9)*AU35+((AU$42-AU$34)/(AV$34-AU$34)*AV35+(AU$34-AT$42)/(AU$34-AT$34)*AU35)*(AU$42&gt;$B$10)+IF(AU$42=$B$10,SUM($F35:AT35)-SUM($F43:AT43)+AU35+(AU$42-AU$34)/(AV$34-AU$34)*AV35,0)</f>
        <v>0</v>
      </c>
      <c r="AV43" s="510">
        <f ca="1">(AV$42=$B$9)*AV35+((AV$42-AV$34)/(AW$34-AV$34)*AW35+(AV$34-AU$42)/(AV$34-AU$34)*AV35)*(AV$42&gt;$B$10)+IF(AV$42=$B$10,SUM($F35:AU35)-SUM($F43:AU43)+AV35+(AV$42-AV$34)/(AW$34-AV$34)*AW35,0)</f>
        <v>0</v>
      </c>
      <c r="AW43" s="510">
        <f ca="1">(AW$42=$B$9)*AW35+((AW$42-AW$34)/(AX$34-AW$34)*AX35+(AW$34-AV$42)/(AW$34-AV$34)*AW35)*(AW$42&gt;$B$10)+IF(AW$42=$B$10,SUM($F35:AV35)-SUM($F43:AV43)+AW35+(AW$42-AW$34)/(AX$34-AW$34)*AX35,0)</f>
        <v>0</v>
      </c>
      <c r="AX43" s="510">
        <f ca="1">(AX$42=$B$9)*AX35+((AX$42-AX$34)/(AY$34-AX$34)*AY35+(AX$34-AW$42)/(AX$34-AW$34)*AX35)*(AX$42&gt;$B$10)+IF(AX$42=$B$10,SUM($F35:AW35)-SUM($F43:AW43)+AX35+(AX$42-AX$34)/(AY$34-AX$34)*AY35,0)</f>
        <v>0</v>
      </c>
      <c r="AY43" s="510">
        <f ca="1">(AY$42=$B$9)*AY35+((AY$42-AY$34)/(AZ$34-AY$34)*AZ35+(AY$34-AX$42)/(AY$34-AX$34)*AY35)*(AY$42&gt;$B$10)+IF(AY$42=$B$10,SUM($F35:AX35)-SUM($F43:AX43)+AY35+(AY$42-AY$34)/(AZ$34-AY$34)*AZ35,0)</f>
        <v>0</v>
      </c>
      <c r="AZ43" s="510">
        <f ca="1">(AZ$42=$B$9)*AZ35+((AZ$42-AZ$34)/(BA$34-AZ$34)*BA35+(AZ$34-AY$42)/(AZ$34-AY$34)*AZ35)*(AZ$42&gt;$B$10)+IF(AZ$42=$B$10,SUM($F35:AY35)-SUM($F43:AY43)+AZ35+(AZ$42-AZ$34)/(BA$34-AZ$34)*BA35,0)</f>
        <v>0</v>
      </c>
      <c r="BA43" s="510">
        <f ca="1">(BA$42=$B$9)*BA35+((BA$42-BA$34)/(BB$34-BA$34)*BB35+(BA$34-AZ$42)/(BA$34-AZ$34)*BA35)*(BA$42&gt;$B$10)+IF(BA$42=$B$10,SUM($F35:AZ35)-SUM($F43:AZ43)+BA35+(BA$42-BA$34)/(BB$34-BA$34)*BB35,0)</f>
        <v>0</v>
      </c>
      <c r="BB43" s="510">
        <f ca="1">(BB$42=$B$9)*BB35+((BB$42-BB$34)/(BC$34-BB$34)*BC35+(BB$34-BA$42)/(BB$34-BA$34)*BB35)*(BB$42&gt;$B$10)+IF(BB$42=$B$10,SUM($F35:BA35)-SUM($F43:BA43)+BB35+(BB$42-BB$34)/(BC$34-BB$34)*BC35,0)</f>
        <v>0</v>
      </c>
      <c r="BC43" s="510">
        <f ca="1">(BC$42=$B$9)*BC35+((BC$42-BC$34)/(BD$34-BC$34)*BD35+(BC$34-BB$42)/(BC$34-BB$34)*BC35)*(BC$42&gt;$B$10)+IF(BC$42=$B$10,SUM($F35:BB35)-SUM($F43:BB43)+BC35+(BC$42-BC$34)/(BD$34-BC$34)*BD35,0)</f>
        <v>0</v>
      </c>
      <c r="BD43" s="510">
        <f ca="1">(BD$42=$B$9)*BD35+((BD$42-BD$34)/(BE$34-BD$34)*BE35+(BD$34-BC$42)/(BD$34-BC$34)*BD35)*(BD$42&gt;$B$10)+IF(BD$42=$B$10,SUM($F35:BC35)-SUM($F43:BC43)+BD35+(BD$42-BD$34)/(BE$34-BD$34)*BE35,0)</f>
        <v>0</v>
      </c>
      <c r="BE43" s="510">
        <f ca="1">(BE$42=$B$9)*BE35+((BE$42-BE$34)/(BF$34-BE$34)*BF35+(BE$34-BD$42)/(BE$34-BD$34)*BE35)*(BE$42&gt;$B$10)+IF(BE$42=$B$10,SUM($F35:BD35)-SUM($F43:BD43)+BE35+(BE$42-BE$34)/(BF$34-BE$34)*BF35,0)</f>
        <v>0</v>
      </c>
      <c r="BF43" s="510">
        <f ca="1">(BF$42=$B$9)*BF35+((BF$42-BF$34)/(BG$34-BF$34)*BG35+(BF$34-BE$42)/(BF$34-BE$34)*BF35)*(BF$42&gt;$B$10)+IF(BF$42=$B$10,SUM($F35:BE35)-SUM($F43:BE43)+BF35+(BF$42-BF$34)/(BG$34-BF$34)*BG35,0)</f>
        <v>0</v>
      </c>
      <c r="BG43" s="510">
        <f ca="1">(BG$42=$B$9)*BG35+((BG$42-BG$34)/(BH$34-BG$34)*BH35+(BG$34-BF$42)/(BG$34-BF$34)*BG35)*(BG$42&gt;$B$10)+IF(BG$42=$B$10,SUM($F35:BF35)-SUM($F43:BF43)+BG35+(BG$42-BG$34)/(BH$34-BG$34)*BH35,0)</f>
        <v>0</v>
      </c>
      <c r="BH43" s="510">
        <f ca="1">(BH$42=$B$9)*BH35+((BH$42-BH$34)/(BI$34-BH$34)*BI35+(BH$34-BG$42)/(BH$34-BG$34)*BH35)*(BH$42&gt;$B$10)+IF(BH$42=$B$10,SUM($F35:BG35)-SUM($F43:BG43)+BH35+(BH$42-BH$34)/(BI$34-BH$34)*BI35,0)</f>
        <v>0</v>
      </c>
      <c r="BI43" s="510">
        <f ca="1">(BI$42=$B$9)*BI35+((BI$42-BI$34)/(BJ$34-BI$34)*BJ35+(BI$34-BH$42)/(BI$34-BH$34)*BI35)*(BI$42&gt;$B$10)+IF(BI$42=$B$10,SUM($F35:BH35)-SUM($F43:BH43)+BI35+(BI$42-BI$34)/(BJ$34-BI$34)*BJ35,0)</f>
        <v>0</v>
      </c>
      <c r="BJ43" s="510">
        <f ca="1">(BJ$42=$B$9)*BJ35+((BJ$42-BJ$34)/(BK$34-BJ$34)*BK35+(BJ$34-BI$42)/(BJ$34-BI$34)*BJ35)*(BJ$42&gt;$B$10)+IF(BJ$42=$B$10,SUM($F35:BI35)-SUM($F43:BI43)+BJ35+(BJ$42-BJ$34)/(BK$34-BJ$34)*BK35,0)</f>
        <v>0</v>
      </c>
      <c r="BK43" s="510">
        <f ca="1">(BK$42=$B$9)*BK35+((BK$42-BK$34)/(BL$34-BK$34)*BL35+(BK$34-BJ$42)/(BK$34-BJ$34)*BK35)*(BK$42&gt;$B$10)+IF(BK$42=$B$10,SUM($F35:BJ35)-SUM($F43:BJ43)+BK35+(BK$42-BK$34)/(BL$34-BK$34)*BL35,0)</f>
        <v>0</v>
      </c>
      <c r="BL43" s="510">
        <f ca="1">(BL$42=$B$9)*BL35+((BL$42-BL$34)/(BM$34-BL$34)*BM35+(BL$34-BK$42)/(BL$34-BK$34)*BL35)*(BL$42&gt;$B$10)+IF(BL$42=$B$10,SUM($F35:BK35)-SUM($F43:BK43)+BL35+(BL$42-BL$34)/(BM$34-BL$34)*BM35,0)</f>
        <v>0</v>
      </c>
      <c r="BM43" s="510">
        <f ca="1">(BM$42=$B$9)*BM35+((BM$42-BM$34)/(BN$34-BM$34)*BN35+(BM$34-BL$42)/(BM$34-BL$34)*BM35)*(BM$42&gt;$B$10)+IF(BM$42=$B$10,SUM($F35:BL35)-SUM($F43:BL43)+BM35+(BM$42-BM$34)/(BN$34-BM$34)*BN35,0)</f>
        <v>0</v>
      </c>
      <c r="BN43" s="510">
        <f ca="1">(BN$42=$B$9)*BN35+((BN$42-BN$34)/(BO$34-BN$34)*BO35+(BN$34-BM$42)/(BN$34-BM$34)*BN35)*(BN$42&gt;$B$10)+IF(BN$42=$B$10,SUM($F35:BM35)-SUM($F43:BM43)+BN35+(BN$42-BN$34)/(BO$34-BN$34)*BO35,0)</f>
        <v>0</v>
      </c>
      <c r="BO43" s="510">
        <f ca="1">(BO$42=$B$9)*BO35+((BO$42-BO$34)/(BP$34-BO$34)*BP35+(BO$34-BN$42)/(BO$34-BN$34)*BO35)*(BO$42&gt;$B$10)+IF(BO$42=$B$10,SUM($F35:BN35)-SUM($F43:BN43)+BO35+(BO$42-BO$34)/(BP$34-BO$34)*BP35,0)</f>
        <v>0</v>
      </c>
      <c r="BP43" s="510">
        <f ca="1">(BP$42=$B$9)*BP35+((BP$42-BP$34)/(BQ$34-BP$34)*BQ35+(BP$34-BO$42)/(BP$34-BO$34)*BP35)*(BP$42&gt;$B$10)+IF(BP$42=$B$10,SUM($F35:BO35)-SUM($F43:BO43)+BP35+(BP$42-BP$34)/(BQ$34-BP$34)*BQ35,0)</f>
        <v>0</v>
      </c>
      <c r="BQ43" s="510">
        <f ca="1">(BQ$42=$B$9)*BQ35+((BQ$42-BQ$34)/(BR$34-BQ$34)*BR35+(BQ$34-BP$42)/(BQ$34-BP$34)*BQ35)*(BQ$42&gt;$B$10)+IF(BQ$42=$B$10,SUM($F35:BP35)-SUM($F43:BP43)+BQ35+(BQ$42-BQ$34)/(BR$34-BQ$34)*BR35,0)</f>
        <v>0</v>
      </c>
      <c r="BR43" s="510">
        <f ca="1">(BR$42=$B$9)*BR35+((BR$42-BR$34)/(BS$34-BR$34)*BS35+(BR$34-BQ$42)/(BR$34-BQ$34)*BR35)*(BR$42&gt;$B$10)+IF(BR$42=$B$10,SUM($F35:BQ35)-SUM($F43:BQ43)+BR35+(BR$42-BR$34)/(BS$34-BR$34)*BS35,0)</f>
        <v>0</v>
      </c>
      <c r="BS43" s="510">
        <f ca="1">(BS$42=$B$9)*BS35+((BS$42-BS$34)/(BT$34-BS$34)*BT35+(BS$34-BR$42)/(BS$34-BR$34)*BS35)*(BS$42&gt;$B$10)+IF(BS$42=$B$10,SUM($F35:BR35)-SUM($F43:BR43)+BS35+(BS$42-BS$34)/(BT$34-BS$34)*BT35,0)</f>
        <v>0</v>
      </c>
      <c r="BT43" s="510">
        <f ca="1">(BT$42=$B$9)*BT35+((BT$42-BT$34)/(BU$34-BT$34)*BU35+(BT$34-BS$42)/(BT$34-BS$34)*BT35)*(BT$42&gt;$B$10)+IF(BT$42=$B$10,SUM($F35:BS35)-SUM($F43:BS43)+BT35+(BT$42-BT$34)/(BU$34-BT$34)*BU35,0)</f>
        <v>0</v>
      </c>
      <c r="BU43" s="510">
        <f ca="1">(BU$42=$B$9)*BU35+((BU$42-BU$34)/(BV$34-BU$34)*BV35+(BU$34-BT$42)/(BU$34-BT$34)*BU35)*(BU$42&gt;$B$10)+IF(BU$42=$B$10,SUM($F35:BT35)-SUM($F43:BT43)+BU35+(BU$42-BU$34)/(BV$34-BU$34)*BV35,0)</f>
        <v>0</v>
      </c>
      <c r="BV43" s="510">
        <f ca="1">(BV$42=$B$9)*BV35+((BV$42-BV$34)/(BW$34-BV$34)*BW35+(BV$34-BU$42)/(BV$34-BU$34)*BV35)*(BV$42&gt;$B$10)+IF(BV$42=$B$10,SUM($F35:BU35)-SUM($F43:BU43)+BV35+(BV$42-BV$34)/(BW$34-BV$34)*BW35,0)</f>
        <v>0</v>
      </c>
      <c r="BW43" s="510">
        <f ca="1">(BW$42=$B$9)*BW35+((BW$42-BW$34)/(BX$34-BW$34)*BX35+(BW$34-BV$42)/(BW$34-BV$34)*BW35)*(BW$42&gt;$B$10)+IF(BW$42=$B$10,SUM($F35:BV35)-SUM($F43:BV43)+BW35+(BW$42-BW$34)/(BX$34-BW$34)*BX35,0)</f>
        <v>0</v>
      </c>
      <c r="BX43" s="510">
        <f ca="1">(BX$42=$B$9)*BX35+((BX$42-BX$34)/(BY$34-BX$34)*BY35+(BX$34-BW$42)/(BX$34-BW$34)*BX35)*(BX$42&gt;$B$10)+IF(BX$42=$B$10,SUM($F35:BW35)-SUM($F43:BW43)+BX35+(BX$42-BX$34)/(BY$34-BX$34)*BY35,0)</f>
        <v>0</v>
      </c>
      <c r="BY43" s="510">
        <f ca="1">(BY$42=$B$9)*BY35+((BY$42-BY$34)/(BZ$34-BY$34)*BZ35+(BY$34-BX$42)/(BY$34-BX$34)*BY35)*(BY$42&gt;$B$10)+IF(BY$42=$B$10,SUM($F35:BX35)-SUM($F43:BX43)+BY35+(BY$42-BY$34)/(BZ$34-BY$34)*BZ35,0)</f>
        <v>0</v>
      </c>
      <c r="BZ43" s="510">
        <f ca="1">(BZ$42=$B$9)*BZ35+((BZ$42-BZ$34)/(CA$34-BZ$34)*CA35+(BZ$34-BY$42)/(BZ$34-BY$34)*BZ35)*(BZ$42&gt;$B$10)+IF(BZ$42=$B$10,SUM($F35:BY35)-SUM($F43:BY43)+BZ35+(BZ$42-BZ$34)/(CA$34-BZ$34)*CA35,0)</f>
        <v>0</v>
      </c>
      <c r="CA43" s="510">
        <f ca="1">(CA$42=$B$9)*CA35+((CA$42-CA$34)/(CB$34-CA$34)*CB35+(CA$34-BZ$42)/(CA$34-BZ$34)*CA35)*(CA$42&gt;$B$10)+IF(CA$42=$B$10,SUM($F35:BZ35)-SUM($F43:BZ43)+CA35+(CA$42-CA$34)/(CB$34-CA$34)*CB35,0)</f>
        <v>0</v>
      </c>
      <c r="CB43" s="510">
        <f ca="1">(CB$42=$B$9)*CB35+((CB$42-CB$34)/(CC$34-CB$34)*CC35+(CB$34-CA$42)/(CB$34-CA$34)*CB35)*(CB$42&gt;$B$10)+IF(CB$42=$B$10,SUM($F35:CA35)-SUM($F43:CA43)+CB35+(CB$42-CB$34)/(CC$34-CB$34)*CC35,0)</f>
        <v>0</v>
      </c>
      <c r="CC43" s="510">
        <f ca="1">(CC$42=$B$9)*CC35+((CC$42-CC$34)/(CD$34-CC$34)*CD35+(CC$34-CB$42)/(CC$34-CB$34)*CC35)*(CC$42&gt;$B$10)+IF(CC$42=$B$10,SUM($F35:CB35)-SUM($F43:CB43)+CC35+(CC$42-CC$34)/(CD$34-CC$34)*CD35,0)</f>
        <v>0</v>
      </c>
      <c r="CD43" s="510">
        <f ca="1">(CD$42=$B$9)*CD35+((CD$42-CD$34)/(CE$34-CD$34)*CE35+(CD$34-CC$42)/(CD$34-CC$34)*CD35)*(CD$42&gt;$B$10)+IF(CD$42=$B$10,SUM($F35:CC35)-SUM($F43:CC43)+CD35+(CD$42-CD$34)/(CE$34-CD$34)*CE35,0)</f>
        <v>0</v>
      </c>
      <c r="CE43" s="510">
        <f ca="1">(CE$42=$B$9)*CE35+((CE$42-CE$34)/(CF$34-CE$34)*CF35+(CE$34-CD$42)/(CE$34-CD$34)*CE35)*(CE$42&gt;$B$10)+IF(CE$42=$B$10,SUM($F35:CD35)-SUM($F43:CD43)+CE35+(CE$42-CE$34)/(CF$34-CE$34)*CF35,0)</f>
        <v>0</v>
      </c>
      <c r="CF43" s="510">
        <f ca="1">(CF$42=$B$9)*CF35+((CF$42-CF$34)/(CG$34-CF$34)*CG35+(CF$34-CE$42)/(CF$34-CE$34)*CF35)*(CF$42&gt;$B$10)+IF(CF$42=$B$10,SUM($F35:CE35)-SUM($F43:CE43)+CF35+(CF$42-CF$34)/(CG$34-CF$34)*CG35,0)</f>
        <v>0</v>
      </c>
      <c r="CG43" s="510">
        <f ca="1">(CG$42=$B$9)*CG35+((CG$42-CG$34)/(CH$34-CG$34)*CH35+(CG$34-CF$42)/(CG$34-CF$34)*CG35)*(CG$42&gt;$B$10)+IF(CG$42=$B$10,SUM($F35:CF35)-SUM($F43:CF43)+CG35+(CG$42-CG$34)/(CH$34-CG$34)*CH35,0)</f>
        <v>0</v>
      </c>
      <c r="CH43" s="510">
        <f ca="1">(CH$42=$B$9)*CH35+((CH$42-CH$34)/(CI$34-CH$34)*CI35+(CH$34-CG$42)/(CH$34-CG$34)*CH35)*(CH$42&gt;$B$10)+IF(CH$42=$B$10,SUM($F35:CG35)-SUM($F43:CG43)+CH35+(CH$42-CH$34)/(CI$34-CH$34)*CI35,0)</f>
        <v>0</v>
      </c>
      <c r="CI43" s="510">
        <f ca="1">(CI$42=$B$9)*CI35+((CI$42-CI$34)/(CJ$34-CI$34)*CJ35+(CI$34-CH$42)/(CI$34-CH$34)*CI35)*(CI$42&gt;$B$10)+IF(CI$42=$B$10,SUM($F35:CH35)-SUM($F43:CH43)+CI35+(CI$42-CI$34)/(CJ$34-CI$34)*CJ35,0)</f>
        <v>0</v>
      </c>
      <c r="CJ43" s="510">
        <f ca="1">(CJ$42=$B$9)*CJ35+((CJ$42-CJ$34)/(CK$34-CJ$34)*CK35+(CJ$34-CI$42)/(CJ$34-CI$34)*CJ35)*(CJ$42&gt;$B$10)+IF(CJ$42=$B$10,SUM($F35:CI35)-SUM($F43:CI43)+CJ35+(CJ$42-CJ$34)/(CK$34-CJ$34)*CK35,0)</f>
        <v>0</v>
      </c>
      <c r="CK43" s="510">
        <f ca="1">(CK$42=$B$9)*CK35+((CK$42-CK$34)/(CL$34-CK$34)*CL35+(CK$34-CJ$42)/(CK$34-CJ$34)*CK35)*(CK$42&gt;$B$10)+IF(CK$42=$B$10,SUM($F35:CJ35)-SUM($F43:CJ43)+CK35+(CK$42-CK$34)/(CL$34-CK$34)*CL35,0)</f>
        <v>0</v>
      </c>
      <c r="CL43" s="510">
        <f ca="1">(CL$42=$B$9)*CL35+((CL$42-CL$34)/(CM$34-CL$34)*CM35+(CL$34-CK$42)/(CL$34-CK$34)*CL35)*(CL$42&gt;$B$10)+IF(CL$42=$B$10,SUM($F35:CK35)-SUM($F43:CK43)+CL35+(CL$42-CL$34)/(CM$34-CL$34)*CM35,0)</f>
        <v>0</v>
      </c>
      <c r="CM43" s="510">
        <f ca="1">(CM$42=$B$9)*CM35+((CM$42-CM$34)/(CN$34-CM$34)*CN35+(CM$34-CL$42)/(CM$34-CL$34)*CM35)*(CM$42&gt;$B$10)+IF(CM$42=$B$10,SUM($F35:CL35)-SUM($F43:CL43)+CM35+(CM$42-CM$34)/(CN$34-CM$34)*CN35,0)</f>
        <v>0</v>
      </c>
      <c r="CN43" s="510">
        <f ca="1">(CN$42=$B$9)*CN35+((CN$42-CN$34)/(CO$34-CN$34)*CO35+(CN$34-CM$42)/(CN$34-CM$34)*CN35)*(CN$42&gt;$B$10)+IF(CN$42=$B$10,SUM($F35:CM35)-SUM($F43:CM43)+CN35+(CN$42-CN$34)/(CO$34-CN$34)*CO35,0)</f>
        <v>0</v>
      </c>
      <c r="CO43" s="510">
        <f ca="1">(CO$42=$B$9)*CO35+((CO$42-CO$34)/(CP$34-CO$34)*CP35+(CO$34-CN$42)/(CO$34-CN$34)*CO35)*(CO$42&gt;$B$10)+IF(CO$42=$B$10,SUM($F35:CN35)-SUM($F43:CN43)+CO35+(CO$42-CO$34)/(CP$34-CO$34)*CP35,0)</f>
        <v>0</v>
      </c>
      <c r="CP43" s="510">
        <f ca="1">(CP$42=$B$9)*CP35+((CP$42-CP$34)/(CQ$34-CP$34)*CQ35+(CP$34-CO$42)/(CP$34-CO$34)*CP35)*(CP$42&gt;$B$10)+IF(CP$42=$B$10,SUM($F35:CO35)-SUM($F43:CO43)+CP35+(CP$42-CP$34)/(CQ$34-CP$34)*CQ35,0)</f>
        <v>0</v>
      </c>
      <c r="CQ43" s="510">
        <f ca="1">(CQ$42=$B$9)*CQ35+((CQ$42-CQ$34)/(CR$34-CQ$34)*CR35+(CQ$34-CP$42)/(CQ$34-CP$34)*CQ35)*(CQ$42&gt;$B$10)+IF(CQ$42=$B$10,SUM($F35:CP35)-SUM($F43:CP43)+CQ35+(CQ$42-CQ$34)/(CR$34-CQ$34)*CR35,0)</f>
        <v>0</v>
      </c>
      <c r="CR43" s="510">
        <f ca="1">(CR$42=$B$9)*CR35+((CR$42-CR$34)/(CS$34-CR$34)*CS35+(CR$34-CQ$42)/(CR$34-CQ$34)*CR35)*(CR$42&gt;$B$10)+IF(CR$42=$B$10,SUM($F35:CQ35)-SUM($F43:CQ43)+CR35+(CR$42-CR$34)/(CS$34-CR$34)*CS35,0)</f>
        <v>0</v>
      </c>
      <c r="CS43" s="510">
        <f ca="1">(CS$42=$B$9)*CS35+((CS$42-CS$34)/(CT$34-CS$34)*CT35+(CS$34-CR$42)/(CS$34-CR$34)*CS35)*(CS$42&gt;$B$10)+IF(CS$42=$B$10,SUM($F35:CR35)-SUM($F43:CR43)+CS35+(CS$42-CS$34)/(CT$34-CS$34)*CT35,0)</f>
        <v>0</v>
      </c>
      <c r="CT43" s="510">
        <f ca="1">(CT$42=$B$9)*CT35+((CT$42-CT$34)/(CU$34-CT$34)*CU35+(CT$34-CS$42)/(CT$34-CS$34)*CT35)*(CT$42&gt;$B$10)+IF(CT$42=$B$10,SUM($F35:CS35)-SUM($F43:CS43)+CT35+(CT$42-CT$34)/(CU$34-CT$34)*CU35,0)</f>
        <v>0</v>
      </c>
      <c r="CU43" s="510">
        <f ca="1">(CU$42=$B$9)*CU35+((CU$42-CU$34)/(CV$34-CU$34)*CV35+(CU$34-CT$42)/(CU$34-CT$34)*CU35)*(CU$42&gt;$B$10)+IF(CU$42=$B$10,SUM($F35:CT35)-SUM($F43:CT43)+CU35+(CU$42-CU$34)/(CV$34-CU$34)*CV35,0)</f>
        <v>0</v>
      </c>
      <c r="CV43" s="510">
        <f ca="1">(CV$42=$B$9)*CV35+((CV$42-CV$34)/(CW$34-CV$34)*CW35+(CV$34-CU$42)/(CV$34-CU$34)*CV35)*(CV$42&gt;$B$10)+IF(CV$42=$B$10,SUM($F35:CU35)-SUM($F43:CU43)+CV35+(CV$42-CV$34)/(CW$34-CV$34)*CW35,0)</f>
        <v>0</v>
      </c>
      <c r="CW43" s="510">
        <f ca="1">(CW$42=$B$9)*CW35+((CW$42-CW$34)/(CX$34-CW$34)*CX35+(CW$34-CV$42)/(CW$34-CV$34)*CW35)*(CW$42&gt;$B$10)+IF(CW$42=$B$10,SUM($F35:CV35)-SUM($F43:CV43)+CW35+(CW$42-CW$34)/(CX$34-CW$34)*CX35,0)</f>
        <v>0</v>
      </c>
      <c r="CX43" s="510">
        <f ca="1">(CX$42=$B$9)*CX35+((CX$42-CX$34)/(CY$34-CX$34)*CY35+(CX$34-CW$42)/(CX$34-CW$34)*CX35)*(CX$42&gt;$B$10)+IF(CX$42=$B$10,SUM($F35:CW35)-SUM($F43:CW43)+CX35+(CX$42-CX$34)/(CY$34-CX$34)*CY35,0)</f>
        <v>0</v>
      </c>
      <c r="CY43" s="510">
        <f ca="1">(CY$42=$B$9)*CY35+((CY$42-CY$34)/(CZ$34-CY$34)*CZ35+(CY$34-CX$42)/(CY$34-CX$34)*CY35)*(CY$42&gt;$B$10)+IF(CY$42=$B$10,SUM($F35:CX35)-SUM($F43:CX43)+CY35+(CY$42-CY$34)/(CZ$34-CY$34)*CZ35,0)</f>
        <v>0</v>
      </c>
      <c r="CZ43" s="510">
        <f ca="1">(CZ$42=$B$9)*CZ35+((CZ$42-CZ$34)/(DA$34-CZ$34)*DA35+(CZ$34-CY$42)/(CZ$34-CY$34)*CZ35)*(CZ$42&gt;$B$10)+IF(CZ$42=$B$10,SUM($F35:CY35)-SUM($F43:CY43)+CZ35+(CZ$42-CZ$34)/(DA$34-CZ$34)*DA35,0)</f>
        <v>0</v>
      </c>
      <c r="DA43" s="510">
        <f ca="1">(DA$42=$B$9)*DA35+((DA$42-DA$34)/(DB$34-DA$34)*DB35+(DA$34-CZ$42)/(DA$34-CZ$34)*DA35)*(DA$42&gt;$B$10)+IF(DA$42=$B$10,SUM($F35:CZ35)-SUM($F43:CZ43)+DA35+(DA$42-DA$34)/(DB$34-DA$34)*DB35,0)</f>
        <v>0</v>
      </c>
      <c r="DB43" s="510">
        <f ca="1">(DB$42=$B$9)*DB35+((DB$42-DB$34)/(DC$34-DB$34)*DC35+(DB$34-DA$42)/(DB$34-DA$34)*DB35)*(DB$42&gt;$B$10)+IF(DB$42=$B$10,SUM($F35:DA35)-SUM($F43:DA43)+DB35+(DB$42-DB$34)/(DC$34-DB$34)*DC35,0)</f>
        <v>0</v>
      </c>
      <c r="DC43" s="510">
        <f ca="1">(DC$42=$B$9)*DC35+((DC$42-DC$34)/(DD$34-DC$34)*DD35+(DC$34-DB$42)/(DC$34-DB$34)*DC35)*(DC$42&gt;$B$10)+IF(DC$42=$B$10,SUM($F35:DB35)-SUM($F43:DB43)+DC35+(DC$42-DC$34)/(DD$34-DC$34)*DD35,0)</f>
        <v>0</v>
      </c>
      <c r="DD43" s="510">
        <f ca="1">(DD$42=$B$9)*DD35+((DD$42-DD$34)/(DE$34-DD$34)*DE35+(DD$34-DC$42)/(DD$34-DC$34)*DD35)*(DD$42&gt;$B$10)+IF(DD$42=$B$10,SUM($F35:DC35)-SUM($F43:DC43)+DD35+(DD$42-DD$34)/(DE$34-DD$34)*DE35,0)</f>
        <v>0</v>
      </c>
      <c r="DE43" s="510">
        <f ca="1">(DE$42=$B$9)*DE35+((DE$42-DE$34)/(DF$34-DE$34)*DF35+(DE$34-DD$42)/(DE$34-DD$34)*DE35)*(DE$42&gt;$B$10)+IF(DE$42=$B$10,SUM($F35:DD35)-SUM($F43:DD43)+DE35+(DE$42-DE$34)/(DF$34-DE$34)*DF35,0)</f>
        <v>0</v>
      </c>
      <c r="DF43" s="510">
        <f ca="1">(DF$42=$B$9)*DF35+((DF$42-DF$34)/(DG$34-DF$34)*DG35+(DF$34-DE$42)/(DF$34-DE$34)*DF35)*(DF$42&gt;$B$10)+IF(DF$42=$B$10,SUM($F35:DE35)-SUM($F43:DE43)+DF35+(DF$42-DF$34)/(DG$34-DF$34)*DG35,0)</f>
        <v>0</v>
      </c>
      <c r="DG43" s="510">
        <f ca="1">(DG$42=$B$9)*DG35+((DG$42-DG$34)/(DH$34-DG$34)*DH35+(DG$34-DF$42)/(DG$34-DF$34)*DG35)*(DG$42&gt;$B$10)+IF(DG$42=$B$10,SUM($F35:DF35)-SUM($F43:DF43)+DG35+(DG$42-DG$34)/(DH$34-DG$34)*DH35,0)</f>
        <v>0</v>
      </c>
      <c r="DH43" s="510">
        <f ca="1">(DH$42=$B$9)*DH35+((DH$42-DH$34)/(DI$34-DH$34)*DI35+(DH$34-DG$42)/(DH$34-DG$34)*DH35)*(DH$42&gt;$B$10)+IF(DH$42=$B$10,SUM($F35:DG35)-SUM($F43:DG43)+DH35+(DH$42-DH$34)/(DI$34-DH$34)*DI35,0)</f>
        <v>0</v>
      </c>
      <c r="DI43" s="510">
        <f ca="1">(DI$42=$B$9)*DI35+((DI$42-DI$34)/(DJ$34-DI$34)*DJ35+(DI$34-DH$42)/(DI$34-DH$34)*DI35)*(DI$42&gt;$B$10)+IF(DI$42=$B$10,SUM($F35:DH35)-SUM($F43:DH43)+DI35+(DI$42-DI$34)/(DJ$34-DI$34)*DJ35,0)</f>
        <v>0</v>
      </c>
      <c r="DJ43" s="510">
        <f ca="1">(DJ$42=$B$9)*DJ35+((DJ$42-DJ$34)/(DK$34-DJ$34)*DK35+(DJ$34-DI$42)/(DJ$34-DI$34)*DJ35)*(DJ$42&gt;$B$10)+IF(DJ$42=$B$10,SUM($F35:DI35)-SUM($F43:DI43)+DJ35+(DJ$42-DJ$34)/(DK$34-DJ$34)*DK35,0)</f>
        <v>0</v>
      </c>
      <c r="DK43" s="510">
        <f ca="1">(DK$42=$B$9)*DK35+((DK$42-DK$34)/(DL$34-DK$34)*DL35+(DK$34-DJ$42)/(DK$34-DJ$34)*DK35)*(DK$42&gt;$B$10)+IF(DK$42=$B$10,SUM($F35:DJ35)-SUM($F43:DJ43)+DK35+(DK$42-DK$34)/(DL$34-DK$34)*DL35,0)</f>
        <v>0</v>
      </c>
      <c r="DL43" s="510">
        <f ca="1">(DL$42=$B$9)*DL35+((DL$42-DL$34)/(DM$34-DL$34)*DM35+(DL$34-DK$42)/(DL$34-DK$34)*DL35)*(DL$42&gt;$B$10)+IF(DL$42=$B$10,SUM($F35:DK35)-SUM($F43:DK43)+DL35+(DL$42-DL$34)/(DM$34-DL$34)*DM35,0)</f>
        <v>0</v>
      </c>
      <c r="DM43" s="510">
        <f ca="1">(DM$42=$B$9)*DM35+((DM$42-DM$34)/(DN$34-DM$34)*DN35+(DM$34-DL$42)/(DM$34-DL$34)*DM35)*(DM$42&gt;$B$10)+IF(DM$42=$B$10,SUM($F35:DL35)-SUM($F43:DL43)+DM35+(DM$42-DM$34)/(DN$34-DM$34)*DN35,0)</f>
        <v>0</v>
      </c>
      <c r="DN43" s="510">
        <f ca="1">(DN$42=$B$9)*DN35+((DN$42-DN$34)/(DO$34-DN$34)*DO35+(DN$34-DM$42)/(DN$34-DM$34)*DN35)*(DN$42&gt;$B$10)+IF(DN$42=$B$10,SUM($F35:DM35)-SUM($F43:DM43)+DN35+(DN$42-DN$34)/(DO$34-DN$34)*DO35,0)</f>
        <v>0</v>
      </c>
      <c r="DO43" s="510">
        <f ca="1">(DO$42=$B$9)*DO35+((DO$42-DO$34)/(DP$34-DO$34)*DP35+(DO$34-DN$42)/(DO$34-DN$34)*DO35)*(DO$42&gt;$B$10)+IF(DO$42=$B$10,SUM($F35:DN35)-SUM($F43:DN43)+DO35+(DO$42-DO$34)/(DP$34-DO$34)*DP35,0)</f>
        <v>0</v>
      </c>
      <c r="DP43" s="510">
        <f ca="1">(DP$42=$B$9)*DP35+((DP$42-DP$34)/(DQ$34-DP$34)*DQ35+(DP$34-DO$42)/(DP$34-DO$34)*DP35)*(DP$42&gt;$B$10)+IF(DP$42=$B$10,SUM($F35:DO35)-SUM($F43:DO43)+DP35+(DP$42-DP$34)/(DQ$34-DP$34)*DQ35,0)</f>
        <v>0</v>
      </c>
      <c r="DQ43" s="510">
        <f ca="1">(DQ$42=$B$9)*DQ35+((DQ$42-DQ$34)/(DR$34-DQ$34)*DR35+(DQ$34-DP$42)/(DQ$34-DP$34)*DQ35)*(DQ$42&gt;$B$10)+IF(DQ$42=$B$10,SUM($F35:DP35)-SUM($F43:DP43)+DQ35+(DQ$42-DQ$34)/(DR$34-DQ$34)*DR35,0)</f>
        <v>0</v>
      </c>
      <c r="DR43" s="510">
        <f ca="1">(DR$42=$B$9)*DR35+((DR$42-DR$34)/(DS$34-DR$34)*DS35+(DR$34-DQ$42)/(DR$34-DQ$34)*DR35)*(DR$42&gt;$B$10)+IF(DR$42=$B$10,SUM($F35:DQ35)-SUM($F43:DQ43)+DR35+(DR$42-DR$34)/(DS$34-DR$34)*DS35,0)</f>
        <v>0</v>
      </c>
      <c r="DS43" s="510">
        <f ca="1">(DS$42=$B$9)*DS35+((DS$42-DS$34)/(DT$34-DS$34)*DT35+(DS$34-DR$42)/(DS$34-DR$34)*DS35)*(DS$42&gt;$B$10)+IF(DS$42=$B$10,SUM($F35:DR35)-SUM($F43:DR43)+DS35+(DS$42-DS$34)/(DT$34-DS$34)*DT35,0)</f>
        <v>0</v>
      </c>
      <c r="DT43" s="510">
        <f ca="1">(DT$42=$B$9)*DT35+((DT$42-DT$34)/(DU$34-DT$34)*DU35+(DT$34-DS$42)/(DT$34-DS$34)*DT35)*(DT$42&gt;$B$10)+IF(DT$42=$B$10,SUM($F35:DS35)-SUM($F43:DS43)+DT35+(DT$42-DT$34)/(DU$34-DT$34)*DU35,0)</f>
        <v>0</v>
      </c>
      <c r="DU43" s="510">
        <f ca="1">(DU$42=$B$9)*DU35+((DU$42-DU$34)/(DV$34-DU$34)*DV35+(DU$34-DT$42)/(DU$34-DT$34)*DU35)*(DU$42&gt;$B$10)+IF(DU$42=$B$10,SUM($F35:DT35)-SUM($F43:DT43)+DU35+(DU$42-DU$34)/(DV$34-DU$34)*DV35,0)</f>
        <v>0</v>
      </c>
      <c r="DV43" s="510">
        <f ca="1">(DV$42=$B$9)*DV35+((DV$42-DV$34)/(DW$34-DV$34)*DW35+(DV$34-DU$42)/(DV$34-DU$34)*DV35)*(DV$42&gt;$B$10)+IF(DV$42=$B$10,SUM($F35:DU35)-SUM($F43:DU43)+DV35+(DV$42-DV$34)/(DW$34-DV$34)*DW35,0)</f>
        <v>0</v>
      </c>
      <c r="DW43" s="510">
        <f ca="1">(DW$42=$B$9)*DW35+((DW$42-DW$34)/(DX$34-DW$34)*DX35+(DW$34-DV$42)/(DW$34-DV$34)*DW35)*(DW$42&gt;$B$10)+IF(DW$42=$B$10,SUM($F35:DV35)-SUM($F43:DV43)+DW35+(DW$42-DW$34)/(DX$34-DW$34)*DX35,0)</f>
        <v>0</v>
      </c>
    </row>
    <row r="44" spans="1:131">
      <c r="A44" s="1019" t="str">
        <f>A36</f>
        <v>SHL Gross Interest</v>
      </c>
      <c r="B44" s="971"/>
      <c r="C44" s="971"/>
      <c r="D44" s="471"/>
      <c r="E44" s="471"/>
      <c r="F44" s="611"/>
      <c r="G44" s="510">
        <f ca="1">(G$42=$B$9)*G36+((G$42-G$34)/(H$34-G$34)*H36+(G$34-F$42)/(G$34-F$34)*G36)*(G$42&gt;$B$10)+IF(G$42=$B$10,SUM($F36:F36)-SUM($F44:F44)+G36+(G$42-G$34)/(H$34-G$34)*H36,0)</f>
        <v>0</v>
      </c>
      <c r="H44" s="510">
        <f ca="1">(H$42=$B$9)*H36+((H$42-H$34)/(I$34-H$34)*I36+(H$34-G$42)/(H$34-G$34)*H36)*(H$42&gt;$B$10)+IF(H$42=$B$10,SUM($F36:G36)-SUM($F44:G44)+H36+(H$42-H$34)/(I$34-H$34)*I36,0)</f>
        <v>0</v>
      </c>
      <c r="I44" s="510">
        <f ca="1">(I$42=$B$9)*I36+((I$42-I$34)/(J$34-I$34)*J36+(I$34-H$42)/(I$34-H$34)*I36)*(I$42&gt;$B$10)+IF(I$42=$B$10,SUM($F36:H36)-SUM($F44:H44)+I36+(I$42-I$34)/(J$34-I$34)*J36,0)</f>
        <v>0</v>
      </c>
      <c r="J44" s="510">
        <f ca="1">(J$42=$B$9)*J36+((J$42-J$34)/(K$34-J$34)*K36+(J$34-I$42)/(J$34-I$34)*J36)*(J$42&gt;$B$10)+IF(J$42=$B$10,SUM($F36:I36)-SUM($F44:I44)+J36+(J$42-J$34)/(K$34-J$34)*K36,0)</f>
        <v>0</v>
      </c>
      <c r="K44" s="510">
        <f ca="1">(K$42=$B$9)*K36+((K$42-K$34)/(L$34-K$34)*L36+(K$34-J$42)/(K$34-J$34)*K36)*(K$42&gt;$B$10)+IF(K$42=$B$10,SUM($F36:J36)-SUM($F44:J44)+K36+(K$42-K$34)/(L$34-K$34)*L36,0)</f>
        <v>0</v>
      </c>
      <c r="L44" s="510">
        <f ca="1">(L$42=$B$9)*L36+((L$42-L$34)/(M$34-L$34)*M36+(L$34-K$42)/(L$34-K$34)*L36)*(L$42&gt;$B$10)+IF(L$42=$B$10,SUM($F36:K36)-SUM($F44:K44)+L36+(L$42-L$34)/(M$34-L$34)*M36,0)</f>
        <v>0</v>
      </c>
      <c r="M44" s="510">
        <f ca="1">(M$42=$B$9)*M36+((M$42-M$34)/(N$34-M$34)*N36+(M$34-L$42)/(M$34-L$34)*M36)*(M$42&gt;$B$10)+IF(M$42=$B$10,SUM($F36:L36)-SUM($F44:L44)+M36+(M$42-M$34)/(N$34-M$34)*N36,0)</f>
        <v>0</v>
      </c>
      <c r="N44" s="510">
        <f ca="1">(N$42=$B$9)*N36+((N$42-N$34)/(O$34-N$34)*O36+(N$34-M$42)/(N$34-M$34)*N36)*(N$42&gt;$B$10)+IF(N$42=$B$10,SUM($F36:M36)-SUM($F44:M44)+N36+(N$42-N$34)/(O$34-N$34)*O36,0)</f>
        <v>0</v>
      </c>
      <c r="O44" s="510">
        <f ca="1">(O$42=$B$9)*O36+((O$42-O$34)/(P$34-O$34)*P36+(O$34-N$42)/(O$34-N$34)*O36)*(O$42&gt;$B$10)+IF(O$42=$B$10,SUM($F36:N36)-SUM($F44:N44)+O36+(O$42-O$34)/(P$34-O$34)*P36,0)</f>
        <v>0</v>
      </c>
      <c r="P44" s="510">
        <f ca="1">(P$42=$B$9)*P36+((P$42-P$34)/(Q$34-P$34)*Q36+(P$34-O$42)/(P$34-O$34)*P36)*(P$42&gt;$B$10)+IF(P$42=$B$10,SUM($F36:O36)-SUM($F44:O44)+P36+(P$42-P$34)/(Q$34-P$34)*Q36,0)</f>
        <v>0</v>
      </c>
      <c r="Q44" s="510">
        <f ca="1">(Q$42=$B$9)*Q36+((Q$42-Q$34)/(R$34-Q$34)*R36+(Q$34-P$42)/(Q$34-P$34)*Q36)*(Q$42&gt;$B$10)+IF(Q$42=$B$10,SUM($F36:P36)-SUM($F44:P44)+Q36+(Q$42-Q$34)/(R$34-Q$34)*R36,0)</f>
        <v>0</v>
      </c>
      <c r="R44" s="510">
        <f ca="1">(R$42=$B$9)*R36+((R$42-R$34)/(S$34-R$34)*S36+(R$34-Q$42)/(R$34-Q$34)*R36)*(R$42&gt;$B$10)+IF(R$42=$B$10,SUM($F36:Q36)-SUM($F44:Q44)+R36+(R$42-R$34)/(S$34-R$34)*S36,0)</f>
        <v>0</v>
      </c>
      <c r="S44" s="510">
        <f ca="1">(S$42=$B$9)*S36+((S$42-S$34)/(T$34-S$34)*T36+(S$34-R$42)/(S$34-R$34)*S36)*(S$42&gt;$B$10)+IF(S$42=$B$10,SUM($F36:R36)-SUM($F44:R44)+S36+(S$42-S$34)/(T$34-S$34)*T36,0)</f>
        <v>0</v>
      </c>
      <c r="T44" s="510">
        <f ca="1">(T$42=$B$9)*T36+((T$42-T$34)/(U$34-T$34)*U36+(T$34-S$42)/(T$34-S$34)*T36)*(T$42&gt;$B$10)+IF(T$42=$B$10,SUM($F36:S36)-SUM($F44:S44)+T36+(T$42-T$34)/(U$34-T$34)*U36,0)</f>
        <v>0</v>
      </c>
      <c r="U44" s="510">
        <f ca="1">(U$42=$B$9)*U36+((U$42-U$34)/(V$34-U$34)*V36+(U$34-T$42)/(U$34-T$34)*U36)*(U$42&gt;$B$10)+IF(U$42=$B$10,SUM($F36:T36)-SUM($F44:T44)+U36+(U$42-U$34)/(V$34-U$34)*V36,0)</f>
        <v>0</v>
      </c>
      <c r="V44" s="510">
        <f ca="1">(V$42=$B$9)*V36+((V$42-V$34)/(W$34-V$34)*W36+(V$34-U$42)/(V$34-U$34)*V36)*(V$42&gt;$B$10)+IF(V$42=$B$10,SUM($F36:U36)-SUM($F44:U44)+V36+(V$42-V$34)/(W$34-V$34)*W36,0)</f>
        <v>0</v>
      </c>
      <c r="W44" s="510">
        <f ca="1">(W$42=$B$9)*W36+((W$42-W$34)/(X$34-W$34)*X36+(W$34-V$42)/(W$34-V$34)*W36)*(W$42&gt;$B$10)+IF(W$42=$B$10,SUM($F36:V36)-SUM($F44:V44)+W36+(W$42-W$34)/(X$34-W$34)*X36,0)</f>
        <v>0</v>
      </c>
      <c r="X44" s="510">
        <f ca="1">(X$42=$B$9)*X36+((X$42-X$34)/(Y$34-X$34)*Y36+(X$34-W$42)/(X$34-W$34)*X36)*(X$42&gt;$B$10)+IF(X$42=$B$10,SUM($F36:W36)-SUM($F44:W44)+X36+(X$42-X$34)/(Y$34-X$34)*Y36,0)</f>
        <v>0</v>
      </c>
      <c r="Y44" s="510">
        <f ca="1">(Y$42=$B$9)*Y36+((Y$42-Y$34)/(Z$34-Y$34)*Z36+(Y$34-X$42)/(Y$34-X$34)*Y36)*(Y$42&gt;$B$10)+IF(Y$42=$B$10,SUM($F36:X36)-SUM($F44:X44)+Y36+(Y$42-Y$34)/(Z$34-Y$34)*Z36,0)</f>
        <v>0</v>
      </c>
      <c r="Z44" s="510">
        <f ca="1">(Z$42=$B$9)*Z36+((Z$42-Z$34)/(AA$34-Z$34)*AA36+(Z$34-Y$42)/(Z$34-Y$34)*Z36)*(Z$42&gt;$B$10)+IF(Z$42=$B$10,SUM($F36:Y36)-SUM($F44:Y44)+Z36+(Z$42-Z$34)/(AA$34-Z$34)*AA36,0)</f>
        <v>0</v>
      </c>
      <c r="AA44" s="510">
        <f ca="1">(AA$42=$B$9)*AA36+((AA$42-AA$34)/(AB$34-AA$34)*AB36+(AA$34-Z$42)/(AA$34-Z$34)*AA36)*(AA$42&gt;$B$10)+IF(AA$42=$B$10,SUM($F36:Z36)-SUM($F44:Z44)+AA36+(AA$42-AA$34)/(AB$34-AA$34)*AB36,0)</f>
        <v>0</v>
      </c>
      <c r="AB44" s="510">
        <f ca="1">(AB$42=$B$9)*AB36+((AB$42-AB$34)/(AC$34-AB$34)*AC36+(AB$34-AA$42)/(AB$34-AA$34)*AB36)*(AB$42&gt;$B$10)+IF(AB$42=$B$10,SUM($F36:AA36)-SUM($F44:AA44)+AB36+(AB$42-AB$34)/(AC$34-AB$34)*AC36,0)</f>
        <v>0</v>
      </c>
      <c r="AC44" s="510">
        <f ca="1">(AC$42=$B$9)*AC36+((AC$42-AC$34)/(AD$34-AC$34)*AD36+(AC$34-AB$42)/(AC$34-AB$34)*AC36)*(AC$42&gt;$B$10)+IF(AC$42=$B$10,SUM($F36:AB36)-SUM($F44:AB44)+AC36+(AC$42-AC$34)/(AD$34-AC$34)*AD36,0)</f>
        <v>0</v>
      </c>
      <c r="AD44" s="510">
        <f ca="1">(AD$42=$B$9)*AD36+((AD$42-AD$34)/(AE$34-AD$34)*AE36+(AD$34-AC$42)/(AD$34-AC$34)*AD36)*(AD$42&gt;$B$10)+IF(AD$42=$B$10,SUM($F36:AC36)-SUM($F44:AC44)+AD36+(AD$42-AD$34)/(AE$34-AD$34)*AE36,0)</f>
        <v>0</v>
      </c>
      <c r="AE44" s="510">
        <f ca="1">(AE$42=$B$9)*AE36+((AE$42-AE$34)/(AF$34-AE$34)*AF36+(AE$34-AD$42)/(AE$34-AD$34)*AE36)*(AE$42&gt;$B$10)+IF(AE$42=$B$10,SUM($F36:AD36)-SUM($F44:AD44)+AE36+(AE$42-AE$34)/(AF$34-AE$34)*AF36,0)</f>
        <v>0</v>
      </c>
      <c r="AF44" s="510">
        <f ca="1">(AF$42=$B$9)*AF36+((AF$42-AF$34)/(AG$34-AF$34)*AG36+(AF$34-AE$42)/(AF$34-AE$34)*AF36)*(AF$42&gt;$B$10)+IF(AF$42=$B$10,SUM($F36:AE36)-SUM($F44:AE44)+AF36+(AF$42-AF$34)/(AG$34-AF$34)*AG36,0)</f>
        <v>0</v>
      </c>
      <c r="AG44" s="510">
        <f ca="1">(AG$42=$B$9)*AG36+((AG$42-AG$34)/(AH$34-AG$34)*AH36+(AG$34-AF$42)/(AG$34-AF$34)*AG36)*(AG$42&gt;$B$10)+IF(AG$42=$B$10,SUM($F36:AF36)-SUM($F44:AF44)+AG36+(AG$42-AG$34)/(AH$34-AG$34)*AH36,0)</f>
        <v>0</v>
      </c>
      <c r="AH44" s="510">
        <f ca="1">(AH$42=$B$9)*AH36+((AH$42-AH$34)/(AI$34-AH$34)*AI36+(AH$34-AG$42)/(AH$34-AG$34)*AH36)*(AH$42&gt;$B$10)+IF(AH$42=$B$10,SUM($F36:AG36)-SUM($F44:AG44)+AH36+(AH$42-AH$34)/(AI$34-AH$34)*AI36,0)</f>
        <v>0</v>
      </c>
      <c r="AI44" s="510">
        <f ca="1">(AI$42=$B$9)*AI36+((AI$42-AI$34)/(AJ$34-AI$34)*AJ36+(AI$34-AH$42)/(AI$34-AH$34)*AI36)*(AI$42&gt;$B$10)+IF(AI$42=$B$10,SUM($F36:AH36)-SUM($F44:AH44)+AI36+(AI$42-AI$34)/(AJ$34-AI$34)*AJ36,0)</f>
        <v>0</v>
      </c>
      <c r="AJ44" s="510">
        <f ca="1">(AJ$42=$B$9)*AJ36+((AJ$42-AJ$34)/(AK$34-AJ$34)*AK36+(AJ$34-AI$42)/(AJ$34-AI$34)*AJ36)*(AJ$42&gt;$B$10)+IF(AJ$42=$B$10,SUM($F36:AI36)-SUM($F44:AI44)+AJ36+(AJ$42-AJ$34)/(AK$34-AJ$34)*AK36,0)</f>
        <v>0</v>
      </c>
      <c r="AK44" s="510">
        <f ca="1">(AK$42=$B$9)*AK36+((AK$42-AK$34)/(AL$34-AK$34)*AL36+(AK$34-AJ$42)/(AK$34-AJ$34)*AK36)*(AK$42&gt;$B$10)+IF(AK$42=$B$10,SUM($F36:AJ36)-SUM($F44:AJ44)+AK36+(AK$42-AK$34)/(AL$34-AK$34)*AL36,0)</f>
        <v>0</v>
      </c>
      <c r="AL44" s="510">
        <f ca="1">(AL$42=$B$9)*AL36+((AL$42-AL$34)/(AM$34-AL$34)*AM36+(AL$34-AK$42)/(AL$34-AK$34)*AL36)*(AL$42&gt;$B$10)+IF(AL$42=$B$10,SUM($F36:AK36)-SUM($F44:AK44)+AL36+(AL$42-AL$34)/(AM$34-AL$34)*AM36,0)</f>
        <v>0</v>
      </c>
      <c r="AM44" s="510">
        <f ca="1">(AM$42=$B$9)*AM36+((AM$42-AM$34)/(AN$34-AM$34)*AN36+(AM$34-AL$42)/(AM$34-AL$34)*AM36)*(AM$42&gt;$B$10)+IF(AM$42=$B$10,SUM($F36:AL36)-SUM($F44:AL44)+AM36+(AM$42-AM$34)/(AN$34-AM$34)*AN36,0)</f>
        <v>0</v>
      </c>
      <c r="AN44" s="510">
        <f ca="1">(AN$42=$B$9)*AN36+((AN$42-AN$34)/(AO$34-AN$34)*AO36+(AN$34-AM$42)/(AN$34-AM$34)*AN36)*(AN$42&gt;$B$10)+IF(AN$42=$B$10,SUM($F36:AM36)-SUM($F44:AM44)+AN36+(AN$42-AN$34)/(AO$34-AN$34)*AO36,0)</f>
        <v>0</v>
      </c>
      <c r="AO44" s="510">
        <f ca="1">(AO$42=$B$9)*AO36+((AO$42-AO$34)/(AP$34-AO$34)*AP36+(AO$34-AN$42)/(AO$34-AN$34)*AO36)*(AO$42&gt;$B$10)+IF(AO$42=$B$10,SUM($F36:AN36)-SUM($F44:AN44)+AO36+(AO$42-AO$34)/(AP$34-AO$34)*AP36,0)</f>
        <v>0</v>
      </c>
      <c r="AP44" s="510">
        <f ca="1">(AP$42=$B$9)*AP36+((AP$42-AP$34)/(AQ$34-AP$34)*AQ36+(AP$34-AO$42)/(AP$34-AO$34)*AP36)*(AP$42&gt;$B$10)+IF(AP$42=$B$10,SUM($F36:AO36)-SUM($F44:AO44)+AP36+(AP$42-AP$34)/(AQ$34-AP$34)*AQ36,0)</f>
        <v>0</v>
      </c>
      <c r="AQ44" s="510">
        <f ca="1">(AQ$42=$B$9)*AQ36+((AQ$42-AQ$34)/(AR$34-AQ$34)*AR36+(AQ$34-AP$42)/(AQ$34-AP$34)*AQ36)*(AQ$42&gt;$B$10)+IF(AQ$42=$B$10,SUM($F36:AP36)-SUM($F44:AP44)+AQ36+(AQ$42-AQ$34)/(AR$34-AQ$34)*AR36,0)</f>
        <v>0</v>
      </c>
      <c r="AR44" s="510">
        <f ca="1">(AR$42=$B$9)*AR36+((AR$42-AR$34)/(AS$34-AR$34)*AS36+(AR$34-AQ$42)/(AR$34-AQ$34)*AR36)*(AR$42&gt;$B$10)+IF(AR$42=$B$10,SUM($F36:AQ36)-SUM($F44:AQ44)+AR36+(AR$42-AR$34)/(AS$34-AR$34)*AS36,0)</f>
        <v>0</v>
      </c>
      <c r="AS44" s="510">
        <f ca="1">(AS$42=$B$9)*AS36+((AS$42-AS$34)/(AT$34-AS$34)*AT36+(AS$34-AR$42)/(AS$34-AR$34)*AS36)*(AS$42&gt;$B$10)+IF(AS$42=$B$10,SUM($F36:AR36)-SUM($F44:AR44)+AS36+(AS$42-AS$34)/(AT$34-AS$34)*AT36,0)</f>
        <v>0</v>
      </c>
      <c r="AT44" s="510">
        <f ca="1">(AT$42=$B$9)*AT36+((AT$42-AT$34)/(AU$34-AT$34)*AU36+(AT$34-AS$42)/(AT$34-AS$34)*AT36)*(AT$42&gt;$B$10)+IF(AT$42=$B$10,SUM($F36:AS36)-SUM($F44:AS44)+AT36+(AT$42-AT$34)/(AU$34-AT$34)*AU36,0)</f>
        <v>0</v>
      </c>
      <c r="AU44" s="510">
        <f ca="1">(AU$42=$B$9)*AU36+((AU$42-AU$34)/(AV$34-AU$34)*AV36+(AU$34-AT$42)/(AU$34-AT$34)*AU36)*(AU$42&gt;$B$10)+IF(AU$42=$B$10,SUM($F36:AT36)-SUM($F44:AT44)+AU36+(AU$42-AU$34)/(AV$34-AU$34)*AV36,0)</f>
        <v>0</v>
      </c>
      <c r="AV44" s="510">
        <f ca="1">(AV$42=$B$9)*AV36+((AV$42-AV$34)/(AW$34-AV$34)*AW36+(AV$34-AU$42)/(AV$34-AU$34)*AV36)*(AV$42&gt;$B$10)+IF(AV$42=$B$10,SUM($F36:AU36)-SUM($F44:AU44)+AV36+(AV$42-AV$34)/(AW$34-AV$34)*AW36,0)</f>
        <v>0</v>
      </c>
      <c r="AW44" s="510">
        <f ca="1">(AW$42=$B$9)*AW36+((AW$42-AW$34)/(AX$34-AW$34)*AX36+(AW$34-AV$42)/(AW$34-AV$34)*AW36)*(AW$42&gt;$B$10)+IF(AW$42=$B$10,SUM($F36:AV36)-SUM($F44:AV44)+AW36+(AW$42-AW$34)/(AX$34-AW$34)*AX36,0)</f>
        <v>0</v>
      </c>
      <c r="AX44" s="510">
        <f ca="1">(AX$42=$B$9)*AX36+((AX$42-AX$34)/(AY$34-AX$34)*AY36+(AX$34-AW$42)/(AX$34-AW$34)*AX36)*(AX$42&gt;$B$10)+IF(AX$42=$B$10,SUM($F36:AW36)-SUM($F44:AW44)+AX36+(AX$42-AX$34)/(AY$34-AX$34)*AY36,0)</f>
        <v>0</v>
      </c>
      <c r="AY44" s="510">
        <f ca="1">(AY$42=$B$9)*AY36+((AY$42-AY$34)/(AZ$34-AY$34)*AZ36+(AY$34-AX$42)/(AY$34-AX$34)*AY36)*(AY$42&gt;$B$10)+IF(AY$42=$B$10,SUM($F36:AX36)-SUM($F44:AX44)+AY36+(AY$42-AY$34)/(AZ$34-AY$34)*AZ36,0)</f>
        <v>0</v>
      </c>
      <c r="AZ44" s="510">
        <f ca="1">(AZ$42=$B$9)*AZ36+((AZ$42-AZ$34)/(BA$34-AZ$34)*BA36+(AZ$34-AY$42)/(AZ$34-AY$34)*AZ36)*(AZ$42&gt;$B$10)+IF(AZ$42=$B$10,SUM($F36:AY36)-SUM($F44:AY44)+AZ36+(AZ$42-AZ$34)/(BA$34-AZ$34)*BA36,0)</f>
        <v>0</v>
      </c>
      <c r="BA44" s="510">
        <f ca="1">(BA$42=$B$9)*BA36+((BA$42-BA$34)/(BB$34-BA$34)*BB36+(BA$34-AZ$42)/(BA$34-AZ$34)*BA36)*(BA$42&gt;$B$10)+IF(BA$42=$B$10,SUM($F36:AZ36)-SUM($F44:AZ44)+BA36+(BA$42-BA$34)/(BB$34-BA$34)*BB36,0)</f>
        <v>0</v>
      </c>
      <c r="BB44" s="510">
        <f ca="1">(BB$42=$B$9)*BB36+((BB$42-BB$34)/(BC$34-BB$34)*BC36+(BB$34-BA$42)/(BB$34-BA$34)*BB36)*(BB$42&gt;$B$10)+IF(BB$42=$B$10,SUM($F36:BA36)-SUM($F44:BA44)+BB36+(BB$42-BB$34)/(BC$34-BB$34)*BC36,0)</f>
        <v>0</v>
      </c>
      <c r="BC44" s="510">
        <f ca="1">(BC$42=$B$9)*BC36+((BC$42-BC$34)/(BD$34-BC$34)*BD36+(BC$34-BB$42)/(BC$34-BB$34)*BC36)*(BC$42&gt;$B$10)+IF(BC$42=$B$10,SUM($F36:BB36)-SUM($F44:BB44)+BC36+(BC$42-BC$34)/(BD$34-BC$34)*BD36,0)</f>
        <v>0</v>
      </c>
      <c r="BD44" s="510">
        <f ca="1">(BD$42=$B$9)*BD36+((BD$42-BD$34)/(BE$34-BD$34)*BE36+(BD$34-BC$42)/(BD$34-BC$34)*BD36)*(BD$42&gt;$B$10)+IF(BD$42=$B$10,SUM($F36:BC36)-SUM($F44:BC44)+BD36+(BD$42-BD$34)/(BE$34-BD$34)*BE36,0)</f>
        <v>0</v>
      </c>
      <c r="BE44" s="510">
        <f ca="1">(BE$42=$B$9)*BE36+((BE$42-BE$34)/(BF$34-BE$34)*BF36+(BE$34-BD$42)/(BE$34-BD$34)*BE36)*(BE$42&gt;$B$10)+IF(BE$42=$B$10,SUM($F36:BD36)-SUM($F44:BD44)+BE36+(BE$42-BE$34)/(BF$34-BE$34)*BF36,0)</f>
        <v>0</v>
      </c>
      <c r="BF44" s="510">
        <f ca="1">(BF$42=$B$9)*BF36+((BF$42-BF$34)/(BG$34-BF$34)*BG36+(BF$34-BE$42)/(BF$34-BE$34)*BF36)*(BF$42&gt;$B$10)+IF(BF$42=$B$10,SUM($F36:BE36)-SUM($F44:BE44)+BF36+(BF$42-BF$34)/(BG$34-BF$34)*BG36,0)</f>
        <v>0</v>
      </c>
      <c r="BG44" s="510">
        <f ca="1">(BG$42=$B$9)*BG36+((BG$42-BG$34)/(BH$34-BG$34)*BH36+(BG$34-BF$42)/(BG$34-BF$34)*BG36)*(BG$42&gt;$B$10)+IF(BG$42=$B$10,SUM($F36:BF36)-SUM($F44:BF44)+BG36+(BG$42-BG$34)/(BH$34-BG$34)*BH36,0)</f>
        <v>0</v>
      </c>
      <c r="BH44" s="510">
        <f ca="1">(BH$42=$B$9)*BH36+((BH$42-BH$34)/(BI$34-BH$34)*BI36+(BH$34-BG$42)/(BH$34-BG$34)*BH36)*(BH$42&gt;$B$10)+IF(BH$42=$B$10,SUM($F36:BG36)-SUM($F44:BG44)+BH36+(BH$42-BH$34)/(BI$34-BH$34)*BI36,0)</f>
        <v>0</v>
      </c>
      <c r="BI44" s="510">
        <f ca="1">(BI$42=$B$9)*BI36+((BI$42-BI$34)/(BJ$34-BI$34)*BJ36+(BI$34-BH$42)/(BI$34-BH$34)*BI36)*(BI$42&gt;$B$10)+IF(BI$42=$B$10,SUM($F36:BH36)-SUM($F44:BH44)+BI36+(BI$42-BI$34)/(BJ$34-BI$34)*BJ36,0)</f>
        <v>0</v>
      </c>
      <c r="BJ44" s="510">
        <f ca="1">(BJ$42=$B$9)*BJ36+((BJ$42-BJ$34)/(BK$34-BJ$34)*BK36+(BJ$34-BI$42)/(BJ$34-BI$34)*BJ36)*(BJ$42&gt;$B$10)+IF(BJ$42=$B$10,SUM($F36:BI36)-SUM($F44:BI44)+BJ36+(BJ$42-BJ$34)/(BK$34-BJ$34)*BK36,0)</f>
        <v>0</v>
      </c>
      <c r="BK44" s="510">
        <f ca="1">(BK$42=$B$9)*BK36+((BK$42-BK$34)/(BL$34-BK$34)*BL36+(BK$34-BJ$42)/(BK$34-BJ$34)*BK36)*(BK$42&gt;$B$10)+IF(BK$42=$B$10,SUM($F36:BJ36)-SUM($F44:BJ44)+BK36+(BK$42-BK$34)/(BL$34-BK$34)*BL36,0)</f>
        <v>0</v>
      </c>
      <c r="BL44" s="510">
        <f ca="1">(BL$42=$B$9)*BL36+((BL$42-BL$34)/(BM$34-BL$34)*BM36+(BL$34-BK$42)/(BL$34-BK$34)*BL36)*(BL$42&gt;$B$10)+IF(BL$42=$B$10,SUM($F36:BK36)-SUM($F44:BK44)+BL36+(BL$42-BL$34)/(BM$34-BL$34)*BM36,0)</f>
        <v>0</v>
      </c>
      <c r="BM44" s="510">
        <f ca="1">(BM$42=$B$9)*BM36+((BM$42-BM$34)/(BN$34-BM$34)*BN36+(BM$34-BL$42)/(BM$34-BL$34)*BM36)*(BM$42&gt;$B$10)+IF(BM$42=$B$10,SUM($F36:BL36)-SUM($F44:BL44)+BM36+(BM$42-BM$34)/(BN$34-BM$34)*BN36,0)</f>
        <v>0</v>
      </c>
      <c r="BN44" s="510">
        <f ca="1">(BN$42=$B$9)*BN36+((BN$42-BN$34)/(BO$34-BN$34)*BO36+(BN$34-BM$42)/(BN$34-BM$34)*BN36)*(BN$42&gt;$B$10)+IF(BN$42=$B$10,SUM($F36:BM36)-SUM($F44:BM44)+BN36+(BN$42-BN$34)/(BO$34-BN$34)*BO36,0)</f>
        <v>0</v>
      </c>
      <c r="BO44" s="510">
        <f ca="1">(BO$42=$B$9)*BO36+((BO$42-BO$34)/(BP$34-BO$34)*BP36+(BO$34-BN$42)/(BO$34-BN$34)*BO36)*(BO$42&gt;$B$10)+IF(BO$42=$B$10,SUM($F36:BN36)-SUM($F44:BN44)+BO36+(BO$42-BO$34)/(BP$34-BO$34)*BP36,0)</f>
        <v>0</v>
      </c>
      <c r="BP44" s="510">
        <f ca="1">(BP$42=$B$9)*BP36+((BP$42-BP$34)/(BQ$34-BP$34)*BQ36+(BP$34-BO$42)/(BP$34-BO$34)*BP36)*(BP$42&gt;$B$10)+IF(BP$42=$B$10,SUM($F36:BO36)-SUM($F44:BO44)+BP36+(BP$42-BP$34)/(BQ$34-BP$34)*BQ36,0)</f>
        <v>0</v>
      </c>
      <c r="BQ44" s="510">
        <f ca="1">(BQ$42=$B$9)*BQ36+((BQ$42-BQ$34)/(BR$34-BQ$34)*BR36+(BQ$34-BP$42)/(BQ$34-BP$34)*BQ36)*(BQ$42&gt;$B$10)+IF(BQ$42=$B$10,SUM($F36:BP36)-SUM($F44:BP44)+BQ36+(BQ$42-BQ$34)/(BR$34-BQ$34)*BR36,0)</f>
        <v>0</v>
      </c>
      <c r="BR44" s="510">
        <f ca="1">(BR$42=$B$9)*BR36+((BR$42-BR$34)/(BS$34-BR$34)*BS36+(BR$34-BQ$42)/(BR$34-BQ$34)*BR36)*(BR$42&gt;$B$10)+IF(BR$42=$B$10,SUM($F36:BQ36)-SUM($F44:BQ44)+BR36+(BR$42-BR$34)/(BS$34-BR$34)*BS36,0)</f>
        <v>0</v>
      </c>
      <c r="BS44" s="510">
        <f ca="1">(BS$42=$B$9)*BS36+((BS$42-BS$34)/(BT$34-BS$34)*BT36+(BS$34-BR$42)/(BS$34-BR$34)*BS36)*(BS$42&gt;$B$10)+IF(BS$42=$B$10,SUM($F36:BR36)-SUM($F44:BR44)+BS36+(BS$42-BS$34)/(BT$34-BS$34)*BT36,0)</f>
        <v>0</v>
      </c>
      <c r="BT44" s="510">
        <f ca="1">(BT$42=$B$9)*BT36+((BT$42-BT$34)/(BU$34-BT$34)*BU36+(BT$34-BS$42)/(BT$34-BS$34)*BT36)*(BT$42&gt;$B$10)+IF(BT$42=$B$10,SUM($F36:BS36)-SUM($F44:BS44)+BT36+(BT$42-BT$34)/(BU$34-BT$34)*BU36,0)</f>
        <v>0</v>
      </c>
      <c r="BU44" s="510">
        <f ca="1">(BU$42=$B$9)*BU36+((BU$42-BU$34)/(BV$34-BU$34)*BV36+(BU$34-BT$42)/(BU$34-BT$34)*BU36)*(BU$42&gt;$B$10)+IF(BU$42=$B$10,SUM($F36:BT36)-SUM($F44:BT44)+BU36+(BU$42-BU$34)/(BV$34-BU$34)*BV36,0)</f>
        <v>0</v>
      </c>
      <c r="BV44" s="510">
        <f ca="1">(BV$42=$B$9)*BV36+((BV$42-BV$34)/(BW$34-BV$34)*BW36+(BV$34-BU$42)/(BV$34-BU$34)*BV36)*(BV$42&gt;$B$10)+IF(BV$42=$B$10,SUM($F36:BU36)-SUM($F44:BU44)+BV36+(BV$42-BV$34)/(BW$34-BV$34)*BW36,0)</f>
        <v>0</v>
      </c>
      <c r="BW44" s="510">
        <f ca="1">(BW$42=$B$9)*BW36+((BW$42-BW$34)/(BX$34-BW$34)*BX36+(BW$34-BV$42)/(BW$34-BV$34)*BW36)*(BW$42&gt;$B$10)+IF(BW$42=$B$10,SUM($F36:BV36)-SUM($F44:BV44)+BW36+(BW$42-BW$34)/(BX$34-BW$34)*BX36,0)</f>
        <v>0</v>
      </c>
      <c r="BX44" s="510">
        <f ca="1">(BX$42=$B$9)*BX36+((BX$42-BX$34)/(BY$34-BX$34)*BY36+(BX$34-BW$42)/(BX$34-BW$34)*BX36)*(BX$42&gt;$B$10)+IF(BX$42=$B$10,SUM($F36:BW36)-SUM($F44:BW44)+BX36+(BX$42-BX$34)/(BY$34-BX$34)*BY36,0)</f>
        <v>0</v>
      </c>
      <c r="BY44" s="510">
        <f ca="1">(BY$42=$B$9)*BY36+((BY$42-BY$34)/(BZ$34-BY$34)*BZ36+(BY$34-BX$42)/(BY$34-BX$34)*BY36)*(BY$42&gt;$B$10)+IF(BY$42=$B$10,SUM($F36:BX36)-SUM($F44:BX44)+BY36+(BY$42-BY$34)/(BZ$34-BY$34)*BZ36,0)</f>
        <v>0</v>
      </c>
      <c r="BZ44" s="510">
        <f ca="1">(BZ$42=$B$9)*BZ36+((BZ$42-BZ$34)/(CA$34-BZ$34)*CA36+(BZ$34-BY$42)/(BZ$34-BY$34)*BZ36)*(BZ$42&gt;$B$10)+IF(BZ$42=$B$10,SUM($F36:BY36)-SUM($F44:BY44)+BZ36+(BZ$42-BZ$34)/(CA$34-BZ$34)*CA36,0)</f>
        <v>0</v>
      </c>
      <c r="CA44" s="510">
        <f ca="1">(CA$42=$B$9)*CA36+((CA$42-CA$34)/(CB$34-CA$34)*CB36+(CA$34-BZ$42)/(CA$34-BZ$34)*CA36)*(CA$42&gt;$B$10)+IF(CA$42=$B$10,SUM($F36:BZ36)-SUM($F44:BZ44)+CA36+(CA$42-CA$34)/(CB$34-CA$34)*CB36,0)</f>
        <v>0</v>
      </c>
      <c r="CB44" s="510">
        <f ca="1">(CB$42=$B$9)*CB36+((CB$42-CB$34)/(CC$34-CB$34)*CC36+(CB$34-CA$42)/(CB$34-CA$34)*CB36)*(CB$42&gt;$B$10)+IF(CB$42=$B$10,SUM($F36:CA36)-SUM($F44:CA44)+CB36+(CB$42-CB$34)/(CC$34-CB$34)*CC36,0)</f>
        <v>0</v>
      </c>
      <c r="CC44" s="510">
        <f ca="1">(CC$42=$B$9)*CC36+((CC$42-CC$34)/(CD$34-CC$34)*CD36+(CC$34-CB$42)/(CC$34-CB$34)*CC36)*(CC$42&gt;$B$10)+IF(CC$42=$B$10,SUM($F36:CB36)-SUM($F44:CB44)+CC36+(CC$42-CC$34)/(CD$34-CC$34)*CD36,0)</f>
        <v>0</v>
      </c>
      <c r="CD44" s="510">
        <f ca="1">(CD$42=$B$9)*CD36+((CD$42-CD$34)/(CE$34-CD$34)*CE36+(CD$34-CC$42)/(CD$34-CC$34)*CD36)*(CD$42&gt;$B$10)+IF(CD$42=$B$10,SUM($F36:CC36)-SUM($F44:CC44)+CD36+(CD$42-CD$34)/(CE$34-CD$34)*CE36,0)</f>
        <v>0</v>
      </c>
      <c r="CE44" s="510">
        <f ca="1">(CE$42=$B$9)*CE36+((CE$42-CE$34)/(CF$34-CE$34)*CF36+(CE$34-CD$42)/(CE$34-CD$34)*CE36)*(CE$42&gt;$B$10)+IF(CE$42=$B$10,SUM($F36:CD36)-SUM($F44:CD44)+CE36+(CE$42-CE$34)/(CF$34-CE$34)*CF36,0)</f>
        <v>0</v>
      </c>
      <c r="CF44" s="510">
        <f ca="1">(CF$42=$B$9)*CF36+((CF$42-CF$34)/(CG$34-CF$34)*CG36+(CF$34-CE$42)/(CF$34-CE$34)*CF36)*(CF$42&gt;$B$10)+IF(CF$42=$B$10,SUM($F36:CE36)-SUM($F44:CE44)+CF36+(CF$42-CF$34)/(CG$34-CF$34)*CG36,0)</f>
        <v>0</v>
      </c>
      <c r="CG44" s="510">
        <f ca="1">(CG$42=$B$9)*CG36+((CG$42-CG$34)/(CH$34-CG$34)*CH36+(CG$34-CF$42)/(CG$34-CF$34)*CG36)*(CG$42&gt;$B$10)+IF(CG$42=$B$10,SUM($F36:CF36)-SUM($F44:CF44)+CG36+(CG$42-CG$34)/(CH$34-CG$34)*CH36,0)</f>
        <v>0</v>
      </c>
      <c r="CH44" s="510">
        <f ca="1">(CH$42=$B$9)*CH36+((CH$42-CH$34)/(CI$34-CH$34)*CI36+(CH$34-CG$42)/(CH$34-CG$34)*CH36)*(CH$42&gt;$B$10)+IF(CH$42=$B$10,SUM($F36:CG36)-SUM($F44:CG44)+CH36+(CH$42-CH$34)/(CI$34-CH$34)*CI36,0)</f>
        <v>0</v>
      </c>
      <c r="CI44" s="510">
        <f ca="1">(CI$42=$B$9)*CI36+((CI$42-CI$34)/(CJ$34-CI$34)*CJ36+(CI$34-CH$42)/(CI$34-CH$34)*CI36)*(CI$42&gt;$B$10)+IF(CI$42=$B$10,SUM($F36:CH36)-SUM($F44:CH44)+CI36+(CI$42-CI$34)/(CJ$34-CI$34)*CJ36,0)</f>
        <v>0</v>
      </c>
      <c r="CJ44" s="510">
        <f ca="1">(CJ$42=$B$9)*CJ36+((CJ$42-CJ$34)/(CK$34-CJ$34)*CK36+(CJ$34-CI$42)/(CJ$34-CI$34)*CJ36)*(CJ$42&gt;$B$10)+IF(CJ$42=$B$10,SUM($F36:CI36)-SUM($F44:CI44)+CJ36+(CJ$42-CJ$34)/(CK$34-CJ$34)*CK36,0)</f>
        <v>0</v>
      </c>
      <c r="CK44" s="510">
        <f ca="1">(CK$42=$B$9)*CK36+((CK$42-CK$34)/(CL$34-CK$34)*CL36+(CK$34-CJ$42)/(CK$34-CJ$34)*CK36)*(CK$42&gt;$B$10)+IF(CK$42=$B$10,SUM($F36:CJ36)-SUM($F44:CJ44)+CK36+(CK$42-CK$34)/(CL$34-CK$34)*CL36,0)</f>
        <v>0</v>
      </c>
      <c r="CL44" s="510">
        <f ca="1">(CL$42=$B$9)*CL36+((CL$42-CL$34)/(CM$34-CL$34)*CM36+(CL$34-CK$42)/(CL$34-CK$34)*CL36)*(CL$42&gt;$B$10)+IF(CL$42=$B$10,SUM($F36:CK36)-SUM($F44:CK44)+CL36+(CL$42-CL$34)/(CM$34-CL$34)*CM36,0)</f>
        <v>0</v>
      </c>
      <c r="CM44" s="510">
        <f ca="1">(CM$42=$B$9)*CM36+((CM$42-CM$34)/(CN$34-CM$34)*CN36+(CM$34-CL$42)/(CM$34-CL$34)*CM36)*(CM$42&gt;$B$10)+IF(CM$42=$B$10,SUM($F36:CL36)-SUM($F44:CL44)+CM36+(CM$42-CM$34)/(CN$34-CM$34)*CN36,0)</f>
        <v>0</v>
      </c>
      <c r="CN44" s="510">
        <f ca="1">(CN$42=$B$9)*CN36+((CN$42-CN$34)/(CO$34-CN$34)*CO36+(CN$34-CM$42)/(CN$34-CM$34)*CN36)*(CN$42&gt;$B$10)+IF(CN$42=$B$10,SUM($F36:CM36)-SUM($F44:CM44)+CN36+(CN$42-CN$34)/(CO$34-CN$34)*CO36,0)</f>
        <v>0</v>
      </c>
      <c r="CO44" s="510">
        <f ca="1">(CO$42=$B$9)*CO36+((CO$42-CO$34)/(CP$34-CO$34)*CP36+(CO$34-CN$42)/(CO$34-CN$34)*CO36)*(CO$42&gt;$B$10)+IF(CO$42=$B$10,SUM($F36:CN36)-SUM($F44:CN44)+CO36+(CO$42-CO$34)/(CP$34-CO$34)*CP36,0)</f>
        <v>0</v>
      </c>
      <c r="CP44" s="510">
        <f ca="1">(CP$42=$B$9)*CP36+((CP$42-CP$34)/(CQ$34-CP$34)*CQ36+(CP$34-CO$42)/(CP$34-CO$34)*CP36)*(CP$42&gt;$B$10)+IF(CP$42=$B$10,SUM($F36:CO36)-SUM($F44:CO44)+CP36+(CP$42-CP$34)/(CQ$34-CP$34)*CQ36,0)</f>
        <v>0</v>
      </c>
      <c r="CQ44" s="510">
        <f ca="1">(CQ$42=$B$9)*CQ36+((CQ$42-CQ$34)/(CR$34-CQ$34)*CR36+(CQ$34-CP$42)/(CQ$34-CP$34)*CQ36)*(CQ$42&gt;$B$10)+IF(CQ$42=$B$10,SUM($F36:CP36)-SUM($F44:CP44)+CQ36+(CQ$42-CQ$34)/(CR$34-CQ$34)*CR36,0)</f>
        <v>0</v>
      </c>
      <c r="CR44" s="510">
        <f ca="1">(CR$42=$B$9)*CR36+((CR$42-CR$34)/(CS$34-CR$34)*CS36+(CR$34-CQ$42)/(CR$34-CQ$34)*CR36)*(CR$42&gt;$B$10)+IF(CR$42=$B$10,SUM($F36:CQ36)-SUM($F44:CQ44)+CR36+(CR$42-CR$34)/(CS$34-CR$34)*CS36,0)</f>
        <v>0</v>
      </c>
      <c r="CS44" s="510">
        <f ca="1">(CS$42=$B$9)*CS36+((CS$42-CS$34)/(CT$34-CS$34)*CT36+(CS$34-CR$42)/(CS$34-CR$34)*CS36)*(CS$42&gt;$B$10)+IF(CS$42=$B$10,SUM($F36:CR36)-SUM($F44:CR44)+CS36+(CS$42-CS$34)/(CT$34-CS$34)*CT36,0)</f>
        <v>0</v>
      </c>
      <c r="CT44" s="510">
        <f ca="1">(CT$42=$B$9)*CT36+((CT$42-CT$34)/(CU$34-CT$34)*CU36+(CT$34-CS$42)/(CT$34-CS$34)*CT36)*(CT$42&gt;$B$10)+IF(CT$42=$B$10,SUM($F36:CS36)-SUM($F44:CS44)+CT36+(CT$42-CT$34)/(CU$34-CT$34)*CU36,0)</f>
        <v>0</v>
      </c>
      <c r="CU44" s="510">
        <f ca="1">(CU$42=$B$9)*CU36+((CU$42-CU$34)/(CV$34-CU$34)*CV36+(CU$34-CT$42)/(CU$34-CT$34)*CU36)*(CU$42&gt;$B$10)+IF(CU$42=$B$10,SUM($F36:CT36)-SUM($F44:CT44)+CU36+(CU$42-CU$34)/(CV$34-CU$34)*CV36,0)</f>
        <v>0</v>
      </c>
      <c r="CV44" s="510">
        <f ca="1">(CV$42=$B$9)*CV36+((CV$42-CV$34)/(CW$34-CV$34)*CW36+(CV$34-CU$42)/(CV$34-CU$34)*CV36)*(CV$42&gt;$B$10)+IF(CV$42=$B$10,SUM($F36:CU36)-SUM($F44:CU44)+CV36+(CV$42-CV$34)/(CW$34-CV$34)*CW36,0)</f>
        <v>0</v>
      </c>
      <c r="CW44" s="510">
        <f ca="1">(CW$42=$B$9)*CW36+((CW$42-CW$34)/(CX$34-CW$34)*CX36+(CW$34-CV$42)/(CW$34-CV$34)*CW36)*(CW$42&gt;$B$10)+IF(CW$42=$B$10,SUM($F36:CV36)-SUM($F44:CV44)+CW36+(CW$42-CW$34)/(CX$34-CW$34)*CX36,0)</f>
        <v>0</v>
      </c>
      <c r="CX44" s="510">
        <f ca="1">(CX$42=$B$9)*CX36+((CX$42-CX$34)/(CY$34-CX$34)*CY36+(CX$34-CW$42)/(CX$34-CW$34)*CX36)*(CX$42&gt;$B$10)+IF(CX$42=$B$10,SUM($F36:CW36)-SUM($F44:CW44)+CX36+(CX$42-CX$34)/(CY$34-CX$34)*CY36,0)</f>
        <v>0</v>
      </c>
      <c r="CY44" s="510">
        <f ca="1">(CY$42=$B$9)*CY36+((CY$42-CY$34)/(CZ$34-CY$34)*CZ36+(CY$34-CX$42)/(CY$34-CX$34)*CY36)*(CY$42&gt;$B$10)+IF(CY$42=$B$10,SUM($F36:CX36)-SUM($F44:CX44)+CY36+(CY$42-CY$34)/(CZ$34-CY$34)*CZ36,0)</f>
        <v>0</v>
      </c>
      <c r="CZ44" s="510">
        <f ca="1">(CZ$42=$B$9)*CZ36+((CZ$42-CZ$34)/(DA$34-CZ$34)*DA36+(CZ$34-CY$42)/(CZ$34-CY$34)*CZ36)*(CZ$42&gt;$B$10)+IF(CZ$42=$B$10,SUM($F36:CY36)-SUM($F44:CY44)+CZ36+(CZ$42-CZ$34)/(DA$34-CZ$34)*DA36,0)</f>
        <v>0</v>
      </c>
      <c r="DA44" s="510">
        <f ca="1">(DA$42=$B$9)*DA36+((DA$42-DA$34)/(DB$34-DA$34)*DB36+(DA$34-CZ$42)/(DA$34-CZ$34)*DA36)*(DA$42&gt;$B$10)+IF(DA$42=$B$10,SUM($F36:CZ36)-SUM($F44:CZ44)+DA36+(DA$42-DA$34)/(DB$34-DA$34)*DB36,0)</f>
        <v>0</v>
      </c>
      <c r="DB44" s="510">
        <f ca="1">(DB$42=$B$9)*DB36+((DB$42-DB$34)/(DC$34-DB$34)*DC36+(DB$34-DA$42)/(DB$34-DA$34)*DB36)*(DB$42&gt;$B$10)+IF(DB$42=$B$10,SUM($F36:DA36)-SUM($F44:DA44)+DB36+(DB$42-DB$34)/(DC$34-DB$34)*DC36,0)</f>
        <v>0</v>
      </c>
      <c r="DC44" s="510">
        <f ca="1">(DC$42=$B$9)*DC36+((DC$42-DC$34)/(DD$34-DC$34)*DD36+(DC$34-DB$42)/(DC$34-DB$34)*DC36)*(DC$42&gt;$B$10)+IF(DC$42=$B$10,SUM($F36:DB36)-SUM($F44:DB44)+DC36+(DC$42-DC$34)/(DD$34-DC$34)*DD36,0)</f>
        <v>0</v>
      </c>
      <c r="DD44" s="510">
        <f ca="1">(DD$42=$B$9)*DD36+((DD$42-DD$34)/(DE$34-DD$34)*DE36+(DD$34-DC$42)/(DD$34-DC$34)*DD36)*(DD$42&gt;$B$10)+IF(DD$42=$B$10,SUM($F36:DC36)-SUM($F44:DC44)+DD36+(DD$42-DD$34)/(DE$34-DD$34)*DE36,0)</f>
        <v>0</v>
      </c>
      <c r="DE44" s="510">
        <f ca="1">(DE$42=$B$9)*DE36+((DE$42-DE$34)/(DF$34-DE$34)*DF36+(DE$34-DD$42)/(DE$34-DD$34)*DE36)*(DE$42&gt;$B$10)+IF(DE$42=$B$10,SUM($F36:DD36)-SUM($F44:DD44)+DE36+(DE$42-DE$34)/(DF$34-DE$34)*DF36,0)</f>
        <v>0</v>
      </c>
      <c r="DF44" s="510">
        <f ca="1">(DF$42=$B$9)*DF36+((DF$42-DF$34)/(DG$34-DF$34)*DG36+(DF$34-DE$42)/(DF$34-DE$34)*DF36)*(DF$42&gt;$B$10)+IF(DF$42=$B$10,SUM($F36:DE36)-SUM($F44:DE44)+DF36+(DF$42-DF$34)/(DG$34-DF$34)*DG36,0)</f>
        <v>0</v>
      </c>
      <c r="DG44" s="510">
        <f ca="1">(DG$42=$B$9)*DG36+((DG$42-DG$34)/(DH$34-DG$34)*DH36+(DG$34-DF$42)/(DG$34-DF$34)*DG36)*(DG$42&gt;$B$10)+IF(DG$42=$B$10,SUM($F36:DF36)-SUM($F44:DF44)+DG36+(DG$42-DG$34)/(DH$34-DG$34)*DH36,0)</f>
        <v>0</v>
      </c>
      <c r="DH44" s="510">
        <f ca="1">(DH$42=$B$9)*DH36+((DH$42-DH$34)/(DI$34-DH$34)*DI36+(DH$34-DG$42)/(DH$34-DG$34)*DH36)*(DH$42&gt;$B$10)+IF(DH$42=$B$10,SUM($F36:DG36)-SUM($F44:DG44)+DH36+(DH$42-DH$34)/(DI$34-DH$34)*DI36,0)</f>
        <v>0</v>
      </c>
      <c r="DI44" s="510">
        <f ca="1">(DI$42=$B$9)*DI36+((DI$42-DI$34)/(DJ$34-DI$34)*DJ36+(DI$34-DH$42)/(DI$34-DH$34)*DI36)*(DI$42&gt;$B$10)+IF(DI$42=$B$10,SUM($F36:DH36)-SUM($F44:DH44)+DI36+(DI$42-DI$34)/(DJ$34-DI$34)*DJ36,0)</f>
        <v>0</v>
      </c>
      <c r="DJ44" s="510">
        <f ca="1">(DJ$42=$B$9)*DJ36+((DJ$42-DJ$34)/(DK$34-DJ$34)*DK36+(DJ$34-DI$42)/(DJ$34-DI$34)*DJ36)*(DJ$42&gt;$B$10)+IF(DJ$42=$B$10,SUM($F36:DI36)-SUM($F44:DI44)+DJ36+(DJ$42-DJ$34)/(DK$34-DJ$34)*DK36,0)</f>
        <v>0</v>
      </c>
      <c r="DK44" s="510">
        <f ca="1">(DK$42=$B$9)*DK36+((DK$42-DK$34)/(DL$34-DK$34)*DL36+(DK$34-DJ$42)/(DK$34-DJ$34)*DK36)*(DK$42&gt;$B$10)+IF(DK$42=$B$10,SUM($F36:DJ36)-SUM($F44:DJ44)+DK36+(DK$42-DK$34)/(DL$34-DK$34)*DL36,0)</f>
        <v>0</v>
      </c>
      <c r="DL44" s="510">
        <f ca="1">(DL$42=$B$9)*DL36+((DL$42-DL$34)/(DM$34-DL$34)*DM36+(DL$34-DK$42)/(DL$34-DK$34)*DL36)*(DL$42&gt;$B$10)+IF(DL$42=$B$10,SUM($F36:DK36)-SUM($F44:DK44)+DL36+(DL$42-DL$34)/(DM$34-DL$34)*DM36,0)</f>
        <v>0</v>
      </c>
      <c r="DM44" s="510">
        <f ca="1">(DM$42=$B$9)*DM36+((DM$42-DM$34)/(DN$34-DM$34)*DN36+(DM$34-DL$42)/(DM$34-DL$34)*DM36)*(DM$42&gt;$B$10)+IF(DM$42=$B$10,SUM($F36:DL36)-SUM($F44:DL44)+DM36+(DM$42-DM$34)/(DN$34-DM$34)*DN36,0)</f>
        <v>0</v>
      </c>
      <c r="DN44" s="510">
        <f ca="1">(DN$42=$B$9)*DN36+((DN$42-DN$34)/(DO$34-DN$34)*DO36+(DN$34-DM$42)/(DN$34-DM$34)*DN36)*(DN$42&gt;$B$10)+IF(DN$42=$B$10,SUM($F36:DM36)-SUM($F44:DM44)+DN36+(DN$42-DN$34)/(DO$34-DN$34)*DO36,0)</f>
        <v>0</v>
      </c>
      <c r="DO44" s="510">
        <f ca="1">(DO$42=$B$9)*DO36+((DO$42-DO$34)/(DP$34-DO$34)*DP36+(DO$34-DN$42)/(DO$34-DN$34)*DO36)*(DO$42&gt;$B$10)+IF(DO$42=$B$10,SUM($F36:DN36)-SUM($F44:DN44)+DO36+(DO$42-DO$34)/(DP$34-DO$34)*DP36,0)</f>
        <v>0</v>
      </c>
      <c r="DP44" s="510">
        <f ca="1">(DP$42=$B$9)*DP36+((DP$42-DP$34)/(DQ$34-DP$34)*DQ36+(DP$34-DO$42)/(DP$34-DO$34)*DP36)*(DP$42&gt;$B$10)+IF(DP$42=$B$10,SUM($F36:DO36)-SUM($F44:DO44)+DP36+(DP$42-DP$34)/(DQ$34-DP$34)*DQ36,0)</f>
        <v>0</v>
      </c>
      <c r="DQ44" s="510">
        <f ca="1">(DQ$42=$B$9)*DQ36+((DQ$42-DQ$34)/(DR$34-DQ$34)*DR36+(DQ$34-DP$42)/(DQ$34-DP$34)*DQ36)*(DQ$42&gt;$B$10)+IF(DQ$42=$B$10,SUM($F36:DP36)-SUM($F44:DP44)+DQ36+(DQ$42-DQ$34)/(DR$34-DQ$34)*DR36,0)</f>
        <v>0</v>
      </c>
      <c r="DR44" s="510">
        <f ca="1">(DR$42=$B$9)*DR36+((DR$42-DR$34)/(DS$34-DR$34)*DS36+(DR$34-DQ$42)/(DR$34-DQ$34)*DR36)*(DR$42&gt;$B$10)+IF(DR$42=$B$10,SUM($F36:DQ36)-SUM($F44:DQ44)+DR36+(DR$42-DR$34)/(DS$34-DR$34)*DS36,0)</f>
        <v>0</v>
      </c>
      <c r="DS44" s="510">
        <f ca="1">(DS$42=$B$9)*DS36+((DS$42-DS$34)/(DT$34-DS$34)*DT36+(DS$34-DR$42)/(DS$34-DR$34)*DS36)*(DS$42&gt;$B$10)+IF(DS$42=$B$10,SUM($F36:DR36)-SUM($F44:DR44)+DS36+(DS$42-DS$34)/(DT$34-DS$34)*DT36,0)</f>
        <v>0</v>
      </c>
      <c r="DT44" s="510">
        <f ca="1">(DT$42=$B$9)*DT36+((DT$42-DT$34)/(DU$34-DT$34)*DU36+(DT$34-DS$42)/(DT$34-DS$34)*DT36)*(DT$42&gt;$B$10)+IF(DT$42=$B$10,SUM($F36:DS36)-SUM($F44:DS44)+DT36+(DT$42-DT$34)/(DU$34-DT$34)*DU36,0)</f>
        <v>0</v>
      </c>
      <c r="DU44" s="510">
        <f ca="1">(DU$42=$B$9)*DU36+((DU$42-DU$34)/(DV$34-DU$34)*DV36+(DU$34-DT$42)/(DU$34-DT$34)*DU36)*(DU$42&gt;$B$10)+IF(DU$42=$B$10,SUM($F36:DT36)-SUM($F44:DT44)+DU36+(DU$42-DU$34)/(DV$34-DU$34)*DV36,0)</f>
        <v>0</v>
      </c>
      <c r="DV44" s="510">
        <f ca="1">(DV$42=$B$9)*DV36+((DV$42-DV$34)/(DW$34-DV$34)*DW36+(DV$34-DU$42)/(DV$34-DU$34)*DV36)*(DV$42&gt;$B$10)+IF(DV$42=$B$10,SUM($F36:DU36)-SUM($F44:DU44)+DV36+(DV$42-DV$34)/(DW$34-DV$34)*DW36,0)</f>
        <v>0</v>
      </c>
      <c r="DW44" s="510">
        <f ca="1">(DW$42=$B$9)*DW36+((DW$42-DW$34)/(DX$34-DW$34)*DX36+(DW$34-DV$42)/(DW$34-DV$34)*DW36)*(DW$42&gt;$B$10)+IF(DW$42=$B$10,SUM($F36:DV36)-SUM($F44:DV44)+DW36+(DW$42-DW$34)/(DX$34-DW$34)*DX36,0)</f>
        <v>0</v>
      </c>
    </row>
    <row r="45" spans="1:131">
      <c r="A45" s="1020" t="str">
        <f>A37</f>
        <v>SHL Net Interest</v>
      </c>
      <c r="B45" s="971"/>
      <c r="C45" s="971"/>
      <c r="D45" s="471"/>
      <c r="E45" s="471"/>
      <c r="F45" s="611"/>
      <c r="G45" s="510">
        <f ca="1">(G$42=$B$9)*G37+((G$42-G$34)/(H$34-G$34)*H37+(G$34-F$42)/(G$34-F$34)*G37)*(G$42&gt;$B$10)+IF(G$42=$B$10,SUM($F37:F37)-SUM($F45:F45)+G37+(G$42-G$34)/(H$34-G$34)*H37,0)</f>
        <v>0</v>
      </c>
      <c r="H45" s="510">
        <f ca="1">(H$42=$B$9)*H37+((H$42-H$34)/(I$34-H$34)*I37+(H$34-G$42)/(H$34-G$34)*H37)*(H$42&gt;$B$10)+IF(H$42=$B$10,SUM($F37:G37)-SUM($F45:G45)+H37+(H$42-H$34)/(I$34-H$34)*I37,0)</f>
        <v>0</v>
      </c>
      <c r="I45" s="510">
        <f ca="1">(I$42=$B$9)*I37+((I$42-I$34)/(J$34-I$34)*J37+(I$34-H$42)/(I$34-H$34)*I37)*(I$42&gt;$B$10)+IF(I$42=$B$10,SUM($F37:H37)-SUM($F45:H45)+I37+(I$42-I$34)/(J$34-I$34)*J37,0)</f>
        <v>0</v>
      </c>
      <c r="J45" s="510">
        <f ca="1">(J$42=$B$9)*J37+((J$42-J$34)/(K$34-J$34)*K37+(J$34-I$42)/(J$34-I$34)*J37)*(J$42&gt;$B$10)+IF(J$42=$B$10,SUM($F37:I37)-SUM($F45:I45)+J37+(J$42-J$34)/(K$34-J$34)*K37,0)</f>
        <v>0</v>
      </c>
      <c r="K45" s="510">
        <f ca="1">(K$42=$B$9)*K37+((K$42-K$34)/(L$34-K$34)*L37+(K$34-J$42)/(K$34-J$34)*K37)*(K$42&gt;$B$10)+IF(K$42=$B$10,SUM($F37:J37)-SUM($F45:J45)+K37+(K$42-K$34)/(L$34-K$34)*L37,0)</f>
        <v>0</v>
      </c>
      <c r="L45" s="510">
        <f ca="1">(L$42=$B$9)*L37+((L$42-L$34)/(M$34-L$34)*M37+(L$34-K$42)/(L$34-K$34)*L37)*(L$42&gt;$B$10)+IF(L$42=$B$10,SUM($F37:K37)-SUM($F45:K45)+L37+(L$42-L$34)/(M$34-L$34)*M37,0)</f>
        <v>0</v>
      </c>
      <c r="M45" s="510">
        <f ca="1">(M$42=$B$9)*M37+((M$42-M$34)/(N$34-M$34)*N37+(M$34-L$42)/(M$34-L$34)*M37)*(M$42&gt;$B$10)+IF(M$42=$B$10,SUM($F37:L37)-SUM($F45:L45)+M37+(M$42-M$34)/(N$34-M$34)*N37,0)</f>
        <v>0</v>
      </c>
      <c r="N45" s="510">
        <f ca="1">(N$42=$B$9)*N37+((N$42-N$34)/(O$34-N$34)*O37+(N$34-M$42)/(N$34-M$34)*N37)*(N$42&gt;$B$10)+IF(N$42=$B$10,SUM($F37:M37)-SUM($F45:M45)+N37+(N$42-N$34)/(O$34-N$34)*O37,0)</f>
        <v>0</v>
      </c>
      <c r="O45" s="510">
        <f ca="1">(O$42=$B$9)*O37+((O$42-O$34)/(P$34-O$34)*P37+(O$34-N$42)/(O$34-N$34)*O37)*(O$42&gt;$B$10)+IF(O$42=$B$10,SUM($F37:N37)-SUM($F45:N45)+O37+(O$42-O$34)/(P$34-O$34)*P37,0)</f>
        <v>0</v>
      </c>
      <c r="P45" s="510">
        <f ca="1">(P$42=$B$9)*P37+((P$42-P$34)/(Q$34-P$34)*Q37+(P$34-O$42)/(P$34-O$34)*P37)*(P$42&gt;$B$10)+IF(P$42=$B$10,SUM($F37:O37)-SUM($F45:O45)+P37+(P$42-P$34)/(Q$34-P$34)*Q37,0)</f>
        <v>0</v>
      </c>
      <c r="Q45" s="510">
        <f ca="1">(Q$42=$B$9)*Q37+((Q$42-Q$34)/(R$34-Q$34)*R37+(Q$34-P$42)/(Q$34-P$34)*Q37)*(Q$42&gt;$B$10)+IF(Q$42=$B$10,SUM($F37:P37)-SUM($F45:P45)+Q37+(Q$42-Q$34)/(R$34-Q$34)*R37,0)</f>
        <v>0</v>
      </c>
      <c r="R45" s="510">
        <f ca="1">(R$42=$B$9)*R37+((R$42-R$34)/(S$34-R$34)*S37+(R$34-Q$42)/(R$34-Q$34)*R37)*(R$42&gt;$B$10)+IF(R$42=$B$10,SUM($F37:Q37)-SUM($F45:Q45)+R37+(R$42-R$34)/(S$34-R$34)*S37,0)</f>
        <v>0</v>
      </c>
      <c r="S45" s="510">
        <f ca="1">(S$42=$B$9)*S37+((S$42-S$34)/(T$34-S$34)*T37+(S$34-R$42)/(S$34-R$34)*S37)*(S$42&gt;$B$10)+IF(S$42=$B$10,SUM($F37:R37)-SUM($F45:R45)+S37+(S$42-S$34)/(T$34-S$34)*T37,0)</f>
        <v>0</v>
      </c>
      <c r="T45" s="510">
        <f ca="1">(T$42=$B$9)*T37+((T$42-T$34)/(U$34-T$34)*U37+(T$34-S$42)/(T$34-S$34)*T37)*(T$42&gt;$B$10)+IF(T$42=$B$10,SUM($F37:S37)-SUM($F45:S45)+T37+(T$42-T$34)/(U$34-T$34)*U37,0)</f>
        <v>0</v>
      </c>
      <c r="U45" s="510">
        <f ca="1">(U$42=$B$9)*U37+((U$42-U$34)/(V$34-U$34)*V37+(U$34-T$42)/(U$34-T$34)*U37)*(U$42&gt;$B$10)+IF(U$42=$B$10,SUM($F37:T37)-SUM($F45:T45)+U37+(U$42-U$34)/(V$34-U$34)*V37,0)</f>
        <v>0</v>
      </c>
      <c r="V45" s="510">
        <f ca="1">(V$42=$B$9)*V37+((V$42-V$34)/(W$34-V$34)*W37+(V$34-U$42)/(V$34-U$34)*V37)*(V$42&gt;$B$10)+IF(V$42=$B$10,SUM($F37:U37)-SUM($F45:U45)+V37+(V$42-V$34)/(W$34-V$34)*W37,0)</f>
        <v>0</v>
      </c>
      <c r="W45" s="510">
        <f ca="1">(W$42=$B$9)*W37+((W$42-W$34)/(X$34-W$34)*X37+(W$34-V$42)/(W$34-V$34)*W37)*(W$42&gt;$B$10)+IF(W$42=$B$10,SUM($F37:V37)-SUM($F45:V45)+W37+(W$42-W$34)/(X$34-W$34)*X37,0)</f>
        <v>0</v>
      </c>
      <c r="X45" s="510">
        <f ca="1">(X$42=$B$9)*X37+((X$42-X$34)/(Y$34-X$34)*Y37+(X$34-W$42)/(X$34-W$34)*X37)*(X$42&gt;$B$10)+IF(X$42=$B$10,SUM($F37:W37)-SUM($F45:W45)+X37+(X$42-X$34)/(Y$34-X$34)*Y37,0)</f>
        <v>0</v>
      </c>
      <c r="Y45" s="510">
        <f ca="1">(Y$42=$B$9)*Y37+((Y$42-Y$34)/(Z$34-Y$34)*Z37+(Y$34-X$42)/(Y$34-X$34)*Y37)*(Y$42&gt;$B$10)+IF(Y$42=$B$10,SUM($F37:X37)-SUM($F45:X45)+Y37+(Y$42-Y$34)/(Z$34-Y$34)*Z37,0)</f>
        <v>0</v>
      </c>
      <c r="Z45" s="510">
        <f ca="1">(Z$42=$B$9)*Z37+((Z$42-Z$34)/(AA$34-Z$34)*AA37+(Z$34-Y$42)/(Z$34-Y$34)*Z37)*(Z$42&gt;$B$10)+IF(Z$42=$B$10,SUM($F37:Y37)-SUM($F45:Y45)+Z37+(Z$42-Z$34)/(AA$34-Z$34)*AA37,0)</f>
        <v>0</v>
      </c>
      <c r="AA45" s="510">
        <f ca="1">(AA$42=$B$9)*AA37+((AA$42-AA$34)/(AB$34-AA$34)*AB37+(AA$34-Z$42)/(AA$34-Z$34)*AA37)*(AA$42&gt;$B$10)+IF(AA$42=$B$10,SUM($F37:Z37)-SUM($F45:Z45)+AA37+(AA$42-AA$34)/(AB$34-AA$34)*AB37,0)</f>
        <v>0</v>
      </c>
      <c r="AB45" s="510">
        <f ca="1">(AB$42=$B$9)*AB37+((AB$42-AB$34)/(AC$34-AB$34)*AC37+(AB$34-AA$42)/(AB$34-AA$34)*AB37)*(AB$42&gt;$B$10)+IF(AB$42=$B$10,SUM($F37:AA37)-SUM($F45:AA45)+AB37+(AB$42-AB$34)/(AC$34-AB$34)*AC37,0)</f>
        <v>0</v>
      </c>
      <c r="AC45" s="510">
        <f ca="1">(AC$42=$B$9)*AC37+((AC$42-AC$34)/(AD$34-AC$34)*AD37+(AC$34-AB$42)/(AC$34-AB$34)*AC37)*(AC$42&gt;$B$10)+IF(AC$42=$B$10,SUM($F37:AB37)-SUM($F45:AB45)+AC37+(AC$42-AC$34)/(AD$34-AC$34)*AD37,0)</f>
        <v>0</v>
      </c>
      <c r="AD45" s="510">
        <f ca="1">(AD$42=$B$9)*AD37+((AD$42-AD$34)/(AE$34-AD$34)*AE37+(AD$34-AC$42)/(AD$34-AC$34)*AD37)*(AD$42&gt;$B$10)+IF(AD$42=$B$10,SUM($F37:AC37)-SUM($F45:AC45)+AD37+(AD$42-AD$34)/(AE$34-AD$34)*AE37,0)</f>
        <v>0</v>
      </c>
      <c r="AE45" s="510">
        <f ca="1">(AE$42=$B$9)*AE37+((AE$42-AE$34)/(AF$34-AE$34)*AF37+(AE$34-AD$42)/(AE$34-AD$34)*AE37)*(AE$42&gt;$B$10)+IF(AE$42=$B$10,SUM($F37:AD37)-SUM($F45:AD45)+AE37+(AE$42-AE$34)/(AF$34-AE$34)*AF37,0)</f>
        <v>0</v>
      </c>
      <c r="AF45" s="510">
        <f ca="1">(AF$42=$B$9)*AF37+((AF$42-AF$34)/(AG$34-AF$34)*AG37+(AF$34-AE$42)/(AF$34-AE$34)*AF37)*(AF$42&gt;$B$10)+IF(AF$42=$B$10,SUM($F37:AE37)-SUM($F45:AE45)+AF37+(AF$42-AF$34)/(AG$34-AF$34)*AG37,0)</f>
        <v>0</v>
      </c>
      <c r="AG45" s="510">
        <f ca="1">(AG$42=$B$9)*AG37+((AG$42-AG$34)/(AH$34-AG$34)*AH37+(AG$34-AF$42)/(AG$34-AF$34)*AG37)*(AG$42&gt;$B$10)+IF(AG$42=$B$10,SUM($F37:AF37)-SUM($F45:AF45)+AG37+(AG$42-AG$34)/(AH$34-AG$34)*AH37,0)</f>
        <v>0</v>
      </c>
      <c r="AH45" s="510">
        <f ca="1">(AH$42=$B$9)*AH37+((AH$42-AH$34)/(AI$34-AH$34)*AI37+(AH$34-AG$42)/(AH$34-AG$34)*AH37)*(AH$42&gt;$B$10)+IF(AH$42=$B$10,SUM($F37:AG37)-SUM($F45:AG45)+AH37+(AH$42-AH$34)/(AI$34-AH$34)*AI37,0)</f>
        <v>0</v>
      </c>
      <c r="AI45" s="510">
        <f ca="1">(AI$42=$B$9)*AI37+((AI$42-AI$34)/(AJ$34-AI$34)*AJ37+(AI$34-AH$42)/(AI$34-AH$34)*AI37)*(AI$42&gt;$B$10)+IF(AI$42=$B$10,SUM($F37:AH37)-SUM($F45:AH45)+AI37+(AI$42-AI$34)/(AJ$34-AI$34)*AJ37,0)</f>
        <v>0</v>
      </c>
      <c r="AJ45" s="510">
        <f ca="1">(AJ$42=$B$9)*AJ37+((AJ$42-AJ$34)/(AK$34-AJ$34)*AK37+(AJ$34-AI$42)/(AJ$34-AI$34)*AJ37)*(AJ$42&gt;$B$10)+IF(AJ$42=$B$10,SUM($F37:AI37)-SUM($F45:AI45)+AJ37+(AJ$42-AJ$34)/(AK$34-AJ$34)*AK37,0)</f>
        <v>0</v>
      </c>
      <c r="AK45" s="510">
        <f ca="1">(AK$42=$B$9)*AK37+((AK$42-AK$34)/(AL$34-AK$34)*AL37+(AK$34-AJ$42)/(AK$34-AJ$34)*AK37)*(AK$42&gt;$B$10)+IF(AK$42=$B$10,SUM($F37:AJ37)-SUM($F45:AJ45)+AK37+(AK$42-AK$34)/(AL$34-AK$34)*AL37,0)</f>
        <v>0</v>
      </c>
      <c r="AL45" s="510">
        <f ca="1">(AL$42=$B$9)*AL37+((AL$42-AL$34)/(AM$34-AL$34)*AM37+(AL$34-AK$42)/(AL$34-AK$34)*AL37)*(AL$42&gt;$B$10)+IF(AL$42=$B$10,SUM($F37:AK37)-SUM($F45:AK45)+AL37+(AL$42-AL$34)/(AM$34-AL$34)*AM37,0)</f>
        <v>0</v>
      </c>
      <c r="AM45" s="510">
        <f ca="1">(AM$42=$B$9)*AM37+((AM$42-AM$34)/(AN$34-AM$34)*AN37+(AM$34-AL$42)/(AM$34-AL$34)*AM37)*(AM$42&gt;$B$10)+IF(AM$42=$B$10,SUM($F37:AL37)-SUM($F45:AL45)+AM37+(AM$42-AM$34)/(AN$34-AM$34)*AN37,0)</f>
        <v>0</v>
      </c>
      <c r="AN45" s="510">
        <f ca="1">(AN$42=$B$9)*AN37+((AN$42-AN$34)/(AO$34-AN$34)*AO37+(AN$34-AM$42)/(AN$34-AM$34)*AN37)*(AN$42&gt;$B$10)+IF(AN$42=$B$10,SUM($F37:AM37)-SUM($F45:AM45)+AN37+(AN$42-AN$34)/(AO$34-AN$34)*AO37,0)</f>
        <v>0</v>
      </c>
      <c r="AO45" s="510">
        <f ca="1">(AO$42=$B$9)*AO37+((AO$42-AO$34)/(AP$34-AO$34)*AP37+(AO$34-AN$42)/(AO$34-AN$34)*AO37)*(AO$42&gt;$B$10)+IF(AO$42=$B$10,SUM($F37:AN37)-SUM($F45:AN45)+AO37+(AO$42-AO$34)/(AP$34-AO$34)*AP37,0)</f>
        <v>0</v>
      </c>
      <c r="AP45" s="510">
        <f ca="1">(AP$42=$B$9)*AP37+((AP$42-AP$34)/(AQ$34-AP$34)*AQ37+(AP$34-AO$42)/(AP$34-AO$34)*AP37)*(AP$42&gt;$B$10)+IF(AP$42=$B$10,SUM($F37:AO37)-SUM($F45:AO45)+AP37+(AP$42-AP$34)/(AQ$34-AP$34)*AQ37,0)</f>
        <v>0</v>
      </c>
      <c r="AQ45" s="510">
        <f ca="1">(AQ$42=$B$9)*AQ37+((AQ$42-AQ$34)/(AR$34-AQ$34)*AR37+(AQ$34-AP$42)/(AQ$34-AP$34)*AQ37)*(AQ$42&gt;$B$10)+IF(AQ$42=$B$10,SUM($F37:AP37)-SUM($F45:AP45)+AQ37+(AQ$42-AQ$34)/(AR$34-AQ$34)*AR37,0)</f>
        <v>0</v>
      </c>
      <c r="AR45" s="510">
        <f ca="1">(AR$42=$B$9)*AR37+((AR$42-AR$34)/(AS$34-AR$34)*AS37+(AR$34-AQ$42)/(AR$34-AQ$34)*AR37)*(AR$42&gt;$B$10)+IF(AR$42=$B$10,SUM($F37:AQ37)-SUM($F45:AQ45)+AR37+(AR$42-AR$34)/(AS$34-AR$34)*AS37,0)</f>
        <v>0</v>
      </c>
      <c r="AS45" s="510">
        <f ca="1">(AS$42=$B$9)*AS37+((AS$42-AS$34)/(AT$34-AS$34)*AT37+(AS$34-AR$42)/(AS$34-AR$34)*AS37)*(AS$42&gt;$B$10)+IF(AS$42=$B$10,SUM($F37:AR37)-SUM($F45:AR45)+AS37+(AS$42-AS$34)/(AT$34-AS$34)*AT37,0)</f>
        <v>0</v>
      </c>
      <c r="AT45" s="510">
        <f ca="1">(AT$42=$B$9)*AT37+((AT$42-AT$34)/(AU$34-AT$34)*AU37+(AT$34-AS$42)/(AT$34-AS$34)*AT37)*(AT$42&gt;$B$10)+IF(AT$42=$B$10,SUM($F37:AS37)-SUM($F45:AS45)+AT37+(AT$42-AT$34)/(AU$34-AT$34)*AU37,0)</f>
        <v>0</v>
      </c>
      <c r="AU45" s="510">
        <f ca="1">(AU$42=$B$9)*AU37+((AU$42-AU$34)/(AV$34-AU$34)*AV37+(AU$34-AT$42)/(AU$34-AT$34)*AU37)*(AU$42&gt;$B$10)+IF(AU$42=$B$10,SUM($F37:AT37)-SUM($F45:AT45)+AU37+(AU$42-AU$34)/(AV$34-AU$34)*AV37,0)</f>
        <v>0</v>
      </c>
      <c r="AV45" s="510">
        <f ca="1">(AV$42=$B$9)*AV37+((AV$42-AV$34)/(AW$34-AV$34)*AW37+(AV$34-AU$42)/(AV$34-AU$34)*AV37)*(AV$42&gt;$B$10)+IF(AV$42=$B$10,SUM($F37:AU37)-SUM($F45:AU45)+AV37+(AV$42-AV$34)/(AW$34-AV$34)*AW37,0)</f>
        <v>0</v>
      </c>
      <c r="AW45" s="510">
        <f ca="1">(AW$42=$B$9)*AW37+((AW$42-AW$34)/(AX$34-AW$34)*AX37+(AW$34-AV$42)/(AW$34-AV$34)*AW37)*(AW$42&gt;$B$10)+IF(AW$42=$B$10,SUM($F37:AV37)-SUM($F45:AV45)+AW37+(AW$42-AW$34)/(AX$34-AW$34)*AX37,0)</f>
        <v>0</v>
      </c>
      <c r="AX45" s="510">
        <f ca="1">(AX$42=$B$9)*AX37+((AX$42-AX$34)/(AY$34-AX$34)*AY37+(AX$34-AW$42)/(AX$34-AW$34)*AX37)*(AX$42&gt;$B$10)+IF(AX$42=$B$10,SUM($F37:AW37)-SUM($F45:AW45)+AX37+(AX$42-AX$34)/(AY$34-AX$34)*AY37,0)</f>
        <v>0</v>
      </c>
      <c r="AY45" s="510">
        <f ca="1">(AY$42=$B$9)*AY37+((AY$42-AY$34)/(AZ$34-AY$34)*AZ37+(AY$34-AX$42)/(AY$34-AX$34)*AY37)*(AY$42&gt;$B$10)+IF(AY$42=$B$10,SUM($F37:AX37)-SUM($F45:AX45)+AY37+(AY$42-AY$34)/(AZ$34-AY$34)*AZ37,0)</f>
        <v>0</v>
      </c>
      <c r="AZ45" s="510">
        <f ca="1">(AZ$42=$B$9)*AZ37+((AZ$42-AZ$34)/(BA$34-AZ$34)*BA37+(AZ$34-AY$42)/(AZ$34-AY$34)*AZ37)*(AZ$42&gt;$B$10)+IF(AZ$42=$B$10,SUM($F37:AY37)-SUM($F45:AY45)+AZ37+(AZ$42-AZ$34)/(BA$34-AZ$34)*BA37,0)</f>
        <v>0</v>
      </c>
      <c r="BA45" s="510">
        <f ca="1">(BA$42=$B$9)*BA37+((BA$42-BA$34)/(BB$34-BA$34)*BB37+(BA$34-AZ$42)/(BA$34-AZ$34)*BA37)*(BA$42&gt;$B$10)+IF(BA$42=$B$10,SUM($F37:AZ37)-SUM($F45:AZ45)+BA37+(BA$42-BA$34)/(BB$34-BA$34)*BB37,0)</f>
        <v>0</v>
      </c>
      <c r="BB45" s="510">
        <f ca="1">(BB$42=$B$9)*BB37+((BB$42-BB$34)/(BC$34-BB$34)*BC37+(BB$34-BA$42)/(BB$34-BA$34)*BB37)*(BB$42&gt;$B$10)+IF(BB$42=$B$10,SUM($F37:BA37)-SUM($F45:BA45)+BB37+(BB$42-BB$34)/(BC$34-BB$34)*BC37,0)</f>
        <v>0</v>
      </c>
      <c r="BC45" s="510">
        <f ca="1">(BC$42=$B$9)*BC37+((BC$42-BC$34)/(BD$34-BC$34)*BD37+(BC$34-BB$42)/(BC$34-BB$34)*BC37)*(BC$42&gt;$B$10)+IF(BC$42=$B$10,SUM($F37:BB37)-SUM($F45:BB45)+BC37+(BC$42-BC$34)/(BD$34-BC$34)*BD37,0)</f>
        <v>0</v>
      </c>
      <c r="BD45" s="510">
        <f ca="1">(BD$42=$B$9)*BD37+((BD$42-BD$34)/(BE$34-BD$34)*BE37+(BD$34-BC$42)/(BD$34-BC$34)*BD37)*(BD$42&gt;$B$10)+IF(BD$42=$B$10,SUM($F37:BC37)-SUM($F45:BC45)+BD37+(BD$42-BD$34)/(BE$34-BD$34)*BE37,0)</f>
        <v>0</v>
      </c>
      <c r="BE45" s="510">
        <f ca="1">(BE$42=$B$9)*BE37+((BE$42-BE$34)/(BF$34-BE$34)*BF37+(BE$34-BD$42)/(BE$34-BD$34)*BE37)*(BE$42&gt;$B$10)+IF(BE$42=$B$10,SUM($F37:BD37)-SUM($F45:BD45)+BE37+(BE$42-BE$34)/(BF$34-BE$34)*BF37,0)</f>
        <v>0</v>
      </c>
      <c r="BF45" s="510">
        <f ca="1">(BF$42=$B$9)*BF37+((BF$42-BF$34)/(BG$34-BF$34)*BG37+(BF$34-BE$42)/(BF$34-BE$34)*BF37)*(BF$42&gt;$B$10)+IF(BF$42=$B$10,SUM($F37:BE37)-SUM($F45:BE45)+BF37+(BF$42-BF$34)/(BG$34-BF$34)*BG37,0)</f>
        <v>0</v>
      </c>
      <c r="BG45" s="510">
        <f ca="1">(BG$42=$B$9)*BG37+((BG$42-BG$34)/(BH$34-BG$34)*BH37+(BG$34-BF$42)/(BG$34-BF$34)*BG37)*(BG$42&gt;$B$10)+IF(BG$42=$B$10,SUM($F37:BF37)-SUM($F45:BF45)+BG37+(BG$42-BG$34)/(BH$34-BG$34)*BH37,0)</f>
        <v>0</v>
      </c>
      <c r="BH45" s="510">
        <f ca="1">(BH$42=$B$9)*BH37+((BH$42-BH$34)/(BI$34-BH$34)*BI37+(BH$34-BG$42)/(BH$34-BG$34)*BH37)*(BH$42&gt;$B$10)+IF(BH$42=$B$10,SUM($F37:BG37)-SUM($F45:BG45)+BH37+(BH$42-BH$34)/(BI$34-BH$34)*BI37,0)</f>
        <v>0</v>
      </c>
      <c r="BI45" s="510">
        <f ca="1">(BI$42=$B$9)*BI37+((BI$42-BI$34)/(BJ$34-BI$34)*BJ37+(BI$34-BH$42)/(BI$34-BH$34)*BI37)*(BI$42&gt;$B$10)+IF(BI$42=$B$10,SUM($F37:BH37)-SUM($F45:BH45)+BI37+(BI$42-BI$34)/(BJ$34-BI$34)*BJ37,0)</f>
        <v>0</v>
      </c>
      <c r="BJ45" s="510">
        <f ca="1">(BJ$42=$B$9)*BJ37+((BJ$42-BJ$34)/(BK$34-BJ$34)*BK37+(BJ$34-BI$42)/(BJ$34-BI$34)*BJ37)*(BJ$42&gt;$B$10)+IF(BJ$42=$B$10,SUM($F37:BI37)-SUM($F45:BI45)+BJ37+(BJ$42-BJ$34)/(BK$34-BJ$34)*BK37,0)</f>
        <v>0</v>
      </c>
      <c r="BK45" s="510">
        <f ca="1">(BK$42=$B$9)*BK37+((BK$42-BK$34)/(BL$34-BK$34)*BL37+(BK$34-BJ$42)/(BK$34-BJ$34)*BK37)*(BK$42&gt;$B$10)+IF(BK$42=$B$10,SUM($F37:BJ37)-SUM($F45:BJ45)+BK37+(BK$42-BK$34)/(BL$34-BK$34)*BL37,0)</f>
        <v>0</v>
      </c>
      <c r="BL45" s="510">
        <f ca="1">(BL$42=$B$9)*BL37+((BL$42-BL$34)/(BM$34-BL$34)*BM37+(BL$34-BK$42)/(BL$34-BK$34)*BL37)*(BL$42&gt;$B$10)+IF(BL$42=$B$10,SUM($F37:BK37)-SUM($F45:BK45)+BL37+(BL$42-BL$34)/(BM$34-BL$34)*BM37,0)</f>
        <v>0</v>
      </c>
      <c r="BM45" s="510">
        <f ca="1">(BM$42=$B$9)*BM37+((BM$42-BM$34)/(BN$34-BM$34)*BN37+(BM$34-BL$42)/(BM$34-BL$34)*BM37)*(BM$42&gt;$B$10)+IF(BM$42=$B$10,SUM($F37:BL37)-SUM($F45:BL45)+BM37+(BM$42-BM$34)/(BN$34-BM$34)*BN37,0)</f>
        <v>0</v>
      </c>
      <c r="BN45" s="510">
        <f ca="1">(BN$42=$B$9)*BN37+((BN$42-BN$34)/(BO$34-BN$34)*BO37+(BN$34-BM$42)/(BN$34-BM$34)*BN37)*(BN$42&gt;$B$10)+IF(BN$42=$B$10,SUM($F37:BM37)-SUM($F45:BM45)+BN37+(BN$42-BN$34)/(BO$34-BN$34)*BO37,0)</f>
        <v>0</v>
      </c>
      <c r="BO45" s="510">
        <f ca="1">(BO$42=$B$9)*BO37+((BO$42-BO$34)/(BP$34-BO$34)*BP37+(BO$34-BN$42)/(BO$34-BN$34)*BO37)*(BO$42&gt;$B$10)+IF(BO$42=$B$10,SUM($F37:BN37)-SUM($F45:BN45)+BO37+(BO$42-BO$34)/(BP$34-BO$34)*BP37,0)</f>
        <v>0</v>
      </c>
      <c r="BP45" s="510">
        <f ca="1">(BP$42=$B$9)*BP37+((BP$42-BP$34)/(BQ$34-BP$34)*BQ37+(BP$34-BO$42)/(BP$34-BO$34)*BP37)*(BP$42&gt;$B$10)+IF(BP$42=$B$10,SUM($F37:BO37)-SUM($F45:BO45)+BP37+(BP$42-BP$34)/(BQ$34-BP$34)*BQ37,0)</f>
        <v>0</v>
      </c>
      <c r="BQ45" s="510">
        <f ca="1">(BQ$42=$B$9)*BQ37+((BQ$42-BQ$34)/(BR$34-BQ$34)*BR37+(BQ$34-BP$42)/(BQ$34-BP$34)*BQ37)*(BQ$42&gt;$B$10)+IF(BQ$42=$B$10,SUM($F37:BP37)-SUM($F45:BP45)+BQ37+(BQ$42-BQ$34)/(BR$34-BQ$34)*BR37,0)</f>
        <v>0</v>
      </c>
      <c r="BR45" s="510">
        <f ca="1">(BR$42=$B$9)*BR37+((BR$42-BR$34)/(BS$34-BR$34)*BS37+(BR$34-BQ$42)/(BR$34-BQ$34)*BR37)*(BR$42&gt;$B$10)+IF(BR$42=$B$10,SUM($F37:BQ37)-SUM($F45:BQ45)+BR37+(BR$42-BR$34)/(BS$34-BR$34)*BS37,0)</f>
        <v>0</v>
      </c>
      <c r="BS45" s="510">
        <f ca="1">(BS$42=$B$9)*BS37+((BS$42-BS$34)/(BT$34-BS$34)*BT37+(BS$34-BR$42)/(BS$34-BR$34)*BS37)*(BS$42&gt;$B$10)+IF(BS$42=$B$10,SUM($F37:BR37)-SUM($F45:BR45)+BS37+(BS$42-BS$34)/(BT$34-BS$34)*BT37,0)</f>
        <v>0</v>
      </c>
      <c r="BT45" s="510">
        <f ca="1">(BT$42=$B$9)*BT37+((BT$42-BT$34)/(BU$34-BT$34)*BU37+(BT$34-BS$42)/(BT$34-BS$34)*BT37)*(BT$42&gt;$B$10)+IF(BT$42=$B$10,SUM($F37:BS37)-SUM($F45:BS45)+BT37+(BT$42-BT$34)/(BU$34-BT$34)*BU37,0)</f>
        <v>0</v>
      </c>
      <c r="BU45" s="510">
        <f ca="1">(BU$42=$B$9)*BU37+((BU$42-BU$34)/(BV$34-BU$34)*BV37+(BU$34-BT$42)/(BU$34-BT$34)*BU37)*(BU$42&gt;$B$10)+IF(BU$42=$B$10,SUM($F37:BT37)-SUM($F45:BT45)+BU37+(BU$42-BU$34)/(BV$34-BU$34)*BV37,0)</f>
        <v>0</v>
      </c>
      <c r="BV45" s="510">
        <f ca="1">(BV$42=$B$9)*BV37+((BV$42-BV$34)/(BW$34-BV$34)*BW37+(BV$34-BU$42)/(BV$34-BU$34)*BV37)*(BV$42&gt;$B$10)+IF(BV$42=$B$10,SUM($F37:BU37)-SUM($F45:BU45)+BV37+(BV$42-BV$34)/(BW$34-BV$34)*BW37,0)</f>
        <v>0</v>
      </c>
      <c r="BW45" s="510">
        <f ca="1">(BW$42=$B$9)*BW37+((BW$42-BW$34)/(BX$34-BW$34)*BX37+(BW$34-BV$42)/(BW$34-BV$34)*BW37)*(BW$42&gt;$B$10)+IF(BW$42=$B$10,SUM($F37:BV37)-SUM($F45:BV45)+BW37+(BW$42-BW$34)/(BX$34-BW$34)*BX37,0)</f>
        <v>0</v>
      </c>
      <c r="BX45" s="510">
        <f ca="1">(BX$42=$B$9)*BX37+((BX$42-BX$34)/(BY$34-BX$34)*BY37+(BX$34-BW$42)/(BX$34-BW$34)*BX37)*(BX$42&gt;$B$10)+IF(BX$42=$B$10,SUM($F37:BW37)-SUM($F45:BW45)+BX37+(BX$42-BX$34)/(BY$34-BX$34)*BY37,0)</f>
        <v>0</v>
      </c>
      <c r="BY45" s="510">
        <f ca="1">(BY$42=$B$9)*BY37+((BY$42-BY$34)/(BZ$34-BY$34)*BZ37+(BY$34-BX$42)/(BY$34-BX$34)*BY37)*(BY$42&gt;$B$10)+IF(BY$42=$B$10,SUM($F37:BX37)-SUM($F45:BX45)+BY37+(BY$42-BY$34)/(BZ$34-BY$34)*BZ37,0)</f>
        <v>0</v>
      </c>
      <c r="BZ45" s="510">
        <f ca="1">(BZ$42=$B$9)*BZ37+((BZ$42-BZ$34)/(CA$34-BZ$34)*CA37+(BZ$34-BY$42)/(BZ$34-BY$34)*BZ37)*(BZ$42&gt;$B$10)+IF(BZ$42=$B$10,SUM($F37:BY37)-SUM($F45:BY45)+BZ37+(BZ$42-BZ$34)/(CA$34-BZ$34)*CA37,0)</f>
        <v>0</v>
      </c>
      <c r="CA45" s="510">
        <f ca="1">(CA$42=$B$9)*CA37+((CA$42-CA$34)/(CB$34-CA$34)*CB37+(CA$34-BZ$42)/(CA$34-BZ$34)*CA37)*(CA$42&gt;$B$10)+IF(CA$42=$B$10,SUM($F37:BZ37)-SUM($F45:BZ45)+CA37+(CA$42-CA$34)/(CB$34-CA$34)*CB37,0)</f>
        <v>0</v>
      </c>
      <c r="CB45" s="510">
        <f ca="1">(CB$42=$B$9)*CB37+((CB$42-CB$34)/(CC$34-CB$34)*CC37+(CB$34-CA$42)/(CB$34-CA$34)*CB37)*(CB$42&gt;$B$10)+IF(CB$42=$B$10,SUM($F37:CA37)-SUM($F45:CA45)+CB37+(CB$42-CB$34)/(CC$34-CB$34)*CC37,0)</f>
        <v>0</v>
      </c>
      <c r="CC45" s="510">
        <f ca="1">(CC$42=$B$9)*CC37+((CC$42-CC$34)/(CD$34-CC$34)*CD37+(CC$34-CB$42)/(CC$34-CB$34)*CC37)*(CC$42&gt;$B$10)+IF(CC$42=$B$10,SUM($F37:CB37)-SUM($F45:CB45)+CC37+(CC$42-CC$34)/(CD$34-CC$34)*CD37,0)</f>
        <v>0</v>
      </c>
      <c r="CD45" s="510">
        <f ca="1">(CD$42=$B$9)*CD37+((CD$42-CD$34)/(CE$34-CD$34)*CE37+(CD$34-CC$42)/(CD$34-CC$34)*CD37)*(CD$42&gt;$B$10)+IF(CD$42=$B$10,SUM($F37:CC37)-SUM($F45:CC45)+CD37+(CD$42-CD$34)/(CE$34-CD$34)*CE37,0)</f>
        <v>0</v>
      </c>
      <c r="CE45" s="510">
        <f ca="1">(CE$42=$B$9)*CE37+((CE$42-CE$34)/(CF$34-CE$34)*CF37+(CE$34-CD$42)/(CE$34-CD$34)*CE37)*(CE$42&gt;$B$10)+IF(CE$42=$B$10,SUM($F37:CD37)-SUM($F45:CD45)+CE37+(CE$42-CE$34)/(CF$34-CE$34)*CF37,0)</f>
        <v>0</v>
      </c>
      <c r="CF45" s="510">
        <f ca="1">(CF$42=$B$9)*CF37+((CF$42-CF$34)/(CG$34-CF$34)*CG37+(CF$34-CE$42)/(CF$34-CE$34)*CF37)*(CF$42&gt;$B$10)+IF(CF$42=$B$10,SUM($F37:CE37)-SUM($F45:CE45)+CF37+(CF$42-CF$34)/(CG$34-CF$34)*CG37,0)</f>
        <v>0</v>
      </c>
      <c r="CG45" s="510">
        <f ca="1">(CG$42=$B$9)*CG37+((CG$42-CG$34)/(CH$34-CG$34)*CH37+(CG$34-CF$42)/(CG$34-CF$34)*CG37)*(CG$42&gt;$B$10)+IF(CG$42=$B$10,SUM($F37:CF37)-SUM($F45:CF45)+CG37+(CG$42-CG$34)/(CH$34-CG$34)*CH37,0)</f>
        <v>0</v>
      </c>
      <c r="CH45" s="510">
        <f ca="1">(CH$42=$B$9)*CH37+((CH$42-CH$34)/(CI$34-CH$34)*CI37+(CH$34-CG$42)/(CH$34-CG$34)*CH37)*(CH$42&gt;$B$10)+IF(CH$42=$B$10,SUM($F37:CG37)-SUM($F45:CG45)+CH37+(CH$42-CH$34)/(CI$34-CH$34)*CI37,0)</f>
        <v>0</v>
      </c>
      <c r="CI45" s="510">
        <f ca="1">(CI$42=$B$9)*CI37+((CI$42-CI$34)/(CJ$34-CI$34)*CJ37+(CI$34-CH$42)/(CI$34-CH$34)*CI37)*(CI$42&gt;$B$10)+IF(CI$42=$B$10,SUM($F37:CH37)-SUM($F45:CH45)+CI37+(CI$42-CI$34)/(CJ$34-CI$34)*CJ37,0)</f>
        <v>0</v>
      </c>
      <c r="CJ45" s="510">
        <f ca="1">(CJ$42=$B$9)*CJ37+((CJ$42-CJ$34)/(CK$34-CJ$34)*CK37+(CJ$34-CI$42)/(CJ$34-CI$34)*CJ37)*(CJ$42&gt;$B$10)+IF(CJ$42=$B$10,SUM($F37:CI37)-SUM($F45:CI45)+CJ37+(CJ$42-CJ$34)/(CK$34-CJ$34)*CK37,0)</f>
        <v>0</v>
      </c>
      <c r="CK45" s="510">
        <f ca="1">(CK$42=$B$9)*CK37+((CK$42-CK$34)/(CL$34-CK$34)*CL37+(CK$34-CJ$42)/(CK$34-CJ$34)*CK37)*(CK$42&gt;$B$10)+IF(CK$42=$B$10,SUM($F37:CJ37)-SUM($F45:CJ45)+CK37+(CK$42-CK$34)/(CL$34-CK$34)*CL37,0)</f>
        <v>0</v>
      </c>
      <c r="CL45" s="510">
        <f ca="1">(CL$42=$B$9)*CL37+((CL$42-CL$34)/(CM$34-CL$34)*CM37+(CL$34-CK$42)/(CL$34-CK$34)*CL37)*(CL$42&gt;$B$10)+IF(CL$42=$B$10,SUM($F37:CK37)-SUM($F45:CK45)+CL37+(CL$42-CL$34)/(CM$34-CL$34)*CM37,0)</f>
        <v>0</v>
      </c>
      <c r="CM45" s="510">
        <f ca="1">(CM$42=$B$9)*CM37+((CM$42-CM$34)/(CN$34-CM$34)*CN37+(CM$34-CL$42)/(CM$34-CL$34)*CM37)*(CM$42&gt;$B$10)+IF(CM$42=$B$10,SUM($F37:CL37)-SUM($F45:CL45)+CM37+(CM$42-CM$34)/(CN$34-CM$34)*CN37,0)</f>
        <v>0</v>
      </c>
      <c r="CN45" s="510">
        <f ca="1">(CN$42=$B$9)*CN37+((CN$42-CN$34)/(CO$34-CN$34)*CO37+(CN$34-CM$42)/(CN$34-CM$34)*CN37)*(CN$42&gt;$B$10)+IF(CN$42=$B$10,SUM($F37:CM37)-SUM($F45:CM45)+CN37+(CN$42-CN$34)/(CO$34-CN$34)*CO37,0)</f>
        <v>0</v>
      </c>
      <c r="CO45" s="510">
        <f ca="1">(CO$42=$B$9)*CO37+((CO$42-CO$34)/(CP$34-CO$34)*CP37+(CO$34-CN$42)/(CO$34-CN$34)*CO37)*(CO$42&gt;$B$10)+IF(CO$42=$B$10,SUM($F37:CN37)-SUM($F45:CN45)+CO37+(CO$42-CO$34)/(CP$34-CO$34)*CP37,0)</f>
        <v>0</v>
      </c>
      <c r="CP45" s="510">
        <f ca="1">(CP$42=$B$9)*CP37+((CP$42-CP$34)/(CQ$34-CP$34)*CQ37+(CP$34-CO$42)/(CP$34-CO$34)*CP37)*(CP$42&gt;$B$10)+IF(CP$42=$B$10,SUM($F37:CO37)-SUM($F45:CO45)+CP37+(CP$42-CP$34)/(CQ$34-CP$34)*CQ37,0)</f>
        <v>0</v>
      </c>
      <c r="CQ45" s="510">
        <f ca="1">(CQ$42=$B$9)*CQ37+((CQ$42-CQ$34)/(CR$34-CQ$34)*CR37+(CQ$34-CP$42)/(CQ$34-CP$34)*CQ37)*(CQ$42&gt;$B$10)+IF(CQ$42=$B$10,SUM($F37:CP37)-SUM($F45:CP45)+CQ37+(CQ$42-CQ$34)/(CR$34-CQ$34)*CR37,0)</f>
        <v>0</v>
      </c>
      <c r="CR45" s="510">
        <f ca="1">(CR$42=$B$9)*CR37+((CR$42-CR$34)/(CS$34-CR$34)*CS37+(CR$34-CQ$42)/(CR$34-CQ$34)*CR37)*(CR$42&gt;$B$10)+IF(CR$42=$B$10,SUM($F37:CQ37)-SUM($F45:CQ45)+CR37+(CR$42-CR$34)/(CS$34-CR$34)*CS37,0)</f>
        <v>0</v>
      </c>
      <c r="CS45" s="510">
        <f ca="1">(CS$42=$B$9)*CS37+((CS$42-CS$34)/(CT$34-CS$34)*CT37+(CS$34-CR$42)/(CS$34-CR$34)*CS37)*(CS$42&gt;$B$10)+IF(CS$42=$B$10,SUM($F37:CR37)-SUM($F45:CR45)+CS37+(CS$42-CS$34)/(CT$34-CS$34)*CT37,0)</f>
        <v>0</v>
      </c>
      <c r="CT45" s="510">
        <f ca="1">(CT$42=$B$9)*CT37+((CT$42-CT$34)/(CU$34-CT$34)*CU37+(CT$34-CS$42)/(CT$34-CS$34)*CT37)*(CT$42&gt;$B$10)+IF(CT$42=$B$10,SUM($F37:CS37)-SUM($F45:CS45)+CT37+(CT$42-CT$34)/(CU$34-CT$34)*CU37,0)</f>
        <v>0</v>
      </c>
      <c r="CU45" s="510">
        <f ca="1">(CU$42=$B$9)*CU37+((CU$42-CU$34)/(CV$34-CU$34)*CV37+(CU$34-CT$42)/(CU$34-CT$34)*CU37)*(CU$42&gt;$B$10)+IF(CU$42=$B$10,SUM($F37:CT37)-SUM($F45:CT45)+CU37+(CU$42-CU$34)/(CV$34-CU$34)*CV37,0)</f>
        <v>0</v>
      </c>
      <c r="CV45" s="510">
        <f ca="1">(CV$42=$B$9)*CV37+((CV$42-CV$34)/(CW$34-CV$34)*CW37+(CV$34-CU$42)/(CV$34-CU$34)*CV37)*(CV$42&gt;$B$10)+IF(CV$42=$B$10,SUM($F37:CU37)-SUM($F45:CU45)+CV37+(CV$42-CV$34)/(CW$34-CV$34)*CW37,0)</f>
        <v>0</v>
      </c>
      <c r="CW45" s="510">
        <f ca="1">(CW$42=$B$9)*CW37+((CW$42-CW$34)/(CX$34-CW$34)*CX37+(CW$34-CV$42)/(CW$34-CV$34)*CW37)*(CW$42&gt;$B$10)+IF(CW$42=$B$10,SUM($F37:CV37)-SUM($F45:CV45)+CW37+(CW$42-CW$34)/(CX$34-CW$34)*CX37,0)</f>
        <v>0</v>
      </c>
      <c r="CX45" s="510">
        <f ca="1">(CX$42=$B$9)*CX37+((CX$42-CX$34)/(CY$34-CX$34)*CY37+(CX$34-CW$42)/(CX$34-CW$34)*CX37)*(CX$42&gt;$B$10)+IF(CX$42=$B$10,SUM($F37:CW37)-SUM($F45:CW45)+CX37+(CX$42-CX$34)/(CY$34-CX$34)*CY37,0)</f>
        <v>0</v>
      </c>
      <c r="CY45" s="510">
        <f ca="1">(CY$42=$B$9)*CY37+((CY$42-CY$34)/(CZ$34-CY$34)*CZ37+(CY$34-CX$42)/(CY$34-CX$34)*CY37)*(CY$42&gt;$B$10)+IF(CY$42=$B$10,SUM($F37:CX37)-SUM($F45:CX45)+CY37+(CY$42-CY$34)/(CZ$34-CY$34)*CZ37,0)</f>
        <v>0</v>
      </c>
      <c r="CZ45" s="510">
        <f ca="1">(CZ$42=$B$9)*CZ37+((CZ$42-CZ$34)/(DA$34-CZ$34)*DA37+(CZ$34-CY$42)/(CZ$34-CY$34)*CZ37)*(CZ$42&gt;$B$10)+IF(CZ$42=$B$10,SUM($F37:CY37)-SUM($F45:CY45)+CZ37+(CZ$42-CZ$34)/(DA$34-CZ$34)*DA37,0)</f>
        <v>0</v>
      </c>
      <c r="DA45" s="510">
        <f ca="1">(DA$42=$B$9)*DA37+((DA$42-DA$34)/(DB$34-DA$34)*DB37+(DA$34-CZ$42)/(DA$34-CZ$34)*DA37)*(DA$42&gt;$B$10)+IF(DA$42=$B$10,SUM($F37:CZ37)-SUM($F45:CZ45)+DA37+(DA$42-DA$34)/(DB$34-DA$34)*DB37,0)</f>
        <v>0</v>
      </c>
      <c r="DB45" s="510">
        <f ca="1">(DB$42=$B$9)*DB37+((DB$42-DB$34)/(DC$34-DB$34)*DC37+(DB$34-DA$42)/(DB$34-DA$34)*DB37)*(DB$42&gt;$B$10)+IF(DB$42=$B$10,SUM($F37:DA37)-SUM($F45:DA45)+DB37+(DB$42-DB$34)/(DC$34-DB$34)*DC37,0)</f>
        <v>0</v>
      </c>
      <c r="DC45" s="510">
        <f ca="1">(DC$42=$B$9)*DC37+((DC$42-DC$34)/(DD$34-DC$34)*DD37+(DC$34-DB$42)/(DC$34-DB$34)*DC37)*(DC$42&gt;$B$10)+IF(DC$42=$B$10,SUM($F37:DB37)-SUM($F45:DB45)+DC37+(DC$42-DC$34)/(DD$34-DC$34)*DD37,0)</f>
        <v>0</v>
      </c>
      <c r="DD45" s="510">
        <f ca="1">(DD$42=$B$9)*DD37+((DD$42-DD$34)/(DE$34-DD$34)*DE37+(DD$34-DC$42)/(DD$34-DC$34)*DD37)*(DD$42&gt;$B$10)+IF(DD$42=$B$10,SUM($F37:DC37)-SUM($F45:DC45)+DD37+(DD$42-DD$34)/(DE$34-DD$34)*DE37,0)</f>
        <v>0</v>
      </c>
      <c r="DE45" s="510">
        <f ca="1">(DE$42=$B$9)*DE37+((DE$42-DE$34)/(DF$34-DE$34)*DF37+(DE$34-DD$42)/(DE$34-DD$34)*DE37)*(DE$42&gt;$B$10)+IF(DE$42=$B$10,SUM($F37:DD37)-SUM($F45:DD45)+DE37+(DE$42-DE$34)/(DF$34-DE$34)*DF37,0)</f>
        <v>0</v>
      </c>
      <c r="DF45" s="510">
        <f ca="1">(DF$42=$B$9)*DF37+((DF$42-DF$34)/(DG$34-DF$34)*DG37+(DF$34-DE$42)/(DF$34-DE$34)*DF37)*(DF$42&gt;$B$10)+IF(DF$42=$B$10,SUM($F37:DE37)-SUM($F45:DE45)+DF37+(DF$42-DF$34)/(DG$34-DF$34)*DG37,0)</f>
        <v>0</v>
      </c>
      <c r="DG45" s="510">
        <f ca="1">(DG$42=$B$9)*DG37+((DG$42-DG$34)/(DH$34-DG$34)*DH37+(DG$34-DF$42)/(DG$34-DF$34)*DG37)*(DG$42&gt;$B$10)+IF(DG$42=$B$10,SUM($F37:DF37)-SUM($F45:DF45)+DG37+(DG$42-DG$34)/(DH$34-DG$34)*DH37,0)</f>
        <v>0</v>
      </c>
      <c r="DH45" s="510">
        <f ca="1">(DH$42=$B$9)*DH37+((DH$42-DH$34)/(DI$34-DH$34)*DI37+(DH$34-DG$42)/(DH$34-DG$34)*DH37)*(DH$42&gt;$B$10)+IF(DH$42=$B$10,SUM($F37:DG37)-SUM($F45:DG45)+DH37+(DH$42-DH$34)/(DI$34-DH$34)*DI37,0)</f>
        <v>0</v>
      </c>
      <c r="DI45" s="510">
        <f ca="1">(DI$42=$B$9)*DI37+((DI$42-DI$34)/(DJ$34-DI$34)*DJ37+(DI$34-DH$42)/(DI$34-DH$34)*DI37)*(DI$42&gt;$B$10)+IF(DI$42=$B$10,SUM($F37:DH37)-SUM($F45:DH45)+DI37+(DI$42-DI$34)/(DJ$34-DI$34)*DJ37,0)</f>
        <v>0</v>
      </c>
      <c r="DJ45" s="510">
        <f ca="1">(DJ$42=$B$9)*DJ37+((DJ$42-DJ$34)/(DK$34-DJ$34)*DK37+(DJ$34-DI$42)/(DJ$34-DI$34)*DJ37)*(DJ$42&gt;$B$10)+IF(DJ$42=$B$10,SUM($F37:DI37)-SUM($F45:DI45)+DJ37+(DJ$42-DJ$34)/(DK$34-DJ$34)*DK37,0)</f>
        <v>0</v>
      </c>
      <c r="DK45" s="510">
        <f ca="1">(DK$42=$B$9)*DK37+((DK$42-DK$34)/(DL$34-DK$34)*DL37+(DK$34-DJ$42)/(DK$34-DJ$34)*DK37)*(DK$42&gt;$B$10)+IF(DK$42=$B$10,SUM($F37:DJ37)-SUM($F45:DJ45)+DK37+(DK$42-DK$34)/(DL$34-DK$34)*DL37,0)</f>
        <v>0</v>
      </c>
      <c r="DL45" s="510">
        <f ca="1">(DL$42=$B$9)*DL37+((DL$42-DL$34)/(DM$34-DL$34)*DM37+(DL$34-DK$42)/(DL$34-DK$34)*DL37)*(DL$42&gt;$B$10)+IF(DL$42=$B$10,SUM($F37:DK37)-SUM($F45:DK45)+DL37+(DL$42-DL$34)/(DM$34-DL$34)*DM37,0)</f>
        <v>0</v>
      </c>
      <c r="DM45" s="510">
        <f ca="1">(DM$42=$B$9)*DM37+((DM$42-DM$34)/(DN$34-DM$34)*DN37+(DM$34-DL$42)/(DM$34-DL$34)*DM37)*(DM$42&gt;$B$10)+IF(DM$42=$B$10,SUM($F37:DL37)-SUM($F45:DL45)+DM37+(DM$42-DM$34)/(DN$34-DM$34)*DN37,0)</f>
        <v>0</v>
      </c>
      <c r="DN45" s="510">
        <f ca="1">(DN$42=$B$9)*DN37+((DN$42-DN$34)/(DO$34-DN$34)*DO37+(DN$34-DM$42)/(DN$34-DM$34)*DN37)*(DN$42&gt;$B$10)+IF(DN$42=$B$10,SUM($F37:DM37)-SUM($F45:DM45)+DN37+(DN$42-DN$34)/(DO$34-DN$34)*DO37,0)</f>
        <v>0</v>
      </c>
      <c r="DO45" s="510">
        <f ca="1">(DO$42=$B$9)*DO37+((DO$42-DO$34)/(DP$34-DO$34)*DP37+(DO$34-DN$42)/(DO$34-DN$34)*DO37)*(DO$42&gt;$B$10)+IF(DO$42=$B$10,SUM($F37:DN37)-SUM($F45:DN45)+DO37+(DO$42-DO$34)/(DP$34-DO$34)*DP37,0)</f>
        <v>0</v>
      </c>
      <c r="DP45" s="510">
        <f ca="1">(DP$42=$B$9)*DP37+((DP$42-DP$34)/(DQ$34-DP$34)*DQ37+(DP$34-DO$42)/(DP$34-DO$34)*DP37)*(DP$42&gt;$B$10)+IF(DP$42=$B$10,SUM($F37:DO37)-SUM($F45:DO45)+DP37+(DP$42-DP$34)/(DQ$34-DP$34)*DQ37,0)</f>
        <v>0</v>
      </c>
      <c r="DQ45" s="510">
        <f ca="1">(DQ$42=$B$9)*DQ37+((DQ$42-DQ$34)/(DR$34-DQ$34)*DR37+(DQ$34-DP$42)/(DQ$34-DP$34)*DQ37)*(DQ$42&gt;$B$10)+IF(DQ$42=$B$10,SUM($F37:DP37)-SUM($F45:DP45)+DQ37+(DQ$42-DQ$34)/(DR$34-DQ$34)*DR37,0)</f>
        <v>0</v>
      </c>
      <c r="DR45" s="510">
        <f ca="1">(DR$42=$B$9)*DR37+((DR$42-DR$34)/(DS$34-DR$34)*DS37+(DR$34-DQ$42)/(DR$34-DQ$34)*DR37)*(DR$42&gt;$B$10)+IF(DR$42=$B$10,SUM($F37:DQ37)-SUM($F45:DQ45)+DR37+(DR$42-DR$34)/(DS$34-DR$34)*DS37,0)</f>
        <v>0</v>
      </c>
      <c r="DS45" s="510">
        <f ca="1">(DS$42=$B$9)*DS37+((DS$42-DS$34)/(DT$34-DS$34)*DT37+(DS$34-DR$42)/(DS$34-DR$34)*DS37)*(DS$42&gt;$B$10)+IF(DS$42=$B$10,SUM($F37:DR37)-SUM($F45:DR45)+DS37+(DS$42-DS$34)/(DT$34-DS$34)*DT37,0)</f>
        <v>0</v>
      </c>
      <c r="DT45" s="510">
        <f ca="1">(DT$42=$B$9)*DT37+((DT$42-DT$34)/(DU$34-DT$34)*DU37+(DT$34-DS$42)/(DT$34-DS$34)*DT37)*(DT$42&gt;$B$10)+IF(DT$42=$B$10,SUM($F37:DS37)-SUM($F45:DS45)+DT37+(DT$42-DT$34)/(DU$34-DT$34)*DU37,0)</f>
        <v>0</v>
      </c>
      <c r="DU45" s="510">
        <f ca="1">(DU$42=$B$9)*DU37+((DU$42-DU$34)/(DV$34-DU$34)*DV37+(DU$34-DT$42)/(DU$34-DT$34)*DU37)*(DU$42&gt;$B$10)+IF(DU$42=$B$10,SUM($F37:DT37)-SUM($F45:DT45)+DU37+(DU$42-DU$34)/(DV$34-DU$34)*DV37,0)</f>
        <v>0</v>
      </c>
      <c r="DV45" s="510">
        <f ca="1">(DV$42=$B$9)*DV37+((DV$42-DV$34)/(DW$34-DV$34)*DW37+(DV$34-DU$42)/(DV$34-DU$34)*DV37)*(DV$42&gt;$B$10)+IF(DV$42=$B$10,SUM($F37:DU37)-SUM($F45:DU45)+DV37+(DV$42-DV$34)/(DW$34-DV$34)*DW37,0)</f>
        <v>0</v>
      </c>
      <c r="DW45" s="510">
        <f ca="1">(DW$42=$B$9)*DW37+((DW$42-DW$34)/(DX$34-DW$34)*DX37+(DW$34-DV$42)/(DW$34-DV$34)*DW37)*(DW$42&gt;$B$10)+IF(DW$42=$B$10,SUM($F37:DV37)-SUM($F45:DV45)+DW37+(DW$42-DW$34)/(DX$34-DW$34)*DX37,0)</f>
        <v>0</v>
      </c>
    </row>
    <row r="46" spans="1:131">
      <c r="A46" s="1019" t="str">
        <f>A38</f>
        <v>Gross Dividends</v>
      </c>
      <c r="B46" s="971"/>
      <c r="C46" s="971"/>
      <c r="D46" s="471"/>
      <c r="E46" s="471"/>
      <c r="F46" s="611"/>
      <c r="G46" s="510">
        <f ca="1">(G$42=$B$9)*G38+((G$42-G$34)/(H$34-G$34)*H38+(G$34-F$42)/(G$34-F$34)*G38)*(G$42&gt;$B$10)+IF(G$42=$B$10,SUM($F38:F38)-SUM($F46:F46)+G38+(G$42-G$34)/(H$34-G$34)*H38,0)</f>
        <v>0</v>
      </c>
      <c r="H46" s="510">
        <f ca="1">(H$42=$B$9)*H38+((H$42-H$34)/(I$34-H$34)*I38+(H$34-G$42)/(H$34-G$34)*H38)*(H$42&gt;$B$10)+IF(H$42=$B$10,SUM($F38:G38)-SUM($F46:G46)+H38+(H$42-H$34)/(I$34-H$34)*I38,0)</f>
        <v>0</v>
      </c>
      <c r="I46" s="510">
        <f ca="1">(I$42=$B$9)*I38+((I$42-I$34)/(J$34-I$34)*J38+(I$34-H$42)/(I$34-H$34)*I38)*(I$42&gt;$B$10)+IF(I$42=$B$10,SUM($F38:H38)-SUM($F46:H46)+I38+(I$42-I$34)/(J$34-I$34)*J38,0)</f>
        <v>0</v>
      </c>
      <c r="J46" s="510">
        <f ca="1">(J$42=$B$9)*J38+((J$42-J$34)/(K$34-J$34)*K38+(J$34-I$42)/(J$34-I$34)*J38)*(J$42&gt;$B$10)+IF(J$42=$B$10,SUM($F38:I38)-SUM($F46:I46)+J38+(J$42-J$34)/(K$34-J$34)*K38,0)</f>
        <v>0</v>
      </c>
      <c r="K46" s="510">
        <f ca="1">(K$42=$B$9)*K38+((K$42-K$34)/(L$34-K$34)*L38+(K$34-J$42)/(K$34-J$34)*K38)*(K$42&gt;$B$10)+IF(K$42=$B$10,SUM($F38:J38)-SUM($F46:J46)+K38+(K$42-K$34)/(L$34-K$34)*L38,0)</f>
        <v>0</v>
      </c>
      <c r="L46" s="510">
        <f ca="1">(L$42=$B$9)*L38+((L$42-L$34)/(M$34-L$34)*M38+(L$34-K$42)/(L$34-K$34)*L38)*(L$42&gt;$B$10)+IF(L$42=$B$10,SUM($F38:K38)-SUM($F46:K46)+L38+(L$42-L$34)/(M$34-L$34)*M38,0)</f>
        <v>0</v>
      </c>
      <c r="M46" s="510">
        <f ca="1">(M$42=$B$9)*M38+((M$42-M$34)/(N$34-M$34)*N38+(M$34-L$42)/(M$34-L$34)*M38)*(M$42&gt;$B$10)+IF(M$42=$B$10,SUM($F38:L38)-SUM($F46:L46)+M38+(M$42-M$34)/(N$34-M$34)*N38,0)</f>
        <v>0</v>
      </c>
      <c r="N46" s="510">
        <f ca="1">(N$42=$B$9)*N38+((N$42-N$34)/(O$34-N$34)*O38+(N$34-M$42)/(N$34-M$34)*N38)*(N$42&gt;$B$10)+IF(N$42=$B$10,SUM($F38:M38)-SUM($F46:M46)+N38+(N$42-N$34)/(O$34-N$34)*O38,0)</f>
        <v>0</v>
      </c>
      <c r="O46" s="510">
        <f ca="1">(O$42=$B$9)*O38+((O$42-O$34)/(P$34-O$34)*P38+(O$34-N$42)/(O$34-N$34)*O38)*(O$42&gt;$B$10)+IF(O$42=$B$10,SUM($F38:N38)-SUM($F46:N46)+O38+(O$42-O$34)/(P$34-O$34)*P38,0)</f>
        <v>0</v>
      </c>
      <c r="P46" s="510">
        <f ca="1">(P$42=$B$9)*P38+((P$42-P$34)/(Q$34-P$34)*Q38+(P$34-O$42)/(P$34-O$34)*P38)*(P$42&gt;$B$10)+IF(P$42=$B$10,SUM($F38:O38)-SUM($F46:O46)+P38+(P$42-P$34)/(Q$34-P$34)*Q38,0)</f>
        <v>0</v>
      </c>
      <c r="Q46" s="510">
        <f ca="1">(Q$42=$B$9)*Q38+((Q$42-Q$34)/(R$34-Q$34)*R38+(Q$34-P$42)/(Q$34-P$34)*Q38)*(Q$42&gt;$B$10)+IF(Q$42=$B$10,SUM($F38:P38)-SUM($F46:P46)+Q38+(Q$42-Q$34)/(R$34-Q$34)*R38,0)</f>
        <v>0</v>
      </c>
      <c r="R46" s="510">
        <f ca="1">(R$42=$B$9)*R38+((R$42-R$34)/(S$34-R$34)*S38+(R$34-Q$42)/(R$34-Q$34)*R38)*(R$42&gt;$B$10)+IF(R$42=$B$10,SUM($F38:Q38)-SUM($F46:Q46)+R38+(R$42-R$34)/(S$34-R$34)*S38,0)</f>
        <v>0</v>
      </c>
      <c r="S46" s="510">
        <f ca="1">(S$42=$B$9)*S38+((S$42-S$34)/(T$34-S$34)*T38+(S$34-R$42)/(S$34-R$34)*S38)*(S$42&gt;$B$10)+IF(S$42=$B$10,SUM($F38:R38)-SUM($F46:R46)+S38+(S$42-S$34)/(T$34-S$34)*T38,0)</f>
        <v>0</v>
      </c>
      <c r="T46" s="510">
        <f ca="1">(T$42=$B$9)*T38+((T$42-T$34)/(U$34-T$34)*U38+(T$34-S$42)/(T$34-S$34)*T38)*(T$42&gt;$B$10)+IF(T$42=$B$10,SUM($F38:S38)-SUM($F46:S46)+T38+(T$42-T$34)/(U$34-T$34)*U38,0)</f>
        <v>0</v>
      </c>
      <c r="U46" s="510">
        <f ca="1">(U$42=$B$9)*U38+((U$42-U$34)/(V$34-U$34)*V38+(U$34-T$42)/(U$34-T$34)*U38)*(U$42&gt;$B$10)+IF(U$42=$B$10,SUM($F38:T38)-SUM($F46:T46)+U38+(U$42-U$34)/(V$34-U$34)*V38,0)</f>
        <v>0</v>
      </c>
      <c r="V46" s="510">
        <f ca="1">(V$42=$B$9)*V38+((V$42-V$34)/(W$34-V$34)*W38+(V$34-U$42)/(V$34-U$34)*V38)*(V$42&gt;$B$10)+IF(V$42=$B$10,SUM($F38:U38)-SUM($F46:U46)+V38+(V$42-V$34)/(W$34-V$34)*W38,0)</f>
        <v>0</v>
      </c>
      <c r="W46" s="510">
        <f ca="1">(W$42=$B$9)*W38+((W$42-W$34)/(X$34-W$34)*X38+(W$34-V$42)/(W$34-V$34)*W38)*(W$42&gt;$B$10)+IF(W$42=$B$10,SUM($F38:V38)-SUM($F46:V46)+W38+(W$42-W$34)/(X$34-W$34)*X38,0)</f>
        <v>0</v>
      </c>
      <c r="X46" s="510">
        <f ca="1">(X$42=$B$9)*X38+((X$42-X$34)/(Y$34-X$34)*Y38+(X$34-W$42)/(X$34-W$34)*X38)*(X$42&gt;$B$10)+IF(X$42=$B$10,SUM($F38:W38)-SUM($F46:W46)+X38+(X$42-X$34)/(Y$34-X$34)*Y38,0)</f>
        <v>0</v>
      </c>
      <c r="Y46" s="510">
        <f ca="1">(Y$42=$B$9)*Y38+((Y$42-Y$34)/(Z$34-Y$34)*Z38+(Y$34-X$42)/(Y$34-X$34)*Y38)*(Y$42&gt;$B$10)+IF(Y$42=$B$10,SUM($F38:X38)-SUM($F46:X46)+Y38+(Y$42-Y$34)/(Z$34-Y$34)*Z38,0)</f>
        <v>0</v>
      </c>
      <c r="Z46" s="510">
        <f ca="1">(Z$42=$B$9)*Z38+((Z$42-Z$34)/(AA$34-Z$34)*AA38+(Z$34-Y$42)/(Z$34-Y$34)*Z38)*(Z$42&gt;$B$10)+IF(Z$42=$B$10,SUM($F38:Y38)-SUM($F46:Y46)+Z38+(Z$42-Z$34)/(AA$34-Z$34)*AA38,0)</f>
        <v>0</v>
      </c>
      <c r="AA46" s="510">
        <f ca="1">(AA$42=$B$9)*AA38+((AA$42-AA$34)/(AB$34-AA$34)*AB38+(AA$34-Z$42)/(AA$34-Z$34)*AA38)*(AA$42&gt;$B$10)+IF(AA$42=$B$10,SUM($F38:Z38)-SUM($F46:Z46)+AA38+(AA$42-AA$34)/(AB$34-AA$34)*AB38,0)</f>
        <v>0</v>
      </c>
      <c r="AB46" s="510">
        <f ca="1">(AB$42=$B$9)*AB38+((AB$42-AB$34)/(AC$34-AB$34)*AC38+(AB$34-AA$42)/(AB$34-AA$34)*AB38)*(AB$42&gt;$B$10)+IF(AB$42=$B$10,SUM($F38:AA38)-SUM($F46:AA46)+AB38+(AB$42-AB$34)/(AC$34-AB$34)*AC38,0)</f>
        <v>0</v>
      </c>
      <c r="AC46" s="510">
        <f ca="1">(AC$42=$B$9)*AC38+((AC$42-AC$34)/(AD$34-AC$34)*AD38+(AC$34-AB$42)/(AC$34-AB$34)*AC38)*(AC$42&gt;$B$10)+IF(AC$42=$B$10,SUM($F38:AB38)-SUM($F46:AB46)+AC38+(AC$42-AC$34)/(AD$34-AC$34)*AD38,0)</f>
        <v>0</v>
      </c>
      <c r="AD46" s="510">
        <f ca="1">(AD$42=$B$9)*AD38+((AD$42-AD$34)/(AE$34-AD$34)*AE38+(AD$34-AC$42)/(AD$34-AC$34)*AD38)*(AD$42&gt;$B$10)+IF(AD$42=$B$10,SUM($F38:AC38)-SUM($F46:AC46)+AD38+(AD$42-AD$34)/(AE$34-AD$34)*AE38,0)</f>
        <v>0</v>
      </c>
      <c r="AE46" s="510">
        <f ca="1">(AE$42=$B$9)*AE38+((AE$42-AE$34)/(AF$34-AE$34)*AF38+(AE$34-AD$42)/(AE$34-AD$34)*AE38)*(AE$42&gt;$B$10)+IF(AE$42=$B$10,SUM($F38:AD38)-SUM($F46:AD46)+AE38+(AE$42-AE$34)/(AF$34-AE$34)*AF38,0)</f>
        <v>0</v>
      </c>
      <c r="AF46" s="510">
        <f ca="1">(AF$42=$B$9)*AF38+((AF$42-AF$34)/(AG$34-AF$34)*AG38+(AF$34-AE$42)/(AF$34-AE$34)*AF38)*(AF$42&gt;$B$10)+IF(AF$42=$B$10,SUM($F38:AE38)-SUM($F46:AE46)+AF38+(AF$42-AF$34)/(AG$34-AF$34)*AG38,0)</f>
        <v>0</v>
      </c>
      <c r="AG46" s="510">
        <f ca="1">(AG$42=$B$9)*AG38+((AG$42-AG$34)/(AH$34-AG$34)*AH38+(AG$34-AF$42)/(AG$34-AF$34)*AG38)*(AG$42&gt;$B$10)+IF(AG$42=$B$10,SUM($F38:AF38)-SUM($F46:AF46)+AG38+(AG$42-AG$34)/(AH$34-AG$34)*AH38,0)</f>
        <v>0</v>
      </c>
      <c r="AH46" s="510">
        <f ca="1">(AH$42=$B$9)*AH38+((AH$42-AH$34)/(AI$34-AH$34)*AI38+(AH$34-AG$42)/(AH$34-AG$34)*AH38)*(AH$42&gt;$B$10)+IF(AH$42=$B$10,SUM($F38:AG38)-SUM($F46:AG46)+AH38+(AH$42-AH$34)/(AI$34-AH$34)*AI38,0)</f>
        <v>0</v>
      </c>
      <c r="AI46" s="510">
        <f ca="1">(AI$42=$B$9)*AI38+((AI$42-AI$34)/(AJ$34-AI$34)*AJ38+(AI$34-AH$42)/(AI$34-AH$34)*AI38)*(AI$42&gt;$B$10)+IF(AI$42=$B$10,SUM($F38:AH38)-SUM($F46:AH46)+AI38+(AI$42-AI$34)/(AJ$34-AI$34)*AJ38,0)</f>
        <v>0</v>
      </c>
      <c r="AJ46" s="510">
        <f ca="1">(AJ$42=$B$9)*AJ38+((AJ$42-AJ$34)/(AK$34-AJ$34)*AK38+(AJ$34-AI$42)/(AJ$34-AI$34)*AJ38)*(AJ$42&gt;$B$10)+IF(AJ$42=$B$10,SUM($F38:AI38)-SUM($F46:AI46)+AJ38+(AJ$42-AJ$34)/(AK$34-AJ$34)*AK38,0)</f>
        <v>0</v>
      </c>
      <c r="AK46" s="510">
        <f ca="1">(AK$42=$B$9)*AK38+((AK$42-AK$34)/(AL$34-AK$34)*AL38+(AK$34-AJ$42)/(AK$34-AJ$34)*AK38)*(AK$42&gt;$B$10)+IF(AK$42=$B$10,SUM($F38:AJ38)-SUM($F46:AJ46)+AK38+(AK$42-AK$34)/(AL$34-AK$34)*AL38,0)</f>
        <v>0</v>
      </c>
      <c r="AL46" s="510">
        <f ca="1">(AL$42=$B$9)*AL38+((AL$42-AL$34)/(AM$34-AL$34)*AM38+(AL$34-AK$42)/(AL$34-AK$34)*AL38)*(AL$42&gt;$B$10)+IF(AL$42=$B$10,SUM($F38:AK38)-SUM($F46:AK46)+AL38+(AL$42-AL$34)/(AM$34-AL$34)*AM38,0)</f>
        <v>0</v>
      </c>
      <c r="AM46" s="510">
        <f ca="1">(AM$42=$B$9)*AM38+((AM$42-AM$34)/(AN$34-AM$34)*AN38+(AM$34-AL$42)/(AM$34-AL$34)*AM38)*(AM$42&gt;$B$10)+IF(AM$42=$B$10,SUM($F38:AL38)-SUM($F46:AL46)+AM38+(AM$42-AM$34)/(AN$34-AM$34)*AN38,0)</f>
        <v>0</v>
      </c>
      <c r="AN46" s="510">
        <f ca="1">(AN$42=$B$9)*AN38+((AN$42-AN$34)/(AO$34-AN$34)*AO38+(AN$34-AM$42)/(AN$34-AM$34)*AN38)*(AN$42&gt;$B$10)+IF(AN$42=$B$10,SUM($F38:AM38)-SUM($F46:AM46)+AN38+(AN$42-AN$34)/(AO$34-AN$34)*AO38,0)</f>
        <v>0</v>
      </c>
      <c r="AO46" s="510">
        <f ca="1">(AO$42=$B$9)*AO38+((AO$42-AO$34)/(AP$34-AO$34)*AP38+(AO$34-AN$42)/(AO$34-AN$34)*AO38)*(AO$42&gt;$B$10)+IF(AO$42=$B$10,SUM($F38:AN38)-SUM($F46:AN46)+AO38+(AO$42-AO$34)/(AP$34-AO$34)*AP38,0)</f>
        <v>0</v>
      </c>
      <c r="AP46" s="510">
        <f ca="1">(AP$42=$B$9)*AP38+((AP$42-AP$34)/(AQ$34-AP$34)*AQ38+(AP$34-AO$42)/(AP$34-AO$34)*AP38)*(AP$42&gt;$B$10)+IF(AP$42=$B$10,SUM($F38:AO38)-SUM($F46:AO46)+AP38+(AP$42-AP$34)/(AQ$34-AP$34)*AQ38,0)</f>
        <v>0</v>
      </c>
      <c r="AQ46" s="510">
        <f ca="1">(AQ$42=$B$9)*AQ38+((AQ$42-AQ$34)/(AR$34-AQ$34)*AR38+(AQ$34-AP$42)/(AQ$34-AP$34)*AQ38)*(AQ$42&gt;$B$10)+IF(AQ$42=$B$10,SUM($F38:AP38)-SUM($F46:AP46)+AQ38+(AQ$42-AQ$34)/(AR$34-AQ$34)*AR38,0)</f>
        <v>0</v>
      </c>
      <c r="AR46" s="510">
        <f ca="1">(AR$42=$B$9)*AR38+((AR$42-AR$34)/(AS$34-AR$34)*AS38+(AR$34-AQ$42)/(AR$34-AQ$34)*AR38)*(AR$42&gt;$B$10)+IF(AR$42=$B$10,SUM($F38:AQ38)-SUM($F46:AQ46)+AR38+(AR$42-AR$34)/(AS$34-AR$34)*AS38,0)</f>
        <v>0</v>
      </c>
      <c r="AS46" s="510">
        <f ca="1">(AS$42=$B$9)*AS38+((AS$42-AS$34)/(AT$34-AS$34)*AT38+(AS$34-AR$42)/(AS$34-AR$34)*AS38)*(AS$42&gt;$B$10)+IF(AS$42=$B$10,SUM($F38:AR38)-SUM($F46:AR46)+AS38+(AS$42-AS$34)/(AT$34-AS$34)*AT38,0)</f>
        <v>0</v>
      </c>
      <c r="AT46" s="510">
        <f ca="1">(AT$42=$B$9)*AT38+((AT$42-AT$34)/(AU$34-AT$34)*AU38+(AT$34-AS$42)/(AT$34-AS$34)*AT38)*(AT$42&gt;$B$10)+IF(AT$42=$B$10,SUM($F38:AS38)-SUM($F46:AS46)+AT38+(AT$42-AT$34)/(AU$34-AT$34)*AU38,0)</f>
        <v>0</v>
      </c>
      <c r="AU46" s="510">
        <f ca="1">(AU$42=$B$9)*AU38+((AU$42-AU$34)/(AV$34-AU$34)*AV38+(AU$34-AT$42)/(AU$34-AT$34)*AU38)*(AU$42&gt;$B$10)+IF(AU$42=$B$10,SUM($F38:AT38)-SUM($F46:AT46)+AU38+(AU$42-AU$34)/(AV$34-AU$34)*AV38,0)</f>
        <v>0</v>
      </c>
      <c r="AV46" s="510">
        <f ca="1">(AV$42=$B$9)*AV38+((AV$42-AV$34)/(AW$34-AV$34)*AW38+(AV$34-AU$42)/(AV$34-AU$34)*AV38)*(AV$42&gt;$B$10)+IF(AV$42=$B$10,SUM($F38:AU38)-SUM($F46:AU46)+AV38+(AV$42-AV$34)/(AW$34-AV$34)*AW38,0)</f>
        <v>0</v>
      </c>
      <c r="AW46" s="510">
        <f ca="1">(AW$42=$B$9)*AW38+((AW$42-AW$34)/(AX$34-AW$34)*AX38+(AW$34-AV$42)/(AW$34-AV$34)*AW38)*(AW$42&gt;$B$10)+IF(AW$42=$B$10,SUM($F38:AV38)-SUM($F46:AV46)+AW38+(AW$42-AW$34)/(AX$34-AW$34)*AX38,0)</f>
        <v>0</v>
      </c>
      <c r="AX46" s="510">
        <f ca="1">(AX$42=$B$9)*AX38+((AX$42-AX$34)/(AY$34-AX$34)*AY38+(AX$34-AW$42)/(AX$34-AW$34)*AX38)*(AX$42&gt;$B$10)+IF(AX$42=$B$10,SUM($F38:AW38)-SUM($F46:AW46)+AX38+(AX$42-AX$34)/(AY$34-AX$34)*AY38,0)</f>
        <v>0</v>
      </c>
      <c r="AY46" s="510">
        <f ca="1">(AY$42=$B$9)*AY38+((AY$42-AY$34)/(AZ$34-AY$34)*AZ38+(AY$34-AX$42)/(AY$34-AX$34)*AY38)*(AY$42&gt;$B$10)+IF(AY$42=$B$10,SUM($F38:AX38)-SUM($F46:AX46)+AY38+(AY$42-AY$34)/(AZ$34-AY$34)*AZ38,0)</f>
        <v>0</v>
      </c>
      <c r="AZ46" s="510">
        <f ca="1">(AZ$42=$B$9)*AZ38+((AZ$42-AZ$34)/(BA$34-AZ$34)*BA38+(AZ$34-AY$42)/(AZ$34-AY$34)*AZ38)*(AZ$42&gt;$B$10)+IF(AZ$42=$B$10,SUM($F38:AY38)-SUM($F46:AY46)+AZ38+(AZ$42-AZ$34)/(BA$34-AZ$34)*BA38,0)</f>
        <v>0</v>
      </c>
      <c r="BA46" s="510">
        <f ca="1">(BA$42=$B$9)*BA38+((BA$42-BA$34)/(BB$34-BA$34)*BB38+(BA$34-AZ$42)/(BA$34-AZ$34)*BA38)*(BA$42&gt;$B$10)+IF(BA$42=$B$10,SUM($F38:AZ38)-SUM($F46:AZ46)+BA38+(BA$42-BA$34)/(BB$34-BA$34)*BB38,0)</f>
        <v>0</v>
      </c>
      <c r="BB46" s="510">
        <f ca="1">(BB$42=$B$9)*BB38+((BB$42-BB$34)/(BC$34-BB$34)*BC38+(BB$34-BA$42)/(BB$34-BA$34)*BB38)*(BB$42&gt;$B$10)+IF(BB$42=$B$10,SUM($F38:BA38)-SUM($F46:BA46)+BB38+(BB$42-BB$34)/(BC$34-BB$34)*BC38,0)</f>
        <v>0</v>
      </c>
      <c r="BC46" s="510">
        <f ca="1">(BC$42=$B$9)*BC38+((BC$42-BC$34)/(BD$34-BC$34)*BD38+(BC$34-BB$42)/(BC$34-BB$34)*BC38)*(BC$42&gt;$B$10)+IF(BC$42=$B$10,SUM($F38:BB38)-SUM($F46:BB46)+BC38+(BC$42-BC$34)/(BD$34-BC$34)*BD38,0)</f>
        <v>0</v>
      </c>
      <c r="BD46" s="510">
        <f ca="1">(BD$42=$B$9)*BD38+((BD$42-BD$34)/(BE$34-BD$34)*BE38+(BD$34-BC$42)/(BD$34-BC$34)*BD38)*(BD$42&gt;$B$10)+IF(BD$42=$B$10,SUM($F38:BC38)-SUM($F46:BC46)+BD38+(BD$42-BD$34)/(BE$34-BD$34)*BE38,0)</f>
        <v>0</v>
      </c>
      <c r="BE46" s="510">
        <f ca="1">(BE$42=$B$9)*BE38+((BE$42-BE$34)/(BF$34-BE$34)*BF38+(BE$34-BD$42)/(BE$34-BD$34)*BE38)*(BE$42&gt;$B$10)+IF(BE$42=$B$10,SUM($F38:BD38)-SUM($F46:BD46)+BE38+(BE$42-BE$34)/(BF$34-BE$34)*BF38,0)</f>
        <v>0</v>
      </c>
      <c r="BF46" s="510">
        <f ca="1">(BF$42=$B$9)*BF38+((BF$42-BF$34)/(BG$34-BF$34)*BG38+(BF$34-BE$42)/(BF$34-BE$34)*BF38)*(BF$42&gt;$B$10)+IF(BF$42=$B$10,SUM($F38:BE38)-SUM($F46:BE46)+BF38+(BF$42-BF$34)/(BG$34-BF$34)*BG38,0)</f>
        <v>0</v>
      </c>
      <c r="BG46" s="510">
        <f ca="1">(BG$42=$B$9)*BG38+((BG$42-BG$34)/(BH$34-BG$34)*BH38+(BG$34-BF$42)/(BG$34-BF$34)*BG38)*(BG$42&gt;$B$10)+IF(BG$42=$B$10,SUM($F38:BF38)-SUM($F46:BF46)+BG38+(BG$42-BG$34)/(BH$34-BG$34)*BH38,0)</f>
        <v>0</v>
      </c>
      <c r="BH46" s="510">
        <f ca="1">(BH$42=$B$9)*BH38+((BH$42-BH$34)/(BI$34-BH$34)*BI38+(BH$34-BG$42)/(BH$34-BG$34)*BH38)*(BH$42&gt;$B$10)+IF(BH$42=$B$10,SUM($F38:BG38)-SUM($F46:BG46)+BH38+(BH$42-BH$34)/(BI$34-BH$34)*BI38,0)</f>
        <v>0</v>
      </c>
      <c r="BI46" s="510">
        <f ca="1">(BI$42=$B$9)*BI38+((BI$42-BI$34)/(BJ$34-BI$34)*BJ38+(BI$34-BH$42)/(BI$34-BH$34)*BI38)*(BI$42&gt;$B$10)+IF(BI$42=$B$10,SUM($F38:BH38)-SUM($F46:BH46)+BI38+(BI$42-BI$34)/(BJ$34-BI$34)*BJ38,0)</f>
        <v>0</v>
      </c>
      <c r="BJ46" s="510">
        <f ca="1">(BJ$42=$B$9)*BJ38+((BJ$42-BJ$34)/(BK$34-BJ$34)*BK38+(BJ$34-BI$42)/(BJ$34-BI$34)*BJ38)*(BJ$42&gt;$B$10)+IF(BJ$42=$B$10,SUM($F38:BI38)-SUM($F46:BI46)+BJ38+(BJ$42-BJ$34)/(BK$34-BJ$34)*BK38,0)</f>
        <v>0</v>
      </c>
      <c r="BK46" s="510">
        <f ca="1">(BK$42=$B$9)*BK38+((BK$42-BK$34)/(BL$34-BK$34)*BL38+(BK$34-BJ$42)/(BK$34-BJ$34)*BK38)*(BK$42&gt;$B$10)+IF(BK$42=$B$10,SUM($F38:BJ38)-SUM($F46:BJ46)+BK38+(BK$42-BK$34)/(BL$34-BK$34)*BL38,0)</f>
        <v>0</v>
      </c>
      <c r="BL46" s="510">
        <f ca="1">(BL$42=$B$9)*BL38+((BL$42-BL$34)/(BM$34-BL$34)*BM38+(BL$34-BK$42)/(BL$34-BK$34)*BL38)*(BL$42&gt;$B$10)+IF(BL$42=$B$10,SUM($F38:BK38)-SUM($F46:BK46)+BL38+(BL$42-BL$34)/(BM$34-BL$34)*BM38,0)</f>
        <v>0</v>
      </c>
      <c r="BM46" s="510">
        <f ca="1">(BM$42=$B$9)*BM38+((BM$42-BM$34)/(BN$34-BM$34)*BN38+(BM$34-BL$42)/(BM$34-BL$34)*BM38)*(BM$42&gt;$B$10)+IF(BM$42=$B$10,SUM($F38:BL38)-SUM($F46:BL46)+BM38+(BM$42-BM$34)/(BN$34-BM$34)*BN38,0)</f>
        <v>0</v>
      </c>
      <c r="BN46" s="510">
        <f ca="1">(BN$42=$B$9)*BN38+((BN$42-BN$34)/(BO$34-BN$34)*BO38+(BN$34-BM$42)/(BN$34-BM$34)*BN38)*(BN$42&gt;$B$10)+IF(BN$42=$B$10,SUM($F38:BM38)-SUM($F46:BM46)+BN38+(BN$42-BN$34)/(BO$34-BN$34)*BO38,0)</f>
        <v>0</v>
      </c>
      <c r="BO46" s="510">
        <f ca="1">(BO$42=$B$9)*BO38+((BO$42-BO$34)/(BP$34-BO$34)*BP38+(BO$34-BN$42)/(BO$34-BN$34)*BO38)*(BO$42&gt;$B$10)+IF(BO$42=$B$10,SUM($F38:BN38)-SUM($F46:BN46)+BO38+(BO$42-BO$34)/(BP$34-BO$34)*BP38,0)</f>
        <v>0</v>
      </c>
      <c r="BP46" s="510">
        <f ca="1">(BP$42=$B$9)*BP38+((BP$42-BP$34)/(BQ$34-BP$34)*BQ38+(BP$34-BO$42)/(BP$34-BO$34)*BP38)*(BP$42&gt;$B$10)+IF(BP$42=$B$10,SUM($F38:BO38)-SUM($F46:BO46)+BP38+(BP$42-BP$34)/(BQ$34-BP$34)*BQ38,0)</f>
        <v>0</v>
      </c>
      <c r="BQ46" s="510">
        <f ca="1">(BQ$42=$B$9)*BQ38+((BQ$42-BQ$34)/(BR$34-BQ$34)*BR38+(BQ$34-BP$42)/(BQ$34-BP$34)*BQ38)*(BQ$42&gt;$B$10)+IF(BQ$42=$B$10,SUM($F38:BP38)-SUM($F46:BP46)+BQ38+(BQ$42-BQ$34)/(BR$34-BQ$34)*BR38,0)</f>
        <v>0</v>
      </c>
      <c r="BR46" s="510">
        <f ca="1">(BR$42=$B$9)*BR38+((BR$42-BR$34)/(BS$34-BR$34)*BS38+(BR$34-BQ$42)/(BR$34-BQ$34)*BR38)*(BR$42&gt;$B$10)+IF(BR$42=$B$10,SUM($F38:BQ38)-SUM($F46:BQ46)+BR38+(BR$42-BR$34)/(BS$34-BR$34)*BS38,0)</f>
        <v>0</v>
      </c>
      <c r="BS46" s="510">
        <f ca="1">(BS$42=$B$9)*BS38+((BS$42-BS$34)/(BT$34-BS$34)*BT38+(BS$34-BR$42)/(BS$34-BR$34)*BS38)*(BS$42&gt;$B$10)+IF(BS$42=$B$10,SUM($F38:BR38)-SUM($F46:BR46)+BS38+(BS$42-BS$34)/(BT$34-BS$34)*BT38,0)</f>
        <v>0</v>
      </c>
      <c r="BT46" s="510">
        <f ca="1">(BT$42=$B$9)*BT38+((BT$42-BT$34)/(BU$34-BT$34)*BU38+(BT$34-BS$42)/(BT$34-BS$34)*BT38)*(BT$42&gt;$B$10)+IF(BT$42=$B$10,SUM($F38:BS38)-SUM($F46:BS46)+BT38+(BT$42-BT$34)/(BU$34-BT$34)*BU38,0)</f>
        <v>0</v>
      </c>
      <c r="BU46" s="510">
        <f ca="1">(BU$42=$B$9)*BU38+((BU$42-BU$34)/(BV$34-BU$34)*BV38+(BU$34-BT$42)/(BU$34-BT$34)*BU38)*(BU$42&gt;$B$10)+IF(BU$42=$B$10,SUM($F38:BT38)-SUM($F46:BT46)+BU38+(BU$42-BU$34)/(BV$34-BU$34)*BV38,0)</f>
        <v>0</v>
      </c>
      <c r="BV46" s="510">
        <f ca="1">(BV$42=$B$9)*BV38+((BV$42-BV$34)/(BW$34-BV$34)*BW38+(BV$34-BU$42)/(BV$34-BU$34)*BV38)*(BV$42&gt;$B$10)+IF(BV$42=$B$10,SUM($F38:BU38)-SUM($F46:BU46)+BV38+(BV$42-BV$34)/(BW$34-BV$34)*BW38,0)</f>
        <v>0</v>
      </c>
      <c r="BW46" s="510">
        <f ca="1">(BW$42=$B$9)*BW38+((BW$42-BW$34)/(BX$34-BW$34)*BX38+(BW$34-BV$42)/(BW$34-BV$34)*BW38)*(BW$42&gt;$B$10)+IF(BW$42=$B$10,SUM($F38:BV38)-SUM($F46:BV46)+BW38+(BW$42-BW$34)/(BX$34-BW$34)*BX38,0)</f>
        <v>0</v>
      </c>
      <c r="BX46" s="510">
        <f ca="1">(BX$42=$B$9)*BX38+((BX$42-BX$34)/(BY$34-BX$34)*BY38+(BX$34-BW$42)/(BX$34-BW$34)*BX38)*(BX$42&gt;$B$10)+IF(BX$42=$B$10,SUM($F38:BW38)-SUM($F46:BW46)+BX38+(BX$42-BX$34)/(BY$34-BX$34)*BY38,0)</f>
        <v>0</v>
      </c>
      <c r="BY46" s="510">
        <f ca="1">(BY$42=$B$9)*BY38+((BY$42-BY$34)/(BZ$34-BY$34)*BZ38+(BY$34-BX$42)/(BY$34-BX$34)*BY38)*(BY$42&gt;$B$10)+IF(BY$42=$B$10,SUM($F38:BX38)-SUM($F46:BX46)+BY38+(BY$42-BY$34)/(BZ$34-BY$34)*BZ38,0)</f>
        <v>0</v>
      </c>
      <c r="BZ46" s="510">
        <f ca="1">(BZ$42=$B$9)*BZ38+((BZ$42-BZ$34)/(CA$34-BZ$34)*CA38+(BZ$34-BY$42)/(BZ$34-BY$34)*BZ38)*(BZ$42&gt;$B$10)+IF(BZ$42=$B$10,SUM($F38:BY38)-SUM($F46:BY46)+BZ38+(BZ$42-BZ$34)/(CA$34-BZ$34)*CA38,0)</f>
        <v>0</v>
      </c>
      <c r="CA46" s="510">
        <f ca="1">(CA$42=$B$9)*CA38+((CA$42-CA$34)/(CB$34-CA$34)*CB38+(CA$34-BZ$42)/(CA$34-BZ$34)*CA38)*(CA$42&gt;$B$10)+IF(CA$42=$B$10,SUM($F38:BZ38)-SUM($F46:BZ46)+CA38+(CA$42-CA$34)/(CB$34-CA$34)*CB38,0)</f>
        <v>0</v>
      </c>
      <c r="CB46" s="510">
        <f ca="1">(CB$42=$B$9)*CB38+((CB$42-CB$34)/(CC$34-CB$34)*CC38+(CB$34-CA$42)/(CB$34-CA$34)*CB38)*(CB$42&gt;$B$10)+IF(CB$42=$B$10,SUM($F38:CA38)-SUM($F46:CA46)+CB38+(CB$42-CB$34)/(CC$34-CB$34)*CC38,0)</f>
        <v>0</v>
      </c>
      <c r="CC46" s="510">
        <f ca="1">(CC$42=$B$9)*CC38+((CC$42-CC$34)/(CD$34-CC$34)*CD38+(CC$34-CB$42)/(CC$34-CB$34)*CC38)*(CC$42&gt;$B$10)+IF(CC$42=$B$10,SUM($F38:CB38)-SUM($F46:CB46)+CC38+(CC$42-CC$34)/(CD$34-CC$34)*CD38,0)</f>
        <v>0</v>
      </c>
      <c r="CD46" s="510">
        <f ca="1">(CD$42=$B$9)*CD38+((CD$42-CD$34)/(CE$34-CD$34)*CE38+(CD$34-CC$42)/(CD$34-CC$34)*CD38)*(CD$42&gt;$B$10)+IF(CD$42=$B$10,SUM($F38:CC38)-SUM($F46:CC46)+CD38+(CD$42-CD$34)/(CE$34-CD$34)*CE38,0)</f>
        <v>0</v>
      </c>
      <c r="CE46" s="510">
        <f ca="1">(CE$42=$B$9)*CE38+((CE$42-CE$34)/(CF$34-CE$34)*CF38+(CE$34-CD$42)/(CE$34-CD$34)*CE38)*(CE$42&gt;$B$10)+IF(CE$42=$B$10,SUM($F38:CD38)-SUM($F46:CD46)+CE38+(CE$42-CE$34)/(CF$34-CE$34)*CF38,0)</f>
        <v>0</v>
      </c>
      <c r="CF46" s="510">
        <f ca="1">(CF$42=$B$9)*CF38+((CF$42-CF$34)/(CG$34-CF$34)*CG38+(CF$34-CE$42)/(CF$34-CE$34)*CF38)*(CF$42&gt;$B$10)+IF(CF$42=$B$10,SUM($F38:CE38)-SUM($F46:CE46)+CF38+(CF$42-CF$34)/(CG$34-CF$34)*CG38,0)</f>
        <v>0</v>
      </c>
      <c r="CG46" s="510">
        <f ca="1">(CG$42=$B$9)*CG38+((CG$42-CG$34)/(CH$34-CG$34)*CH38+(CG$34-CF$42)/(CG$34-CF$34)*CG38)*(CG$42&gt;$B$10)+IF(CG$42=$B$10,SUM($F38:CF38)-SUM($F46:CF46)+CG38+(CG$42-CG$34)/(CH$34-CG$34)*CH38,0)</f>
        <v>0</v>
      </c>
      <c r="CH46" s="510">
        <f ca="1">(CH$42=$B$9)*CH38+((CH$42-CH$34)/(CI$34-CH$34)*CI38+(CH$34-CG$42)/(CH$34-CG$34)*CH38)*(CH$42&gt;$B$10)+IF(CH$42=$B$10,SUM($F38:CG38)-SUM($F46:CG46)+CH38+(CH$42-CH$34)/(CI$34-CH$34)*CI38,0)</f>
        <v>0</v>
      </c>
      <c r="CI46" s="510">
        <f ca="1">(CI$42=$B$9)*CI38+((CI$42-CI$34)/(CJ$34-CI$34)*CJ38+(CI$34-CH$42)/(CI$34-CH$34)*CI38)*(CI$42&gt;$B$10)+IF(CI$42=$B$10,SUM($F38:CH38)-SUM($F46:CH46)+CI38+(CI$42-CI$34)/(CJ$34-CI$34)*CJ38,0)</f>
        <v>0</v>
      </c>
      <c r="CJ46" s="510">
        <f ca="1">(CJ$42=$B$9)*CJ38+((CJ$42-CJ$34)/(CK$34-CJ$34)*CK38+(CJ$34-CI$42)/(CJ$34-CI$34)*CJ38)*(CJ$42&gt;$B$10)+IF(CJ$42=$B$10,SUM($F38:CI38)-SUM($F46:CI46)+CJ38+(CJ$42-CJ$34)/(CK$34-CJ$34)*CK38,0)</f>
        <v>0</v>
      </c>
      <c r="CK46" s="510">
        <f ca="1">(CK$42=$B$9)*CK38+((CK$42-CK$34)/(CL$34-CK$34)*CL38+(CK$34-CJ$42)/(CK$34-CJ$34)*CK38)*(CK$42&gt;$B$10)+IF(CK$42=$B$10,SUM($F38:CJ38)-SUM($F46:CJ46)+CK38+(CK$42-CK$34)/(CL$34-CK$34)*CL38,0)</f>
        <v>0</v>
      </c>
      <c r="CL46" s="510">
        <f ca="1">(CL$42=$B$9)*CL38+((CL$42-CL$34)/(CM$34-CL$34)*CM38+(CL$34-CK$42)/(CL$34-CK$34)*CL38)*(CL$42&gt;$B$10)+IF(CL$42=$B$10,SUM($F38:CK38)-SUM($F46:CK46)+CL38+(CL$42-CL$34)/(CM$34-CL$34)*CM38,0)</f>
        <v>0</v>
      </c>
      <c r="CM46" s="510">
        <f ca="1">(CM$42=$B$9)*CM38+((CM$42-CM$34)/(CN$34-CM$34)*CN38+(CM$34-CL$42)/(CM$34-CL$34)*CM38)*(CM$42&gt;$B$10)+IF(CM$42=$B$10,SUM($F38:CL38)-SUM($F46:CL46)+CM38+(CM$42-CM$34)/(CN$34-CM$34)*CN38,0)</f>
        <v>0</v>
      </c>
      <c r="CN46" s="510">
        <f ca="1">(CN$42=$B$9)*CN38+((CN$42-CN$34)/(CO$34-CN$34)*CO38+(CN$34-CM$42)/(CN$34-CM$34)*CN38)*(CN$42&gt;$B$10)+IF(CN$42=$B$10,SUM($F38:CM38)-SUM($F46:CM46)+CN38+(CN$42-CN$34)/(CO$34-CN$34)*CO38,0)</f>
        <v>0</v>
      </c>
      <c r="CO46" s="510">
        <f ca="1">(CO$42=$B$9)*CO38+((CO$42-CO$34)/(CP$34-CO$34)*CP38+(CO$34-CN$42)/(CO$34-CN$34)*CO38)*(CO$42&gt;$B$10)+IF(CO$42=$B$10,SUM($F38:CN38)-SUM($F46:CN46)+CO38+(CO$42-CO$34)/(CP$34-CO$34)*CP38,0)</f>
        <v>0</v>
      </c>
      <c r="CP46" s="510">
        <f ca="1">(CP$42=$B$9)*CP38+((CP$42-CP$34)/(CQ$34-CP$34)*CQ38+(CP$34-CO$42)/(CP$34-CO$34)*CP38)*(CP$42&gt;$B$10)+IF(CP$42=$B$10,SUM($F38:CO38)-SUM($F46:CO46)+CP38+(CP$42-CP$34)/(CQ$34-CP$34)*CQ38,0)</f>
        <v>0</v>
      </c>
      <c r="CQ46" s="510">
        <f ca="1">(CQ$42=$B$9)*CQ38+((CQ$42-CQ$34)/(CR$34-CQ$34)*CR38+(CQ$34-CP$42)/(CQ$34-CP$34)*CQ38)*(CQ$42&gt;$B$10)+IF(CQ$42=$B$10,SUM($F38:CP38)-SUM($F46:CP46)+CQ38+(CQ$42-CQ$34)/(CR$34-CQ$34)*CR38,0)</f>
        <v>0</v>
      </c>
      <c r="CR46" s="510">
        <f ca="1">(CR$42=$B$9)*CR38+((CR$42-CR$34)/(CS$34-CR$34)*CS38+(CR$34-CQ$42)/(CR$34-CQ$34)*CR38)*(CR$42&gt;$B$10)+IF(CR$42=$B$10,SUM($F38:CQ38)-SUM($F46:CQ46)+CR38+(CR$42-CR$34)/(CS$34-CR$34)*CS38,0)</f>
        <v>0</v>
      </c>
      <c r="CS46" s="510">
        <f ca="1">(CS$42=$B$9)*CS38+((CS$42-CS$34)/(CT$34-CS$34)*CT38+(CS$34-CR$42)/(CS$34-CR$34)*CS38)*(CS$42&gt;$B$10)+IF(CS$42=$B$10,SUM($F38:CR38)-SUM($F46:CR46)+CS38+(CS$42-CS$34)/(CT$34-CS$34)*CT38,0)</f>
        <v>0</v>
      </c>
      <c r="CT46" s="510">
        <f ca="1">(CT$42=$B$9)*CT38+((CT$42-CT$34)/(CU$34-CT$34)*CU38+(CT$34-CS$42)/(CT$34-CS$34)*CT38)*(CT$42&gt;$B$10)+IF(CT$42=$B$10,SUM($F38:CS38)-SUM($F46:CS46)+CT38+(CT$42-CT$34)/(CU$34-CT$34)*CU38,0)</f>
        <v>0</v>
      </c>
      <c r="CU46" s="510">
        <f ca="1">(CU$42=$B$9)*CU38+((CU$42-CU$34)/(CV$34-CU$34)*CV38+(CU$34-CT$42)/(CU$34-CT$34)*CU38)*(CU$42&gt;$B$10)+IF(CU$42=$B$10,SUM($F38:CT38)-SUM($F46:CT46)+CU38+(CU$42-CU$34)/(CV$34-CU$34)*CV38,0)</f>
        <v>0</v>
      </c>
      <c r="CV46" s="510">
        <f ca="1">(CV$42=$B$9)*CV38+((CV$42-CV$34)/(CW$34-CV$34)*CW38+(CV$34-CU$42)/(CV$34-CU$34)*CV38)*(CV$42&gt;$B$10)+IF(CV$42=$B$10,SUM($F38:CU38)-SUM($F46:CU46)+CV38+(CV$42-CV$34)/(CW$34-CV$34)*CW38,0)</f>
        <v>0</v>
      </c>
      <c r="CW46" s="510">
        <f ca="1">(CW$42=$B$9)*CW38+((CW$42-CW$34)/(CX$34-CW$34)*CX38+(CW$34-CV$42)/(CW$34-CV$34)*CW38)*(CW$42&gt;$B$10)+IF(CW$42=$B$10,SUM($F38:CV38)-SUM($F46:CV46)+CW38+(CW$42-CW$34)/(CX$34-CW$34)*CX38,0)</f>
        <v>0</v>
      </c>
      <c r="CX46" s="510">
        <f ca="1">(CX$42=$B$9)*CX38+((CX$42-CX$34)/(CY$34-CX$34)*CY38+(CX$34-CW$42)/(CX$34-CW$34)*CX38)*(CX$42&gt;$B$10)+IF(CX$42=$B$10,SUM($F38:CW38)-SUM($F46:CW46)+CX38+(CX$42-CX$34)/(CY$34-CX$34)*CY38,0)</f>
        <v>0</v>
      </c>
      <c r="CY46" s="510">
        <f ca="1">(CY$42=$B$9)*CY38+((CY$42-CY$34)/(CZ$34-CY$34)*CZ38+(CY$34-CX$42)/(CY$34-CX$34)*CY38)*(CY$42&gt;$B$10)+IF(CY$42=$B$10,SUM($F38:CX38)-SUM($F46:CX46)+CY38+(CY$42-CY$34)/(CZ$34-CY$34)*CZ38,0)</f>
        <v>0</v>
      </c>
      <c r="CZ46" s="510">
        <f ca="1">(CZ$42=$B$9)*CZ38+((CZ$42-CZ$34)/(DA$34-CZ$34)*DA38+(CZ$34-CY$42)/(CZ$34-CY$34)*CZ38)*(CZ$42&gt;$B$10)+IF(CZ$42=$B$10,SUM($F38:CY38)-SUM($F46:CY46)+CZ38+(CZ$42-CZ$34)/(DA$34-CZ$34)*DA38,0)</f>
        <v>0</v>
      </c>
      <c r="DA46" s="510">
        <f ca="1">(DA$42=$B$9)*DA38+((DA$42-DA$34)/(DB$34-DA$34)*DB38+(DA$34-CZ$42)/(DA$34-CZ$34)*DA38)*(DA$42&gt;$B$10)+IF(DA$42=$B$10,SUM($F38:CZ38)-SUM($F46:CZ46)+DA38+(DA$42-DA$34)/(DB$34-DA$34)*DB38,0)</f>
        <v>0</v>
      </c>
      <c r="DB46" s="510">
        <f ca="1">(DB$42=$B$9)*DB38+((DB$42-DB$34)/(DC$34-DB$34)*DC38+(DB$34-DA$42)/(DB$34-DA$34)*DB38)*(DB$42&gt;$B$10)+IF(DB$42=$B$10,SUM($F38:DA38)-SUM($F46:DA46)+DB38+(DB$42-DB$34)/(DC$34-DB$34)*DC38,0)</f>
        <v>0</v>
      </c>
      <c r="DC46" s="510">
        <f ca="1">(DC$42=$B$9)*DC38+((DC$42-DC$34)/(DD$34-DC$34)*DD38+(DC$34-DB$42)/(DC$34-DB$34)*DC38)*(DC$42&gt;$B$10)+IF(DC$42=$B$10,SUM($F38:DB38)-SUM($F46:DB46)+DC38+(DC$42-DC$34)/(DD$34-DC$34)*DD38,0)</f>
        <v>0</v>
      </c>
      <c r="DD46" s="510">
        <f ca="1">(DD$42=$B$9)*DD38+((DD$42-DD$34)/(DE$34-DD$34)*DE38+(DD$34-DC$42)/(DD$34-DC$34)*DD38)*(DD$42&gt;$B$10)+IF(DD$42=$B$10,SUM($F38:DC38)-SUM($F46:DC46)+DD38+(DD$42-DD$34)/(DE$34-DD$34)*DE38,0)</f>
        <v>0</v>
      </c>
      <c r="DE46" s="510">
        <f ca="1">(DE$42=$B$9)*DE38+((DE$42-DE$34)/(DF$34-DE$34)*DF38+(DE$34-DD$42)/(DE$34-DD$34)*DE38)*(DE$42&gt;$B$10)+IF(DE$42=$B$10,SUM($F38:DD38)-SUM($F46:DD46)+DE38+(DE$42-DE$34)/(DF$34-DE$34)*DF38,0)</f>
        <v>0</v>
      </c>
      <c r="DF46" s="510">
        <f ca="1">(DF$42=$B$9)*DF38+((DF$42-DF$34)/(DG$34-DF$34)*DG38+(DF$34-DE$42)/(DF$34-DE$34)*DF38)*(DF$42&gt;$B$10)+IF(DF$42=$B$10,SUM($F38:DE38)-SUM($F46:DE46)+DF38+(DF$42-DF$34)/(DG$34-DF$34)*DG38,0)</f>
        <v>0</v>
      </c>
      <c r="DG46" s="510">
        <f ca="1">(DG$42=$B$9)*DG38+((DG$42-DG$34)/(DH$34-DG$34)*DH38+(DG$34-DF$42)/(DG$34-DF$34)*DG38)*(DG$42&gt;$B$10)+IF(DG$42=$B$10,SUM($F38:DF38)-SUM($F46:DF46)+DG38+(DG$42-DG$34)/(DH$34-DG$34)*DH38,0)</f>
        <v>0</v>
      </c>
      <c r="DH46" s="510">
        <f ca="1">(DH$42=$B$9)*DH38+((DH$42-DH$34)/(DI$34-DH$34)*DI38+(DH$34-DG$42)/(DH$34-DG$34)*DH38)*(DH$42&gt;$B$10)+IF(DH$42=$B$10,SUM($F38:DG38)-SUM($F46:DG46)+DH38+(DH$42-DH$34)/(DI$34-DH$34)*DI38,0)</f>
        <v>0</v>
      </c>
      <c r="DI46" s="510">
        <f ca="1">(DI$42=$B$9)*DI38+((DI$42-DI$34)/(DJ$34-DI$34)*DJ38+(DI$34-DH$42)/(DI$34-DH$34)*DI38)*(DI$42&gt;$B$10)+IF(DI$42=$B$10,SUM($F38:DH38)-SUM($F46:DH46)+DI38+(DI$42-DI$34)/(DJ$34-DI$34)*DJ38,0)</f>
        <v>0</v>
      </c>
      <c r="DJ46" s="510">
        <f ca="1">(DJ$42=$B$9)*DJ38+((DJ$42-DJ$34)/(DK$34-DJ$34)*DK38+(DJ$34-DI$42)/(DJ$34-DI$34)*DJ38)*(DJ$42&gt;$B$10)+IF(DJ$42=$B$10,SUM($F38:DI38)-SUM($F46:DI46)+DJ38+(DJ$42-DJ$34)/(DK$34-DJ$34)*DK38,0)</f>
        <v>0</v>
      </c>
      <c r="DK46" s="510">
        <f ca="1">(DK$42=$B$9)*DK38+((DK$42-DK$34)/(DL$34-DK$34)*DL38+(DK$34-DJ$42)/(DK$34-DJ$34)*DK38)*(DK$42&gt;$B$10)+IF(DK$42=$B$10,SUM($F38:DJ38)-SUM($F46:DJ46)+DK38+(DK$42-DK$34)/(DL$34-DK$34)*DL38,0)</f>
        <v>0</v>
      </c>
      <c r="DL46" s="510">
        <f ca="1">(DL$42=$B$9)*DL38+((DL$42-DL$34)/(DM$34-DL$34)*DM38+(DL$34-DK$42)/(DL$34-DK$34)*DL38)*(DL$42&gt;$B$10)+IF(DL$42=$B$10,SUM($F38:DK38)-SUM($F46:DK46)+DL38+(DL$42-DL$34)/(DM$34-DL$34)*DM38,0)</f>
        <v>0</v>
      </c>
      <c r="DM46" s="510">
        <f ca="1">(DM$42=$B$9)*DM38+((DM$42-DM$34)/(DN$34-DM$34)*DN38+(DM$34-DL$42)/(DM$34-DL$34)*DM38)*(DM$42&gt;$B$10)+IF(DM$42=$B$10,SUM($F38:DL38)-SUM($F46:DL46)+DM38+(DM$42-DM$34)/(DN$34-DM$34)*DN38,0)</f>
        <v>0</v>
      </c>
      <c r="DN46" s="510">
        <f ca="1">(DN$42=$B$9)*DN38+((DN$42-DN$34)/(DO$34-DN$34)*DO38+(DN$34-DM$42)/(DN$34-DM$34)*DN38)*(DN$42&gt;$B$10)+IF(DN$42=$B$10,SUM($F38:DM38)-SUM($F46:DM46)+DN38+(DN$42-DN$34)/(DO$34-DN$34)*DO38,0)</f>
        <v>0</v>
      </c>
      <c r="DO46" s="510">
        <f ca="1">(DO$42=$B$9)*DO38+((DO$42-DO$34)/(DP$34-DO$34)*DP38+(DO$34-DN$42)/(DO$34-DN$34)*DO38)*(DO$42&gt;$B$10)+IF(DO$42=$B$10,SUM($F38:DN38)-SUM($F46:DN46)+DO38+(DO$42-DO$34)/(DP$34-DO$34)*DP38,0)</f>
        <v>0</v>
      </c>
      <c r="DP46" s="510">
        <f ca="1">(DP$42=$B$9)*DP38+((DP$42-DP$34)/(DQ$34-DP$34)*DQ38+(DP$34-DO$42)/(DP$34-DO$34)*DP38)*(DP$42&gt;$B$10)+IF(DP$42=$B$10,SUM($F38:DO38)-SUM($F46:DO46)+DP38+(DP$42-DP$34)/(DQ$34-DP$34)*DQ38,0)</f>
        <v>0</v>
      </c>
      <c r="DQ46" s="510">
        <f ca="1">(DQ$42=$B$9)*DQ38+((DQ$42-DQ$34)/(DR$34-DQ$34)*DR38+(DQ$34-DP$42)/(DQ$34-DP$34)*DQ38)*(DQ$42&gt;$B$10)+IF(DQ$42=$B$10,SUM($F38:DP38)-SUM($F46:DP46)+DQ38+(DQ$42-DQ$34)/(DR$34-DQ$34)*DR38,0)</f>
        <v>0</v>
      </c>
      <c r="DR46" s="510">
        <f ca="1">(DR$42=$B$9)*DR38+((DR$42-DR$34)/(DS$34-DR$34)*DS38+(DR$34-DQ$42)/(DR$34-DQ$34)*DR38)*(DR$42&gt;$B$10)+IF(DR$42=$B$10,SUM($F38:DQ38)-SUM($F46:DQ46)+DR38+(DR$42-DR$34)/(DS$34-DR$34)*DS38,0)</f>
        <v>0</v>
      </c>
      <c r="DS46" s="510">
        <f ca="1">(DS$42=$B$9)*DS38+((DS$42-DS$34)/(DT$34-DS$34)*DT38+(DS$34-DR$42)/(DS$34-DR$34)*DS38)*(DS$42&gt;$B$10)+IF(DS$42=$B$10,SUM($F38:DR38)-SUM($F46:DR46)+DS38+(DS$42-DS$34)/(DT$34-DS$34)*DT38,0)</f>
        <v>0</v>
      </c>
      <c r="DT46" s="510">
        <f ca="1">(DT$42=$B$9)*DT38+((DT$42-DT$34)/(DU$34-DT$34)*DU38+(DT$34-DS$42)/(DT$34-DS$34)*DT38)*(DT$42&gt;$B$10)+IF(DT$42=$B$10,SUM($F38:DS38)-SUM($F46:DS46)+DT38+(DT$42-DT$34)/(DU$34-DT$34)*DU38,0)</f>
        <v>0</v>
      </c>
      <c r="DU46" s="510">
        <f ca="1">(DU$42=$B$9)*DU38+((DU$42-DU$34)/(DV$34-DU$34)*DV38+(DU$34-DT$42)/(DU$34-DT$34)*DU38)*(DU$42&gt;$B$10)+IF(DU$42=$B$10,SUM($F38:DT38)-SUM($F46:DT46)+DU38+(DU$42-DU$34)/(DV$34-DU$34)*DV38,0)</f>
        <v>0</v>
      </c>
      <c r="DV46" s="510">
        <f ca="1">(DV$42=$B$9)*DV38+((DV$42-DV$34)/(DW$34-DV$34)*DW38+(DV$34-DU$42)/(DV$34-DU$34)*DV38)*(DV$42&gt;$B$10)+IF(DV$42=$B$10,SUM($F38:DU38)-SUM($F46:DU46)+DV38+(DV$42-DV$34)/(DW$34-DV$34)*DW38,0)</f>
        <v>0</v>
      </c>
      <c r="DW46" s="510">
        <f ca="1">(DW$42=$B$9)*DW38+((DW$42-DW$34)/(DX$34-DW$34)*DX38+(DW$34-DV$42)/(DW$34-DV$34)*DW38)*(DW$42&gt;$B$10)+IF(DW$42=$B$10,SUM($F38:DV38)-SUM($F46:DV46)+DW38+(DW$42-DW$34)/(DX$34-DW$34)*DX38,0)</f>
        <v>0</v>
      </c>
    </row>
    <row r="47" spans="1:131">
      <c r="A47" s="1020" t="str">
        <f>A39</f>
        <v>Net Dividends</v>
      </c>
      <c r="B47" s="971"/>
      <c r="C47" s="971"/>
      <c r="D47" s="471"/>
      <c r="E47" s="471"/>
      <c r="F47" s="611"/>
      <c r="G47" s="510">
        <f ca="1">(G$42=$B$9)*G39+((G$42-G$34)/(H$34-G$34)*H39+(G$34-F$42)/(G$34-F$34)*G39)*(G$42&gt;$B$10)+IF(G$42=$B$10,SUM($F39:F39)-SUM($F47:F47)+G39+(G$42-G$34)/(H$34-G$34)*H39,0)</f>
        <v>0</v>
      </c>
      <c r="H47" s="510">
        <f ca="1">(H$42=$B$9)*H39+((H$42-H$34)/(I$34-H$34)*I39+(H$34-G$42)/(H$34-G$34)*H39)*(H$42&gt;$B$10)+IF(H$42=$B$10,SUM($F39:G39)-SUM($F47:G47)+H39+(H$42-H$34)/(I$34-H$34)*I39,0)</f>
        <v>0</v>
      </c>
      <c r="I47" s="510">
        <f ca="1">(I$42=$B$9)*I39+((I$42-I$34)/(J$34-I$34)*J39+(I$34-H$42)/(I$34-H$34)*I39)*(I$42&gt;$B$10)+IF(I$42=$B$10,SUM($F39:H39)-SUM($F47:H47)+I39+(I$42-I$34)/(J$34-I$34)*J39,0)</f>
        <v>0</v>
      </c>
      <c r="J47" s="510">
        <f ca="1">(J$42=$B$9)*J39+((J$42-J$34)/(K$34-J$34)*K39+(J$34-I$42)/(J$34-I$34)*J39)*(J$42&gt;$B$10)+IF(J$42=$B$10,SUM($F39:I39)-SUM($F47:I47)+J39+(J$42-J$34)/(K$34-J$34)*K39,0)</f>
        <v>0</v>
      </c>
      <c r="K47" s="510">
        <f ca="1">(K$42=$B$9)*K39+((K$42-K$34)/(L$34-K$34)*L39+(K$34-J$42)/(K$34-J$34)*K39)*(K$42&gt;$B$10)+IF(K$42=$B$10,SUM($F39:J39)-SUM($F47:J47)+K39+(K$42-K$34)/(L$34-K$34)*L39,0)</f>
        <v>0</v>
      </c>
      <c r="L47" s="510">
        <f ca="1">(L$42=$B$9)*L39+((L$42-L$34)/(M$34-L$34)*M39+(L$34-K$42)/(L$34-K$34)*L39)*(L$42&gt;$B$10)+IF(L$42=$B$10,SUM($F39:K39)-SUM($F47:K47)+L39+(L$42-L$34)/(M$34-L$34)*M39,0)</f>
        <v>0</v>
      </c>
      <c r="M47" s="510">
        <f ca="1">(M$42=$B$9)*M39+((M$42-M$34)/(N$34-M$34)*N39+(M$34-L$42)/(M$34-L$34)*M39)*(M$42&gt;$B$10)+IF(M$42=$B$10,SUM($F39:L39)-SUM($F47:L47)+M39+(M$42-M$34)/(N$34-M$34)*N39,0)</f>
        <v>0</v>
      </c>
      <c r="N47" s="510">
        <f ca="1">(N$42=$B$9)*N39+((N$42-N$34)/(O$34-N$34)*O39+(N$34-M$42)/(N$34-M$34)*N39)*(N$42&gt;$B$10)+IF(N$42=$B$10,SUM($F39:M39)-SUM($F47:M47)+N39+(N$42-N$34)/(O$34-N$34)*O39,0)</f>
        <v>0</v>
      </c>
      <c r="O47" s="510">
        <f ca="1">(O$42=$B$9)*O39+((O$42-O$34)/(P$34-O$34)*P39+(O$34-N$42)/(O$34-N$34)*O39)*(O$42&gt;$B$10)+IF(O$42=$B$10,SUM($F39:N39)-SUM($F47:N47)+O39+(O$42-O$34)/(P$34-O$34)*P39,0)</f>
        <v>0</v>
      </c>
      <c r="P47" s="510">
        <f ca="1">(P$42=$B$9)*P39+((P$42-P$34)/(Q$34-P$34)*Q39+(P$34-O$42)/(P$34-O$34)*P39)*(P$42&gt;$B$10)+IF(P$42=$B$10,SUM($F39:O39)-SUM($F47:O47)+P39+(P$42-P$34)/(Q$34-P$34)*Q39,0)</f>
        <v>0</v>
      </c>
      <c r="Q47" s="510">
        <f ca="1">(Q$42=$B$9)*Q39+((Q$42-Q$34)/(R$34-Q$34)*R39+(Q$34-P$42)/(Q$34-P$34)*Q39)*(Q$42&gt;$B$10)+IF(Q$42=$B$10,SUM($F39:P39)-SUM($F47:P47)+Q39+(Q$42-Q$34)/(R$34-Q$34)*R39,0)</f>
        <v>0</v>
      </c>
      <c r="R47" s="510">
        <f ca="1">(R$42=$B$9)*R39+((R$42-R$34)/(S$34-R$34)*S39+(R$34-Q$42)/(R$34-Q$34)*R39)*(R$42&gt;$B$10)+IF(R$42=$B$10,SUM($F39:Q39)-SUM($F47:Q47)+R39+(R$42-R$34)/(S$34-R$34)*S39,0)</f>
        <v>0</v>
      </c>
      <c r="S47" s="510">
        <f ca="1">(S$42=$B$9)*S39+((S$42-S$34)/(T$34-S$34)*T39+(S$34-R$42)/(S$34-R$34)*S39)*(S$42&gt;$B$10)+IF(S$42=$B$10,SUM($F39:R39)-SUM($F47:R47)+S39+(S$42-S$34)/(T$34-S$34)*T39,0)</f>
        <v>0</v>
      </c>
      <c r="T47" s="510">
        <f ca="1">(T$42=$B$9)*T39+((T$42-T$34)/(U$34-T$34)*U39+(T$34-S$42)/(T$34-S$34)*T39)*(T$42&gt;$B$10)+IF(T$42=$B$10,SUM($F39:S39)-SUM($F47:S47)+T39+(T$42-T$34)/(U$34-T$34)*U39,0)</f>
        <v>0</v>
      </c>
      <c r="U47" s="510">
        <f ca="1">(U$42=$B$9)*U39+((U$42-U$34)/(V$34-U$34)*V39+(U$34-T$42)/(U$34-T$34)*U39)*(U$42&gt;$B$10)+IF(U$42=$B$10,SUM($F39:T39)-SUM($F47:T47)+U39+(U$42-U$34)/(V$34-U$34)*V39,0)</f>
        <v>0</v>
      </c>
      <c r="V47" s="510">
        <f ca="1">(V$42=$B$9)*V39+((V$42-V$34)/(W$34-V$34)*W39+(V$34-U$42)/(V$34-U$34)*V39)*(V$42&gt;$B$10)+IF(V$42=$B$10,SUM($F39:U39)-SUM($F47:U47)+V39+(V$42-V$34)/(W$34-V$34)*W39,0)</f>
        <v>0</v>
      </c>
      <c r="W47" s="510">
        <f ca="1">(W$42=$B$9)*W39+((W$42-W$34)/(X$34-W$34)*X39+(W$34-V$42)/(W$34-V$34)*W39)*(W$42&gt;$B$10)+IF(W$42=$B$10,SUM($F39:V39)-SUM($F47:V47)+W39+(W$42-W$34)/(X$34-W$34)*X39,0)</f>
        <v>0</v>
      </c>
      <c r="X47" s="510">
        <f ca="1">(X$42=$B$9)*X39+((X$42-X$34)/(Y$34-X$34)*Y39+(X$34-W$42)/(X$34-W$34)*X39)*(X$42&gt;$B$10)+IF(X$42=$B$10,SUM($F39:W39)-SUM($F47:W47)+X39+(X$42-X$34)/(Y$34-X$34)*Y39,0)</f>
        <v>0</v>
      </c>
      <c r="Y47" s="510">
        <f ca="1">(Y$42=$B$9)*Y39+((Y$42-Y$34)/(Z$34-Y$34)*Z39+(Y$34-X$42)/(Y$34-X$34)*Y39)*(Y$42&gt;$B$10)+IF(Y$42=$B$10,SUM($F39:X39)-SUM($F47:X47)+Y39+(Y$42-Y$34)/(Z$34-Y$34)*Z39,0)</f>
        <v>0</v>
      </c>
      <c r="Z47" s="510">
        <f ca="1">(Z$42=$B$9)*Z39+((Z$42-Z$34)/(AA$34-Z$34)*AA39+(Z$34-Y$42)/(Z$34-Y$34)*Z39)*(Z$42&gt;$B$10)+IF(Z$42=$B$10,SUM($F39:Y39)-SUM($F47:Y47)+Z39+(Z$42-Z$34)/(AA$34-Z$34)*AA39,0)</f>
        <v>0</v>
      </c>
      <c r="AA47" s="510">
        <f ca="1">(AA$42=$B$9)*AA39+((AA$42-AA$34)/(AB$34-AA$34)*AB39+(AA$34-Z$42)/(AA$34-Z$34)*AA39)*(AA$42&gt;$B$10)+IF(AA$42=$B$10,SUM($F39:Z39)-SUM($F47:Z47)+AA39+(AA$42-AA$34)/(AB$34-AA$34)*AB39,0)</f>
        <v>0</v>
      </c>
      <c r="AB47" s="510">
        <f ca="1">(AB$42=$B$9)*AB39+((AB$42-AB$34)/(AC$34-AB$34)*AC39+(AB$34-AA$42)/(AB$34-AA$34)*AB39)*(AB$42&gt;$B$10)+IF(AB$42=$B$10,SUM($F39:AA39)-SUM($F47:AA47)+AB39+(AB$42-AB$34)/(AC$34-AB$34)*AC39,0)</f>
        <v>0</v>
      </c>
      <c r="AC47" s="510">
        <f ca="1">(AC$42=$B$9)*AC39+((AC$42-AC$34)/(AD$34-AC$34)*AD39+(AC$34-AB$42)/(AC$34-AB$34)*AC39)*(AC$42&gt;$B$10)+IF(AC$42=$B$10,SUM($F39:AB39)-SUM($F47:AB47)+AC39+(AC$42-AC$34)/(AD$34-AC$34)*AD39,0)</f>
        <v>0</v>
      </c>
      <c r="AD47" s="510">
        <f ca="1">(AD$42=$B$9)*AD39+((AD$42-AD$34)/(AE$34-AD$34)*AE39+(AD$34-AC$42)/(AD$34-AC$34)*AD39)*(AD$42&gt;$B$10)+IF(AD$42=$B$10,SUM($F39:AC39)-SUM($F47:AC47)+AD39+(AD$42-AD$34)/(AE$34-AD$34)*AE39,0)</f>
        <v>0</v>
      </c>
      <c r="AE47" s="510">
        <f ca="1">(AE$42=$B$9)*AE39+((AE$42-AE$34)/(AF$34-AE$34)*AF39+(AE$34-AD$42)/(AE$34-AD$34)*AE39)*(AE$42&gt;$B$10)+IF(AE$42=$B$10,SUM($F39:AD39)-SUM($F47:AD47)+AE39+(AE$42-AE$34)/(AF$34-AE$34)*AF39,0)</f>
        <v>0</v>
      </c>
      <c r="AF47" s="510">
        <f ca="1">(AF$42=$B$9)*AF39+((AF$42-AF$34)/(AG$34-AF$34)*AG39+(AF$34-AE$42)/(AF$34-AE$34)*AF39)*(AF$42&gt;$B$10)+IF(AF$42=$B$10,SUM($F39:AE39)-SUM($F47:AE47)+AF39+(AF$42-AF$34)/(AG$34-AF$34)*AG39,0)</f>
        <v>0</v>
      </c>
      <c r="AG47" s="510">
        <f ca="1">(AG$42=$B$9)*AG39+((AG$42-AG$34)/(AH$34-AG$34)*AH39+(AG$34-AF$42)/(AG$34-AF$34)*AG39)*(AG$42&gt;$B$10)+IF(AG$42=$B$10,SUM($F39:AF39)-SUM($F47:AF47)+AG39+(AG$42-AG$34)/(AH$34-AG$34)*AH39,0)</f>
        <v>0</v>
      </c>
      <c r="AH47" s="510">
        <f ca="1">(AH$42=$B$9)*AH39+((AH$42-AH$34)/(AI$34-AH$34)*AI39+(AH$34-AG$42)/(AH$34-AG$34)*AH39)*(AH$42&gt;$B$10)+IF(AH$42=$B$10,SUM($F39:AG39)-SUM($F47:AG47)+AH39+(AH$42-AH$34)/(AI$34-AH$34)*AI39,0)</f>
        <v>0</v>
      </c>
      <c r="AI47" s="510">
        <f ca="1">(AI$42=$B$9)*AI39+((AI$42-AI$34)/(AJ$34-AI$34)*AJ39+(AI$34-AH$42)/(AI$34-AH$34)*AI39)*(AI$42&gt;$B$10)+IF(AI$42=$B$10,SUM($F39:AH39)-SUM($F47:AH47)+AI39+(AI$42-AI$34)/(AJ$34-AI$34)*AJ39,0)</f>
        <v>0</v>
      </c>
      <c r="AJ47" s="510">
        <f ca="1">(AJ$42=$B$9)*AJ39+((AJ$42-AJ$34)/(AK$34-AJ$34)*AK39+(AJ$34-AI$42)/(AJ$34-AI$34)*AJ39)*(AJ$42&gt;$B$10)+IF(AJ$42=$B$10,SUM($F39:AI39)-SUM($F47:AI47)+AJ39+(AJ$42-AJ$34)/(AK$34-AJ$34)*AK39,0)</f>
        <v>0</v>
      </c>
      <c r="AK47" s="510">
        <f ca="1">(AK$42=$B$9)*AK39+((AK$42-AK$34)/(AL$34-AK$34)*AL39+(AK$34-AJ$42)/(AK$34-AJ$34)*AK39)*(AK$42&gt;$B$10)+IF(AK$42=$B$10,SUM($F39:AJ39)-SUM($F47:AJ47)+AK39+(AK$42-AK$34)/(AL$34-AK$34)*AL39,0)</f>
        <v>0</v>
      </c>
      <c r="AL47" s="510">
        <f ca="1">(AL$42=$B$9)*AL39+((AL$42-AL$34)/(AM$34-AL$34)*AM39+(AL$34-AK$42)/(AL$34-AK$34)*AL39)*(AL$42&gt;$B$10)+IF(AL$42=$B$10,SUM($F39:AK39)-SUM($F47:AK47)+AL39+(AL$42-AL$34)/(AM$34-AL$34)*AM39,0)</f>
        <v>0</v>
      </c>
      <c r="AM47" s="510">
        <f ca="1">(AM$42=$B$9)*AM39+((AM$42-AM$34)/(AN$34-AM$34)*AN39+(AM$34-AL$42)/(AM$34-AL$34)*AM39)*(AM$42&gt;$B$10)+IF(AM$42=$B$10,SUM($F39:AL39)-SUM($F47:AL47)+AM39+(AM$42-AM$34)/(AN$34-AM$34)*AN39,0)</f>
        <v>0</v>
      </c>
      <c r="AN47" s="510">
        <f ca="1">(AN$42=$B$9)*AN39+((AN$42-AN$34)/(AO$34-AN$34)*AO39+(AN$34-AM$42)/(AN$34-AM$34)*AN39)*(AN$42&gt;$B$10)+IF(AN$42=$B$10,SUM($F39:AM39)-SUM($F47:AM47)+AN39+(AN$42-AN$34)/(AO$34-AN$34)*AO39,0)</f>
        <v>0</v>
      </c>
      <c r="AO47" s="510">
        <f ca="1">(AO$42=$B$9)*AO39+((AO$42-AO$34)/(AP$34-AO$34)*AP39+(AO$34-AN$42)/(AO$34-AN$34)*AO39)*(AO$42&gt;$B$10)+IF(AO$42=$B$10,SUM($F39:AN39)-SUM($F47:AN47)+AO39+(AO$42-AO$34)/(AP$34-AO$34)*AP39,0)</f>
        <v>0</v>
      </c>
      <c r="AP47" s="510">
        <f ca="1">(AP$42=$B$9)*AP39+((AP$42-AP$34)/(AQ$34-AP$34)*AQ39+(AP$34-AO$42)/(AP$34-AO$34)*AP39)*(AP$42&gt;$B$10)+IF(AP$42=$B$10,SUM($F39:AO39)-SUM($F47:AO47)+AP39+(AP$42-AP$34)/(AQ$34-AP$34)*AQ39,0)</f>
        <v>0</v>
      </c>
      <c r="AQ47" s="510">
        <f ca="1">(AQ$42=$B$9)*AQ39+((AQ$42-AQ$34)/(AR$34-AQ$34)*AR39+(AQ$34-AP$42)/(AQ$34-AP$34)*AQ39)*(AQ$42&gt;$B$10)+IF(AQ$42=$B$10,SUM($F39:AP39)-SUM($F47:AP47)+AQ39+(AQ$42-AQ$34)/(AR$34-AQ$34)*AR39,0)</f>
        <v>0</v>
      </c>
      <c r="AR47" s="510">
        <f ca="1">(AR$42=$B$9)*AR39+((AR$42-AR$34)/(AS$34-AR$34)*AS39+(AR$34-AQ$42)/(AR$34-AQ$34)*AR39)*(AR$42&gt;$B$10)+IF(AR$42=$B$10,SUM($F39:AQ39)-SUM($F47:AQ47)+AR39+(AR$42-AR$34)/(AS$34-AR$34)*AS39,0)</f>
        <v>0</v>
      </c>
      <c r="AS47" s="510">
        <f ca="1">(AS$42=$B$9)*AS39+((AS$42-AS$34)/(AT$34-AS$34)*AT39+(AS$34-AR$42)/(AS$34-AR$34)*AS39)*(AS$42&gt;$B$10)+IF(AS$42=$B$10,SUM($F39:AR39)-SUM($F47:AR47)+AS39+(AS$42-AS$34)/(AT$34-AS$34)*AT39,0)</f>
        <v>0</v>
      </c>
      <c r="AT47" s="510">
        <f ca="1">(AT$42=$B$9)*AT39+((AT$42-AT$34)/(AU$34-AT$34)*AU39+(AT$34-AS$42)/(AT$34-AS$34)*AT39)*(AT$42&gt;$B$10)+IF(AT$42=$B$10,SUM($F39:AS39)-SUM($F47:AS47)+AT39+(AT$42-AT$34)/(AU$34-AT$34)*AU39,0)</f>
        <v>0</v>
      </c>
      <c r="AU47" s="510">
        <f ca="1">(AU$42=$B$9)*AU39+((AU$42-AU$34)/(AV$34-AU$34)*AV39+(AU$34-AT$42)/(AU$34-AT$34)*AU39)*(AU$42&gt;$B$10)+IF(AU$42=$B$10,SUM($F39:AT39)-SUM($F47:AT47)+AU39+(AU$42-AU$34)/(AV$34-AU$34)*AV39,0)</f>
        <v>0</v>
      </c>
      <c r="AV47" s="510">
        <f ca="1">(AV$42=$B$9)*AV39+((AV$42-AV$34)/(AW$34-AV$34)*AW39+(AV$34-AU$42)/(AV$34-AU$34)*AV39)*(AV$42&gt;$B$10)+IF(AV$42=$B$10,SUM($F39:AU39)-SUM($F47:AU47)+AV39+(AV$42-AV$34)/(AW$34-AV$34)*AW39,0)</f>
        <v>0</v>
      </c>
      <c r="AW47" s="510">
        <f ca="1">(AW$42=$B$9)*AW39+((AW$42-AW$34)/(AX$34-AW$34)*AX39+(AW$34-AV$42)/(AW$34-AV$34)*AW39)*(AW$42&gt;$B$10)+IF(AW$42=$B$10,SUM($F39:AV39)-SUM($F47:AV47)+AW39+(AW$42-AW$34)/(AX$34-AW$34)*AX39,0)</f>
        <v>0</v>
      </c>
      <c r="AX47" s="510">
        <f ca="1">(AX$42=$B$9)*AX39+((AX$42-AX$34)/(AY$34-AX$34)*AY39+(AX$34-AW$42)/(AX$34-AW$34)*AX39)*(AX$42&gt;$B$10)+IF(AX$42=$B$10,SUM($F39:AW39)-SUM($F47:AW47)+AX39+(AX$42-AX$34)/(AY$34-AX$34)*AY39,0)</f>
        <v>0</v>
      </c>
      <c r="AY47" s="510">
        <f ca="1">(AY$42=$B$9)*AY39+((AY$42-AY$34)/(AZ$34-AY$34)*AZ39+(AY$34-AX$42)/(AY$34-AX$34)*AY39)*(AY$42&gt;$B$10)+IF(AY$42=$B$10,SUM($F39:AX39)-SUM($F47:AX47)+AY39+(AY$42-AY$34)/(AZ$34-AY$34)*AZ39,0)</f>
        <v>0</v>
      </c>
      <c r="AZ47" s="510">
        <f ca="1">(AZ$42=$B$9)*AZ39+((AZ$42-AZ$34)/(BA$34-AZ$34)*BA39+(AZ$34-AY$42)/(AZ$34-AY$34)*AZ39)*(AZ$42&gt;$B$10)+IF(AZ$42=$B$10,SUM($F39:AY39)-SUM($F47:AY47)+AZ39+(AZ$42-AZ$34)/(BA$34-AZ$34)*BA39,0)</f>
        <v>0</v>
      </c>
      <c r="BA47" s="510">
        <f ca="1">(BA$42=$B$9)*BA39+((BA$42-BA$34)/(BB$34-BA$34)*BB39+(BA$34-AZ$42)/(BA$34-AZ$34)*BA39)*(BA$42&gt;$B$10)+IF(BA$42=$B$10,SUM($F39:AZ39)-SUM($F47:AZ47)+BA39+(BA$42-BA$34)/(BB$34-BA$34)*BB39,0)</f>
        <v>0</v>
      </c>
      <c r="BB47" s="510">
        <f ca="1">(BB$42=$B$9)*BB39+((BB$42-BB$34)/(BC$34-BB$34)*BC39+(BB$34-BA$42)/(BB$34-BA$34)*BB39)*(BB$42&gt;$B$10)+IF(BB$42=$B$10,SUM($F39:BA39)-SUM($F47:BA47)+BB39+(BB$42-BB$34)/(BC$34-BB$34)*BC39,0)</f>
        <v>0</v>
      </c>
      <c r="BC47" s="510">
        <f ca="1">(BC$42=$B$9)*BC39+((BC$42-BC$34)/(BD$34-BC$34)*BD39+(BC$34-BB$42)/(BC$34-BB$34)*BC39)*(BC$42&gt;$B$10)+IF(BC$42=$B$10,SUM($F39:BB39)-SUM($F47:BB47)+BC39+(BC$42-BC$34)/(BD$34-BC$34)*BD39,0)</f>
        <v>0</v>
      </c>
      <c r="BD47" s="510">
        <f ca="1">(BD$42=$B$9)*BD39+((BD$42-BD$34)/(BE$34-BD$34)*BE39+(BD$34-BC$42)/(BD$34-BC$34)*BD39)*(BD$42&gt;$B$10)+IF(BD$42=$B$10,SUM($F39:BC39)-SUM($F47:BC47)+BD39+(BD$42-BD$34)/(BE$34-BD$34)*BE39,0)</f>
        <v>0</v>
      </c>
      <c r="BE47" s="510">
        <f ca="1">(BE$42=$B$9)*BE39+((BE$42-BE$34)/(BF$34-BE$34)*BF39+(BE$34-BD$42)/(BE$34-BD$34)*BE39)*(BE$42&gt;$B$10)+IF(BE$42=$B$10,SUM($F39:BD39)-SUM($F47:BD47)+BE39+(BE$42-BE$34)/(BF$34-BE$34)*BF39,0)</f>
        <v>0</v>
      </c>
      <c r="BF47" s="510">
        <f ca="1">(BF$42=$B$9)*BF39+((BF$42-BF$34)/(BG$34-BF$34)*BG39+(BF$34-BE$42)/(BF$34-BE$34)*BF39)*(BF$42&gt;$B$10)+IF(BF$42=$B$10,SUM($F39:BE39)-SUM($F47:BE47)+BF39+(BF$42-BF$34)/(BG$34-BF$34)*BG39,0)</f>
        <v>0</v>
      </c>
      <c r="BG47" s="510">
        <f ca="1">(BG$42=$B$9)*BG39+((BG$42-BG$34)/(BH$34-BG$34)*BH39+(BG$34-BF$42)/(BG$34-BF$34)*BG39)*(BG$42&gt;$B$10)+IF(BG$42=$B$10,SUM($F39:BF39)-SUM($F47:BF47)+BG39+(BG$42-BG$34)/(BH$34-BG$34)*BH39,0)</f>
        <v>0</v>
      </c>
      <c r="BH47" s="510">
        <f ca="1">(BH$42=$B$9)*BH39+((BH$42-BH$34)/(BI$34-BH$34)*BI39+(BH$34-BG$42)/(BH$34-BG$34)*BH39)*(BH$42&gt;$B$10)+IF(BH$42=$B$10,SUM($F39:BG39)-SUM($F47:BG47)+BH39+(BH$42-BH$34)/(BI$34-BH$34)*BI39,0)</f>
        <v>0</v>
      </c>
      <c r="BI47" s="510">
        <f ca="1">(BI$42=$B$9)*BI39+((BI$42-BI$34)/(BJ$34-BI$34)*BJ39+(BI$34-BH$42)/(BI$34-BH$34)*BI39)*(BI$42&gt;$B$10)+IF(BI$42=$B$10,SUM($F39:BH39)-SUM($F47:BH47)+BI39+(BI$42-BI$34)/(BJ$34-BI$34)*BJ39,0)</f>
        <v>0</v>
      </c>
      <c r="BJ47" s="510">
        <f ca="1">(BJ$42=$B$9)*BJ39+((BJ$42-BJ$34)/(BK$34-BJ$34)*BK39+(BJ$34-BI$42)/(BJ$34-BI$34)*BJ39)*(BJ$42&gt;$B$10)+IF(BJ$42=$B$10,SUM($F39:BI39)-SUM($F47:BI47)+BJ39+(BJ$42-BJ$34)/(BK$34-BJ$34)*BK39,0)</f>
        <v>0</v>
      </c>
      <c r="BK47" s="510">
        <f ca="1">(BK$42=$B$9)*BK39+((BK$42-BK$34)/(BL$34-BK$34)*BL39+(BK$34-BJ$42)/(BK$34-BJ$34)*BK39)*(BK$42&gt;$B$10)+IF(BK$42=$B$10,SUM($F39:BJ39)-SUM($F47:BJ47)+BK39+(BK$42-BK$34)/(BL$34-BK$34)*BL39,0)</f>
        <v>0</v>
      </c>
      <c r="BL47" s="510">
        <f ca="1">(BL$42=$B$9)*BL39+((BL$42-BL$34)/(BM$34-BL$34)*BM39+(BL$34-BK$42)/(BL$34-BK$34)*BL39)*(BL$42&gt;$B$10)+IF(BL$42=$B$10,SUM($F39:BK39)-SUM($F47:BK47)+BL39+(BL$42-BL$34)/(BM$34-BL$34)*BM39,0)</f>
        <v>0</v>
      </c>
      <c r="BM47" s="510">
        <f ca="1">(BM$42=$B$9)*BM39+((BM$42-BM$34)/(BN$34-BM$34)*BN39+(BM$34-BL$42)/(BM$34-BL$34)*BM39)*(BM$42&gt;$B$10)+IF(BM$42=$B$10,SUM($F39:BL39)-SUM($F47:BL47)+BM39+(BM$42-BM$34)/(BN$34-BM$34)*BN39,0)</f>
        <v>0</v>
      </c>
      <c r="BN47" s="510">
        <f ca="1">(BN$42=$B$9)*BN39+((BN$42-BN$34)/(BO$34-BN$34)*BO39+(BN$34-BM$42)/(BN$34-BM$34)*BN39)*(BN$42&gt;$B$10)+IF(BN$42=$B$10,SUM($F39:BM39)-SUM($F47:BM47)+BN39+(BN$42-BN$34)/(BO$34-BN$34)*BO39,0)</f>
        <v>0</v>
      </c>
      <c r="BO47" s="510">
        <f ca="1">(BO$42=$B$9)*BO39+((BO$42-BO$34)/(BP$34-BO$34)*BP39+(BO$34-BN$42)/(BO$34-BN$34)*BO39)*(BO$42&gt;$B$10)+IF(BO$42=$B$10,SUM($F39:BN39)-SUM($F47:BN47)+BO39+(BO$42-BO$34)/(BP$34-BO$34)*BP39,0)</f>
        <v>0</v>
      </c>
      <c r="BP47" s="510">
        <f ca="1">(BP$42=$B$9)*BP39+((BP$42-BP$34)/(BQ$34-BP$34)*BQ39+(BP$34-BO$42)/(BP$34-BO$34)*BP39)*(BP$42&gt;$B$10)+IF(BP$42=$B$10,SUM($F39:BO39)-SUM($F47:BO47)+BP39+(BP$42-BP$34)/(BQ$34-BP$34)*BQ39,0)</f>
        <v>0</v>
      </c>
      <c r="BQ47" s="510">
        <f ca="1">(BQ$42=$B$9)*BQ39+((BQ$42-BQ$34)/(BR$34-BQ$34)*BR39+(BQ$34-BP$42)/(BQ$34-BP$34)*BQ39)*(BQ$42&gt;$B$10)+IF(BQ$42=$B$10,SUM($F39:BP39)-SUM($F47:BP47)+BQ39+(BQ$42-BQ$34)/(BR$34-BQ$34)*BR39,0)</f>
        <v>0</v>
      </c>
      <c r="BR47" s="510">
        <f ca="1">(BR$42=$B$9)*BR39+((BR$42-BR$34)/(BS$34-BR$34)*BS39+(BR$34-BQ$42)/(BR$34-BQ$34)*BR39)*(BR$42&gt;$B$10)+IF(BR$42=$B$10,SUM($F39:BQ39)-SUM($F47:BQ47)+BR39+(BR$42-BR$34)/(BS$34-BR$34)*BS39,0)</f>
        <v>0</v>
      </c>
      <c r="BS47" s="510">
        <f ca="1">(BS$42=$B$9)*BS39+((BS$42-BS$34)/(BT$34-BS$34)*BT39+(BS$34-BR$42)/(BS$34-BR$34)*BS39)*(BS$42&gt;$B$10)+IF(BS$42=$B$10,SUM($F39:BR39)-SUM($F47:BR47)+BS39+(BS$42-BS$34)/(BT$34-BS$34)*BT39,0)</f>
        <v>0</v>
      </c>
      <c r="BT47" s="510">
        <f ca="1">(BT$42=$B$9)*BT39+((BT$42-BT$34)/(BU$34-BT$34)*BU39+(BT$34-BS$42)/(BT$34-BS$34)*BT39)*(BT$42&gt;$B$10)+IF(BT$42=$B$10,SUM($F39:BS39)-SUM($F47:BS47)+BT39+(BT$42-BT$34)/(BU$34-BT$34)*BU39,0)</f>
        <v>0</v>
      </c>
      <c r="BU47" s="510">
        <f ca="1">(BU$42=$B$9)*BU39+((BU$42-BU$34)/(BV$34-BU$34)*BV39+(BU$34-BT$42)/(BU$34-BT$34)*BU39)*(BU$42&gt;$B$10)+IF(BU$42=$B$10,SUM($F39:BT39)-SUM($F47:BT47)+BU39+(BU$42-BU$34)/(BV$34-BU$34)*BV39,0)</f>
        <v>0</v>
      </c>
      <c r="BV47" s="510">
        <f ca="1">(BV$42=$B$9)*BV39+((BV$42-BV$34)/(BW$34-BV$34)*BW39+(BV$34-BU$42)/(BV$34-BU$34)*BV39)*(BV$42&gt;$B$10)+IF(BV$42=$B$10,SUM($F39:BU39)-SUM($F47:BU47)+BV39+(BV$42-BV$34)/(BW$34-BV$34)*BW39,0)</f>
        <v>0</v>
      </c>
      <c r="BW47" s="510">
        <f ca="1">(BW$42=$B$9)*BW39+((BW$42-BW$34)/(BX$34-BW$34)*BX39+(BW$34-BV$42)/(BW$34-BV$34)*BW39)*(BW$42&gt;$B$10)+IF(BW$42=$B$10,SUM($F39:BV39)-SUM($F47:BV47)+BW39+(BW$42-BW$34)/(BX$34-BW$34)*BX39,0)</f>
        <v>0</v>
      </c>
      <c r="BX47" s="510">
        <f ca="1">(BX$42=$B$9)*BX39+((BX$42-BX$34)/(BY$34-BX$34)*BY39+(BX$34-BW$42)/(BX$34-BW$34)*BX39)*(BX$42&gt;$B$10)+IF(BX$42=$B$10,SUM($F39:BW39)-SUM($F47:BW47)+BX39+(BX$42-BX$34)/(BY$34-BX$34)*BY39,0)</f>
        <v>0</v>
      </c>
      <c r="BY47" s="510">
        <f ca="1">(BY$42=$B$9)*BY39+((BY$42-BY$34)/(BZ$34-BY$34)*BZ39+(BY$34-BX$42)/(BY$34-BX$34)*BY39)*(BY$42&gt;$B$10)+IF(BY$42=$B$10,SUM($F39:BX39)-SUM($F47:BX47)+BY39+(BY$42-BY$34)/(BZ$34-BY$34)*BZ39,0)</f>
        <v>0</v>
      </c>
      <c r="BZ47" s="510">
        <f ca="1">(BZ$42=$B$9)*BZ39+((BZ$42-BZ$34)/(CA$34-BZ$34)*CA39+(BZ$34-BY$42)/(BZ$34-BY$34)*BZ39)*(BZ$42&gt;$B$10)+IF(BZ$42=$B$10,SUM($F39:BY39)-SUM($F47:BY47)+BZ39+(BZ$42-BZ$34)/(CA$34-BZ$34)*CA39,0)</f>
        <v>0</v>
      </c>
      <c r="CA47" s="510">
        <f ca="1">(CA$42=$B$9)*CA39+((CA$42-CA$34)/(CB$34-CA$34)*CB39+(CA$34-BZ$42)/(CA$34-BZ$34)*CA39)*(CA$42&gt;$B$10)+IF(CA$42=$B$10,SUM($F39:BZ39)-SUM($F47:BZ47)+CA39+(CA$42-CA$34)/(CB$34-CA$34)*CB39,0)</f>
        <v>0</v>
      </c>
      <c r="CB47" s="510">
        <f ca="1">(CB$42=$B$9)*CB39+((CB$42-CB$34)/(CC$34-CB$34)*CC39+(CB$34-CA$42)/(CB$34-CA$34)*CB39)*(CB$42&gt;$B$10)+IF(CB$42=$B$10,SUM($F39:CA39)-SUM($F47:CA47)+CB39+(CB$42-CB$34)/(CC$34-CB$34)*CC39,0)</f>
        <v>0</v>
      </c>
      <c r="CC47" s="510">
        <f ca="1">(CC$42=$B$9)*CC39+((CC$42-CC$34)/(CD$34-CC$34)*CD39+(CC$34-CB$42)/(CC$34-CB$34)*CC39)*(CC$42&gt;$B$10)+IF(CC$42=$B$10,SUM($F39:CB39)-SUM($F47:CB47)+CC39+(CC$42-CC$34)/(CD$34-CC$34)*CD39,0)</f>
        <v>0</v>
      </c>
      <c r="CD47" s="510">
        <f ca="1">(CD$42=$B$9)*CD39+((CD$42-CD$34)/(CE$34-CD$34)*CE39+(CD$34-CC$42)/(CD$34-CC$34)*CD39)*(CD$42&gt;$B$10)+IF(CD$42=$B$10,SUM($F39:CC39)-SUM($F47:CC47)+CD39+(CD$42-CD$34)/(CE$34-CD$34)*CE39,0)</f>
        <v>0</v>
      </c>
      <c r="CE47" s="510">
        <f ca="1">(CE$42=$B$9)*CE39+((CE$42-CE$34)/(CF$34-CE$34)*CF39+(CE$34-CD$42)/(CE$34-CD$34)*CE39)*(CE$42&gt;$B$10)+IF(CE$42=$B$10,SUM($F39:CD39)-SUM($F47:CD47)+CE39+(CE$42-CE$34)/(CF$34-CE$34)*CF39,0)</f>
        <v>0</v>
      </c>
      <c r="CF47" s="510">
        <f ca="1">(CF$42=$B$9)*CF39+((CF$42-CF$34)/(CG$34-CF$34)*CG39+(CF$34-CE$42)/(CF$34-CE$34)*CF39)*(CF$42&gt;$B$10)+IF(CF$42=$B$10,SUM($F39:CE39)-SUM($F47:CE47)+CF39+(CF$42-CF$34)/(CG$34-CF$34)*CG39,0)</f>
        <v>0</v>
      </c>
      <c r="CG47" s="510">
        <f ca="1">(CG$42=$B$9)*CG39+((CG$42-CG$34)/(CH$34-CG$34)*CH39+(CG$34-CF$42)/(CG$34-CF$34)*CG39)*(CG$42&gt;$B$10)+IF(CG$42=$B$10,SUM($F39:CF39)-SUM($F47:CF47)+CG39+(CG$42-CG$34)/(CH$34-CG$34)*CH39,0)</f>
        <v>0</v>
      </c>
      <c r="CH47" s="510">
        <f ca="1">(CH$42=$B$9)*CH39+((CH$42-CH$34)/(CI$34-CH$34)*CI39+(CH$34-CG$42)/(CH$34-CG$34)*CH39)*(CH$42&gt;$B$10)+IF(CH$42=$B$10,SUM($F39:CG39)-SUM($F47:CG47)+CH39+(CH$42-CH$34)/(CI$34-CH$34)*CI39,0)</f>
        <v>0</v>
      </c>
      <c r="CI47" s="510">
        <f ca="1">(CI$42=$B$9)*CI39+((CI$42-CI$34)/(CJ$34-CI$34)*CJ39+(CI$34-CH$42)/(CI$34-CH$34)*CI39)*(CI$42&gt;$B$10)+IF(CI$42=$B$10,SUM($F39:CH39)-SUM($F47:CH47)+CI39+(CI$42-CI$34)/(CJ$34-CI$34)*CJ39,0)</f>
        <v>0</v>
      </c>
      <c r="CJ47" s="510">
        <f ca="1">(CJ$42=$B$9)*CJ39+((CJ$42-CJ$34)/(CK$34-CJ$34)*CK39+(CJ$34-CI$42)/(CJ$34-CI$34)*CJ39)*(CJ$42&gt;$B$10)+IF(CJ$42=$B$10,SUM($F39:CI39)-SUM($F47:CI47)+CJ39+(CJ$42-CJ$34)/(CK$34-CJ$34)*CK39,0)</f>
        <v>0</v>
      </c>
      <c r="CK47" s="510">
        <f ca="1">(CK$42=$B$9)*CK39+((CK$42-CK$34)/(CL$34-CK$34)*CL39+(CK$34-CJ$42)/(CK$34-CJ$34)*CK39)*(CK$42&gt;$B$10)+IF(CK$42=$B$10,SUM($F39:CJ39)-SUM($F47:CJ47)+CK39+(CK$42-CK$34)/(CL$34-CK$34)*CL39,0)</f>
        <v>0</v>
      </c>
      <c r="CL47" s="510">
        <f ca="1">(CL$42=$B$9)*CL39+((CL$42-CL$34)/(CM$34-CL$34)*CM39+(CL$34-CK$42)/(CL$34-CK$34)*CL39)*(CL$42&gt;$B$10)+IF(CL$42=$B$10,SUM($F39:CK39)-SUM($F47:CK47)+CL39+(CL$42-CL$34)/(CM$34-CL$34)*CM39,0)</f>
        <v>0</v>
      </c>
      <c r="CM47" s="510">
        <f ca="1">(CM$42=$B$9)*CM39+((CM$42-CM$34)/(CN$34-CM$34)*CN39+(CM$34-CL$42)/(CM$34-CL$34)*CM39)*(CM$42&gt;$B$10)+IF(CM$42=$B$10,SUM($F39:CL39)-SUM($F47:CL47)+CM39+(CM$42-CM$34)/(CN$34-CM$34)*CN39,0)</f>
        <v>0</v>
      </c>
      <c r="CN47" s="510">
        <f ca="1">(CN$42=$B$9)*CN39+((CN$42-CN$34)/(CO$34-CN$34)*CO39+(CN$34-CM$42)/(CN$34-CM$34)*CN39)*(CN$42&gt;$B$10)+IF(CN$42=$B$10,SUM($F39:CM39)-SUM($F47:CM47)+CN39+(CN$42-CN$34)/(CO$34-CN$34)*CO39,0)</f>
        <v>0</v>
      </c>
      <c r="CO47" s="510">
        <f ca="1">(CO$42=$B$9)*CO39+((CO$42-CO$34)/(CP$34-CO$34)*CP39+(CO$34-CN$42)/(CO$34-CN$34)*CO39)*(CO$42&gt;$B$10)+IF(CO$42=$B$10,SUM($F39:CN39)-SUM($F47:CN47)+CO39+(CO$42-CO$34)/(CP$34-CO$34)*CP39,0)</f>
        <v>0</v>
      </c>
      <c r="CP47" s="510">
        <f ca="1">(CP$42=$B$9)*CP39+((CP$42-CP$34)/(CQ$34-CP$34)*CQ39+(CP$34-CO$42)/(CP$34-CO$34)*CP39)*(CP$42&gt;$B$10)+IF(CP$42=$B$10,SUM($F39:CO39)-SUM($F47:CO47)+CP39+(CP$42-CP$34)/(CQ$34-CP$34)*CQ39,0)</f>
        <v>0</v>
      </c>
      <c r="CQ47" s="510">
        <f ca="1">(CQ$42=$B$9)*CQ39+((CQ$42-CQ$34)/(CR$34-CQ$34)*CR39+(CQ$34-CP$42)/(CQ$34-CP$34)*CQ39)*(CQ$42&gt;$B$10)+IF(CQ$42=$B$10,SUM($F39:CP39)-SUM($F47:CP47)+CQ39+(CQ$42-CQ$34)/(CR$34-CQ$34)*CR39,0)</f>
        <v>0</v>
      </c>
      <c r="CR47" s="510">
        <f ca="1">(CR$42=$B$9)*CR39+((CR$42-CR$34)/(CS$34-CR$34)*CS39+(CR$34-CQ$42)/(CR$34-CQ$34)*CR39)*(CR$42&gt;$B$10)+IF(CR$42=$B$10,SUM($F39:CQ39)-SUM($F47:CQ47)+CR39+(CR$42-CR$34)/(CS$34-CR$34)*CS39,0)</f>
        <v>0</v>
      </c>
      <c r="CS47" s="510">
        <f ca="1">(CS$42=$B$9)*CS39+((CS$42-CS$34)/(CT$34-CS$34)*CT39+(CS$34-CR$42)/(CS$34-CR$34)*CS39)*(CS$42&gt;$B$10)+IF(CS$42=$B$10,SUM($F39:CR39)-SUM($F47:CR47)+CS39+(CS$42-CS$34)/(CT$34-CS$34)*CT39,0)</f>
        <v>0</v>
      </c>
      <c r="CT47" s="510">
        <f ca="1">(CT$42=$B$9)*CT39+((CT$42-CT$34)/(CU$34-CT$34)*CU39+(CT$34-CS$42)/(CT$34-CS$34)*CT39)*(CT$42&gt;$B$10)+IF(CT$42=$B$10,SUM($F39:CS39)-SUM($F47:CS47)+CT39+(CT$42-CT$34)/(CU$34-CT$34)*CU39,0)</f>
        <v>0</v>
      </c>
      <c r="CU47" s="510">
        <f ca="1">(CU$42=$B$9)*CU39+((CU$42-CU$34)/(CV$34-CU$34)*CV39+(CU$34-CT$42)/(CU$34-CT$34)*CU39)*(CU$42&gt;$B$10)+IF(CU$42=$B$10,SUM($F39:CT39)-SUM($F47:CT47)+CU39+(CU$42-CU$34)/(CV$34-CU$34)*CV39,0)</f>
        <v>0</v>
      </c>
      <c r="CV47" s="510">
        <f ca="1">(CV$42=$B$9)*CV39+((CV$42-CV$34)/(CW$34-CV$34)*CW39+(CV$34-CU$42)/(CV$34-CU$34)*CV39)*(CV$42&gt;$B$10)+IF(CV$42=$B$10,SUM($F39:CU39)-SUM($F47:CU47)+CV39+(CV$42-CV$34)/(CW$34-CV$34)*CW39,0)</f>
        <v>0</v>
      </c>
      <c r="CW47" s="510">
        <f ca="1">(CW$42=$B$9)*CW39+((CW$42-CW$34)/(CX$34-CW$34)*CX39+(CW$34-CV$42)/(CW$34-CV$34)*CW39)*(CW$42&gt;$B$10)+IF(CW$42=$B$10,SUM($F39:CV39)-SUM($F47:CV47)+CW39+(CW$42-CW$34)/(CX$34-CW$34)*CX39,0)</f>
        <v>0</v>
      </c>
      <c r="CX47" s="510">
        <f ca="1">(CX$42=$B$9)*CX39+((CX$42-CX$34)/(CY$34-CX$34)*CY39+(CX$34-CW$42)/(CX$34-CW$34)*CX39)*(CX$42&gt;$B$10)+IF(CX$42=$B$10,SUM($F39:CW39)-SUM($F47:CW47)+CX39+(CX$42-CX$34)/(CY$34-CX$34)*CY39,0)</f>
        <v>0</v>
      </c>
      <c r="CY47" s="510">
        <f ca="1">(CY$42=$B$9)*CY39+((CY$42-CY$34)/(CZ$34-CY$34)*CZ39+(CY$34-CX$42)/(CY$34-CX$34)*CY39)*(CY$42&gt;$B$10)+IF(CY$42=$B$10,SUM($F39:CX39)-SUM($F47:CX47)+CY39+(CY$42-CY$34)/(CZ$34-CY$34)*CZ39,0)</f>
        <v>0</v>
      </c>
      <c r="CZ47" s="510">
        <f ca="1">(CZ$42=$B$9)*CZ39+((CZ$42-CZ$34)/(DA$34-CZ$34)*DA39+(CZ$34-CY$42)/(CZ$34-CY$34)*CZ39)*(CZ$42&gt;$B$10)+IF(CZ$42=$B$10,SUM($F39:CY39)-SUM($F47:CY47)+CZ39+(CZ$42-CZ$34)/(DA$34-CZ$34)*DA39,0)</f>
        <v>0</v>
      </c>
      <c r="DA47" s="510">
        <f ca="1">(DA$42=$B$9)*DA39+((DA$42-DA$34)/(DB$34-DA$34)*DB39+(DA$34-CZ$42)/(DA$34-CZ$34)*DA39)*(DA$42&gt;$B$10)+IF(DA$42=$B$10,SUM($F39:CZ39)-SUM($F47:CZ47)+DA39+(DA$42-DA$34)/(DB$34-DA$34)*DB39,0)</f>
        <v>0</v>
      </c>
      <c r="DB47" s="510">
        <f ca="1">(DB$42=$B$9)*DB39+((DB$42-DB$34)/(DC$34-DB$34)*DC39+(DB$34-DA$42)/(DB$34-DA$34)*DB39)*(DB$42&gt;$B$10)+IF(DB$42=$B$10,SUM($F39:DA39)-SUM($F47:DA47)+DB39+(DB$42-DB$34)/(DC$34-DB$34)*DC39,0)</f>
        <v>0</v>
      </c>
      <c r="DC47" s="510">
        <f ca="1">(DC$42=$B$9)*DC39+((DC$42-DC$34)/(DD$34-DC$34)*DD39+(DC$34-DB$42)/(DC$34-DB$34)*DC39)*(DC$42&gt;$B$10)+IF(DC$42=$B$10,SUM($F39:DB39)-SUM($F47:DB47)+DC39+(DC$42-DC$34)/(DD$34-DC$34)*DD39,0)</f>
        <v>0</v>
      </c>
      <c r="DD47" s="510">
        <f ca="1">(DD$42=$B$9)*DD39+((DD$42-DD$34)/(DE$34-DD$34)*DE39+(DD$34-DC$42)/(DD$34-DC$34)*DD39)*(DD$42&gt;$B$10)+IF(DD$42=$B$10,SUM($F39:DC39)-SUM($F47:DC47)+DD39+(DD$42-DD$34)/(DE$34-DD$34)*DE39,0)</f>
        <v>0</v>
      </c>
      <c r="DE47" s="510">
        <f ca="1">(DE$42=$B$9)*DE39+((DE$42-DE$34)/(DF$34-DE$34)*DF39+(DE$34-DD$42)/(DE$34-DD$34)*DE39)*(DE$42&gt;$B$10)+IF(DE$42=$B$10,SUM($F39:DD39)-SUM($F47:DD47)+DE39+(DE$42-DE$34)/(DF$34-DE$34)*DF39,0)</f>
        <v>0</v>
      </c>
      <c r="DF47" s="510">
        <f ca="1">(DF$42=$B$9)*DF39+((DF$42-DF$34)/(DG$34-DF$34)*DG39+(DF$34-DE$42)/(DF$34-DE$34)*DF39)*(DF$42&gt;$B$10)+IF(DF$42=$B$10,SUM($F39:DE39)-SUM($F47:DE47)+DF39+(DF$42-DF$34)/(DG$34-DF$34)*DG39,0)</f>
        <v>0</v>
      </c>
      <c r="DG47" s="510">
        <f ca="1">(DG$42=$B$9)*DG39+((DG$42-DG$34)/(DH$34-DG$34)*DH39+(DG$34-DF$42)/(DG$34-DF$34)*DG39)*(DG$42&gt;$B$10)+IF(DG$42=$B$10,SUM($F39:DF39)-SUM($F47:DF47)+DG39+(DG$42-DG$34)/(DH$34-DG$34)*DH39,0)</f>
        <v>0</v>
      </c>
      <c r="DH47" s="510">
        <f ca="1">(DH$42=$B$9)*DH39+((DH$42-DH$34)/(DI$34-DH$34)*DI39+(DH$34-DG$42)/(DH$34-DG$34)*DH39)*(DH$42&gt;$B$10)+IF(DH$42=$B$10,SUM($F39:DG39)-SUM($F47:DG47)+DH39+(DH$42-DH$34)/(DI$34-DH$34)*DI39,0)</f>
        <v>0</v>
      </c>
      <c r="DI47" s="510">
        <f ca="1">(DI$42=$B$9)*DI39+((DI$42-DI$34)/(DJ$34-DI$34)*DJ39+(DI$34-DH$42)/(DI$34-DH$34)*DI39)*(DI$42&gt;$B$10)+IF(DI$42=$B$10,SUM($F39:DH39)-SUM($F47:DH47)+DI39+(DI$42-DI$34)/(DJ$34-DI$34)*DJ39,0)</f>
        <v>0</v>
      </c>
      <c r="DJ47" s="510">
        <f ca="1">(DJ$42=$B$9)*DJ39+((DJ$42-DJ$34)/(DK$34-DJ$34)*DK39+(DJ$34-DI$42)/(DJ$34-DI$34)*DJ39)*(DJ$42&gt;$B$10)+IF(DJ$42=$B$10,SUM($F39:DI39)-SUM($F47:DI47)+DJ39+(DJ$42-DJ$34)/(DK$34-DJ$34)*DK39,0)</f>
        <v>0</v>
      </c>
      <c r="DK47" s="510">
        <f ca="1">(DK$42=$B$9)*DK39+((DK$42-DK$34)/(DL$34-DK$34)*DL39+(DK$34-DJ$42)/(DK$34-DJ$34)*DK39)*(DK$42&gt;$B$10)+IF(DK$42=$B$10,SUM($F39:DJ39)-SUM($F47:DJ47)+DK39+(DK$42-DK$34)/(DL$34-DK$34)*DL39,0)</f>
        <v>0</v>
      </c>
      <c r="DL47" s="510">
        <f ca="1">(DL$42=$B$9)*DL39+((DL$42-DL$34)/(DM$34-DL$34)*DM39+(DL$34-DK$42)/(DL$34-DK$34)*DL39)*(DL$42&gt;$B$10)+IF(DL$42=$B$10,SUM($F39:DK39)-SUM($F47:DK47)+DL39+(DL$42-DL$34)/(DM$34-DL$34)*DM39,0)</f>
        <v>0</v>
      </c>
      <c r="DM47" s="510">
        <f ca="1">(DM$42=$B$9)*DM39+((DM$42-DM$34)/(DN$34-DM$34)*DN39+(DM$34-DL$42)/(DM$34-DL$34)*DM39)*(DM$42&gt;$B$10)+IF(DM$42=$B$10,SUM($F39:DL39)-SUM($F47:DL47)+DM39+(DM$42-DM$34)/(DN$34-DM$34)*DN39,0)</f>
        <v>0</v>
      </c>
      <c r="DN47" s="510">
        <f ca="1">(DN$42=$B$9)*DN39+((DN$42-DN$34)/(DO$34-DN$34)*DO39+(DN$34-DM$42)/(DN$34-DM$34)*DN39)*(DN$42&gt;$B$10)+IF(DN$42=$B$10,SUM($F39:DM39)-SUM($F47:DM47)+DN39+(DN$42-DN$34)/(DO$34-DN$34)*DO39,0)</f>
        <v>0</v>
      </c>
      <c r="DO47" s="510">
        <f ca="1">(DO$42=$B$9)*DO39+((DO$42-DO$34)/(DP$34-DO$34)*DP39+(DO$34-DN$42)/(DO$34-DN$34)*DO39)*(DO$42&gt;$B$10)+IF(DO$42=$B$10,SUM($F39:DN39)-SUM($F47:DN47)+DO39+(DO$42-DO$34)/(DP$34-DO$34)*DP39,0)</f>
        <v>0</v>
      </c>
      <c r="DP47" s="510">
        <f ca="1">(DP$42=$B$9)*DP39+((DP$42-DP$34)/(DQ$34-DP$34)*DQ39+(DP$34-DO$42)/(DP$34-DO$34)*DP39)*(DP$42&gt;$B$10)+IF(DP$42=$B$10,SUM($F39:DO39)-SUM($F47:DO47)+DP39+(DP$42-DP$34)/(DQ$34-DP$34)*DQ39,0)</f>
        <v>0</v>
      </c>
      <c r="DQ47" s="510">
        <f ca="1">(DQ$42=$B$9)*DQ39+((DQ$42-DQ$34)/(DR$34-DQ$34)*DR39+(DQ$34-DP$42)/(DQ$34-DP$34)*DQ39)*(DQ$42&gt;$B$10)+IF(DQ$42=$B$10,SUM($F39:DP39)-SUM($F47:DP47)+DQ39+(DQ$42-DQ$34)/(DR$34-DQ$34)*DR39,0)</f>
        <v>0</v>
      </c>
      <c r="DR47" s="510">
        <f ca="1">(DR$42=$B$9)*DR39+((DR$42-DR$34)/(DS$34-DR$34)*DS39+(DR$34-DQ$42)/(DR$34-DQ$34)*DR39)*(DR$42&gt;$B$10)+IF(DR$42=$B$10,SUM($F39:DQ39)-SUM($F47:DQ47)+DR39+(DR$42-DR$34)/(DS$34-DR$34)*DS39,0)</f>
        <v>0</v>
      </c>
      <c r="DS47" s="510">
        <f ca="1">(DS$42=$B$9)*DS39+((DS$42-DS$34)/(DT$34-DS$34)*DT39+(DS$34-DR$42)/(DS$34-DR$34)*DS39)*(DS$42&gt;$B$10)+IF(DS$42=$B$10,SUM($F39:DR39)-SUM($F47:DR47)+DS39+(DS$42-DS$34)/(DT$34-DS$34)*DT39,0)</f>
        <v>0</v>
      </c>
      <c r="DT47" s="510">
        <f ca="1">(DT$42=$B$9)*DT39+((DT$42-DT$34)/(DU$34-DT$34)*DU39+(DT$34-DS$42)/(DT$34-DS$34)*DT39)*(DT$42&gt;$B$10)+IF(DT$42=$B$10,SUM($F39:DS39)-SUM($F47:DS47)+DT39+(DT$42-DT$34)/(DU$34-DT$34)*DU39,0)</f>
        <v>0</v>
      </c>
      <c r="DU47" s="510">
        <f ca="1">(DU$42=$B$9)*DU39+((DU$42-DU$34)/(DV$34-DU$34)*DV39+(DU$34-DT$42)/(DU$34-DT$34)*DU39)*(DU$42&gt;$B$10)+IF(DU$42=$B$10,SUM($F39:DT39)-SUM($F47:DT47)+DU39+(DU$42-DU$34)/(DV$34-DU$34)*DV39,0)</f>
        <v>0</v>
      </c>
      <c r="DV47" s="510">
        <f ca="1">(DV$42=$B$9)*DV39+((DV$42-DV$34)/(DW$34-DV$34)*DW39+(DV$34-DU$42)/(DV$34-DU$34)*DV39)*(DV$42&gt;$B$10)+IF(DV$42=$B$10,SUM($F39:DU39)-SUM($F47:DU47)+DV39+(DV$42-DV$34)/(DW$34-DV$34)*DW39,0)</f>
        <v>0</v>
      </c>
      <c r="DW47" s="510">
        <f ca="1">(DW$42=$B$9)*DW39+((DW$42-DW$34)/(DX$34-DW$34)*DX39+(DW$34-DV$42)/(DW$34-DV$34)*DW39)*(DW$42&gt;$B$10)+IF(DW$42=$B$10,SUM($F39:DV39)-SUM($F47:DV47)+DW39+(DW$42-DW$34)/(DX$34-DW$34)*DX39,0)</f>
        <v>0</v>
      </c>
    </row>
    <row r="48" spans="1:131">
      <c r="A48" s="344" t="str">
        <f>"Gross Total "&amp;Inputs!$A$317</f>
        <v>Gross Total Investor 1</v>
      </c>
      <c r="B48" s="726"/>
      <c r="C48" s="970"/>
      <c r="D48" s="476"/>
      <c r="E48" s="476"/>
      <c r="F48" s="518"/>
      <c r="G48" s="513">
        <f ca="1">(G43+G44+G46)</f>
        <v>0</v>
      </c>
      <c r="H48" s="513">
        <f t="shared" ref="H48:BS48" ca="1" si="28">(H43+H44+H46)</f>
        <v>0</v>
      </c>
      <c r="I48" s="513">
        <f t="shared" ca="1" si="28"/>
        <v>0</v>
      </c>
      <c r="J48" s="513">
        <f t="shared" ca="1" si="28"/>
        <v>0</v>
      </c>
      <c r="K48" s="513">
        <f t="shared" ca="1" si="28"/>
        <v>0</v>
      </c>
      <c r="L48" s="513">
        <f t="shared" ca="1" si="28"/>
        <v>0</v>
      </c>
      <c r="M48" s="513">
        <f t="shared" ca="1" si="28"/>
        <v>0</v>
      </c>
      <c r="N48" s="513">
        <f t="shared" ca="1" si="28"/>
        <v>0</v>
      </c>
      <c r="O48" s="513">
        <f t="shared" ca="1" si="28"/>
        <v>0</v>
      </c>
      <c r="P48" s="513">
        <f t="shared" ca="1" si="28"/>
        <v>0</v>
      </c>
      <c r="Q48" s="513">
        <f t="shared" ca="1" si="28"/>
        <v>0</v>
      </c>
      <c r="R48" s="513">
        <f t="shared" ca="1" si="28"/>
        <v>0</v>
      </c>
      <c r="S48" s="513">
        <f t="shared" ca="1" si="28"/>
        <v>0</v>
      </c>
      <c r="T48" s="513">
        <f t="shared" ca="1" si="28"/>
        <v>0</v>
      </c>
      <c r="U48" s="513">
        <f t="shared" ca="1" si="28"/>
        <v>0</v>
      </c>
      <c r="V48" s="513">
        <f t="shared" ca="1" si="28"/>
        <v>0</v>
      </c>
      <c r="W48" s="513">
        <f t="shared" ca="1" si="28"/>
        <v>0</v>
      </c>
      <c r="X48" s="513">
        <f t="shared" ca="1" si="28"/>
        <v>0</v>
      </c>
      <c r="Y48" s="513">
        <f t="shared" ca="1" si="28"/>
        <v>0</v>
      </c>
      <c r="Z48" s="513">
        <f t="shared" ca="1" si="28"/>
        <v>0</v>
      </c>
      <c r="AA48" s="513">
        <f t="shared" ca="1" si="28"/>
        <v>0</v>
      </c>
      <c r="AB48" s="513">
        <f t="shared" ca="1" si="28"/>
        <v>0</v>
      </c>
      <c r="AC48" s="513">
        <f t="shared" ca="1" si="28"/>
        <v>0</v>
      </c>
      <c r="AD48" s="513">
        <f t="shared" ca="1" si="28"/>
        <v>0</v>
      </c>
      <c r="AE48" s="513">
        <f t="shared" ca="1" si="28"/>
        <v>0</v>
      </c>
      <c r="AF48" s="513">
        <f t="shared" ca="1" si="28"/>
        <v>0</v>
      </c>
      <c r="AG48" s="513">
        <f t="shared" ca="1" si="28"/>
        <v>0</v>
      </c>
      <c r="AH48" s="513">
        <f t="shared" ca="1" si="28"/>
        <v>0</v>
      </c>
      <c r="AI48" s="513">
        <f t="shared" ca="1" si="28"/>
        <v>0</v>
      </c>
      <c r="AJ48" s="513">
        <f t="shared" ca="1" si="28"/>
        <v>0</v>
      </c>
      <c r="AK48" s="513">
        <f t="shared" ca="1" si="28"/>
        <v>0</v>
      </c>
      <c r="AL48" s="513">
        <f t="shared" ca="1" si="28"/>
        <v>0</v>
      </c>
      <c r="AM48" s="513">
        <f t="shared" ca="1" si="28"/>
        <v>0</v>
      </c>
      <c r="AN48" s="513">
        <f t="shared" ca="1" si="28"/>
        <v>0</v>
      </c>
      <c r="AO48" s="513">
        <f t="shared" ca="1" si="28"/>
        <v>0</v>
      </c>
      <c r="AP48" s="513">
        <f t="shared" ca="1" si="28"/>
        <v>0</v>
      </c>
      <c r="AQ48" s="513">
        <f t="shared" ca="1" si="28"/>
        <v>0</v>
      </c>
      <c r="AR48" s="513">
        <f t="shared" ca="1" si="28"/>
        <v>0</v>
      </c>
      <c r="AS48" s="513">
        <f t="shared" ca="1" si="28"/>
        <v>0</v>
      </c>
      <c r="AT48" s="513">
        <f t="shared" ca="1" si="28"/>
        <v>0</v>
      </c>
      <c r="AU48" s="513">
        <f t="shared" ca="1" si="28"/>
        <v>0</v>
      </c>
      <c r="AV48" s="513">
        <f t="shared" ca="1" si="28"/>
        <v>0</v>
      </c>
      <c r="AW48" s="513">
        <f t="shared" ca="1" si="28"/>
        <v>0</v>
      </c>
      <c r="AX48" s="513">
        <f t="shared" ca="1" si="28"/>
        <v>0</v>
      </c>
      <c r="AY48" s="513">
        <f t="shared" ca="1" si="28"/>
        <v>0</v>
      </c>
      <c r="AZ48" s="513">
        <f t="shared" ca="1" si="28"/>
        <v>0</v>
      </c>
      <c r="BA48" s="513">
        <f t="shared" ca="1" si="28"/>
        <v>0</v>
      </c>
      <c r="BB48" s="513">
        <f t="shared" ca="1" si="28"/>
        <v>0</v>
      </c>
      <c r="BC48" s="513">
        <f t="shared" ca="1" si="28"/>
        <v>0</v>
      </c>
      <c r="BD48" s="513">
        <f t="shared" ca="1" si="28"/>
        <v>0</v>
      </c>
      <c r="BE48" s="513">
        <f t="shared" ca="1" si="28"/>
        <v>0</v>
      </c>
      <c r="BF48" s="513">
        <f t="shared" ca="1" si="28"/>
        <v>0</v>
      </c>
      <c r="BG48" s="513">
        <f t="shared" ca="1" si="28"/>
        <v>0</v>
      </c>
      <c r="BH48" s="513">
        <f t="shared" ca="1" si="28"/>
        <v>0</v>
      </c>
      <c r="BI48" s="513">
        <f t="shared" ca="1" si="28"/>
        <v>0</v>
      </c>
      <c r="BJ48" s="513">
        <f t="shared" ca="1" si="28"/>
        <v>0</v>
      </c>
      <c r="BK48" s="513">
        <f t="shared" ca="1" si="28"/>
        <v>0</v>
      </c>
      <c r="BL48" s="513">
        <f t="shared" ca="1" si="28"/>
        <v>0</v>
      </c>
      <c r="BM48" s="513">
        <f t="shared" ca="1" si="28"/>
        <v>0</v>
      </c>
      <c r="BN48" s="513">
        <f t="shared" ca="1" si="28"/>
        <v>0</v>
      </c>
      <c r="BO48" s="513">
        <f t="shared" ca="1" si="28"/>
        <v>0</v>
      </c>
      <c r="BP48" s="513">
        <f t="shared" ca="1" si="28"/>
        <v>0</v>
      </c>
      <c r="BQ48" s="513">
        <f t="shared" ca="1" si="28"/>
        <v>0</v>
      </c>
      <c r="BR48" s="513">
        <f t="shared" ca="1" si="28"/>
        <v>0</v>
      </c>
      <c r="BS48" s="513">
        <f t="shared" ca="1" si="28"/>
        <v>0</v>
      </c>
      <c r="BT48" s="513">
        <f t="shared" ref="BT48:DW48" ca="1" si="29">(BT43+BT44+BT46)</f>
        <v>0</v>
      </c>
      <c r="BU48" s="513">
        <f t="shared" ca="1" si="29"/>
        <v>0</v>
      </c>
      <c r="BV48" s="513">
        <f t="shared" ca="1" si="29"/>
        <v>0</v>
      </c>
      <c r="BW48" s="513">
        <f t="shared" ca="1" si="29"/>
        <v>0</v>
      </c>
      <c r="BX48" s="513">
        <f t="shared" ca="1" si="29"/>
        <v>0</v>
      </c>
      <c r="BY48" s="513">
        <f t="shared" ca="1" si="29"/>
        <v>0</v>
      </c>
      <c r="BZ48" s="513">
        <f t="shared" ca="1" si="29"/>
        <v>0</v>
      </c>
      <c r="CA48" s="513">
        <f t="shared" ca="1" si="29"/>
        <v>0</v>
      </c>
      <c r="CB48" s="513">
        <f t="shared" ca="1" si="29"/>
        <v>0</v>
      </c>
      <c r="CC48" s="513">
        <f t="shared" ca="1" si="29"/>
        <v>0</v>
      </c>
      <c r="CD48" s="513">
        <f t="shared" ca="1" si="29"/>
        <v>0</v>
      </c>
      <c r="CE48" s="513">
        <f t="shared" ca="1" si="29"/>
        <v>0</v>
      </c>
      <c r="CF48" s="513">
        <f t="shared" ca="1" si="29"/>
        <v>0</v>
      </c>
      <c r="CG48" s="513">
        <f t="shared" ca="1" si="29"/>
        <v>0</v>
      </c>
      <c r="CH48" s="513">
        <f t="shared" ca="1" si="29"/>
        <v>0</v>
      </c>
      <c r="CI48" s="513">
        <f t="shared" ca="1" si="29"/>
        <v>0</v>
      </c>
      <c r="CJ48" s="513">
        <f t="shared" ca="1" si="29"/>
        <v>0</v>
      </c>
      <c r="CK48" s="513">
        <f t="shared" ca="1" si="29"/>
        <v>0</v>
      </c>
      <c r="CL48" s="513">
        <f t="shared" ca="1" si="29"/>
        <v>0</v>
      </c>
      <c r="CM48" s="513">
        <f t="shared" ca="1" si="29"/>
        <v>0</v>
      </c>
      <c r="CN48" s="513">
        <f t="shared" ca="1" si="29"/>
        <v>0</v>
      </c>
      <c r="CO48" s="513">
        <f t="shared" ca="1" si="29"/>
        <v>0</v>
      </c>
      <c r="CP48" s="513">
        <f t="shared" ca="1" si="29"/>
        <v>0</v>
      </c>
      <c r="CQ48" s="513">
        <f t="shared" ca="1" si="29"/>
        <v>0</v>
      </c>
      <c r="CR48" s="513">
        <f t="shared" ca="1" si="29"/>
        <v>0</v>
      </c>
      <c r="CS48" s="513">
        <f t="shared" ca="1" si="29"/>
        <v>0</v>
      </c>
      <c r="CT48" s="513">
        <f t="shared" ca="1" si="29"/>
        <v>0</v>
      </c>
      <c r="CU48" s="513">
        <f t="shared" ca="1" si="29"/>
        <v>0</v>
      </c>
      <c r="CV48" s="513">
        <f t="shared" ca="1" si="29"/>
        <v>0</v>
      </c>
      <c r="CW48" s="513">
        <f t="shared" ca="1" si="29"/>
        <v>0</v>
      </c>
      <c r="CX48" s="513">
        <f t="shared" ca="1" si="29"/>
        <v>0</v>
      </c>
      <c r="CY48" s="513">
        <f t="shared" ca="1" si="29"/>
        <v>0</v>
      </c>
      <c r="CZ48" s="513">
        <f t="shared" ca="1" si="29"/>
        <v>0</v>
      </c>
      <c r="DA48" s="513">
        <f t="shared" ca="1" si="29"/>
        <v>0</v>
      </c>
      <c r="DB48" s="513">
        <f t="shared" ca="1" si="29"/>
        <v>0</v>
      </c>
      <c r="DC48" s="513">
        <f t="shared" ca="1" si="29"/>
        <v>0</v>
      </c>
      <c r="DD48" s="513">
        <f t="shared" ca="1" si="29"/>
        <v>0</v>
      </c>
      <c r="DE48" s="513">
        <f t="shared" ca="1" si="29"/>
        <v>0</v>
      </c>
      <c r="DF48" s="513">
        <f t="shared" ca="1" si="29"/>
        <v>0</v>
      </c>
      <c r="DG48" s="513">
        <f t="shared" ca="1" si="29"/>
        <v>0</v>
      </c>
      <c r="DH48" s="513">
        <f t="shared" ca="1" si="29"/>
        <v>0</v>
      </c>
      <c r="DI48" s="513">
        <f t="shared" ca="1" si="29"/>
        <v>0</v>
      </c>
      <c r="DJ48" s="513">
        <f t="shared" ca="1" si="29"/>
        <v>0</v>
      </c>
      <c r="DK48" s="513">
        <f t="shared" ca="1" si="29"/>
        <v>0</v>
      </c>
      <c r="DL48" s="513">
        <f t="shared" ca="1" si="29"/>
        <v>0</v>
      </c>
      <c r="DM48" s="513">
        <f t="shared" ca="1" si="29"/>
        <v>0</v>
      </c>
      <c r="DN48" s="513">
        <f t="shared" ca="1" si="29"/>
        <v>0</v>
      </c>
      <c r="DO48" s="513">
        <f t="shared" ca="1" si="29"/>
        <v>0</v>
      </c>
      <c r="DP48" s="513">
        <f t="shared" ca="1" si="29"/>
        <v>0</v>
      </c>
      <c r="DQ48" s="513">
        <f t="shared" ca="1" si="29"/>
        <v>0</v>
      </c>
      <c r="DR48" s="513">
        <f t="shared" ca="1" si="29"/>
        <v>0</v>
      </c>
      <c r="DS48" s="513">
        <f t="shared" ca="1" si="29"/>
        <v>0</v>
      </c>
      <c r="DT48" s="513">
        <f t="shared" ca="1" si="29"/>
        <v>0</v>
      </c>
      <c r="DU48" s="513">
        <f t="shared" ca="1" si="29"/>
        <v>0</v>
      </c>
      <c r="DV48" s="513">
        <f t="shared" ca="1" si="29"/>
        <v>0</v>
      </c>
      <c r="DW48" s="513">
        <f t="shared" ca="1" si="29"/>
        <v>0</v>
      </c>
    </row>
    <row r="49" spans="1:127">
      <c r="A49" s="344" t="str">
        <f>"Net Total "&amp;Inputs!$A$317</f>
        <v>Net Total Investor 1</v>
      </c>
      <c r="B49" s="726"/>
      <c r="C49" s="970"/>
      <c r="D49" s="476"/>
      <c r="E49" s="476"/>
      <c r="F49" s="518"/>
      <c r="G49" s="513">
        <f ca="1">(G43+G45+G47)</f>
        <v>0</v>
      </c>
      <c r="H49" s="513">
        <f t="shared" ref="H49:BS49" ca="1" si="30">(H43+H45+H47)</f>
        <v>0</v>
      </c>
      <c r="I49" s="513">
        <f t="shared" ca="1" si="30"/>
        <v>0</v>
      </c>
      <c r="J49" s="513">
        <f t="shared" ca="1" si="30"/>
        <v>0</v>
      </c>
      <c r="K49" s="513">
        <f t="shared" ca="1" si="30"/>
        <v>0</v>
      </c>
      <c r="L49" s="513">
        <f t="shared" ca="1" si="30"/>
        <v>0</v>
      </c>
      <c r="M49" s="513">
        <f t="shared" ca="1" si="30"/>
        <v>0</v>
      </c>
      <c r="N49" s="513">
        <f t="shared" ca="1" si="30"/>
        <v>0</v>
      </c>
      <c r="O49" s="513">
        <f t="shared" ca="1" si="30"/>
        <v>0</v>
      </c>
      <c r="P49" s="513">
        <f t="shared" ca="1" si="30"/>
        <v>0</v>
      </c>
      <c r="Q49" s="513">
        <f t="shared" ca="1" si="30"/>
        <v>0</v>
      </c>
      <c r="R49" s="513">
        <f t="shared" ca="1" si="30"/>
        <v>0</v>
      </c>
      <c r="S49" s="513">
        <f t="shared" ca="1" si="30"/>
        <v>0</v>
      </c>
      <c r="T49" s="513">
        <f t="shared" ca="1" si="30"/>
        <v>0</v>
      </c>
      <c r="U49" s="513">
        <f t="shared" ca="1" si="30"/>
        <v>0</v>
      </c>
      <c r="V49" s="513">
        <f t="shared" ca="1" si="30"/>
        <v>0</v>
      </c>
      <c r="W49" s="513">
        <f t="shared" ca="1" si="30"/>
        <v>0</v>
      </c>
      <c r="X49" s="513">
        <f t="shared" ca="1" si="30"/>
        <v>0</v>
      </c>
      <c r="Y49" s="513">
        <f t="shared" ca="1" si="30"/>
        <v>0</v>
      </c>
      <c r="Z49" s="513">
        <f t="shared" ca="1" si="30"/>
        <v>0</v>
      </c>
      <c r="AA49" s="513">
        <f t="shared" ca="1" si="30"/>
        <v>0</v>
      </c>
      <c r="AB49" s="513">
        <f t="shared" ca="1" si="30"/>
        <v>0</v>
      </c>
      <c r="AC49" s="513">
        <f t="shared" ca="1" si="30"/>
        <v>0</v>
      </c>
      <c r="AD49" s="513">
        <f t="shared" ca="1" si="30"/>
        <v>0</v>
      </c>
      <c r="AE49" s="513">
        <f t="shared" ca="1" si="30"/>
        <v>0</v>
      </c>
      <c r="AF49" s="513">
        <f t="shared" ca="1" si="30"/>
        <v>0</v>
      </c>
      <c r="AG49" s="513">
        <f t="shared" ca="1" si="30"/>
        <v>0</v>
      </c>
      <c r="AH49" s="513">
        <f t="shared" ca="1" si="30"/>
        <v>0</v>
      </c>
      <c r="AI49" s="513">
        <f t="shared" ca="1" si="30"/>
        <v>0</v>
      </c>
      <c r="AJ49" s="513">
        <f t="shared" ca="1" si="30"/>
        <v>0</v>
      </c>
      <c r="AK49" s="513">
        <f t="shared" ca="1" si="30"/>
        <v>0</v>
      </c>
      <c r="AL49" s="513">
        <f t="shared" ca="1" si="30"/>
        <v>0</v>
      </c>
      <c r="AM49" s="513">
        <f t="shared" ca="1" si="30"/>
        <v>0</v>
      </c>
      <c r="AN49" s="513">
        <f t="shared" ca="1" si="30"/>
        <v>0</v>
      </c>
      <c r="AO49" s="513">
        <f t="shared" ca="1" si="30"/>
        <v>0</v>
      </c>
      <c r="AP49" s="513">
        <f t="shared" ca="1" si="30"/>
        <v>0</v>
      </c>
      <c r="AQ49" s="513">
        <f t="shared" ca="1" si="30"/>
        <v>0</v>
      </c>
      <c r="AR49" s="513">
        <f t="shared" ca="1" si="30"/>
        <v>0</v>
      </c>
      <c r="AS49" s="513">
        <f t="shared" ca="1" si="30"/>
        <v>0</v>
      </c>
      <c r="AT49" s="513">
        <f t="shared" ca="1" si="30"/>
        <v>0</v>
      </c>
      <c r="AU49" s="513">
        <f t="shared" ca="1" si="30"/>
        <v>0</v>
      </c>
      <c r="AV49" s="513">
        <f t="shared" ca="1" si="30"/>
        <v>0</v>
      </c>
      <c r="AW49" s="513">
        <f t="shared" ca="1" si="30"/>
        <v>0</v>
      </c>
      <c r="AX49" s="513">
        <f t="shared" ca="1" si="30"/>
        <v>0</v>
      </c>
      <c r="AY49" s="513">
        <f t="shared" ca="1" si="30"/>
        <v>0</v>
      </c>
      <c r="AZ49" s="513">
        <f t="shared" ca="1" si="30"/>
        <v>0</v>
      </c>
      <c r="BA49" s="513">
        <f t="shared" ca="1" si="30"/>
        <v>0</v>
      </c>
      <c r="BB49" s="513">
        <f t="shared" ca="1" si="30"/>
        <v>0</v>
      </c>
      <c r="BC49" s="513">
        <f t="shared" ca="1" si="30"/>
        <v>0</v>
      </c>
      <c r="BD49" s="513">
        <f t="shared" ca="1" si="30"/>
        <v>0</v>
      </c>
      <c r="BE49" s="513">
        <f t="shared" ca="1" si="30"/>
        <v>0</v>
      </c>
      <c r="BF49" s="513">
        <f t="shared" ca="1" si="30"/>
        <v>0</v>
      </c>
      <c r="BG49" s="513">
        <f t="shared" ca="1" si="30"/>
        <v>0</v>
      </c>
      <c r="BH49" s="513">
        <f t="shared" ca="1" si="30"/>
        <v>0</v>
      </c>
      <c r="BI49" s="513">
        <f t="shared" ca="1" si="30"/>
        <v>0</v>
      </c>
      <c r="BJ49" s="513">
        <f t="shared" ca="1" si="30"/>
        <v>0</v>
      </c>
      <c r="BK49" s="513">
        <f t="shared" ca="1" si="30"/>
        <v>0</v>
      </c>
      <c r="BL49" s="513">
        <f t="shared" ca="1" si="30"/>
        <v>0</v>
      </c>
      <c r="BM49" s="513">
        <f t="shared" ca="1" si="30"/>
        <v>0</v>
      </c>
      <c r="BN49" s="513">
        <f t="shared" ca="1" si="30"/>
        <v>0</v>
      </c>
      <c r="BO49" s="513">
        <f t="shared" ca="1" si="30"/>
        <v>0</v>
      </c>
      <c r="BP49" s="513">
        <f t="shared" ca="1" si="30"/>
        <v>0</v>
      </c>
      <c r="BQ49" s="513">
        <f t="shared" ca="1" si="30"/>
        <v>0</v>
      </c>
      <c r="BR49" s="513">
        <f t="shared" ca="1" si="30"/>
        <v>0</v>
      </c>
      <c r="BS49" s="513">
        <f t="shared" ca="1" si="30"/>
        <v>0</v>
      </c>
      <c r="BT49" s="513">
        <f t="shared" ref="BT49:DW49" ca="1" si="31">(BT43+BT45+BT47)</f>
        <v>0</v>
      </c>
      <c r="BU49" s="513">
        <f t="shared" ca="1" si="31"/>
        <v>0</v>
      </c>
      <c r="BV49" s="513">
        <f t="shared" ca="1" si="31"/>
        <v>0</v>
      </c>
      <c r="BW49" s="513">
        <f t="shared" ca="1" si="31"/>
        <v>0</v>
      </c>
      <c r="BX49" s="513">
        <f t="shared" ca="1" si="31"/>
        <v>0</v>
      </c>
      <c r="BY49" s="513">
        <f t="shared" ca="1" si="31"/>
        <v>0</v>
      </c>
      <c r="BZ49" s="513">
        <f t="shared" ca="1" si="31"/>
        <v>0</v>
      </c>
      <c r="CA49" s="513">
        <f t="shared" ca="1" si="31"/>
        <v>0</v>
      </c>
      <c r="CB49" s="513">
        <f t="shared" ca="1" si="31"/>
        <v>0</v>
      </c>
      <c r="CC49" s="513">
        <f t="shared" ca="1" si="31"/>
        <v>0</v>
      </c>
      <c r="CD49" s="513">
        <f t="shared" ca="1" si="31"/>
        <v>0</v>
      </c>
      <c r="CE49" s="513">
        <f t="shared" ca="1" si="31"/>
        <v>0</v>
      </c>
      <c r="CF49" s="513">
        <f t="shared" ca="1" si="31"/>
        <v>0</v>
      </c>
      <c r="CG49" s="513">
        <f t="shared" ca="1" si="31"/>
        <v>0</v>
      </c>
      <c r="CH49" s="513">
        <f t="shared" ca="1" si="31"/>
        <v>0</v>
      </c>
      <c r="CI49" s="513">
        <f t="shared" ca="1" si="31"/>
        <v>0</v>
      </c>
      <c r="CJ49" s="513">
        <f t="shared" ca="1" si="31"/>
        <v>0</v>
      </c>
      <c r="CK49" s="513">
        <f t="shared" ca="1" si="31"/>
        <v>0</v>
      </c>
      <c r="CL49" s="513">
        <f t="shared" ca="1" si="31"/>
        <v>0</v>
      </c>
      <c r="CM49" s="513">
        <f t="shared" ca="1" si="31"/>
        <v>0</v>
      </c>
      <c r="CN49" s="513">
        <f t="shared" ca="1" si="31"/>
        <v>0</v>
      </c>
      <c r="CO49" s="513">
        <f t="shared" ca="1" si="31"/>
        <v>0</v>
      </c>
      <c r="CP49" s="513">
        <f t="shared" ca="1" si="31"/>
        <v>0</v>
      </c>
      <c r="CQ49" s="513">
        <f t="shared" ca="1" si="31"/>
        <v>0</v>
      </c>
      <c r="CR49" s="513">
        <f t="shared" ca="1" si="31"/>
        <v>0</v>
      </c>
      <c r="CS49" s="513">
        <f t="shared" ca="1" si="31"/>
        <v>0</v>
      </c>
      <c r="CT49" s="513">
        <f t="shared" ca="1" si="31"/>
        <v>0</v>
      </c>
      <c r="CU49" s="513">
        <f t="shared" ca="1" si="31"/>
        <v>0</v>
      </c>
      <c r="CV49" s="513">
        <f t="shared" ca="1" si="31"/>
        <v>0</v>
      </c>
      <c r="CW49" s="513">
        <f t="shared" ca="1" si="31"/>
        <v>0</v>
      </c>
      <c r="CX49" s="513">
        <f t="shared" ca="1" si="31"/>
        <v>0</v>
      </c>
      <c r="CY49" s="513">
        <f t="shared" ca="1" si="31"/>
        <v>0</v>
      </c>
      <c r="CZ49" s="513">
        <f t="shared" ca="1" si="31"/>
        <v>0</v>
      </c>
      <c r="DA49" s="513">
        <f t="shared" ca="1" si="31"/>
        <v>0</v>
      </c>
      <c r="DB49" s="513">
        <f t="shared" ca="1" si="31"/>
        <v>0</v>
      </c>
      <c r="DC49" s="513">
        <f t="shared" ca="1" si="31"/>
        <v>0</v>
      </c>
      <c r="DD49" s="513">
        <f t="shared" ca="1" si="31"/>
        <v>0</v>
      </c>
      <c r="DE49" s="513">
        <f t="shared" ca="1" si="31"/>
        <v>0</v>
      </c>
      <c r="DF49" s="513">
        <f t="shared" ca="1" si="31"/>
        <v>0</v>
      </c>
      <c r="DG49" s="513">
        <f t="shared" ca="1" si="31"/>
        <v>0</v>
      </c>
      <c r="DH49" s="513">
        <f t="shared" ca="1" si="31"/>
        <v>0</v>
      </c>
      <c r="DI49" s="513">
        <f t="shared" ca="1" si="31"/>
        <v>0</v>
      </c>
      <c r="DJ49" s="513">
        <f t="shared" ca="1" si="31"/>
        <v>0</v>
      </c>
      <c r="DK49" s="513">
        <f t="shared" ca="1" si="31"/>
        <v>0</v>
      </c>
      <c r="DL49" s="513">
        <f t="shared" ca="1" si="31"/>
        <v>0</v>
      </c>
      <c r="DM49" s="513">
        <f t="shared" ca="1" si="31"/>
        <v>0</v>
      </c>
      <c r="DN49" s="513">
        <f t="shared" ca="1" si="31"/>
        <v>0</v>
      </c>
      <c r="DO49" s="513">
        <f t="shared" ca="1" si="31"/>
        <v>0</v>
      </c>
      <c r="DP49" s="513">
        <f t="shared" ca="1" si="31"/>
        <v>0</v>
      </c>
      <c r="DQ49" s="513">
        <f t="shared" ca="1" si="31"/>
        <v>0</v>
      </c>
      <c r="DR49" s="513">
        <f t="shared" ca="1" si="31"/>
        <v>0</v>
      </c>
      <c r="DS49" s="513">
        <f t="shared" ca="1" si="31"/>
        <v>0</v>
      </c>
      <c r="DT49" s="513">
        <f t="shared" ca="1" si="31"/>
        <v>0</v>
      </c>
      <c r="DU49" s="513">
        <f t="shared" ca="1" si="31"/>
        <v>0</v>
      </c>
      <c r="DV49" s="513">
        <f t="shared" ca="1" si="31"/>
        <v>0</v>
      </c>
      <c r="DW49" s="513">
        <f t="shared" ca="1" si="31"/>
        <v>0</v>
      </c>
    </row>
    <row r="50" spans="1:127">
      <c r="A50" s="344" t="s">
        <v>1262</v>
      </c>
      <c r="B50" s="726"/>
      <c r="C50" s="970"/>
      <c r="D50" s="541"/>
      <c r="E50" s="476"/>
      <c r="F50" s="518"/>
      <c r="G50" s="513"/>
      <c r="H50" s="513"/>
      <c r="I50" s="513"/>
      <c r="J50" s="513"/>
      <c r="K50" s="513"/>
      <c r="L50" s="513"/>
      <c r="M50" s="513"/>
      <c r="N50" s="513"/>
      <c r="O50" s="513"/>
      <c r="P50" s="513"/>
      <c r="Q50" s="513"/>
      <c r="R50" s="513"/>
      <c r="S50" s="513"/>
      <c r="T50" s="513"/>
      <c r="U50" s="513"/>
      <c r="V50" s="513"/>
      <c r="W50" s="513"/>
      <c r="X50" s="513"/>
      <c r="Y50" s="513"/>
      <c r="Z50" s="513"/>
      <c r="AA50" s="513"/>
      <c r="AB50" s="513"/>
      <c r="AC50" s="513"/>
      <c r="AD50" s="513"/>
      <c r="AE50" s="513"/>
      <c r="AF50" s="513"/>
      <c r="AG50" s="513"/>
      <c r="AH50" s="513"/>
      <c r="AI50" s="513"/>
      <c r="AJ50" s="513"/>
      <c r="AK50" s="513"/>
      <c r="AL50" s="513"/>
      <c r="AM50" s="513"/>
      <c r="AN50" s="513"/>
      <c r="AO50" s="513"/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</row>
    <row r="51" spans="1:127">
      <c r="A51" s="344"/>
      <c r="B51" s="971"/>
      <c r="C51" s="971"/>
      <c r="D51" s="471"/>
      <c r="E51" s="471"/>
      <c r="H51" s="646"/>
      <c r="I51" s="476"/>
      <c r="J51" s="471"/>
      <c r="K51" s="471"/>
      <c r="L51" s="471"/>
      <c r="M51" s="471"/>
      <c r="N51" s="471"/>
      <c r="O51" s="471"/>
      <c r="P51" s="471"/>
      <c r="Q51" s="471"/>
      <c r="R51" s="471"/>
      <c r="S51" s="471"/>
      <c r="T51" s="471"/>
      <c r="U51" s="471"/>
      <c r="V51" s="471"/>
      <c r="W51" s="471"/>
      <c r="X51" s="471"/>
      <c r="Y51" s="471"/>
      <c r="Z51" s="471"/>
      <c r="AA51" s="471"/>
      <c r="AB51" s="471"/>
      <c r="AC51" s="471"/>
      <c r="AD51" s="471"/>
      <c r="AE51" s="471"/>
      <c r="AF51" s="471"/>
      <c r="AG51" s="471"/>
      <c r="AH51" s="471"/>
      <c r="AI51" s="471"/>
      <c r="AJ51" s="471"/>
      <c r="AK51" s="471"/>
      <c r="AL51" s="471"/>
      <c r="AM51" s="471"/>
      <c r="AN51" s="471"/>
      <c r="AO51" s="471"/>
      <c r="AP51" s="471"/>
      <c r="AQ51" s="471"/>
      <c r="AR51" s="471"/>
      <c r="AS51" s="471"/>
      <c r="AT51" s="471"/>
      <c r="AU51" s="471"/>
      <c r="AV51" s="471"/>
      <c r="AW51" s="471"/>
      <c r="AX51" s="471"/>
      <c r="AY51" s="471"/>
      <c r="AZ51" s="471"/>
      <c r="BA51" s="471"/>
      <c r="BB51" s="471"/>
      <c r="BC51" s="471"/>
      <c r="BD51" s="471"/>
      <c r="BE51" s="471"/>
      <c r="BF51" s="471"/>
      <c r="BG51" s="471"/>
      <c r="BH51" s="471"/>
      <c r="BI51" s="471"/>
      <c r="BJ51" s="471"/>
      <c r="BK51" s="471"/>
      <c r="BL51" s="471"/>
      <c r="BM51" s="471"/>
      <c r="BN51" s="471"/>
      <c r="BO51" s="471"/>
      <c r="BP51" s="471"/>
      <c r="BQ51" s="471"/>
      <c r="BR51" s="471"/>
      <c r="BS51" s="471"/>
      <c r="BT51" s="471"/>
      <c r="BU51" s="471"/>
      <c r="BV51" s="471"/>
      <c r="BW51" s="471"/>
      <c r="BX51" s="471"/>
      <c r="BY51" s="471"/>
      <c r="BZ51" s="471"/>
      <c r="CA51" s="471"/>
      <c r="CB51" s="471"/>
      <c r="CC51" s="471"/>
      <c r="CD51" s="471"/>
      <c r="CE51" s="471"/>
      <c r="CF51" s="471"/>
      <c r="CG51" s="471"/>
      <c r="CH51" s="471"/>
      <c r="CI51" s="471"/>
      <c r="CJ51" s="471"/>
      <c r="CK51" s="471"/>
      <c r="CL51" s="471"/>
      <c r="CM51" s="471"/>
      <c r="CN51" s="471"/>
      <c r="CO51" s="471"/>
      <c r="CP51" s="471"/>
      <c r="CQ51" s="471"/>
      <c r="CR51" s="471"/>
      <c r="CS51" s="471"/>
      <c r="CT51" s="471"/>
      <c r="CU51" s="471"/>
      <c r="CV51" s="471"/>
      <c r="CW51" s="471"/>
      <c r="CX51" s="471"/>
      <c r="CY51" s="471"/>
      <c r="CZ51" s="471"/>
      <c r="DA51" s="471"/>
      <c r="DB51" s="471"/>
      <c r="DC51" s="471"/>
      <c r="DD51" s="471"/>
      <c r="DE51" s="471"/>
      <c r="DF51" s="471"/>
      <c r="DG51" s="471"/>
      <c r="DH51" s="471"/>
      <c r="DI51" s="471"/>
      <c r="DJ51" s="471"/>
      <c r="DK51" s="471"/>
      <c r="DL51" s="471"/>
      <c r="DM51" s="471"/>
      <c r="DN51" s="471"/>
      <c r="DO51" s="471"/>
      <c r="DP51" s="471"/>
      <c r="DQ51" s="471"/>
      <c r="DR51" s="471"/>
      <c r="DS51" s="471"/>
      <c r="DT51" s="471"/>
      <c r="DU51" s="471"/>
      <c r="DV51" s="471"/>
      <c r="DW51" s="471"/>
    </row>
    <row r="52" spans="1:127">
      <c r="A52" s="861" t="str">
        <f>Inputs!$A$318&amp;" Operation Flows"</f>
        <v>Investor 2 Operation Flows</v>
      </c>
      <c r="B52" s="1060">
        <f>Inputs!C318</f>
        <v>0</v>
      </c>
      <c r="C52" s="1018"/>
      <c r="D52" s="963"/>
      <c r="E52" s="864"/>
      <c r="F52" s="870"/>
      <c r="G52" s="638">
        <f>G$12</f>
        <v>47298</v>
      </c>
      <c r="H52" s="638">
        <f t="shared" ref="H52:BS52" si="32">H$12</f>
        <v>47848</v>
      </c>
      <c r="I52" s="638">
        <f t="shared" si="32"/>
        <v>48029</v>
      </c>
      <c r="J52" s="638">
        <f t="shared" si="32"/>
        <v>48213</v>
      </c>
      <c r="K52" s="638">
        <f t="shared" si="32"/>
        <v>48395</v>
      </c>
      <c r="L52" s="638">
        <f t="shared" si="32"/>
        <v>48579</v>
      </c>
      <c r="M52" s="638">
        <f t="shared" si="32"/>
        <v>48760</v>
      </c>
      <c r="N52" s="638">
        <f t="shared" si="32"/>
        <v>48944</v>
      </c>
      <c r="O52" s="638">
        <f t="shared" si="32"/>
        <v>49125</v>
      </c>
      <c r="P52" s="638">
        <f t="shared" si="32"/>
        <v>49309</v>
      </c>
      <c r="Q52" s="638">
        <f t="shared" si="32"/>
        <v>49490</v>
      </c>
      <c r="R52" s="638">
        <f t="shared" si="32"/>
        <v>49674</v>
      </c>
      <c r="S52" s="638">
        <f t="shared" si="32"/>
        <v>49856</v>
      </c>
      <c r="T52" s="638">
        <f t="shared" si="32"/>
        <v>50040</v>
      </c>
      <c r="U52" s="638">
        <f t="shared" si="32"/>
        <v>50221</v>
      </c>
      <c r="V52" s="638">
        <f t="shared" si="32"/>
        <v>50405</v>
      </c>
      <c r="W52" s="638">
        <f t="shared" si="32"/>
        <v>50586</v>
      </c>
      <c r="X52" s="638">
        <f t="shared" si="32"/>
        <v>50770</v>
      </c>
      <c r="Y52" s="638">
        <f t="shared" si="32"/>
        <v>50951</v>
      </c>
      <c r="Z52" s="638">
        <f t="shared" si="32"/>
        <v>51135</v>
      </c>
      <c r="AA52" s="638">
        <f t="shared" si="32"/>
        <v>51317</v>
      </c>
      <c r="AB52" s="638">
        <f t="shared" si="32"/>
        <v>51501</v>
      </c>
      <c r="AC52" s="638">
        <f t="shared" si="32"/>
        <v>51682</v>
      </c>
      <c r="AD52" s="638">
        <f t="shared" si="32"/>
        <v>51866</v>
      </c>
      <c r="AE52" s="638">
        <f t="shared" si="32"/>
        <v>52047</v>
      </c>
      <c r="AF52" s="638">
        <f t="shared" si="32"/>
        <v>52231</v>
      </c>
      <c r="AG52" s="638">
        <f t="shared" si="32"/>
        <v>52412</v>
      </c>
      <c r="AH52" s="638">
        <f t="shared" si="32"/>
        <v>52596</v>
      </c>
      <c r="AI52" s="638">
        <f t="shared" si="32"/>
        <v>52778</v>
      </c>
      <c r="AJ52" s="638">
        <f t="shared" si="32"/>
        <v>52962</v>
      </c>
      <c r="AK52" s="638">
        <f t="shared" si="32"/>
        <v>53143</v>
      </c>
      <c r="AL52" s="638">
        <f t="shared" si="32"/>
        <v>53327</v>
      </c>
      <c r="AM52" s="638">
        <f t="shared" si="32"/>
        <v>53508</v>
      </c>
      <c r="AN52" s="638">
        <f t="shared" si="32"/>
        <v>53692</v>
      </c>
      <c r="AO52" s="638">
        <f t="shared" si="32"/>
        <v>53873</v>
      </c>
      <c r="AP52" s="638">
        <f t="shared" si="32"/>
        <v>54057</v>
      </c>
      <c r="AQ52" s="638">
        <f t="shared" si="32"/>
        <v>54239</v>
      </c>
      <c r="AR52" s="638">
        <f t="shared" si="32"/>
        <v>54423</v>
      </c>
      <c r="AS52" s="638">
        <f t="shared" si="32"/>
        <v>54604</v>
      </c>
      <c r="AT52" s="638">
        <f t="shared" si="32"/>
        <v>54788</v>
      </c>
      <c r="AU52" s="638">
        <f t="shared" si="32"/>
        <v>54969</v>
      </c>
      <c r="AV52" s="638">
        <f t="shared" si="32"/>
        <v>55153</v>
      </c>
      <c r="AW52" s="638">
        <f t="shared" si="32"/>
        <v>55334</v>
      </c>
      <c r="AX52" s="638">
        <f t="shared" si="32"/>
        <v>55518</v>
      </c>
      <c r="AY52" s="638">
        <f t="shared" si="32"/>
        <v>55700</v>
      </c>
      <c r="AZ52" s="638">
        <f t="shared" si="32"/>
        <v>55884</v>
      </c>
      <c r="BA52" s="638">
        <f t="shared" si="32"/>
        <v>56065</v>
      </c>
      <c r="BB52" s="638">
        <f t="shared" si="32"/>
        <v>56249</v>
      </c>
      <c r="BC52" s="638">
        <f t="shared" si="32"/>
        <v>56430</v>
      </c>
      <c r="BD52" s="638">
        <f t="shared" si="32"/>
        <v>56614</v>
      </c>
      <c r="BE52" s="638">
        <f t="shared" si="32"/>
        <v>56795</v>
      </c>
      <c r="BF52" s="638">
        <f t="shared" si="32"/>
        <v>56979</v>
      </c>
      <c r="BG52" s="638">
        <f t="shared" si="32"/>
        <v>57161</v>
      </c>
      <c r="BH52" s="638">
        <f t="shared" si="32"/>
        <v>57345</v>
      </c>
      <c r="BI52" s="638">
        <f t="shared" si="32"/>
        <v>57526</v>
      </c>
      <c r="BJ52" s="638">
        <f t="shared" si="32"/>
        <v>57710</v>
      </c>
      <c r="BK52" s="638">
        <f t="shared" si="32"/>
        <v>57891</v>
      </c>
      <c r="BL52" s="638">
        <f t="shared" si="32"/>
        <v>58075</v>
      </c>
      <c r="BM52" s="638">
        <f t="shared" si="32"/>
        <v>58256</v>
      </c>
      <c r="BN52" s="638">
        <f t="shared" si="32"/>
        <v>58440</v>
      </c>
      <c r="BO52" s="638">
        <f t="shared" si="32"/>
        <v>58622</v>
      </c>
      <c r="BP52" s="638">
        <f t="shared" si="32"/>
        <v>58806</v>
      </c>
      <c r="BQ52" s="638">
        <f t="shared" si="32"/>
        <v>58987</v>
      </c>
      <c r="BR52" s="638">
        <f t="shared" si="32"/>
        <v>59171</v>
      </c>
      <c r="BS52" s="638">
        <f t="shared" si="32"/>
        <v>59352</v>
      </c>
      <c r="BT52" s="638">
        <f t="shared" ref="BT52:DW52" si="33">BT$12</f>
        <v>59536</v>
      </c>
      <c r="BU52" s="638">
        <f t="shared" si="33"/>
        <v>59717</v>
      </c>
      <c r="BV52" s="638">
        <f t="shared" si="33"/>
        <v>59901</v>
      </c>
      <c r="BW52" s="638">
        <f t="shared" si="33"/>
        <v>60083</v>
      </c>
      <c r="BX52" s="638">
        <f t="shared" si="33"/>
        <v>60267</v>
      </c>
      <c r="BY52" s="638">
        <f t="shared" si="33"/>
        <v>60448</v>
      </c>
      <c r="BZ52" s="638">
        <f t="shared" si="33"/>
        <v>60632</v>
      </c>
      <c r="CA52" s="638">
        <f t="shared" si="33"/>
        <v>60813</v>
      </c>
      <c r="CB52" s="638">
        <f t="shared" si="33"/>
        <v>60997</v>
      </c>
      <c r="CC52" s="638">
        <f t="shared" si="33"/>
        <v>61178</v>
      </c>
      <c r="CD52" s="638">
        <f t="shared" si="33"/>
        <v>61362</v>
      </c>
      <c r="CE52" s="638">
        <f t="shared" si="33"/>
        <v>61544</v>
      </c>
      <c r="CF52" s="638">
        <f t="shared" si="33"/>
        <v>61728</v>
      </c>
      <c r="CG52" s="638">
        <f t="shared" si="33"/>
        <v>61909</v>
      </c>
      <c r="CH52" s="638">
        <f t="shared" si="33"/>
        <v>62093</v>
      </c>
      <c r="CI52" s="638">
        <f t="shared" si="33"/>
        <v>62274</v>
      </c>
      <c r="CJ52" s="638">
        <f t="shared" si="33"/>
        <v>62458</v>
      </c>
      <c r="CK52" s="638">
        <f t="shared" si="33"/>
        <v>62639</v>
      </c>
      <c r="CL52" s="638">
        <f t="shared" si="33"/>
        <v>62823</v>
      </c>
      <c r="CM52" s="638">
        <f t="shared" si="33"/>
        <v>63005</v>
      </c>
      <c r="CN52" s="638">
        <f t="shared" si="33"/>
        <v>63189</v>
      </c>
      <c r="CO52" s="638">
        <f t="shared" si="33"/>
        <v>63370</v>
      </c>
      <c r="CP52" s="638">
        <f t="shared" si="33"/>
        <v>63554</v>
      </c>
      <c r="CQ52" s="638">
        <f t="shared" si="33"/>
        <v>63735</v>
      </c>
      <c r="CR52" s="638">
        <f t="shared" si="33"/>
        <v>63919</v>
      </c>
      <c r="CS52" s="638">
        <f t="shared" si="33"/>
        <v>64100</v>
      </c>
      <c r="CT52" s="638">
        <f t="shared" si="33"/>
        <v>64284</v>
      </c>
      <c r="CU52" s="638">
        <f t="shared" si="33"/>
        <v>64466</v>
      </c>
      <c r="CV52" s="638">
        <f t="shared" si="33"/>
        <v>64650</v>
      </c>
      <c r="CW52" s="638">
        <f t="shared" si="33"/>
        <v>64831</v>
      </c>
      <c r="CX52" s="638">
        <f t="shared" si="33"/>
        <v>65015</v>
      </c>
      <c r="CY52" s="638">
        <f t="shared" si="33"/>
        <v>65196</v>
      </c>
      <c r="CZ52" s="638">
        <f t="shared" si="33"/>
        <v>65380</v>
      </c>
      <c r="DA52" s="638">
        <f t="shared" si="33"/>
        <v>65561</v>
      </c>
      <c r="DB52" s="638">
        <f t="shared" si="33"/>
        <v>65745</v>
      </c>
      <c r="DC52" s="638">
        <f t="shared" si="33"/>
        <v>65927</v>
      </c>
      <c r="DD52" s="638">
        <f t="shared" si="33"/>
        <v>66111</v>
      </c>
      <c r="DE52" s="638">
        <f t="shared" si="33"/>
        <v>66292</v>
      </c>
      <c r="DF52" s="638">
        <f t="shared" si="33"/>
        <v>66476</v>
      </c>
      <c r="DG52" s="638">
        <f t="shared" si="33"/>
        <v>66657</v>
      </c>
      <c r="DH52" s="638">
        <f t="shared" si="33"/>
        <v>66841</v>
      </c>
      <c r="DI52" s="638">
        <f t="shared" si="33"/>
        <v>67022</v>
      </c>
      <c r="DJ52" s="638">
        <f t="shared" si="33"/>
        <v>67206</v>
      </c>
      <c r="DK52" s="638">
        <f t="shared" si="33"/>
        <v>67388</v>
      </c>
      <c r="DL52" s="638">
        <f t="shared" si="33"/>
        <v>67572</v>
      </c>
      <c r="DM52" s="638">
        <f t="shared" si="33"/>
        <v>67753</v>
      </c>
      <c r="DN52" s="638">
        <f t="shared" si="33"/>
        <v>67937</v>
      </c>
      <c r="DO52" s="638">
        <f t="shared" si="33"/>
        <v>68118</v>
      </c>
      <c r="DP52" s="638">
        <f t="shared" si="33"/>
        <v>68302</v>
      </c>
      <c r="DQ52" s="638">
        <f t="shared" si="33"/>
        <v>68483</v>
      </c>
      <c r="DR52" s="638">
        <f t="shared" si="33"/>
        <v>68667</v>
      </c>
      <c r="DS52" s="638">
        <f t="shared" si="33"/>
        <v>68849</v>
      </c>
      <c r="DT52" s="638">
        <f t="shared" si="33"/>
        <v>69033</v>
      </c>
      <c r="DU52" s="638">
        <f t="shared" si="33"/>
        <v>69214</v>
      </c>
      <c r="DV52" s="638">
        <f t="shared" si="33"/>
        <v>69398</v>
      </c>
      <c r="DW52" s="638">
        <f t="shared" si="33"/>
        <v>69579</v>
      </c>
    </row>
    <row r="53" spans="1:127">
      <c r="A53" s="1019" t="str">
        <f>"SHL "&amp; A18</f>
        <v>SHL Principal</v>
      </c>
      <c r="B53" s="976">
        <f ca="1">Inputs!D331</f>
        <v>0</v>
      </c>
      <c r="C53" s="971"/>
      <c r="D53" s="471"/>
      <c r="E53" s="471"/>
      <c r="F53" s="611"/>
      <c r="G53" s="976">
        <f ca="1">IF(G$4=0,-$B$53,DS!G162*G7)</f>
        <v>0</v>
      </c>
      <c r="H53" s="976">
        <f ca="1">IF(H$4=0,-$B$53,DS!H162*H7)</f>
        <v>0</v>
      </c>
      <c r="I53" s="976">
        <f ca="1">IF(I$4=0,-$B$53,DS!I162*I7)</f>
        <v>0</v>
      </c>
      <c r="J53" s="976">
        <f ca="1">IF(J$4=0,-$B$53,DS!J162*J7)</f>
        <v>0</v>
      </c>
      <c r="K53" s="976">
        <f ca="1">IF(K$4=0,-$B$53,DS!K162*K7)</f>
        <v>0</v>
      </c>
      <c r="L53" s="976">
        <f ca="1">IF(L$4=0,-$B$53,DS!L162*L7)</f>
        <v>0</v>
      </c>
      <c r="M53" s="976">
        <f ca="1">IF(M$4=0,-$B$53,DS!M162*M7)</f>
        <v>0</v>
      </c>
      <c r="N53" s="976">
        <f ca="1">IF(N$4=0,-$B$53,DS!N162*N7)</f>
        <v>0</v>
      </c>
      <c r="O53" s="976">
        <f ca="1">IF(O$4=0,-$B$53,DS!O162*O7)</f>
        <v>0</v>
      </c>
      <c r="P53" s="976">
        <f ca="1">IF(P$4=0,-$B$53,DS!P162*P7)</f>
        <v>0</v>
      </c>
      <c r="Q53" s="976">
        <f ca="1">IF(Q$4=0,-$B$53,DS!Q162*Q7)</f>
        <v>0</v>
      </c>
      <c r="R53" s="976">
        <f ca="1">IF(R$4=0,-$B$53,DS!R162*R7)</f>
        <v>0</v>
      </c>
      <c r="S53" s="976">
        <f ca="1">IF(S$4=0,-$B$53,DS!S162*S7)</f>
        <v>0</v>
      </c>
      <c r="T53" s="976">
        <f ca="1">IF(T$4=0,-$B$53,DS!T162*T7)</f>
        <v>0</v>
      </c>
      <c r="U53" s="976">
        <f ca="1">IF(U$4=0,-$B$53,DS!U162*U7)</f>
        <v>0</v>
      </c>
      <c r="V53" s="976">
        <f ca="1">IF(V$4=0,-$B$53,DS!V162*V7)</f>
        <v>0</v>
      </c>
      <c r="W53" s="976">
        <f ca="1">IF(W$4=0,-$B$53,DS!W162*W7)</f>
        <v>0</v>
      </c>
      <c r="X53" s="976">
        <f ca="1">IF(X$4=0,-$B$53,DS!X162*X7)</f>
        <v>0</v>
      </c>
      <c r="Y53" s="976">
        <f ca="1">IF(Y$4=0,-$B$53,DS!Y162*Y7)</f>
        <v>0</v>
      </c>
      <c r="Z53" s="976">
        <f ca="1">IF(Z$4=0,-$B$53,DS!Z162*Z7)</f>
        <v>0</v>
      </c>
      <c r="AA53" s="976">
        <f ca="1">IF(AA$4=0,-$B$53,DS!AA162*AA7)</f>
        <v>0</v>
      </c>
      <c r="AB53" s="976">
        <f ca="1">IF(AB$4=0,-$B$53,DS!AB162*AB7)</f>
        <v>0</v>
      </c>
      <c r="AC53" s="976">
        <f ca="1">IF(AC$4=0,-$B$53,DS!AC162*AC7)</f>
        <v>0</v>
      </c>
      <c r="AD53" s="976">
        <f ca="1">IF(AD$4=0,-$B$53,DS!AD162*AD7)</f>
        <v>0</v>
      </c>
      <c r="AE53" s="976">
        <f ca="1">IF(AE$4=0,-$B$53,DS!AE162*AE7)</f>
        <v>0</v>
      </c>
      <c r="AF53" s="976">
        <f ca="1">IF(AF$4=0,-$B$53,DS!AF162*AF7)</f>
        <v>0</v>
      </c>
      <c r="AG53" s="976">
        <f ca="1">IF(AG$4=0,-$B$53,DS!AG162*AG7)</f>
        <v>0</v>
      </c>
      <c r="AH53" s="976">
        <f ca="1">IF(AH$4=0,-$B$53,DS!AH162*AH7)</f>
        <v>0</v>
      </c>
      <c r="AI53" s="976">
        <f ca="1">IF(AI$4=0,-$B$53,DS!AI162*AI7)</f>
        <v>0</v>
      </c>
      <c r="AJ53" s="976">
        <f ca="1">IF(AJ$4=0,-$B$53,DS!AJ162*AJ7)</f>
        <v>0</v>
      </c>
      <c r="AK53" s="976">
        <f ca="1">IF(AK$4=0,-$B$53,DS!AK162*AK7)</f>
        <v>0</v>
      </c>
      <c r="AL53" s="976">
        <f ca="1">IF(AL$4=0,-$B$53,DS!AL162*AL7)</f>
        <v>0</v>
      </c>
      <c r="AM53" s="976">
        <f ca="1">IF(AM$4=0,-$B$53,DS!AM162*AM7)</f>
        <v>0</v>
      </c>
      <c r="AN53" s="976">
        <f ca="1">IF(AN$4=0,-$B$53,DS!AN162*AN7)</f>
        <v>0</v>
      </c>
      <c r="AO53" s="976">
        <f ca="1">IF(AO$4=0,-$B$53,DS!AO162*AO7)</f>
        <v>0</v>
      </c>
      <c r="AP53" s="976">
        <f ca="1">IF(AP$4=0,-$B$53,DS!AP162*AP7)</f>
        <v>0</v>
      </c>
      <c r="AQ53" s="976">
        <f ca="1">IF(AQ$4=0,-$B$53,DS!AQ162*AQ7)</f>
        <v>0</v>
      </c>
      <c r="AR53" s="976">
        <f ca="1">IF(AR$4=0,-$B$53,DS!AR162*AR7)</f>
        <v>0</v>
      </c>
      <c r="AS53" s="976">
        <f ca="1">IF(AS$4=0,-$B$53,DS!AS162*AS7)</f>
        <v>0</v>
      </c>
      <c r="AT53" s="976">
        <f ca="1">IF(AT$4=0,-$B$53,DS!AT162*AT7)</f>
        <v>0</v>
      </c>
      <c r="AU53" s="976">
        <f ca="1">IF(AU$4=0,-$B$53,DS!AU162*AU7)</f>
        <v>0</v>
      </c>
      <c r="AV53" s="976">
        <f ca="1">IF(AV$4=0,-$B$53,DS!AV162*AV7)</f>
        <v>0</v>
      </c>
      <c r="AW53" s="976">
        <f ca="1">IF(AW$4=0,-$B$53,DS!AW162*AW7)</f>
        <v>0</v>
      </c>
      <c r="AX53" s="976">
        <f ca="1">IF(AX$4=0,-$B$53,DS!AX162*AX7)</f>
        <v>0</v>
      </c>
      <c r="AY53" s="976">
        <f ca="1">IF(AY$4=0,-$B$53,DS!AY162*AY7)</f>
        <v>0</v>
      </c>
      <c r="AZ53" s="976">
        <f ca="1">IF(AZ$4=0,-$B$53,DS!AZ162*AZ7)</f>
        <v>0</v>
      </c>
      <c r="BA53" s="976">
        <f ca="1">IF(BA$4=0,-$B$53,DS!BA162*BA7)</f>
        <v>0</v>
      </c>
      <c r="BB53" s="976">
        <f ca="1">IF(BB$4=0,-$B$53,DS!BB162*BB7)</f>
        <v>0</v>
      </c>
      <c r="BC53" s="976">
        <f ca="1">IF(BC$4=0,-$B$53,DS!BC162*BC7)</f>
        <v>0</v>
      </c>
      <c r="BD53" s="976">
        <f ca="1">IF(BD$4=0,-$B$53,DS!BD162*BD7)</f>
        <v>0</v>
      </c>
      <c r="BE53" s="976">
        <f ca="1">IF(BE$4=0,-$B$53,DS!BE162*BE7)</f>
        <v>0</v>
      </c>
      <c r="BF53" s="976">
        <f ca="1">IF(BF$4=0,-$B$53,DS!BF162*BF7)</f>
        <v>0</v>
      </c>
      <c r="BG53" s="976">
        <f ca="1">IF(BG$4=0,-$B$53,DS!BG162*BG7)</f>
        <v>0</v>
      </c>
      <c r="BH53" s="976">
        <f ca="1">IF(BH$4=0,-$B$53,DS!BH162*BH7)</f>
        <v>0</v>
      </c>
      <c r="BI53" s="976">
        <f ca="1">IF(BI$4=0,-$B$53,DS!BI162*BI7)</f>
        <v>0</v>
      </c>
      <c r="BJ53" s="976">
        <f ca="1">IF(BJ$4=0,-$B$53,DS!BJ162*BJ7)</f>
        <v>0</v>
      </c>
      <c r="BK53" s="976">
        <f ca="1">IF(BK$4=0,-$B$53,DS!BK162*BK7)</f>
        <v>0</v>
      </c>
      <c r="BL53" s="976">
        <f ca="1">IF(BL$4=0,-$B$53,DS!BL162*BL7)</f>
        <v>0</v>
      </c>
      <c r="BM53" s="976">
        <f ca="1">IF(BM$4=0,-$B$53,DS!BM162*BM7)</f>
        <v>0</v>
      </c>
      <c r="BN53" s="976">
        <f ca="1">IF(BN$4=0,-$B$53,DS!BN162*BN7)</f>
        <v>0</v>
      </c>
      <c r="BO53" s="976">
        <f ca="1">IF(BO$4=0,-$B$53,DS!BO162*BO7)</f>
        <v>0</v>
      </c>
      <c r="BP53" s="976">
        <f ca="1">IF(BP$4=0,-$B$53,DS!BP162*BP7)</f>
        <v>0</v>
      </c>
      <c r="BQ53" s="976">
        <f ca="1">IF(BQ$4=0,-$B$53,DS!BQ162*BQ7)</f>
        <v>0</v>
      </c>
      <c r="BR53" s="976">
        <f ca="1">IF(BR$4=0,-$B$53,DS!BR162*BR7)</f>
        <v>0</v>
      </c>
      <c r="BS53" s="976">
        <f ca="1">IF(BS$4=0,-$B$53,DS!BS162*BS7)</f>
        <v>0</v>
      </c>
      <c r="BT53" s="976">
        <f ca="1">IF(BT$4=0,-$B$53,DS!BT162*BT7)</f>
        <v>0</v>
      </c>
      <c r="BU53" s="976">
        <f ca="1">IF(BU$4=0,-$B$53,DS!BU162*BU7)</f>
        <v>0</v>
      </c>
      <c r="BV53" s="976">
        <f ca="1">IF(BV$4=0,-$B$53,DS!BV162*BV7)</f>
        <v>0</v>
      </c>
      <c r="BW53" s="976">
        <f ca="1">IF(BW$4=0,-$B$53,DS!BW162*BW7)</f>
        <v>0</v>
      </c>
      <c r="BX53" s="976">
        <f ca="1">IF(BX$4=0,-$B$53,DS!BX162*BX7)</f>
        <v>0</v>
      </c>
      <c r="BY53" s="976">
        <f ca="1">IF(BY$4=0,-$B$53,DS!BY162*BY7)</f>
        <v>0</v>
      </c>
      <c r="BZ53" s="976">
        <f ca="1">IF(BZ$4=0,-$B$53,DS!BZ162*BZ7)</f>
        <v>0</v>
      </c>
      <c r="CA53" s="976">
        <f ca="1">IF(CA$4=0,-$B$53,DS!CA162*CA7)</f>
        <v>0</v>
      </c>
      <c r="CB53" s="976">
        <f ca="1">IF(CB$4=0,-$B$53,DS!CB162*CB7)</f>
        <v>0</v>
      </c>
      <c r="CC53" s="976">
        <f ca="1">IF(CC$4=0,-$B$53,DS!CC162*CC7)</f>
        <v>0</v>
      </c>
      <c r="CD53" s="976">
        <f ca="1">IF(CD$4=0,-$B$53,DS!CD162*CD7)</f>
        <v>0</v>
      </c>
      <c r="CE53" s="976">
        <f ca="1">IF(CE$4=0,-$B$53,DS!CE162*CE7)</f>
        <v>0</v>
      </c>
      <c r="CF53" s="976">
        <f ca="1">IF(CF$4=0,-$B$53,DS!CF162*CF7)</f>
        <v>0</v>
      </c>
      <c r="CG53" s="976">
        <f ca="1">IF(CG$4=0,-$B$53,DS!CG162*CG7)</f>
        <v>0</v>
      </c>
      <c r="CH53" s="976">
        <f ca="1">IF(CH$4=0,-$B$53,DS!CH162*CH7)</f>
        <v>0</v>
      </c>
      <c r="CI53" s="976">
        <f ca="1">IF(CI$4=0,-$B$53,DS!CI162*CI7)</f>
        <v>0</v>
      </c>
      <c r="CJ53" s="976">
        <f ca="1">IF(CJ$4=0,-$B$53,DS!CJ162*CJ7)</f>
        <v>0</v>
      </c>
      <c r="CK53" s="976">
        <f ca="1">IF(CK$4=0,-$B$53,DS!CK162*CK7)</f>
        <v>0</v>
      </c>
      <c r="CL53" s="976">
        <f ca="1">IF(CL$4=0,-$B$53,DS!CL162*CL7)</f>
        <v>0</v>
      </c>
      <c r="CM53" s="976">
        <f ca="1">IF(CM$4=0,-$B$53,DS!CM162*CM7)</f>
        <v>0</v>
      </c>
      <c r="CN53" s="976">
        <f ca="1">IF(CN$4=0,-$B$53,DS!CN162*CN7)</f>
        <v>0</v>
      </c>
      <c r="CO53" s="976">
        <f ca="1">IF(CO$4=0,-$B$53,DS!CO162*CO7)</f>
        <v>0</v>
      </c>
      <c r="CP53" s="976">
        <f ca="1">IF(CP$4=0,-$B$53,DS!CP162*CP7)</f>
        <v>0</v>
      </c>
      <c r="CQ53" s="976">
        <f ca="1">IF(CQ$4=0,-$B$53,DS!CQ162*CQ7)</f>
        <v>0</v>
      </c>
      <c r="CR53" s="976">
        <f ca="1">IF(CR$4=0,-$B$53,DS!CR162*CR7)</f>
        <v>0</v>
      </c>
      <c r="CS53" s="976">
        <f ca="1">IF(CS$4=0,-$B$53,DS!CS162*CS7)</f>
        <v>0</v>
      </c>
      <c r="CT53" s="976">
        <f ca="1">IF(CT$4=0,-$B$53,DS!CT162*CT7)</f>
        <v>0</v>
      </c>
      <c r="CU53" s="976">
        <f ca="1">IF(CU$4=0,-$B$53,DS!CU162*CU7)</f>
        <v>0</v>
      </c>
      <c r="CV53" s="976">
        <f ca="1">IF(CV$4=0,-$B$53,DS!CV162*CV7)</f>
        <v>0</v>
      </c>
      <c r="CW53" s="976">
        <f ca="1">IF(CW$4=0,-$B$53,DS!CW162*CW7)</f>
        <v>0</v>
      </c>
      <c r="CX53" s="976">
        <f ca="1">IF(CX$4=0,-$B$53,DS!CX162*CX7)</f>
        <v>0</v>
      </c>
      <c r="CY53" s="976">
        <f ca="1">IF(CY$4=0,-$B$53,DS!CY162*CY7)</f>
        <v>0</v>
      </c>
      <c r="CZ53" s="976">
        <f ca="1">IF(CZ$4=0,-$B$53,DS!CZ162*CZ7)</f>
        <v>0</v>
      </c>
      <c r="DA53" s="976">
        <f ca="1">IF(DA$4=0,-$B$53,DS!DA162*DA7)</f>
        <v>0</v>
      </c>
      <c r="DB53" s="976">
        <f ca="1">IF(DB$4=0,-$B$53,DS!DB162*DB7)</f>
        <v>0</v>
      </c>
      <c r="DC53" s="976">
        <f ca="1">IF(DC$4=0,-$B$53,DS!DC162*DC7)</f>
        <v>0</v>
      </c>
      <c r="DD53" s="976">
        <f ca="1">IF(DD$4=0,-$B$53,DS!DD162*DD7)</f>
        <v>0</v>
      </c>
      <c r="DE53" s="976">
        <f ca="1">IF(DE$4=0,-$B$53,DS!DE162*DE7)</f>
        <v>0</v>
      </c>
      <c r="DF53" s="976">
        <f ca="1">IF(DF$4=0,-$B$53,DS!DF162*DF7)</f>
        <v>0</v>
      </c>
      <c r="DG53" s="976">
        <f ca="1">IF(DG$4=0,-$B$53,DS!DG162*DG7)</f>
        <v>0</v>
      </c>
      <c r="DH53" s="976">
        <f ca="1">IF(DH$4=0,-$B$53,DS!DH162*DH7)</f>
        <v>0</v>
      </c>
      <c r="DI53" s="976">
        <f ca="1">IF(DI$4=0,-$B$53,DS!DI162*DI7)</f>
        <v>0</v>
      </c>
      <c r="DJ53" s="976">
        <f ca="1">IF(DJ$4=0,-$B$53,DS!DJ162*DJ7)</f>
        <v>0</v>
      </c>
      <c r="DK53" s="976">
        <f ca="1">IF(DK$4=0,-$B$53,DS!DK162*DK7)</f>
        <v>0</v>
      </c>
      <c r="DL53" s="976">
        <f ca="1">IF(DL$4=0,-$B$53,DS!DL162*DL7)</f>
        <v>0</v>
      </c>
      <c r="DM53" s="976">
        <f ca="1">IF(DM$4=0,-$B$53,DS!DM162*DM7)</f>
        <v>0</v>
      </c>
      <c r="DN53" s="976">
        <f ca="1">IF(DN$4=0,-$B$53,DS!DN162*DN7)</f>
        <v>0</v>
      </c>
      <c r="DO53" s="976">
        <f ca="1">IF(DO$4=0,-$B$53,DS!DO162*DO7)</f>
        <v>0</v>
      </c>
      <c r="DP53" s="976">
        <f ca="1">IF(DP$4=0,-$B$53,DS!DP162*DP7)</f>
        <v>0</v>
      </c>
      <c r="DQ53" s="976">
        <f ca="1">IF(DQ$4=0,-$B$53,DS!DQ162*DQ7)</f>
        <v>0</v>
      </c>
      <c r="DR53" s="976">
        <f ca="1">IF(DR$4=0,-$B$53,DS!DR162*DR7)</f>
        <v>0</v>
      </c>
      <c r="DS53" s="976">
        <f ca="1">IF(DS$4=0,-$B$53,DS!DS162*DS7)</f>
        <v>0</v>
      </c>
      <c r="DT53" s="976">
        <f ca="1">IF(DT$4=0,-$B$53,DS!DT162*DT7)</f>
        <v>0</v>
      </c>
      <c r="DU53" s="976">
        <f ca="1">IF(DU$4=0,-$B$53,DS!DU162*DU7)</f>
        <v>0</v>
      </c>
      <c r="DV53" s="976">
        <f ca="1">IF(DV$4=0,-$B$53,DS!DV162*DV7)</f>
        <v>0</v>
      </c>
      <c r="DW53" s="976">
        <f ca="1">IF(DW$4=0,-$B$53,DS!DW162*DW7)</f>
        <v>0</v>
      </c>
    </row>
    <row r="54" spans="1:127">
      <c r="A54" s="1019" t="s">
        <v>1263</v>
      </c>
      <c r="B54" s="971"/>
      <c r="C54" s="971"/>
      <c r="D54" s="471"/>
      <c r="E54" s="471"/>
      <c r="F54" s="611"/>
      <c r="G54" s="976">
        <f ca="1">(DS!G160+DS!G161-DS!G163)*G7</f>
        <v>0</v>
      </c>
      <c r="H54" s="976">
        <f ca="1">(DS!H160+DS!H161-DS!H163)*H7</f>
        <v>0</v>
      </c>
      <c r="I54" s="976">
        <f ca="1">(DS!I160+DS!I161-DS!I163)*I7</f>
        <v>0</v>
      </c>
      <c r="J54" s="976">
        <f ca="1">(DS!J160+DS!J161-DS!J163)*J7</f>
        <v>0</v>
      </c>
      <c r="K54" s="976">
        <f ca="1">(DS!K160+DS!K161-DS!K163)*K7</f>
        <v>0</v>
      </c>
      <c r="L54" s="976">
        <f ca="1">(DS!L160+DS!L161-DS!L163)*L7</f>
        <v>0</v>
      </c>
      <c r="M54" s="976">
        <f ca="1">(DS!M160+DS!M161-DS!M163)*M7</f>
        <v>0</v>
      </c>
      <c r="N54" s="976">
        <f ca="1">(DS!N160+DS!N161-DS!N163)*N7</f>
        <v>0</v>
      </c>
      <c r="O54" s="976">
        <f ca="1">(DS!O160+DS!O161-DS!O163)*O7</f>
        <v>0</v>
      </c>
      <c r="P54" s="976">
        <f ca="1">(DS!P160+DS!P161-DS!P163)*P7</f>
        <v>0</v>
      </c>
      <c r="Q54" s="976">
        <f ca="1">(DS!Q160+DS!Q161-DS!Q163)*Q7</f>
        <v>0</v>
      </c>
      <c r="R54" s="976">
        <f ca="1">(DS!R160+DS!R161-DS!R163)*R7</f>
        <v>0</v>
      </c>
      <c r="S54" s="976">
        <f ca="1">(DS!S160+DS!S161-DS!S163)*S7</f>
        <v>0</v>
      </c>
      <c r="T54" s="976">
        <f ca="1">(DS!T160+DS!T161-DS!T163)*T7</f>
        <v>0</v>
      </c>
      <c r="U54" s="976">
        <f ca="1">(DS!U160+DS!U161-DS!U163)*U7</f>
        <v>0</v>
      </c>
      <c r="V54" s="976">
        <f ca="1">(DS!V160+DS!V161-DS!V163)*V7</f>
        <v>0</v>
      </c>
      <c r="W54" s="976">
        <f ca="1">(DS!W160+DS!W161-DS!W163)*W7</f>
        <v>0</v>
      </c>
      <c r="X54" s="976">
        <f ca="1">(DS!X160+DS!X161-DS!X163)*X7</f>
        <v>0</v>
      </c>
      <c r="Y54" s="976">
        <f ca="1">(DS!Y160+DS!Y161-DS!Y163)*Y7</f>
        <v>0</v>
      </c>
      <c r="Z54" s="976">
        <f ca="1">(DS!Z160+DS!Z161-DS!Z163)*Z7</f>
        <v>0</v>
      </c>
      <c r="AA54" s="976">
        <f ca="1">(DS!AA160+DS!AA161-DS!AA163)*AA7</f>
        <v>0</v>
      </c>
      <c r="AB54" s="976">
        <f ca="1">(DS!AB160+DS!AB161-DS!AB163)*AB7</f>
        <v>0</v>
      </c>
      <c r="AC54" s="976">
        <f ca="1">(DS!AC160+DS!AC161-DS!AC163)*AC7</f>
        <v>0</v>
      </c>
      <c r="AD54" s="976">
        <f ca="1">(DS!AD160+DS!AD161-DS!AD163)*AD7</f>
        <v>0</v>
      </c>
      <c r="AE54" s="976">
        <f ca="1">(DS!AE160+DS!AE161-DS!AE163)*AE7</f>
        <v>0</v>
      </c>
      <c r="AF54" s="976">
        <f ca="1">(DS!AF160+DS!AF161-DS!AF163)*AF7</f>
        <v>0</v>
      </c>
      <c r="AG54" s="976">
        <f ca="1">(DS!AG160+DS!AG161-DS!AG163)*AG7</f>
        <v>0</v>
      </c>
      <c r="AH54" s="976">
        <f ca="1">(DS!AH160+DS!AH161-DS!AH163)*AH7</f>
        <v>0</v>
      </c>
      <c r="AI54" s="976">
        <f ca="1">(DS!AI160+DS!AI161-DS!AI163)*AI7</f>
        <v>0</v>
      </c>
      <c r="AJ54" s="976">
        <f ca="1">(DS!AJ160+DS!AJ161-DS!AJ163)*AJ7</f>
        <v>0</v>
      </c>
      <c r="AK54" s="976">
        <f ca="1">(DS!AK160+DS!AK161-DS!AK163)*AK7</f>
        <v>0</v>
      </c>
      <c r="AL54" s="976">
        <f ca="1">(DS!AL160+DS!AL161-DS!AL163)*AL7</f>
        <v>0</v>
      </c>
      <c r="AM54" s="976">
        <f ca="1">(DS!AM160+DS!AM161-DS!AM163)*AM7</f>
        <v>0</v>
      </c>
      <c r="AN54" s="976">
        <f ca="1">(DS!AN160+DS!AN161-DS!AN163)*AN7</f>
        <v>0</v>
      </c>
      <c r="AO54" s="976">
        <f ca="1">(DS!AO160+DS!AO161-DS!AO163)*AO7</f>
        <v>0</v>
      </c>
      <c r="AP54" s="976">
        <f ca="1">(DS!AP160+DS!AP161-DS!AP163)*AP7</f>
        <v>0</v>
      </c>
      <c r="AQ54" s="976">
        <f ca="1">(DS!AQ160+DS!AQ161-DS!AQ163)*AQ7</f>
        <v>0</v>
      </c>
      <c r="AR54" s="976">
        <f ca="1">(DS!AR160+DS!AR161-DS!AR163)*AR7</f>
        <v>0</v>
      </c>
      <c r="AS54" s="976">
        <f ca="1">(DS!AS160+DS!AS161-DS!AS163)*AS7</f>
        <v>0</v>
      </c>
      <c r="AT54" s="976">
        <f ca="1">(DS!AT160+DS!AT161-DS!AT163)*AT7</f>
        <v>0</v>
      </c>
      <c r="AU54" s="976">
        <f ca="1">(DS!AU160+DS!AU161-DS!AU163)*AU7</f>
        <v>0</v>
      </c>
      <c r="AV54" s="976">
        <f ca="1">(DS!AV160+DS!AV161-DS!AV163)*AV7</f>
        <v>0</v>
      </c>
      <c r="AW54" s="976">
        <f ca="1">(DS!AW160+DS!AW161-DS!AW163)*AW7</f>
        <v>0</v>
      </c>
      <c r="AX54" s="976">
        <f ca="1">(DS!AX160+DS!AX161-DS!AX163)*AX7</f>
        <v>0</v>
      </c>
      <c r="AY54" s="976">
        <f ca="1">(DS!AY160+DS!AY161-DS!AY163)*AY7</f>
        <v>0</v>
      </c>
      <c r="AZ54" s="976">
        <f ca="1">(DS!AZ160+DS!AZ161-DS!AZ163)*AZ7</f>
        <v>0</v>
      </c>
      <c r="BA54" s="976">
        <f ca="1">(DS!BA160+DS!BA161-DS!BA163)*BA7</f>
        <v>0</v>
      </c>
      <c r="BB54" s="976">
        <f ca="1">(DS!BB160+DS!BB161-DS!BB163)*BB7</f>
        <v>0</v>
      </c>
      <c r="BC54" s="976">
        <f ca="1">(DS!BC160+DS!BC161-DS!BC163)*BC7</f>
        <v>0</v>
      </c>
      <c r="BD54" s="976">
        <f ca="1">(DS!BD160+DS!BD161-DS!BD163)*BD7</f>
        <v>0</v>
      </c>
      <c r="BE54" s="976">
        <f ca="1">(DS!BE160+DS!BE161-DS!BE163)*BE7</f>
        <v>0</v>
      </c>
      <c r="BF54" s="976">
        <f ca="1">(DS!BF160+DS!BF161-DS!BF163)*BF7</f>
        <v>0</v>
      </c>
      <c r="BG54" s="976">
        <f ca="1">(DS!BG160+DS!BG161-DS!BG163)*BG7</f>
        <v>0</v>
      </c>
      <c r="BH54" s="976">
        <f ca="1">(DS!BH160+DS!BH161-DS!BH163)*BH7</f>
        <v>0</v>
      </c>
      <c r="BI54" s="976">
        <f ca="1">(DS!BI160+DS!BI161-DS!BI163)*BI7</f>
        <v>0</v>
      </c>
      <c r="BJ54" s="976">
        <f ca="1">(DS!BJ160+DS!BJ161-DS!BJ163)*BJ7</f>
        <v>0</v>
      </c>
      <c r="BK54" s="976">
        <f ca="1">(DS!BK160+DS!BK161-DS!BK163)*BK7</f>
        <v>0</v>
      </c>
      <c r="BL54" s="976">
        <f ca="1">(DS!BL160+DS!BL161-DS!BL163)*BL7</f>
        <v>0</v>
      </c>
      <c r="BM54" s="976">
        <f ca="1">(DS!BM160+DS!BM161-DS!BM163)*BM7</f>
        <v>0</v>
      </c>
      <c r="BN54" s="976">
        <f ca="1">(DS!BN160+DS!BN161-DS!BN163)*BN7</f>
        <v>0</v>
      </c>
      <c r="BO54" s="976">
        <f ca="1">(DS!BO160+DS!BO161-DS!BO163)*BO7</f>
        <v>0</v>
      </c>
      <c r="BP54" s="976">
        <f>(DS!BP160+DS!BP161-DS!BP163)*BP7</f>
        <v>0</v>
      </c>
      <c r="BQ54" s="976">
        <f>(DS!BQ160+DS!BQ161-DS!BQ163)*BQ7</f>
        <v>0</v>
      </c>
      <c r="BR54" s="976">
        <f>(DS!BR160+DS!BR161-DS!BR163)*BR7</f>
        <v>0</v>
      </c>
      <c r="BS54" s="976">
        <f>(DS!BS160+DS!BS161-DS!BS163)*BS7</f>
        <v>0</v>
      </c>
      <c r="BT54" s="976">
        <f>(DS!BT160+DS!BT161-DS!BT163)*BT7</f>
        <v>0</v>
      </c>
      <c r="BU54" s="976">
        <f>(DS!BU160+DS!BU161-DS!BU163)*BU7</f>
        <v>0</v>
      </c>
      <c r="BV54" s="976">
        <f>(DS!BV160+DS!BV161-DS!BV163)*BV7</f>
        <v>0</v>
      </c>
      <c r="BW54" s="976">
        <f>(DS!BW160+DS!BW161-DS!BW163)*BW7</f>
        <v>0</v>
      </c>
      <c r="BX54" s="976">
        <f>(DS!BX160+DS!BX161-DS!BX163)*BX7</f>
        <v>0</v>
      </c>
      <c r="BY54" s="976">
        <f>(DS!BY160+DS!BY161-DS!BY163)*BY7</f>
        <v>0</v>
      </c>
      <c r="BZ54" s="976">
        <f>(DS!BZ160+DS!BZ161-DS!BZ163)*BZ7</f>
        <v>0</v>
      </c>
      <c r="CA54" s="976">
        <f>(DS!CA160+DS!CA161-DS!CA163)*CA7</f>
        <v>0</v>
      </c>
      <c r="CB54" s="976">
        <f>(DS!CB160+DS!CB161-DS!CB163)*CB7</f>
        <v>0</v>
      </c>
      <c r="CC54" s="976">
        <f>(DS!CC160+DS!CC161-DS!CC163)*CC7</f>
        <v>0</v>
      </c>
      <c r="CD54" s="976">
        <f>(DS!CD160+DS!CD161-DS!CD163)*CD7</f>
        <v>0</v>
      </c>
      <c r="CE54" s="976">
        <f>(DS!CE160+DS!CE161-DS!CE163)*CE7</f>
        <v>0</v>
      </c>
      <c r="CF54" s="976">
        <f>(DS!CF160+DS!CF161-DS!CF163)*CF7</f>
        <v>0</v>
      </c>
      <c r="CG54" s="976">
        <f>(DS!CG160+DS!CG161-DS!CG163)*CG7</f>
        <v>0</v>
      </c>
      <c r="CH54" s="976">
        <f>(DS!CH160+DS!CH161-DS!CH163)*CH7</f>
        <v>0</v>
      </c>
      <c r="CI54" s="976">
        <f>(DS!CI160+DS!CI161-DS!CI163)*CI7</f>
        <v>0</v>
      </c>
      <c r="CJ54" s="976">
        <f>(DS!CJ160+DS!CJ161-DS!CJ163)*CJ7</f>
        <v>0</v>
      </c>
      <c r="CK54" s="976">
        <f>(DS!CK160+DS!CK161-DS!CK163)*CK7</f>
        <v>0</v>
      </c>
      <c r="CL54" s="976">
        <f>(DS!CL160+DS!CL161-DS!CL163)*CL7</f>
        <v>0</v>
      </c>
      <c r="CM54" s="976">
        <f>(DS!CM160+DS!CM161-DS!CM163)*CM7</f>
        <v>0</v>
      </c>
      <c r="CN54" s="976">
        <f>(DS!CN160+DS!CN161-DS!CN163)*CN7</f>
        <v>0</v>
      </c>
      <c r="CO54" s="976">
        <f>(DS!CO160+DS!CO161-DS!CO163)*CO7</f>
        <v>0</v>
      </c>
      <c r="CP54" s="976">
        <f>(DS!CP160+DS!CP161-DS!CP163)*CP7</f>
        <v>0</v>
      </c>
      <c r="CQ54" s="976">
        <f>(DS!CQ160+DS!CQ161-DS!CQ163)*CQ7</f>
        <v>0</v>
      </c>
      <c r="CR54" s="976">
        <f>(DS!CR160+DS!CR161-DS!CR163)*CR7</f>
        <v>0</v>
      </c>
      <c r="CS54" s="976">
        <f>(DS!CS160+DS!CS161-DS!CS163)*CS7</f>
        <v>0</v>
      </c>
      <c r="CT54" s="976">
        <f>(DS!CT160+DS!CT161-DS!CT163)*CT7</f>
        <v>0</v>
      </c>
      <c r="CU54" s="976">
        <f>(DS!CU160+DS!CU161-DS!CU163)*CU7</f>
        <v>0</v>
      </c>
      <c r="CV54" s="976">
        <f>(DS!CV160+DS!CV161-DS!CV163)*CV7</f>
        <v>0</v>
      </c>
      <c r="CW54" s="976">
        <f>(DS!CW160+DS!CW161-DS!CW163)*CW7</f>
        <v>0</v>
      </c>
      <c r="CX54" s="976">
        <f>(DS!CX160+DS!CX161-DS!CX163)*CX7</f>
        <v>0</v>
      </c>
      <c r="CY54" s="976">
        <f>(DS!CY160+DS!CY161-DS!CY163)*CY7</f>
        <v>0</v>
      </c>
      <c r="CZ54" s="976">
        <f>(DS!CZ160+DS!CZ161-DS!CZ163)*CZ7</f>
        <v>0</v>
      </c>
      <c r="DA54" s="976">
        <f>(DS!DA160+DS!DA161-DS!DA163)*DA7</f>
        <v>0</v>
      </c>
      <c r="DB54" s="976">
        <f>(DS!DB160+DS!DB161-DS!DB163)*DB7</f>
        <v>0</v>
      </c>
      <c r="DC54" s="976">
        <f>(DS!DC160+DS!DC161-DS!DC163)*DC7</f>
        <v>0</v>
      </c>
      <c r="DD54" s="976">
        <f>(DS!DD160+DS!DD161-DS!DD163)*DD7</f>
        <v>0</v>
      </c>
      <c r="DE54" s="976">
        <f>(DS!DE160+DS!DE161-DS!DE163)*DE7</f>
        <v>0</v>
      </c>
      <c r="DF54" s="976">
        <f>(DS!DF160+DS!DF161-DS!DF163)*DF7</f>
        <v>0</v>
      </c>
      <c r="DG54" s="976">
        <f>(DS!DG160+DS!DG161-DS!DG163)*DG7</f>
        <v>0</v>
      </c>
      <c r="DH54" s="976">
        <f>(DS!DH160+DS!DH161-DS!DH163)*DH7</f>
        <v>0</v>
      </c>
      <c r="DI54" s="976">
        <f>(DS!DI160+DS!DI161-DS!DI163)*DI7</f>
        <v>0</v>
      </c>
      <c r="DJ54" s="976">
        <f>(DS!DJ160+DS!DJ161-DS!DJ163)*DJ7</f>
        <v>0</v>
      </c>
      <c r="DK54" s="976">
        <f>(DS!DK160+DS!DK161-DS!DK163)*DK7</f>
        <v>0</v>
      </c>
      <c r="DL54" s="976">
        <f>(DS!DL160+DS!DL161-DS!DL163)*DL7</f>
        <v>0</v>
      </c>
      <c r="DM54" s="976">
        <f>(DS!DM160+DS!DM161-DS!DM163)*DM7</f>
        <v>0</v>
      </c>
      <c r="DN54" s="976">
        <f>(DS!DN160+DS!DN161-DS!DN163)*DN7</f>
        <v>0</v>
      </c>
      <c r="DO54" s="976">
        <f>(DS!DO160+DS!DO161-DS!DO163)*DO7</f>
        <v>0</v>
      </c>
      <c r="DP54" s="976">
        <f>(DS!DP160+DS!DP161-DS!DP163)*DP7</f>
        <v>0</v>
      </c>
      <c r="DQ54" s="976">
        <f>(DS!DQ160+DS!DQ161-DS!DQ163)*DQ7</f>
        <v>0</v>
      </c>
      <c r="DR54" s="976">
        <f>(DS!DR160+DS!DR161-DS!DR163)*DR7</f>
        <v>0</v>
      </c>
      <c r="DS54" s="976">
        <f>(DS!DS160+DS!DS161-DS!DS163)*DS7</f>
        <v>0</v>
      </c>
      <c r="DT54" s="976">
        <f>(DS!DT160+DS!DT161-DS!DT163)*DT7</f>
        <v>0</v>
      </c>
      <c r="DU54" s="976">
        <f>(DS!DU160+DS!DU161-DS!DU163)*DU7</f>
        <v>0</v>
      </c>
      <c r="DV54" s="976">
        <f>(DS!DV160+DS!DV161-DS!DV163)*DV7</f>
        <v>0</v>
      </c>
      <c r="DW54" s="976">
        <f>(DS!DW160+DS!DW161-DS!DW163)*DW7</f>
        <v>0</v>
      </c>
    </row>
    <row r="55" spans="1:127">
      <c r="A55" s="1020" t="s">
        <v>1261</v>
      </c>
      <c r="B55" s="971"/>
      <c r="C55" s="971"/>
      <c r="D55" s="471"/>
      <c r="E55" s="471"/>
      <c r="F55" s="611"/>
      <c r="G55" s="976">
        <f ca="1">(DS!G160-DS!G163)*G7</f>
        <v>0</v>
      </c>
      <c r="H55" s="976">
        <f ca="1">(DS!H160-DS!H163)*H7</f>
        <v>0</v>
      </c>
      <c r="I55" s="976">
        <f ca="1">(DS!I160-DS!I163)*I7</f>
        <v>0</v>
      </c>
      <c r="J55" s="976">
        <f ca="1">(DS!J160-DS!J163)*J7</f>
        <v>0</v>
      </c>
      <c r="K55" s="976">
        <f ca="1">(DS!K160-DS!K163)*K7</f>
        <v>0</v>
      </c>
      <c r="L55" s="976">
        <f ca="1">(DS!L160-DS!L163)*L7</f>
        <v>0</v>
      </c>
      <c r="M55" s="976">
        <f ca="1">(DS!M160-DS!M163)*M7</f>
        <v>0</v>
      </c>
      <c r="N55" s="976">
        <f ca="1">(DS!N160-DS!N163)*N7</f>
        <v>0</v>
      </c>
      <c r="O55" s="976">
        <f ca="1">(DS!O160-DS!O163)*O7</f>
        <v>0</v>
      </c>
      <c r="P55" s="976">
        <f ca="1">(DS!P160-DS!P163)*P7</f>
        <v>0</v>
      </c>
      <c r="Q55" s="976">
        <f ca="1">(DS!Q160-DS!Q163)*Q7</f>
        <v>0</v>
      </c>
      <c r="R55" s="976">
        <f ca="1">(DS!R160-DS!R163)*R7</f>
        <v>0</v>
      </c>
      <c r="S55" s="976">
        <f ca="1">(DS!S160-DS!S163)*S7</f>
        <v>0</v>
      </c>
      <c r="T55" s="976">
        <f ca="1">(DS!T160-DS!T163)*T7</f>
        <v>0</v>
      </c>
      <c r="U55" s="976">
        <f ca="1">(DS!U160-DS!U163)*U7</f>
        <v>0</v>
      </c>
      <c r="V55" s="976">
        <f ca="1">(DS!V160-DS!V163)*V7</f>
        <v>0</v>
      </c>
      <c r="W55" s="976">
        <f ca="1">(DS!W160-DS!W163)*W7</f>
        <v>0</v>
      </c>
      <c r="X55" s="976">
        <f ca="1">(DS!X160-DS!X163)*X7</f>
        <v>0</v>
      </c>
      <c r="Y55" s="976">
        <f ca="1">(DS!Y160-DS!Y163)*Y7</f>
        <v>0</v>
      </c>
      <c r="Z55" s="976">
        <f ca="1">(DS!Z160-DS!Z163)*Z7</f>
        <v>0</v>
      </c>
      <c r="AA55" s="976">
        <f ca="1">(DS!AA160-DS!AA163)*AA7</f>
        <v>0</v>
      </c>
      <c r="AB55" s="976">
        <f ca="1">(DS!AB160-DS!AB163)*AB7</f>
        <v>0</v>
      </c>
      <c r="AC55" s="976">
        <f ca="1">(DS!AC160-DS!AC163)*AC7</f>
        <v>0</v>
      </c>
      <c r="AD55" s="976">
        <f ca="1">(DS!AD160-DS!AD163)*AD7</f>
        <v>0</v>
      </c>
      <c r="AE55" s="976">
        <f ca="1">(DS!AE160-DS!AE163)*AE7</f>
        <v>0</v>
      </c>
      <c r="AF55" s="976">
        <f ca="1">(DS!AF160-DS!AF163)*AF7</f>
        <v>0</v>
      </c>
      <c r="AG55" s="976">
        <f ca="1">(DS!AG160-DS!AG163)*AG7</f>
        <v>0</v>
      </c>
      <c r="AH55" s="976">
        <f ca="1">(DS!AH160-DS!AH163)*AH7</f>
        <v>0</v>
      </c>
      <c r="AI55" s="976">
        <f ca="1">(DS!AI160-DS!AI163)*AI7</f>
        <v>0</v>
      </c>
      <c r="AJ55" s="976">
        <f ca="1">(DS!AJ160-DS!AJ163)*AJ7</f>
        <v>0</v>
      </c>
      <c r="AK55" s="976">
        <f ca="1">(DS!AK160-DS!AK163)*AK7</f>
        <v>0</v>
      </c>
      <c r="AL55" s="976">
        <f ca="1">(DS!AL160-DS!AL163)*AL7</f>
        <v>0</v>
      </c>
      <c r="AM55" s="976">
        <f ca="1">(DS!AM160-DS!AM163)*AM7</f>
        <v>0</v>
      </c>
      <c r="AN55" s="976">
        <f ca="1">(DS!AN160-DS!AN163)*AN7</f>
        <v>0</v>
      </c>
      <c r="AO55" s="976">
        <f ca="1">(DS!AO160-DS!AO163)*AO7</f>
        <v>0</v>
      </c>
      <c r="AP55" s="976">
        <f ca="1">(DS!AP160-DS!AP163)*AP7</f>
        <v>0</v>
      </c>
      <c r="AQ55" s="976">
        <f ca="1">(DS!AQ160-DS!AQ163)*AQ7</f>
        <v>0</v>
      </c>
      <c r="AR55" s="976">
        <f ca="1">(DS!AR160-DS!AR163)*AR7</f>
        <v>0</v>
      </c>
      <c r="AS55" s="976">
        <f ca="1">(DS!AS160-DS!AS163)*AS7</f>
        <v>0</v>
      </c>
      <c r="AT55" s="976">
        <f ca="1">(DS!AT160-DS!AT163)*AT7</f>
        <v>0</v>
      </c>
      <c r="AU55" s="976">
        <f ca="1">(DS!AU160-DS!AU163)*AU7</f>
        <v>0</v>
      </c>
      <c r="AV55" s="976">
        <f ca="1">(DS!AV160-DS!AV163)*AV7</f>
        <v>0</v>
      </c>
      <c r="AW55" s="976">
        <f ca="1">(DS!AW160-DS!AW163)*AW7</f>
        <v>0</v>
      </c>
      <c r="AX55" s="976">
        <f ca="1">(DS!AX160-DS!AX163)*AX7</f>
        <v>0</v>
      </c>
      <c r="AY55" s="976">
        <f ca="1">(DS!AY160-DS!AY163)*AY7</f>
        <v>0</v>
      </c>
      <c r="AZ55" s="976">
        <f ca="1">(DS!AZ160-DS!AZ163)*AZ7</f>
        <v>0</v>
      </c>
      <c r="BA55" s="976">
        <f ca="1">(DS!BA160-DS!BA163)*BA7</f>
        <v>0</v>
      </c>
      <c r="BB55" s="976">
        <f ca="1">(DS!BB160-DS!BB163)*BB7</f>
        <v>0</v>
      </c>
      <c r="BC55" s="976">
        <f ca="1">(DS!BC160-DS!BC163)*BC7</f>
        <v>0</v>
      </c>
      <c r="BD55" s="976">
        <f ca="1">(DS!BD160-DS!BD163)*BD7</f>
        <v>0</v>
      </c>
      <c r="BE55" s="976">
        <f ca="1">(DS!BE160-DS!BE163)*BE7</f>
        <v>0</v>
      </c>
      <c r="BF55" s="976">
        <f ca="1">(DS!BF160-DS!BF163)*BF7</f>
        <v>0</v>
      </c>
      <c r="BG55" s="976">
        <f ca="1">(DS!BG160-DS!BG163)*BG7</f>
        <v>0</v>
      </c>
      <c r="BH55" s="976">
        <f ca="1">(DS!BH160-DS!BH163)*BH7</f>
        <v>0</v>
      </c>
      <c r="BI55" s="976">
        <f ca="1">(DS!BI160-DS!BI163)*BI7</f>
        <v>0</v>
      </c>
      <c r="BJ55" s="976">
        <f ca="1">(DS!BJ160-DS!BJ163)*BJ7</f>
        <v>0</v>
      </c>
      <c r="BK55" s="976">
        <f ca="1">(DS!BK160-DS!BK163)*BK7</f>
        <v>0</v>
      </c>
      <c r="BL55" s="976">
        <f ca="1">(DS!BL160-DS!BL163)*BL7</f>
        <v>0</v>
      </c>
      <c r="BM55" s="976">
        <f ca="1">(DS!BM160-DS!BM163)*BM7</f>
        <v>0</v>
      </c>
      <c r="BN55" s="976">
        <f ca="1">(DS!BN160-DS!BN163)*BN7</f>
        <v>0</v>
      </c>
      <c r="BO55" s="976">
        <f ca="1">(DS!BO160-DS!BO163)*BO7</f>
        <v>0</v>
      </c>
      <c r="BP55" s="976">
        <f>(DS!BP160-DS!BP163)*BP7</f>
        <v>0</v>
      </c>
      <c r="BQ55" s="976">
        <f>(DS!BQ160-DS!BQ163)*BQ7</f>
        <v>0</v>
      </c>
      <c r="BR55" s="976">
        <f>(DS!BR160-DS!BR163)*BR7</f>
        <v>0</v>
      </c>
      <c r="BS55" s="976">
        <f>(DS!BS160-DS!BS163)*BS7</f>
        <v>0</v>
      </c>
      <c r="BT55" s="976">
        <f>(DS!BT160-DS!BT163)*BT7</f>
        <v>0</v>
      </c>
      <c r="BU55" s="976">
        <f>(DS!BU160-DS!BU163)*BU7</f>
        <v>0</v>
      </c>
      <c r="BV55" s="976">
        <f>(DS!BV160-DS!BV163)*BV7</f>
        <v>0</v>
      </c>
      <c r="BW55" s="976">
        <f>(DS!BW160-DS!BW163)*BW7</f>
        <v>0</v>
      </c>
      <c r="BX55" s="976">
        <f>(DS!BX160-DS!BX163)*BX7</f>
        <v>0</v>
      </c>
      <c r="BY55" s="976">
        <f>(DS!BY160-DS!BY163)*BY7</f>
        <v>0</v>
      </c>
      <c r="BZ55" s="976">
        <f>(DS!BZ160-DS!BZ163)*BZ7</f>
        <v>0</v>
      </c>
      <c r="CA55" s="976">
        <f>(DS!CA160-DS!CA163)*CA7</f>
        <v>0</v>
      </c>
      <c r="CB55" s="976">
        <f>(DS!CB160-DS!CB163)*CB7</f>
        <v>0</v>
      </c>
      <c r="CC55" s="976">
        <f>(DS!CC160-DS!CC163)*CC7</f>
        <v>0</v>
      </c>
      <c r="CD55" s="976">
        <f>(DS!CD160-DS!CD163)*CD7</f>
        <v>0</v>
      </c>
      <c r="CE55" s="976">
        <f>(DS!CE160-DS!CE163)*CE7</f>
        <v>0</v>
      </c>
      <c r="CF55" s="976">
        <f>(DS!CF160-DS!CF163)*CF7</f>
        <v>0</v>
      </c>
      <c r="CG55" s="976">
        <f>(DS!CG160-DS!CG163)*CG7</f>
        <v>0</v>
      </c>
      <c r="CH55" s="976">
        <f>(DS!CH160-DS!CH163)*CH7</f>
        <v>0</v>
      </c>
      <c r="CI55" s="976">
        <f>(DS!CI160-DS!CI163)*CI7</f>
        <v>0</v>
      </c>
      <c r="CJ55" s="976">
        <f>(DS!CJ160-DS!CJ163)*CJ7</f>
        <v>0</v>
      </c>
      <c r="CK55" s="976">
        <f>(DS!CK160-DS!CK163)*CK7</f>
        <v>0</v>
      </c>
      <c r="CL55" s="976">
        <f>(DS!CL160-DS!CL163)*CL7</f>
        <v>0</v>
      </c>
      <c r="CM55" s="976">
        <f>(DS!CM160-DS!CM163)*CM7</f>
        <v>0</v>
      </c>
      <c r="CN55" s="976">
        <f>(DS!CN160-DS!CN163)*CN7</f>
        <v>0</v>
      </c>
      <c r="CO55" s="976">
        <f>(DS!CO160-DS!CO163)*CO7</f>
        <v>0</v>
      </c>
      <c r="CP55" s="976">
        <f>(DS!CP160-DS!CP163)*CP7</f>
        <v>0</v>
      </c>
      <c r="CQ55" s="976">
        <f>(DS!CQ160-DS!CQ163)*CQ7</f>
        <v>0</v>
      </c>
      <c r="CR55" s="976">
        <f>(DS!CR160-DS!CR163)*CR7</f>
        <v>0</v>
      </c>
      <c r="CS55" s="976">
        <f>(DS!CS160-DS!CS163)*CS7</f>
        <v>0</v>
      </c>
      <c r="CT55" s="976">
        <f>(DS!CT160-DS!CT163)*CT7</f>
        <v>0</v>
      </c>
      <c r="CU55" s="976">
        <f>(DS!CU160-DS!CU163)*CU7</f>
        <v>0</v>
      </c>
      <c r="CV55" s="976">
        <f>(DS!CV160-DS!CV163)*CV7</f>
        <v>0</v>
      </c>
      <c r="CW55" s="976">
        <f>(DS!CW160-DS!CW163)*CW7</f>
        <v>0</v>
      </c>
      <c r="CX55" s="976">
        <f>(DS!CX160-DS!CX163)*CX7</f>
        <v>0</v>
      </c>
      <c r="CY55" s="976">
        <f>(DS!CY160-DS!CY163)*CY7</f>
        <v>0</v>
      </c>
      <c r="CZ55" s="976">
        <f>(DS!CZ160-DS!CZ163)*CZ7</f>
        <v>0</v>
      </c>
      <c r="DA55" s="976">
        <f>(DS!DA160-DS!DA163)*DA7</f>
        <v>0</v>
      </c>
      <c r="DB55" s="976">
        <f>(DS!DB160-DS!DB163)*DB7</f>
        <v>0</v>
      </c>
      <c r="DC55" s="976">
        <f>(DS!DC160-DS!DC163)*DC7</f>
        <v>0</v>
      </c>
      <c r="DD55" s="976">
        <f>(DS!DD160-DS!DD163)*DD7</f>
        <v>0</v>
      </c>
      <c r="DE55" s="976">
        <f>(DS!DE160-DS!DE163)*DE7</f>
        <v>0</v>
      </c>
      <c r="DF55" s="976">
        <f>(DS!DF160-DS!DF163)*DF7</f>
        <v>0</v>
      </c>
      <c r="DG55" s="976">
        <f>(DS!DG160-DS!DG163)*DG7</f>
        <v>0</v>
      </c>
      <c r="DH55" s="976">
        <f>(DS!DH160-DS!DH163)*DH7</f>
        <v>0</v>
      </c>
      <c r="DI55" s="976">
        <f>(DS!DI160-DS!DI163)*DI7</f>
        <v>0</v>
      </c>
      <c r="DJ55" s="976">
        <f>(DS!DJ160-DS!DJ163)*DJ7</f>
        <v>0</v>
      </c>
      <c r="DK55" s="976">
        <f>(DS!DK160-DS!DK163)*DK7</f>
        <v>0</v>
      </c>
      <c r="DL55" s="976">
        <f>(DS!DL160-DS!DL163)*DL7</f>
        <v>0</v>
      </c>
      <c r="DM55" s="976">
        <f>(DS!DM160-DS!DM163)*DM7</f>
        <v>0</v>
      </c>
      <c r="DN55" s="976">
        <f>(DS!DN160-DS!DN163)*DN7</f>
        <v>0</v>
      </c>
      <c r="DO55" s="976">
        <f>(DS!DO160-DS!DO163)*DO7</f>
        <v>0</v>
      </c>
      <c r="DP55" s="976">
        <f>(DS!DP160-DS!DP163)*DP7</f>
        <v>0</v>
      </c>
      <c r="DQ55" s="976">
        <f>(DS!DQ160-DS!DQ163)*DQ7</f>
        <v>0</v>
      </c>
      <c r="DR55" s="976">
        <f>(DS!DR160-DS!DR163)*DR7</f>
        <v>0</v>
      </c>
      <c r="DS55" s="976">
        <f>(DS!DS160-DS!DS163)*DS7</f>
        <v>0</v>
      </c>
      <c r="DT55" s="976">
        <f>(DS!DT160-DS!DT163)*DT7</f>
        <v>0</v>
      </c>
      <c r="DU55" s="976">
        <f>(DS!DU160-DS!DU163)*DU7</f>
        <v>0</v>
      </c>
      <c r="DV55" s="976">
        <f>(DS!DV160-DS!DV163)*DV7</f>
        <v>0</v>
      </c>
      <c r="DW55" s="976">
        <f>(DS!DW160-DS!DW163)*DW7</f>
        <v>0</v>
      </c>
    </row>
    <row r="56" spans="1:127">
      <c r="A56" s="1019" t="s">
        <v>1165</v>
      </c>
      <c r="B56" s="976">
        <f>Inputs!D318</f>
        <v>0</v>
      </c>
      <c r="C56" s="971"/>
      <c r="D56" s="471"/>
      <c r="E56" s="471"/>
      <c r="F56" s="611"/>
      <c r="G56" s="510">
        <f ca="1">IF(G$3=0,-B56,G14*G7*$B$52)</f>
        <v>0</v>
      </c>
      <c r="H56" s="510">
        <f ca="1">IF(H$3=0,-Inputs!$D$318,CF!H$130*H7*$B$52)</f>
        <v>0</v>
      </c>
      <c r="I56" s="510">
        <f ca="1">IF(I$3=0,-Inputs!$D$318,CF!I$130*I7*$B$52)</f>
        <v>0</v>
      </c>
      <c r="J56" s="510">
        <f ca="1">IF(J$3=0,-Inputs!$D$318,CF!J$130*J7*$B$52)</f>
        <v>0</v>
      </c>
      <c r="K56" s="510">
        <f ca="1">IF(K$3=0,-Inputs!$D$318,CF!K$130*K7*$B$52)</f>
        <v>0</v>
      </c>
      <c r="L56" s="510">
        <f ca="1">IF(L$3=0,-Inputs!$D$318,CF!L$130*L7*$B$52)</f>
        <v>0</v>
      </c>
      <c r="M56" s="510">
        <f ca="1">IF(M$3=0,-Inputs!$D$318,CF!M$130*M7*$B$52)</f>
        <v>0</v>
      </c>
      <c r="N56" s="510">
        <f ca="1">IF(N$3=0,-Inputs!$D$318,CF!N$130*N7*$B$52)</f>
        <v>0</v>
      </c>
      <c r="O56" s="510">
        <f ca="1">IF(O$3=0,-Inputs!$D$318,CF!O$130*O7*$B$52)</f>
        <v>0</v>
      </c>
      <c r="P56" s="510">
        <f ca="1">IF(P$3=0,-Inputs!$D$318,CF!P$130*P7*$B$52)</f>
        <v>0</v>
      </c>
      <c r="Q56" s="510">
        <f ca="1">IF(Q$3=0,-Inputs!$D$318,CF!Q$130*Q7*$B$52)</f>
        <v>0</v>
      </c>
      <c r="R56" s="510">
        <f ca="1">IF(R$3=0,-Inputs!$D$318,CF!R$130*R7*$B$52)</f>
        <v>0</v>
      </c>
      <c r="S56" s="510">
        <f ca="1">IF(S$3=0,-Inputs!$D$318,CF!S$130*S7*$B$52)</f>
        <v>0</v>
      </c>
      <c r="T56" s="510">
        <f ca="1">IF(T$3=0,-Inputs!$D$318,CF!T$130*T7*$B$52)</f>
        <v>0</v>
      </c>
      <c r="U56" s="510">
        <f ca="1">IF(U$3=0,-Inputs!$D$318,CF!U$130*U7*$B$52)</f>
        <v>0</v>
      </c>
      <c r="V56" s="510">
        <f ca="1">IF(V$3=0,-Inputs!$D$318,CF!V$130*V7*$B$52)</f>
        <v>0</v>
      </c>
      <c r="W56" s="510">
        <f ca="1">IF(W$3=0,-Inputs!$D$318,CF!W$130*W7*$B$52)</f>
        <v>0</v>
      </c>
      <c r="X56" s="510">
        <f ca="1">IF(X$3=0,-Inputs!$D$318,CF!X$130*X7*$B$52)</f>
        <v>0</v>
      </c>
      <c r="Y56" s="510">
        <f ca="1">IF(Y$3=0,-Inputs!$D$318,CF!Y$130*Y7*$B$52)</f>
        <v>0</v>
      </c>
      <c r="Z56" s="510">
        <f ca="1">IF(Z$3=0,-Inputs!$D$318,CF!Z$130*Z7*$B$52)</f>
        <v>0</v>
      </c>
      <c r="AA56" s="510">
        <f ca="1">IF(AA$3=0,-Inputs!$D$318,CF!AA$130*AA7*$B$52)</f>
        <v>0</v>
      </c>
      <c r="AB56" s="510">
        <f ca="1">IF(AB$3=0,-Inputs!$D$318,CF!AB$130*AB7*$B$52)</f>
        <v>0</v>
      </c>
      <c r="AC56" s="510">
        <f ca="1">IF(AC$3=0,-Inputs!$D$318,CF!AC$130*AC7*$B$52)</f>
        <v>0</v>
      </c>
      <c r="AD56" s="510">
        <f ca="1">IF(AD$3=0,-Inputs!$D$318,CF!AD$130*AD7*$B$52)</f>
        <v>0</v>
      </c>
      <c r="AE56" s="510">
        <f ca="1">IF(AE$3=0,-Inputs!$D$318,CF!AE$130*AE7*$B$52)</f>
        <v>0</v>
      </c>
      <c r="AF56" s="510">
        <f ca="1">IF(AF$3=0,-Inputs!$D$318,CF!AF$130*AF7*$B$52)</f>
        <v>0</v>
      </c>
      <c r="AG56" s="510">
        <f ca="1">IF(AG$3=0,-Inputs!$D$318,CF!AG$130*AG7*$B$52)</f>
        <v>0</v>
      </c>
      <c r="AH56" s="510">
        <f ca="1">IF(AH$3=0,-Inputs!$D$318,CF!AH$130*AH7*$B$52)</f>
        <v>0</v>
      </c>
      <c r="AI56" s="510">
        <f ca="1">IF(AI$3=0,-Inputs!$D$318,CF!AI$130*AI7*$B$52)</f>
        <v>0</v>
      </c>
      <c r="AJ56" s="510">
        <f ca="1">IF(AJ$3=0,-Inputs!$D$318,CF!AJ$130*AJ7*$B$52)</f>
        <v>0</v>
      </c>
      <c r="AK56" s="510">
        <f ca="1">IF(AK$3=0,-Inputs!$D$318,CF!AK$130*AK7*$B$52)</f>
        <v>0</v>
      </c>
      <c r="AL56" s="510">
        <f ca="1">IF(AL$3=0,-Inputs!$D$318,CF!AL$130*AL7*$B$52)</f>
        <v>0</v>
      </c>
      <c r="AM56" s="510">
        <f ca="1">IF(AM$3=0,-Inputs!$D$318,CF!AM$130*AM7*$B$52)</f>
        <v>0</v>
      </c>
      <c r="AN56" s="510">
        <f ca="1">IF(AN$3=0,-Inputs!$D$318,CF!AN$130*AN7*$B$52)</f>
        <v>0</v>
      </c>
      <c r="AO56" s="510">
        <f ca="1">IF(AO$3=0,-Inputs!$D$318,CF!AO$130*AO7*$B$52)</f>
        <v>0</v>
      </c>
      <c r="AP56" s="510">
        <f ca="1">IF(AP$3=0,-Inputs!$D$318,CF!AP$130*AP7*$B$52)</f>
        <v>0</v>
      </c>
      <c r="AQ56" s="510">
        <f ca="1">IF(AQ$3=0,-Inputs!$D$318,CF!AQ$130*AQ7*$B$52)</f>
        <v>0</v>
      </c>
      <c r="AR56" s="510">
        <f ca="1">IF(AR$3=0,-Inputs!$D$318,CF!AR$130*AR7*$B$52)</f>
        <v>0</v>
      </c>
      <c r="AS56" s="510">
        <f ca="1">IF(AS$3=0,-Inputs!$D$318,CF!AS$130*AS7*$B$52)</f>
        <v>0</v>
      </c>
      <c r="AT56" s="510">
        <f ca="1">IF(AT$3=0,-Inputs!$D$318,CF!AT$130*AT7*$B$52)</f>
        <v>0</v>
      </c>
      <c r="AU56" s="510">
        <f ca="1">IF(AU$3=0,-Inputs!$D$318,CF!AU$130*AU7*$B$52)</f>
        <v>0</v>
      </c>
      <c r="AV56" s="510">
        <f ca="1">IF(AV$3=0,-Inputs!$D$318,CF!AV$130*AV7*$B$52)</f>
        <v>0</v>
      </c>
      <c r="AW56" s="510">
        <f ca="1">IF(AW$3=0,-Inputs!$D$318,CF!AW$130*AW7*$B$52)</f>
        <v>0</v>
      </c>
      <c r="AX56" s="510">
        <f ca="1">IF(AX$3=0,-Inputs!$D$318,CF!AX$130*AX7*$B$52)</f>
        <v>0</v>
      </c>
      <c r="AY56" s="510">
        <f ca="1">IF(AY$3=0,-Inputs!$D$318,CF!AY$130*AY7*$B$52)</f>
        <v>0</v>
      </c>
      <c r="AZ56" s="510">
        <f ca="1">IF(AZ$3=0,-Inputs!$D$318,CF!AZ$130*AZ7*$B$52)</f>
        <v>0</v>
      </c>
      <c r="BA56" s="510">
        <f ca="1">IF(BA$3=0,-Inputs!$D$318,CF!BA$130*BA7*$B$52)</f>
        <v>0</v>
      </c>
      <c r="BB56" s="510">
        <f ca="1">IF(BB$3=0,-Inputs!$D$318,CF!BB$130*BB7*$B$52)</f>
        <v>0</v>
      </c>
      <c r="BC56" s="510">
        <f ca="1">IF(BC$3=0,-Inputs!$D$318,CF!BC$130*BC7*$B$52)</f>
        <v>0</v>
      </c>
      <c r="BD56" s="510">
        <f ca="1">IF(BD$3=0,-Inputs!$D$318,CF!BD$130*BD7*$B$52)</f>
        <v>0</v>
      </c>
      <c r="BE56" s="510">
        <f ca="1">IF(BE$3=0,-Inputs!$D$318,CF!BE$130*BE7*$B$52)</f>
        <v>0</v>
      </c>
      <c r="BF56" s="510">
        <f ca="1">IF(BF$3=0,-Inputs!$D$318,CF!BF$130*BF7*$B$52)</f>
        <v>0</v>
      </c>
      <c r="BG56" s="510">
        <f ca="1">IF(BG$3=0,-Inputs!$D$318,CF!BG$130*BG7*$B$52)</f>
        <v>0</v>
      </c>
      <c r="BH56" s="510">
        <f ca="1">IF(BH$3=0,-Inputs!$D$318,CF!BH$130*BH7*$B$52)</f>
        <v>0</v>
      </c>
      <c r="BI56" s="510">
        <f ca="1">IF(BI$3=0,-Inputs!$D$318,CF!BI$130*BI7*$B$52)</f>
        <v>0</v>
      </c>
      <c r="BJ56" s="510">
        <f ca="1">IF(BJ$3=0,-Inputs!$D$318,CF!BJ$130*BJ7*$B$52)</f>
        <v>0</v>
      </c>
      <c r="BK56" s="510">
        <f ca="1">IF(BK$3=0,-Inputs!$D$318,CF!BK$130*BK7*$B$52)</f>
        <v>0</v>
      </c>
      <c r="BL56" s="510">
        <f ca="1">IF(BL$3=0,-Inputs!$D$318,CF!BL$130*BL7*$B$52)</f>
        <v>0</v>
      </c>
      <c r="BM56" s="510">
        <f ca="1">IF(BM$3=0,-Inputs!$D$318,CF!BM$130*BM7*$B$52)</f>
        <v>0</v>
      </c>
      <c r="BN56" s="510">
        <f ca="1">IF(BN$3=0,-Inputs!$D$318,CF!BN$130*BN7*$B$52)</f>
        <v>0</v>
      </c>
      <c r="BO56" s="510">
        <f ca="1">IF(BO$3=0,-Inputs!$D$318,CF!BO$130*BO7*$B$52)</f>
        <v>0</v>
      </c>
      <c r="BP56" s="510">
        <f>IF(BP$3=0,-Inputs!$D$318,CF!BP$130*BP7*$B$52)</f>
        <v>0</v>
      </c>
      <c r="BQ56" s="510">
        <f>IF(BQ$3=0,-Inputs!$D$318,CF!BQ$130*BQ7*$B$52)</f>
        <v>0</v>
      </c>
      <c r="BR56" s="510">
        <f>IF(BR$3=0,-Inputs!$D$318,CF!BR$130*BR7*$B$52)</f>
        <v>0</v>
      </c>
      <c r="BS56" s="510">
        <f>IF(BS$3=0,-Inputs!$D$318,CF!BS$130*BS7*$B$52)</f>
        <v>0</v>
      </c>
      <c r="BT56" s="510">
        <f>IF(BT$3=0,-Inputs!$D$318,CF!BT$130*BT7*$B$52)</f>
        <v>0</v>
      </c>
      <c r="BU56" s="510">
        <f>IF(BU$3=0,-Inputs!$D$318,CF!BU$130*BU7*$B$52)</f>
        <v>0</v>
      </c>
      <c r="BV56" s="510">
        <f>IF(BV$3=0,-Inputs!$D$318,CF!BV$130*BV7*$B$52)</f>
        <v>0</v>
      </c>
      <c r="BW56" s="510">
        <f>IF(BW$3=0,-Inputs!$D$318,CF!BW$130*BW7*$B$52)</f>
        <v>0</v>
      </c>
      <c r="BX56" s="510">
        <f>IF(BX$3=0,-Inputs!$D$318,CF!BX$130*BX7*$B$52)</f>
        <v>0</v>
      </c>
      <c r="BY56" s="510">
        <f>IF(BY$3=0,-Inputs!$D$318,CF!BY$130*BY7*$B$52)</f>
        <v>0</v>
      </c>
      <c r="BZ56" s="510">
        <f>IF(BZ$3=0,-Inputs!$D$318,CF!BZ$130*BZ7*$B$52)</f>
        <v>0</v>
      </c>
      <c r="CA56" s="510">
        <f>IF(CA$3=0,-Inputs!$D$318,CF!CA$130*CA7*$B$52)</f>
        <v>0</v>
      </c>
      <c r="CB56" s="510">
        <f>IF(CB$3=0,-Inputs!$D$318,CF!CB$130*CB7*$B$52)</f>
        <v>0</v>
      </c>
      <c r="CC56" s="510">
        <f>IF(CC$3=0,-Inputs!$D$318,CF!CC$130*CC7*$B$52)</f>
        <v>0</v>
      </c>
      <c r="CD56" s="510">
        <f>IF(CD$3=0,-Inputs!$D$318,CF!CD$130*CD7*$B$52)</f>
        <v>0</v>
      </c>
      <c r="CE56" s="510">
        <f>IF(CE$3=0,-Inputs!$D$318,CF!CE$130*CE7*$B$52)</f>
        <v>0</v>
      </c>
      <c r="CF56" s="510">
        <f>IF(CF$3=0,-Inputs!$D$318,CF!CF$130*CF7*$B$52)</f>
        <v>0</v>
      </c>
      <c r="CG56" s="510">
        <f>IF(CG$3=0,-Inputs!$D$318,CF!CG$130*CG7*$B$52)</f>
        <v>0</v>
      </c>
      <c r="CH56" s="510">
        <f>IF(CH$3=0,-Inputs!$D$318,CF!CH$130*CH7*$B$52)</f>
        <v>0</v>
      </c>
      <c r="CI56" s="510">
        <f>IF(CI$3=0,-Inputs!$D$318,CF!CI$130*CI7*$B$52)</f>
        <v>0</v>
      </c>
      <c r="CJ56" s="510">
        <f>IF(CJ$3=0,-Inputs!$D$318,CF!CJ$130*CJ7*$B$52)</f>
        <v>0</v>
      </c>
      <c r="CK56" s="510">
        <f>IF(CK$3=0,-Inputs!$D$318,CF!CK$130*CK7*$B$52)</f>
        <v>0</v>
      </c>
      <c r="CL56" s="510">
        <f>IF(CL$3=0,-Inputs!$D$318,CF!CL$130*CL7*$B$52)</f>
        <v>0</v>
      </c>
      <c r="CM56" s="510">
        <f>IF(CM$3=0,-Inputs!$D$318,CF!CM$130*CM7*$B$52)</f>
        <v>0</v>
      </c>
      <c r="CN56" s="510">
        <f>IF(CN$3=0,-Inputs!$D$318,CF!CN$130*CN7*$B$52)</f>
        <v>0</v>
      </c>
      <c r="CO56" s="510">
        <f>IF(CO$3=0,-Inputs!$D$318,CF!CO$130*CO7*$B$52)</f>
        <v>0</v>
      </c>
      <c r="CP56" s="510">
        <f>IF(CP$3=0,-Inputs!$D$318,CF!CP$130*CP7*$B$52)</f>
        <v>0</v>
      </c>
      <c r="CQ56" s="510">
        <f>IF(CQ$3=0,-Inputs!$D$318,CF!CQ$130*CQ7*$B$52)</f>
        <v>0</v>
      </c>
      <c r="CR56" s="510">
        <f>IF(CR$3=0,-Inputs!$D$318,CF!CR$130*CR7*$B$52)</f>
        <v>0</v>
      </c>
      <c r="CS56" s="510">
        <f>IF(CS$3=0,-Inputs!$D$318,CF!CS$130*CS7*$B$52)</f>
        <v>0</v>
      </c>
      <c r="CT56" s="510">
        <f>IF(CT$3=0,-Inputs!$D$318,CF!CT$130*CT7*$B$52)</f>
        <v>0</v>
      </c>
      <c r="CU56" s="510">
        <f>IF(CU$3=0,-Inputs!$D$318,CF!CU$130*CU7*$B$52)</f>
        <v>0</v>
      </c>
      <c r="CV56" s="510">
        <f>IF(CV$3=0,-Inputs!$D$318,CF!CV$130*CV7*$B$52)</f>
        <v>0</v>
      </c>
      <c r="CW56" s="510">
        <f>IF(CW$3=0,-Inputs!$D$318,CF!CW$130*CW7*$B$52)</f>
        <v>0</v>
      </c>
      <c r="CX56" s="510">
        <f>IF(CX$3=0,-Inputs!$D$318,CF!CX$130*CX7*$B$52)</f>
        <v>0</v>
      </c>
      <c r="CY56" s="510">
        <f>IF(CY$3=0,-Inputs!$D$318,CF!CY$130*CY7*$B$52)</f>
        <v>0</v>
      </c>
      <c r="CZ56" s="510">
        <f>IF(CZ$3=0,-Inputs!$D$318,CF!CZ$130*CZ7*$B$52)</f>
        <v>0</v>
      </c>
      <c r="DA56" s="510">
        <f>IF(DA$3=0,-Inputs!$D$318,CF!DA$130*DA7*$B$52)</f>
        <v>0</v>
      </c>
      <c r="DB56" s="510">
        <f>IF(DB$3=0,-Inputs!$D$318,CF!DB$130*DB7*$B$52)</f>
        <v>0</v>
      </c>
      <c r="DC56" s="510">
        <f>IF(DC$3=0,-Inputs!$D$318,CF!DC$130*DC7*$B$52)</f>
        <v>0</v>
      </c>
      <c r="DD56" s="510">
        <f>IF(DD$3=0,-Inputs!$D$318,CF!DD$130*DD7*$B$52)</f>
        <v>0</v>
      </c>
      <c r="DE56" s="510">
        <f>IF(DE$3=0,-Inputs!$D$318,CF!DE$130*DE7*$B$52)</f>
        <v>0</v>
      </c>
      <c r="DF56" s="510">
        <f>IF(DF$3=0,-Inputs!$D$318,CF!DF$130*DF7*$B$52)</f>
        <v>0</v>
      </c>
      <c r="DG56" s="510">
        <f>IF(DG$3=0,-Inputs!$D$318,CF!DG$130*DG7*$B$52)</f>
        <v>0</v>
      </c>
      <c r="DH56" s="510">
        <f>IF(DH$3=0,-Inputs!$D$318,CF!DH$130*DH7*$B$52)</f>
        <v>0</v>
      </c>
      <c r="DI56" s="510">
        <f>IF(DI$3=0,-Inputs!$D$318,CF!DI$130*DI7*$B$52)</f>
        <v>0</v>
      </c>
      <c r="DJ56" s="510">
        <f>IF(DJ$3=0,-Inputs!$D$318,CF!DJ$130*DJ7*$B$52)</f>
        <v>0</v>
      </c>
      <c r="DK56" s="510">
        <f>IF(DK$3=0,-Inputs!$D$318,CF!DK$130*DK7*$B$52)</f>
        <v>0</v>
      </c>
      <c r="DL56" s="510">
        <f>IF(DL$3=0,-Inputs!$D$318,CF!DL$130*DL7*$B$52)</f>
        <v>0</v>
      </c>
      <c r="DM56" s="510">
        <f>IF(DM$3=0,-Inputs!$D$318,CF!DM$130*DM7*$B$52)</f>
        <v>0</v>
      </c>
      <c r="DN56" s="510">
        <f>IF(DN$3=0,-Inputs!$D$318,CF!DN$130*DN7*$B$52)</f>
        <v>0</v>
      </c>
      <c r="DO56" s="510">
        <f>IF(DO$3=0,-Inputs!$D$318,CF!DO$130*DO7*$B$52)</f>
        <v>0</v>
      </c>
      <c r="DP56" s="510">
        <f>IF(DP$3=0,-Inputs!$D$318,CF!DP$130*DP7*$B$52)</f>
        <v>0</v>
      </c>
      <c r="DQ56" s="510">
        <f>IF(DQ$3=0,-Inputs!$D$318,CF!DQ$130*DQ7*$B$52)</f>
        <v>0</v>
      </c>
      <c r="DR56" s="510">
        <f>IF(DR$3=0,-Inputs!$D$318,CF!DR$130*DR7*$B$52)</f>
        <v>0</v>
      </c>
      <c r="DS56" s="510">
        <f>IF(DS$3=0,-Inputs!$D$318,CF!DS$130*DS7*$B$52)</f>
        <v>0</v>
      </c>
      <c r="DT56" s="510">
        <f>IF(DT$3=0,-Inputs!$D$318,CF!DT$130*DT7*$B$52)</f>
        <v>0</v>
      </c>
      <c r="DU56" s="510">
        <f>IF(DU$3=0,-Inputs!$D$318,CF!DU$130*DU7*$B$52)</f>
        <v>0</v>
      </c>
      <c r="DV56" s="510">
        <f>IF(DV$3=0,-Inputs!$D$318,CF!DV$130*DV7*$B$52)</f>
        <v>0</v>
      </c>
      <c r="DW56" s="510">
        <f>IF(DW$3=0,-Inputs!$D$318,CF!DW$130*DW7*$B$52)</f>
        <v>0</v>
      </c>
    </row>
    <row r="57" spans="1:127">
      <c r="A57" s="1020" t="s">
        <v>1164</v>
      </c>
      <c r="B57" s="1151">
        <f>Inputs!D428</f>
        <v>0</v>
      </c>
      <c r="C57" s="971"/>
      <c r="D57" s="471"/>
      <c r="E57" s="471"/>
      <c r="F57" s="611"/>
      <c r="G57" s="510">
        <f ca="1">IF(G$3=0,-$B$56,G14*G7*$B$52*(1-$B$57))</f>
        <v>0</v>
      </c>
      <c r="H57" s="510">
        <f t="shared" ref="H57:BS57" ca="1" si="34">IF(H$3=0,-$B$56,H14*H7*$B$52*(1-$B$57))</f>
        <v>0</v>
      </c>
      <c r="I57" s="510">
        <f t="shared" ca="1" si="34"/>
        <v>0</v>
      </c>
      <c r="J57" s="510">
        <f t="shared" ca="1" si="34"/>
        <v>0</v>
      </c>
      <c r="K57" s="510">
        <f t="shared" ca="1" si="34"/>
        <v>0</v>
      </c>
      <c r="L57" s="510">
        <f t="shared" ca="1" si="34"/>
        <v>0</v>
      </c>
      <c r="M57" s="510">
        <f t="shared" ca="1" si="34"/>
        <v>0</v>
      </c>
      <c r="N57" s="510">
        <f t="shared" ca="1" si="34"/>
        <v>0</v>
      </c>
      <c r="O57" s="510">
        <f t="shared" ca="1" si="34"/>
        <v>0</v>
      </c>
      <c r="P57" s="510">
        <f t="shared" ca="1" si="34"/>
        <v>0</v>
      </c>
      <c r="Q57" s="510">
        <f t="shared" ca="1" si="34"/>
        <v>0</v>
      </c>
      <c r="R57" s="510">
        <f t="shared" ca="1" si="34"/>
        <v>0</v>
      </c>
      <c r="S57" s="510">
        <f t="shared" ca="1" si="34"/>
        <v>0</v>
      </c>
      <c r="T57" s="510">
        <f t="shared" ca="1" si="34"/>
        <v>0</v>
      </c>
      <c r="U57" s="510">
        <f t="shared" ca="1" si="34"/>
        <v>0</v>
      </c>
      <c r="V57" s="510">
        <f t="shared" ca="1" si="34"/>
        <v>0</v>
      </c>
      <c r="W57" s="510">
        <f t="shared" ca="1" si="34"/>
        <v>0</v>
      </c>
      <c r="X57" s="510">
        <f t="shared" ca="1" si="34"/>
        <v>0</v>
      </c>
      <c r="Y57" s="510">
        <f t="shared" ca="1" si="34"/>
        <v>0</v>
      </c>
      <c r="Z57" s="510">
        <f t="shared" ca="1" si="34"/>
        <v>0</v>
      </c>
      <c r="AA57" s="510">
        <f t="shared" ca="1" si="34"/>
        <v>0</v>
      </c>
      <c r="AB57" s="510">
        <f t="shared" ca="1" si="34"/>
        <v>0</v>
      </c>
      <c r="AC57" s="510">
        <f t="shared" ca="1" si="34"/>
        <v>0</v>
      </c>
      <c r="AD57" s="510">
        <f t="shared" ca="1" si="34"/>
        <v>0</v>
      </c>
      <c r="AE57" s="510">
        <f t="shared" ca="1" si="34"/>
        <v>0</v>
      </c>
      <c r="AF57" s="510">
        <f t="shared" ca="1" si="34"/>
        <v>0</v>
      </c>
      <c r="AG57" s="510">
        <f t="shared" ca="1" si="34"/>
        <v>0</v>
      </c>
      <c r="AH57" s="510">
        <f t="shared" ca="1" si="34"/>
        <v>0</v>
      </c>
      <c r="AI57" s="510">
        <f t="shared" ca="1" si="34"/>
        <v>0</v>
      </c>
      <c r="AJ57" s="510">
        <f t="shared" ca="1" si="34"/>
        <v>0</v>
      </c>
      <c r="AK57" s="510">
        <f t="shared" ca="1" si="34"/>
        <v>0</v>
      </c>
      <c r="AL57" s="510">
        <f t="shared" ca="1" si="34"/>
        <v>0</v>
      </c>
      <c r="AM57" s="510">
        <f t="shared" ca="1" si="34"/>
        <v>0</v>
      </c>
      <c r="AN57" s="510">
        <f t="shared" ca="1" si="34"/>
        <v>0</v>
      </c>
      <c r="AO57" s="510">
        <f t="shared" ca="1" si="34"/>
        <v>0</v>
      </c>
      <c r="AP57" s="510">
        <f t="shared" ca="1" si="34"/>
        <v>0</v>
      </c>
      <c r="AQ57" s="510">
        <f t="shared" ca="1" si="34"/>
        <v>0</v>
      </c>
      <c r="AR57" s="510">
        <f t="shared" ca="1" si="34"/>
        <v>0</v>
      </c>
      <c r="AS57" s="510">
        <f t="shared" ca="1" si="34"/>
        <v>0</v>
      </c>
      <c r="AT57" s="510">
        <f t="shared" ca="1" si="34"/>
        <v>0</v>
      </c>
      <c r="AU57" s="510">
        <f t="shared" ca="1" si="34"/>
        <v>0</v>
      </c>
      <c r="AV57" s="510">
        <f t="shared" ca="1" si="34"/>
        <v>0</v>
      </c>
      <c r="AW57" s="510">
        <f t="shared" ca="1" si="34"/>
        <v>0</v>
      </c>
      <c r="AX57" s="510">
        <f t="shared" ca="1" si="34"/>
        <v>0</v>
      </c>
      <c r="AY57" s="510">
        <f t="shared" ca="1" si="34"/>
        <v>0</v>
      </c>
      <c r="AZ57" s="510">
        <f t="shared" ca="1" si="34"/>
        <v>0</v>
      </c>
      <c r="BA57" s="510">
        <f t="shared" ca="1" si="34"/>
        <v>0</v>
      </c>
      <c r="BB57" s="510">
        <f t="shared" ca="1" si="34"/>
        <v>0</v>
      </c>
      <c r="BC57" s="510">
        <f t="shared" ca="1" si="34"/>
        <v>0</v>
      </c>
      <c r="BD57" s="510">
        <f t="shared" ca="1" si="34"/>
        <v>0</v>
      </c>
      <c r="BE57" s="510">
        <f t="shared" ca="1" si="34"/>
        <v>0</v>
      </c>
      <c r="BF57" s="510">
        <f t="shared" ca="1" si="34"/>
        <v>0</v>
      </c>
      <c r="BG57" s="510">
        <f t="shared" ca="1" si="34"/>
        <v>0</v>
      </c>
      <c r="BH57" s="510">
        <f t="shared" ca="1" si="34"/>
        <v>0</v>
      </c>
      <c r="BI57" s="510">
        <f t="shared" ca="1" si="34"/>
        <v>0</v>
      </c>
      <c r="BJ57" s="510">
        <f t="shared" ca="1" si="34"/>
        <v>0</v>
      </c>
      <c r="BK57" s="510">
        <f t="shared" ca="1" si="34"/>
        <v>0</v>
      </c>
      <c r="BL57" s="510">
        <f t="shared" ca="1" si="34"/>
        <v>0</v>
      </c>
      <c r="BM57" s="510">
        <f t="shared" ca="1" si="34"/>
        <v>0</v>
      </c>
      <c r="BN57" s="510">
        <f t="shared" ca="1" si="34"/>
        <v>0</v>
      </c>
      <c r="BO57" s="510">
        <f t="shared" ca="1" si="34"/>
        <v>0</v>
      </c>
      <c r="BP57" s="510">
        <f t="shared" si="34"/>
        <v>0</v>
      </c>
      <c r="BQ57" s="510">
        <f t="shared" si="34"/>
        <v>0</v>
      </c>
      <c r="BR57" s="510">
        <f t="shared" si="34"/>
        <v>0</v>
      </c>
      <c r="BS57" s="510">
        <f t="shared" si="34"/>
        <v>0</v>
      </c>
      <c r="BT57" s="510">
        <f t="shared" ref="BT57:DW57" si="35">IF(BT$3=0,-$B$56,BT14*BT7*$B$52*(1-$B$57))</f>
        <v>0</v>
      </c>
      <c r="BU57" s="510">
        <f t="shared" si="35"/>
        <v>0</v>
      </c>
      <c r="BV57" s="510">
        <f t="shared" si="35"/>
        <v>0</v>
      </c>
      <c r="BW57" s="510">
        <f t="shared" si="35"/>
        <v>0</v>
      </c>
      <c r="BX57" s="510">
        <f t="shared" si="35"/>
        <v>0</v>
      </c>
      <c r="BY57" s="510">
        <f t="shared" si="35"/>
        <v>0</v>
      </c>
      <c r="BZ57" s="510">
        <f t="shared" si="35"/>
        <v>0</v>
      </c>
      <c r="CA57" s="510">
        <f t="shared" si="35"/>
        <v>0</v>
      </c>
      <c r="CB57" s="510">
        <f t="shared" si="35"/>
        <v>0</v>
      </c>
      <c r="CC57" s="510">
        <f t="shared" si="35"/>
        <v>0</v>
      </c>
      <c r="CD57" s="510">
        <f t="shared" si="35"/>
        <v>0</v>
      </c>
      <c r="CE57" s="510">
        <f t="shared" si="35"/>
        <v>0</v>
      </c>
      <c r="CF57" s="510">
        <f t="shared" si="35"/>
        <v>0</v>
      </c>
      <c r="CG57" s="510">
        <f t="shared" si="35"/>
        <v>0</v>
      </c>
      <c r="CH57" s="510">
        <f t="shared" si="35"/>
        <v>0</v>
      </c>
      <c r="CI57" s="510">
        <f t="shared" si="35"/>
        <v>0</v>
      </c>
      <c r="CJ57" s="510">
        <f t="shared" si="35"/>
        <v>0</v>
      </c>
      <c r="CK57" s="510">
        <f t="shared" si="35"/>
        <v>0</v>
      </c>
      <c r="CL57" s="510">
        <f t="shared" si="35"/>
        <v>0</v>
      </c>
      <c r="CM57" s="510">
        <f t="shared" si="35"/>
        <v>0</v>
      </c>
      <c r="CN57" s="510">
        <f t="shared" si="35"/>
        <v>0</v>
      </c>
      <c r="CO57" s="510">
        <f t="shared" si="35"/>
        <v>0</v>
      </c>
      <c r="CP57" s="510">
        <f t="shared" si="35"/>
        <v>0</v>
      </c>
      <c r="CQ57" s="510">
        <f t="shared" si="35"/>
        <v>0</v>
      </c>
      <c r="CR57" s="510">
        <f t="shared" si="35"/>
        <v>0</v>
      </c>
      <c r="CS57" s="510">
        <f t="shared" si="35"/>
        <v>0</v>
      </c>
      <c r="CT57" s="510">
        <f t="shared" si="35"/>
        <v>0</v>
      </c>
      <c r="CU57" s="510">
        <f t="shared" si="35"/>
        <v>0</v>
      </c>
      <c r="CV57" s="510">
        <f t="shared" si="35"/>
        <v>0</v>
      </c>
      <c r="CW57" s="510">
        <f t="shared" si="35"/>
        <v>0</v>
      </c>
      <c r="CX57" s="510">
        <f t="shared" si="35"/>
        <v>0</v>
      </c>
      <c r="CY57" s="510">
        <f t="shared" si="35"/>
        <v>0</v>
      </c>
      <c r="CZ57" s="510">
        <f t="shared" si="35"/>
        <v>0</v>
      </c>
      <c r="DA57" s="510">
        <f t="shared" si="35"/>
        <v>0</v>
      </c>
      <c r="DB57" s="510">
        <f t="shared" si="35"/>
        <v>0</v>
      </c>
      <c r="DC57" s="510">
        <f t="shared" si="35"/>
        <v>0</v>
      </c>
      <c r="DD57" s="510">
        <f t="shared" si="35"/>
        <v>0</v>
      </c>
      <c r="DE57" s="510">
        <f t="shared" si="35"/>
        <v>0</v>
      </c>
      <c r="DF57" s="510">
        <f t="shared" si="35"/>
        <v>0</v>
      </c>
      <c r="DG57" s="510">
        <f t="shared" si="35"/>
        <v>0</v>
      </c>
      <c r="DH57" s="510">
        <f t="shared" si="35"/>
        <v>0</v>
      </c>
      <c r="DI57" s="510">
        <f t="shared" si="35"/>
        <v>0</v>
      </c>
      <c r="DJ57" s="510">
        <f t="shared" si="35"/>
        <v>0</v>
      </c>
      <c r="DK57" s="510">
        <f t="shared" si="35"/>
        <v>0</v>
      </c>
      <c r="DL57" s="510">
        <f t="shared" si="35"/>
        <v>0</v>
      </c>
      <c r="DM57" s="510">
        <f t="shared" si="35"/>
        <v>0</v>
      </c>
      <c r="DN57" s="510">
        <f t="shared" si="35"/>
        <v>0</v>
      </c>
      <c r="DO57" s="510">
        <f t="shared" si="35"/>
        <v>0</v>
      </c>
      <c r="DP57" s="510">
        <f t="shared" si="35"/>
        <v>0</v>
      </c>
      <c r="DQ57" s="510">
        <f t="shared" si="35"/>
        <v>0</v>
      </c>
      <c r="DR57" s="510">
        <f t="shared" si="35"/>
        <v>0</v>
      </c>
      <c r="DS57" s="510">
        <f t="shared" si="35"/>
        <v>0</v>
      </c>
      <c r="DT57" s="510">
        <f t="shared" si="35"/>
        <v>0</v>
      </c>
      <c r="DU57" s="510">
        <f t="shared" si="35"/>
        <v>0</v>
      </c>
      <c r="DV57" s="510">
        <f t="shared" si="35"/>
        <v>0</v>
      </c>
      <c r="DW57" s="510">
        <f t="shared" si="35"/>
        <v>0</v>
      </c>
    </row>
    <row r="58" spans="1:127">
      <c r="A58" s="344" t="str">
        <f>"Total "&amp;Inputs!$A$318</f>
        <v>Total Investor 2</v>
      </c>
      <c r="B58" s="971"/>
      <c r="C58" s="971"/>
      <c r="D58" s="476"/>
      <c r="E58" s="476"/>
      <c r="F58" s="518"/>
      <c r="G58" s="513">
        <f t="shared" ref="G58:AL58" ca="1" si="36">G53+G54+G56</f>
        <v>0</v>
      </c>
      <c r="H58" s="513">
        <f t="shared" ca="1" si="36"/>
        <v>0</v>
      </c>
      <c r="I58" s="513">
        <f t="shared" ca="1" si="36"/>
        <v>0</v>
      </c>
      <c r="J58" s="513">
        <f t="shared" ca="1" si="36"/>
        <v>0</v>
      </c>
      <c r="K58" s="513">
        <f t="shared" ca="1" si="36"/>
        <v>0</v>
      </c>
      <c r="L58" s="513">
        <f t="shared" ca="1" si="36"/>
        <v>0</v>
      </c>
      <c r="M58" s="513">
        <f t="shared" ca="1" si="36"/>
        <v>0</v>
      </c>
      <c r="N58" s="513">
        <f t="shared" ca="1" si="36"/>
        <v>0</v>
      </c>
      <c r="O58" s="513">
        <f t="shared" ca="1" si="36"/>
        <v>0</v>
      </c>
      <c r="P58" s="513">
        <f t="shared" ca="1" si="36"/>
        <v>0</v>
      </c>
      <c r="Q58" s="513">
        <f t="shared" ca="1" si="36"/>
        <v>0</v>
      </c>
      <c r="R58" s="513">
        <f t="shared" ca="1" si="36"/>
        <v>0</v>
      </c>
      <c r="S58" s="513">
        <f t="shared" ca="1" si="36"/>
        <v>0</v>
      </c>
      <c r="T58" s="513">
        <f t="shared" ca="1" si="36"/>
        <v>0</v>
      </c>
      <c r="U58" s="513">
        <f t="shared" ca="1" si="36"/>
        <v>0</v>
      </c>
      <c r="V58" s="513">
        <f t="shared" ca="1" si="36"/>
        <v>0</v>
      </c>
      <c r="W58" s="513">
        <f t="shared" ca="1" si="36"/>
        <v>0</v>
      </c>
      <c r="X58" s="513">
        <f t="shared" ca="1" si="36"/>
        <v>0</v>
      </c>
      <c r="Y58" s="513">
        <f t="shared" ca="1" si="36"/>
        <v>0</v>
      </c>
      <c r="Z58" s="513">
        <f t="shared" ca="1" si="36"/>
        <v>0</v>
      </c>
      <c r="AA58" s="513">
        <f t="shared" ca="1" si="36"/>
        <v>0</v>
      </c>
      <c r="AB58" s="513">
        <f t="shared" ca="1" si="36"/>
        <v>0</v>
      </c>
      <c r="AC58" s="513">
        <f t="shared" ca="1" si="36"/>
        <v>0</v>
      </c>
      <c r="AD58" s="513">
        <f t="shared" ca="1" si="36"/>
        <v>0</v>
      </c>
      <c r="AE58" s="513">
        <f t="shared" ca="1" si="36"/>
        <v>0</v>
      </c>
      <c r="AF58" s="513">
        <f t="shared" ca="1" si="36"/>
        <v>0</v>
      </c>
      <c r="AG58" s="513">
        <f t="shared" ca="1" si="36"/>
        <v>0</v>
      </c>
      <c r="AH58" s="513">
        <f t="shared" ca="1" si="36"/>
        <v>0</v>
      </c>
      <c r="AI58" s="513">
        <f t="shared" ca="1" si="36"/>
        <v>0</v>
      </c>
      <c r="AJ58" s="513">
        <f t="shared" ca="1" si="36"/>
        <v>0</v>
      </c>
      <c r="AK58" s="513">
        <f t="shared" ca="1" si="36"/>
        <v>0</v>
      </c>
      <c r="AL58" s="513">
        <f t="shared" ca="1" si="36"/>
        <v>0</v>
      </c>
      <c r="AM58" s="513">
        <f t="shared" ref="AM58:BR58" ca="1" si="37">AM53+AM54+AM56</f>
        <v>0</v>
      </c>
      <c r="AN58" s="513">
        <f t="shared" ca="1" si="37"/>
        <v>0</v>
      </c>
      <c r="AO58" s="513">
        <f t="shared" ca="1" si="37"/>
        <v>0</v>
      </c>
      <c r="AP58" s="513">
        <f t="shared" ca="1" si="37"/>
        <v>0</v>
      </c>
      <c r="AQ58" s="513">
        <f t="shared" ca="1" si="37"/>
        <v>0</v>
      </c>
      <c r="AR58" s="513">
        <f t="shared" ca="1" si="37"/>
        <v>0</v>
      </c>
      <c r="AS58" s="513">
        <f t="shared" ca="1" si="37"/>
        <v>0</v>
      </c>
      <c r="AT58" s="513">
        <f t="shared" ca="1" si="37"/>
        <v>0</v>
      </c>
      <c r="AU58" s="513">
        <f t="shared" ca="1" si="37"/>
        <v>0</v>
      </c>
      <c r="AV58" s="513">
        <f t="shared" ca="1" si="37"/>
        <v>0</v>
      </c>
      <c r="AW58" s="513">
        <f t="shared" ca="1" si="37"/>
        <v>0</v>
      </c>
      <c r="AX58" s="513">
        <f t="shared" ca="1" si="37"/>
        <v>0</v>
      </c>
      <c r="AY58" s="513">
        <f t="shared" ca="1" si="37"/>
        <v>0</v>
      </c>
      <c r="AZ58" s="513">
        <f t="shared" ca="1" si="37"/>
        <v>0</v>
      </c>
      <c r="BA58" s="513">
        <f t="shared" ca="1" si="37"/>
        <v>0</v>
      </c>
      <c r="BB58" s="513">
        <f t="shared" ca="1" si="37"/>
        <v>0</v>
      </c>
      <c r="BC58" s="513">
        <f t="shared" ca="1" si="37"/>
        <v>0</v>
      </c>
      <c r="BD58" s="513">
        <f t="shared" ca="1" si="37"/>
        <v>0</v>
      </c>
      <c r="BE58" s="513">
        <f t="shared" ca="1" si="37"/>
        <v>0</v>
      </c>
      <c r="BF58" s="513">
        <f t="shared" ca="1" si="37"/>
        <v>0</v>
      </c>
      <c r="BG58" s="513">
        <f t="shared" ca="1" si="37"/>
        <v>0</v>
      </c>
      <c r="BH58" s="513">
        <f t="shared" ca="1" si="37"/>
        <v>0</v>
      </c>
      <c r="BI58" s="513">
        <f t="shared" ca="1" si="37"/>
        <v>0</v>
      </c>
      <c r="BJ58" s="513">
        <f t="shared" ca="1" si="37"/>
        <v>0</v>
      </c>
      <c r="BK58" s="513">
        <f t="shared" ca="1" si="37"/>
        <v>0</v>
      </c>
      <c r="BL58" s="513">
        <f t="shared" ca="1" si="37"/>
        <v>0</v>
      </c>
      <c r="BM58" s="513">
        <f t="shared" ca="1" si="37"/>
        <v>0</v>
      </c>
      <c r="BN58" s="513">
        <f t="shared" ca="1" si="37"/>
        <v>0</v>
      </c>
      <c r="BO58" s="513">
        <f t="shared" ca="1" si="37"/>
        <v>0</v>
      </c>
      <c r="BP58" s="513">
        <f t="shared" ca="1" si="37"/>
        <v>0</v>
      </c>
      <c r="BQ58" s="513">
        <f t="shared" ca="1" si="37"/>
        <v>0</v>
      </c>
      <c r="BR58" s="513">
        <f t="shared" ca="1" si="37"/>
        <v>0</v>
      </c>
      <c r="BS58" s="513">
        <f t="shared" ref="BS58:CX58" ca="1" si="38">BS53+BS54+BS56</f>
        <v>0</v>
      </c>
      <c r="BT58" s="513">
        <f t="shared" ca="1" si="38"/>
        <v>0</v>
      </c>
      <c r="BU58" s="513">
        <f t="shared" ca="1" si="38"/>
        <v>0</v>
      </c>
      <c r="BV58" s="513">
        <f t="shared" ca="1" si="38"/>
        <v>0</v>
      </c>
      <c r="BW58" s="513">
        <f t="shared" ca="1" si="38"/>
        <v>0</v>
      </c>
      <c r="BX58" s="513">
        <f t="shared" ca="1" si="38"/>
        <v>0</v>
      </c>
      <c r="BY58" s="513">
        <f t="shared" ca="1" si="38"/>
        <v>0</v>
      </c>
      <c r="BZ58" s="513">
        <f t="shared" ca="1" si="38"/>
        <v>0</v>
      </c>
      <c r="CA58" s="513">
        <f t="shared" ca="1" si="38"/>
        <v>0</v>
      </c>
      <c r="CB58" s="513">
        <f t="shared" ca="1" si="38"/>
        <v>0</v>
      </c>
      <c r="CC58" s="513">
        <f t="shared" ca="1" si="38"/>
        <v>0</v>
      </c>
      <c r="CD58" s="513">
        <f t="shared" ca="1" si="38"/>
        <v>0</v>
      </c>
      <c r="CE58" s="513">
        <f t="shared" ca="1" si="38"/>
        <v>0</v>
      </c>
      <c r="CF58" s="513">
        <f t="shared" ca="1" si="38"/>
        <v>0</v>
      </c>
      <c r="CG58" s="513">
        <f t="shared" ca="1" si="38"/>
        <v>0</v>
      </c>
      <c r="CH58" s="513">
        <f t="shared" ca="1" si="38"/>
        <v>0</v>
      </c>
      <c r="CI58" s="513">
        <f t="shared" ca="1" si="38"/>
        <v>0</v>
      </c>
      <c r="CJ58" s="513">
        <f t="shared" ca="1" si="38"/>
        <v>0</v>
      </c>
      <c r="CK58" s="513">
        <f t="shared" ca="1" si="38"/>
        <v>0</v>
      </c>
      <c r="CL58" s="513">
        <f t="shared" ca="1" si="38"/>
        <v>0</v>
      </c>
      <c r="CM58" s="513">
        <f t="shared" ca="1" si="38"/>
        <v>0</v>
      </c>
      <c r="CN58" s="513">
        <f t="shared" ca="1" si="38"/>
        <v>0</v>
      </c>
      <c r="CO58" s="513">
        <f t="shared" ca="1" si="38"/>
        <v>0</v>
      </c>
      <c r="CP58" s="513">
        <f t="shared" ca="1" si="38"/>
        <v>0</v>
      </c>
      <c r="CQ58" s="513">
        <f t="shared" ca="1" si="38"/>
        <v>0</v>
      </c>
      <c r="CR58" s="513">
        <f t="shared" ca="1" si="38"/>
        <v>0</v>
      </c>
      <c r="CS58" s="513">
        <f t="shared" ca="1" si="38"/>
        <v>0</v>
      </c>
      <c r="CT58" s="513">
        <f t="shared" ca="1" si="38"/>
        <v>0</v>
      </c>
      <c r="CU58" s="513">
        <f t="shared" ca="1" si="38"/>
        <v>0</v>
      </c>
      <c r="CV58" s="513">
        <f t="shared" ca="1" si="38"/>
        <v>0</v>
      </c>
      <c r="CW58" s="513">
        <f t="shared" ca="1" si="38"/>
        <v>0</v>
      </c>
      <c r="CX58" s="513">
        <f t="shared" ca="1" si="38"/>
        <v>0</v>
      </c>
      <c r="CY58" s="513">
        <f t="shared" ref="CY58:DW58" ca="1" si="39">CY53+CY54+CY56</f>
        <v>0</v>
      </c>
      <c r="CZ58" s="513">
        <f t="shared" ca="1" si="39"/>
        <v>0</v>
      </c>
      <c r="DA58" s="513">
        <f t="shared" ca="1" si="39"/>
        <v>0</v>
      </c>
      <c r="DB58" s="513">
        <f t="shared" ca="1" si="39"/>
        <v>0</v>
      </c>
      <c r="DC58" s="513">
        <f t="shared" ca="1" si="39"/>
        <v>0</v>
      </c>
      <c r="DD58" s="513">
        <f t="shared" ca="1" si="39"/>
        <v>0</v>
      </c>
      <c r="DE58" s="513">
        <f t="shared" ca="1" si="39"/>
        <v>0</v>
      </c>
      <c r="DF58" s="513">
        <f t="shared" ca="1" si="39"/>
        <v>0</v>
      </c>
      <c r="DG58" s="513">
        <f t="shared" ca="1" si="39"/>
        <v>0</v>
      </c>
      <c r="DH58" s="513">
        <f t="shared" ca="1" si="39"/>
        <v>0</v>
      </c>
      <c r="DI58" s="513">
        <f t="shared" ca="1" si="39"/>
        <v>0</v>
      </c>
      <c r="DJ58" s="513">
        <f t="shared" ca="1" si="39"/>
        <v>0</v>
      </c>
      <c r="DK58" s="513">
        <f t="shared" ca="1" si="39"/>
        <v>0</v>
      </c>
      <c r="DL58" s="513">
        <f t="shared" ca="1" si="39"/>
        <v>0</v>
      </c>
      <c r="DM58" s="513">
        <f t="shared" ca="1" si="39"/>
        <v>0</v>
      </c>
      <c r="DN58" s="513">
        <f t="shared" ca="1" si="39"/>
        <v>0</v>
      </c>
      <c r="DO58" s="513">
        <f t="shared" ca="1" si="39"/>
        <v>0</v>
      </c>
      <c r="DP58" s="513">
        <f t="shared" ca="1" si="39"/>
        <v>0</v>
      </c>
      <c r="DQ58" s="513">
        <f t="shared" ca="1" si="39"/>
        <v>0</v>
      </c>
      <c r="DR58" s="513">
        <f t="shared" ca="1" si="39"/>
        <v>0</v>
      </c>
      <c r="DS58" s="513">
        <f t="shared" ca="1" si="39"/>
        <v>0</v>
      </c>
      <c r="DT58" s="513">
        <f t="shared" ca="1" si="39"/>
        <v>0</v>
      </c>
      <c r="DU58" s="513">
        <f t="shared" ca="1" si="39"/>
        <v>0</v>
      </c>
      <c r="DV58" s="513">
        <f t="shared" ca="1" si="39"/>
        <v>0</v>
      </c>
      <c r="DW58" s="513">
        <f t="shared" ca="1" si="39"/>
        <v>0</v>
      </c>
    </row>
    <row r="59" spans="1:127">
      <c r="B59" s="971"/>
      <c r="C59" s="971"/>
      <c r="D59" s="471"/>
      <c r="E59" s="471"/>
    </row>
    <row r="60" spans="1:127">
      <c r="A60" s="861" t="str">
        <f>Inputs!$A$318&amp;" Distribution Flows"</f>
        <v>Investor 2 Distribution Flows</v>
      </c>
      <c r="B60" s="862"/>
      <c r="C60" s="862"/>
      <c r="D60" s="963"/>
      <c r="E60" s="864"/>
      <c r="F60" s="870"/>
      <c r="G60" s="638">
        <f>G$23</f>
        <v>47298</v>
      </c>
      <c r="H60" s="638">
        <f t="shared" ref="H60:BS60" si="40">H$23</f>
        <v>47849</v>
      </c>
      <c r="I60" s="638">
        <f t="shared" si="40"/>
        <v>48030</v>
      </c>
      <c r="J60" s="638">
        <f t="shared" si="40"/>
        <v>48214</v>
      </c>
      <c r="K60" s="638">
        <f t="shared" si="40"/>
        <v>48396</v>
      </c>
      <c r="L60" s="638">
        <f t="shared" si="40"/>
        <v>48580</v>
      </c>
      <c r="M60" s="638">
        <f t="shared" si="40"/>
        <v>48761</v>
      </c>
      <c r="N60" s="638">
        <f t="shared" si="40"/>
        <v>48945</v>
      </c>
      <c r="O60" s="638">
        <f t="shared" si="40"/>
        <v>49126</v>
      </c>
      <c r="P60" s="638">
        <f t="shared" si="40"/>
        <v>49310</v>
      </c>
      <c r="Q60" s="638">
        <f t="shared" si="40"/>
        <v>49491</v>
      </c>
      <c r="R60" s="638">
        <f t="shared" si="40"/>
        <v>49675</v>
      </c>
      <c r="S60" s="638">
        <f t="shared" si="40"/>
        <v>49857</v>
      </c>
      <c r="T60" s="638">
        <f t="shared" si="40"/>
        <v>50041</v>
      </c>
      <c r="U60" s="638">
        <f t="shared" si="40"/>
        <v>50222</v>
      </c>
      <c r="V60" s="638">
        <f t="shared" si="40"/>
        <v>50406</v>
      </c>
      <c r="W60" s="638">
        <f t="shared" si="40"/>
        <v>50587</v>
      </c>
      <c r="X60" s="638">
        <f t="shared" si="40"/>
        <v>50771</v>
      </c>
      <c r="Y60" s="638">
        <f t="shared" si="40"/>
        <v>50952</v>
      </c>
      <c r="Z60" s="638">
        <f t="shared" si="40"/>
        <v>51136</v>
      </c>
      <c r="AA60" s="638">
        <f t="shared" si="40"/>
        <v>51318</v>
      </c>
      <c r="AB60" s="638">
        <f t="shared" si="40"/>
        <v>51502</v>
      </c>
      <c r="AC60" s="638">
        <f t="shared" si="40"/>
        <v>51683</v>
      </c>
      <c r="AD60" s="638">
        <f t="shared" si="40"/>
        <v>51867</v>
      </c>
      <c r="AE60" s="638">
        <f t="shared" si="40"/>
        <v>52048</v>
      </c>
      <c r="AF60" s="638">
        <f t="shared" si="40"/>
        <v>52232</v>
      </c>
      <c r="AG60" s="638">
        <f t="shared" si="40"/>
        <v>52413</v>
      </c>
      <c r="AH60" s="638">
        <f t="shared" si="40"/>
        <v>52597</v>
      </c>
      <c r="AI60" s="638">
        <f t="shared" si="40"/>
        <v>52779</v>
      </c>
      <c r="AJ60" s="638">
        <f t="shared" si="40"/>
        <v>52963</v>
      </c>
      <c r="AK60" s="638">
        <f t="shared" si="40"/>
        <v>53144</v>
      </c>
      <c r="AL60" s="638">
        <f t="shared" si="40"/>
        <v>53328</v>
      </c>
      <c r="AM60" s="638">
        <f t="shared" si="40"/>
        <v>53509</v>
      </c>
      <c r="AN60" s="638">
        <f t="shared" si="40"/>
        <v>53693</v>
      </c>
      <c r="AO60" s="638">
        <f t="shared" si="40"/>
        <v>53874</v>
      </c>
      <c r="AP60" s="638">
        <f t="shared" si="40"/>
        <v>54058</v>
      </c>
      <c r="AQ60" s="638">
        <f t="shared" si="40"/>
        <v>54240</v>
      </c>
      <c r="AR60" s="638">
        <f t="shared" si="40"/>
        <v>54424</v>
      </c>
      <c r="AS60" s="638">
        <f t="shared" si="40"/>
        <v>54605</v>
      </c>
      <c r="AT60" s="638">
        <f t="shared" si="40"/>
        <v>54789</v>
      </c>
      <c r="AU60" s="638">
        <f t="shared" si="40"/>
        <v>54970</v>
      </c>
      <c r="AV60" s="638">
        <f t="shared" si="40"/>
        <v>55154</v>
      </c>
      <c r="AW60" s="638">
        <f t="shared" si="40"/>
        <v>55335</v>
      </c>
      <c r="AX60" s="638">
        <f t="shared" si="40"/>
        <v>55519</v>
      </c>
      <c r="AY60" s="638">
        <f t="shared" si="40"/>
        <v>55701</v>
      </c>
      <c r="AZ60" s="638">
        <f t="shared" si="40"/>
        <v>55885</v>
      </c>
      <c r="BA60" s="638">
        <f t="shared" si="40"/>
        <v>56066</v>
      </c>
      <c r="BB60" s="638">
        <f t="shared" si="40"/>
        <v>56250</v>
      </c>
      <c r="BC60" s="638">
        <f t="shared" si="40"/>
        <v>56431</v>
      </c>
      <c r="BD60" s="638">
        <f t="shared" si="40"/>
        <v>56615</v>
      </c>
      <c r="BE60" s="638">
        <f t="shared" si="40"/>
        <v>56796</v>
      </c>
      <c r="BF60" s="638">
        <f t="shared" si="40"/>
        <v>56980</v>
      </c>
      <c r="BG60" s="638">
        <f t="shared" si="40"/>
        <v>57162</v>
      </c>
      <c r="BH60" s="638">
        <f t="shared" si="40"/>
        <v>57346</v>
      </c>
      <c r="BI60" s="638">
        <f t="shared" si="40"/>
        <v>57527</v>
      </c>
      <c r="BJ60" s="638">
        <f t="shared" si="40"/>
        <v>57711</v>
      </c>
      <c r="BK60" s="638">
        <f t="shared" si="40"/>
        <v>57892</v>
      </c>
      <c r="BL60" s="638">
        <f t="shared" si="40"/>
        <v>58076</v>
      </c>
      <c r="BM60" s="638">
        <f t="shared" si="40"/>
        <v>58257</v>
      </c>
      <c r="BN60" s="638">
        <f t="shared" si="40"/>
        <v>58441</v>
      </c>
      <c r="BO60" s="638">
        <f t="shared" si="40"/>
        <v>58623</v>
      </c>
      <c r="BP60" s="638">
        <f t="shared" si="40"/>
        <v>58807</v>
      </c>
      <c r="BQ60" s="638">
        <f t="shared" si="40"/>
        <v>58988</v>
      </c>
      <c r="BR60" s="638">
        <f t="shared" si="40"/>
        <v>59172</v>
      </c>
      <c r="BS60" s="638">
        <f t="shared" si="40"/>
        <v>59353</v>
      </c>
      <c r="BT60" s="638">
        <f t="shared" ref="BT60:DW60" si="41">BT$23</f>
        <v>59537</v>
      </c>
      <c r="BU60" s="638">
        <f t="shared" si="41"/>
        <v>59718</v>
      </c>
      <c r="BV60" s="638">
        <f t="shared" si="41"/>
        <v>59902</v>
      </c>
      <c r="BW60" s="638">
        <f t="shared" si="41"/>
        <v>60084</v>
      </c>
      <c r="BX60" s="638">
        <f t="shared" si="41"/>
        <v>60268</v>
      </c>
      <c r="BY60" s="638">
        <f t="shared" si="41"/>
        <v>60449</v>
      </c>
      <c r="BZ60" s="638">
        <f t="shared" si="41"/>
        <v>60633</v>
      </c>
      <c r="CA60" s="638">
        <f t="shared" si="41"/>
        <v>60814</v>
      </c>
      <c r="CB60" s="638">
        <f t="shared" si="41"/>
        <v>60998</v>
      </c>
      <c r="CC60" s="638">
        <f t="shared" si="41"/>
        <v>61179</v>
      </c>
      <c r="CD60" s="638">
        <f t="shared" si="41"/>
        <v>61363</v>
      </c>
      <c r="CE60" s="638">
        <f t="shared" si="41"/>
        <v>61545</v>
      </c>
      <c r="CF60" s="638">
        <f t="shared" si="41"/>
        <v>61729</v>
      </c>
      <c r="CG60" s="638">
        <f t="shared" si="41"/>
        <v>61910</v>
      </c>
      <c r="CH60" s="638">
        <f t="shared" si="41"/>
        <v>62094</v>
      </c>
      <c r="CI60" s="638">
        <f t="shared" si="41"/>
        <v>62275</v>
      </c>
      <c r="CJ60" s="638">
        <f t="shared" si="41"/>
        <v>62459</v>
      </c>
      <c r="CK60" s="638">
        <f t="shared" si="41"/>
        <v>62640</v>
      </c>
      <c r="CL60" s="638">
        <f t="shared" si="41"/>
        <v>62824</v>
      </c>
      <c r="CM60" s="638">
        <f t="shared" si="41"/>
        <v>63006</v>
      </c>
      <c r="CN60" s="638">
        <f t="shared" si="41"/>
        <v>63190</v>
      </c>
      <c r="CO60" s="638">
        <f t="shared" si="41"/>
        <v>63371</v>
      </c>
      <c r="CP60" s="638">
        <f t="shared" si="41"/>
        <v>63555</v>
      </c>
      <c r="CQ60" s="638">
        <f t="shared" si="41"/>
        <v>63736</v>
      </c>
      <c r="CR60" s="638">
        <f t="shared" si="41"/>
        <v>63920</v>
      </c>
      <c r="CS60" s="638">
        <f t="shared" si="41"/>
        <v>64101</v>
      </c>
      <c r="CT60" s="638">
        <f t="shared" si="41"/>
        <v>64285</v>
      </c>
      <c r="CU60" s="638">
        <f t="shared" si="41"/>
        <v>64467</v>
      </c>
      <c r="CV60" s="638">
        <f t="shared" si="41"/>
        <v>64651</v>
      </c>
      <c r="CW60" s="638">
        <f t="shared" si="41"/>
        <v>64832</v>
      </c>
      <c r="CX60" s="638">
        <f t="shared" si="41"/>
        <v>65016</v>
      </c>
      <c r="CY60" s="638">
        <f t="shared" si="41"/>
        <v>65197</v>
      </c>
      <c r="CZ60" s="638">
        <f t="shared" si="41"/>
        <v>65381</v>
      </c>
      <c r="DA60" s="638">
        <f t="shared" si="41"/>
        <v>65562</v>
      </c>
      <c r="DB60" s="638">
        <f t="shared" si="41"/>
        <v>65746</v>
      </c>
      <c r="DC60" s="638">
        <f t="shared" si="41"/>
        <v>65928</v>
      </c>
      <c r="DD60" s="638">
        <f t="shared" si="41"/>
        <v>66112</v>
      </c>
      <c r="DE60" s="638">
        <f t="shared" si="41"/>
        <v>66293</v>
      </c>
      <c r="DF60" s="638">
        <f t="shared" si="41"/>
        <v>66477</v>
      </c>
      <c r="DG60" s="638">
        <f t="shared" si="41"/>
        <v>66658</v>
      </c>
      <c r="DH60" s="638">
        <f t="shared" si="41"/>
        <v>66842</v>
      </c>
      <c r="DI60" s="638">
        <f t="shared" si="41"/>
        <v>67023</v>
      </c>
      <c r="DJ60" s="638">
        <f t="shared" si="41"/>
        <v>67207</v>
      </c>
      <c r="DK60" s="638">
        <f t="shared" si="41"/>
        <v>67389</v>
      </c>
      <c r="DL60" s="638">
        <f t="shared" si="41"/>
        <v>67573</v>
      </c>
      <c r="DM60" s="638">
        <f t="shared" si="41"/>
        <v>67754</v>
      </c>
      <c r="DN60" s="638">
        <f t="shared" si="41"/>
        <v>67938</v>
      </c>
      <c r="DO60" s="638">
        <f t="shared" si="41"/>
        <v>68119</v>
      </c>
      <c r="DP60" s="638">
        <f t="shared" si="41"/>
        <v>68303</v>
      </c>
      <c r="DQ60" s="638">
        <f t="shared" si="41"/>
        <v>68484</v>
      </c>
      <c r="DR60" s="638">
        <f t="shared" si="41"/>
        <v>68668</v>
      </c>
      <c r="DS60" s="638">
        <f t="shared" si="41"/>
        <v>68850</v>
      </c>
      <c r="DT60" s="638">
        <f t="shared" si="41"/>
        <v>69034</v>
      </c>
      <c r="DU60" s="638">
        <f t="shared" si="41"/>
        <v>69215</v>
      </c>
      <c r="DV60" s="638">
        <f t="shared" si="41"/>
        <v>69399</v>
      </c>
      <c r="DW60" s="638">
        <f t="shared" si="41"/>
        <v>69580</v>
      </c>
    </row>
    <row r="61" spans="1:127">
      <c r="A61" s="1019" t="str">
        <f>A53</f>
        <v>SHL Principal</v>
      </c>
      <c r="B61" s="971"/>
      <c r="C61" s="971"/>
      <c r="D61" s="471"/>
      <c r="E61" s="471"/>
      <c r="F61" s="611"/>
      <c r="G61" s="510">
        <f ca="1">(G$60=$B$9)*G53+((G$60-G$52)/(H$52-G$52)*H53+(G$52-F$60)/(G$52-F$52)*G53)*(G$60&gt;$B$10)+IF(G$60=$B$10,SUM($F53:F53)-SUM($F61:F61)+G53+(G$60-G$52)/(H$52-G$52)*H53,0)</f>
        <v>0</v>
      </c>
      <c r="H61" s="510">
        <f ca="1">(H$60=$B$9)*H53+((H$60-H$52)/(I$52-H$52)*I53+(H$52-G$60)/(H$52-G$52)*H53)*(H$60&gt;$B$10)+IF(H$60=$B$10,SUM($F53:G53)-SUM($F61:G61)+H53+(H$60-H$52)/(I$52-H$52)*I53,0)</f>
        <v>0</v>
      </c>
      <c r="I61" s="510">
        <f ca="1">(I$60=$B$9)*I53+((I$60-I$52)/(J$52-I$52)*J53+(I$52-H$60)/(I$52-H$52)*I53)*(I$60&gt;$B$10)+IF(I$60=$B$10,SUM($F53:H53)-SUM($F61:H61)+I53+(I$60-I$52)/(J$52-I$52)*J53,0)</f>
        <v>0</v>
      </c>
      <c r="J61" s="510">
        <f ca="1">(J$60=$B$9)*J53+((J$60-J$52)/(K$52-J$52)*K53+(J$52-I$60)/(J$52-I$52)*J53)*(J$60&gt;$B$10)+IF(J$60=$B$10,SUM($F53:I53)-SUM($F61:I61)+J53+(J$60-J$52)/(K$52-J$52)*K53,0)</f>
        <v>0</v>
      </c>
      <c r="K61" s="510">
        <f ca="1">(K$60=$B$9)*K53+((K$60-K$52)/(L$52-K$52)*L53+(K$52-J$60)/(K$52-J$52)*K53)*(K$60&gt;$B$10)+IF(K$60=$B$10,SUM($F53:J53)-SUM($F61:J61)+K53+(K$60-K$52)/(L$52-K$52)*L53,0)</f>
        <v>0</v>
      </c>
      <c r="L61" s="510">
        <f ca="1">(L$60=$B$9)*L53+((L$60-L$52)/(M$52-L$52)*M53+(L$52-K$60)/(L$52-K$52)*L53)*(L$60&gt;$B$10)+IF(L$60=$B$10,SUM($F53:K53)-SUM($F61:K61)+L53+(L$60-L$52)/(M$52-L$52)*M53,0)</f>
        <v>0</v>
      </c>
      <c r="M61" s="510">
        <f ca="1">(M$60=$B$9)*M53+((M$60-M$52)/(N$52-M$52)*N53+(M$52-L$60)/(M$52-L$52)*M53)*(M$60&gt;$B$10)+IF(M$60=$B$10,SUM($F53:L53)-SUM($F61:L61)+M53+(M$60-M$52)/(N$52-M$52)*N53,0)</f>
        <v>0</v>
      </c>
      <c r="N61" s="510">
        <f ca="1">(N$60=$B$9)*N53+((N$60-N$52)/(O$52-N$52)*O53+(N$52-M$60)/(N$52-M$52)*N53)*(N$60&gt;$B$10)+IF(N$60=$B$10,SUM($F53:M53)-SUM($F61:M61)+N53+(N$60-N$52)/(O$52-N$52)*O53,0)</f>
        <v>0</v>
      </c>
      <c r="O61" s="510">
        <f ca="1">(O$60=$B$9)*O53+((O$60-O$52)/(P$52-O$52)*P53+(O$52-N$60)/(O$52-N$52)*O53)*(O$60&gt;$B$10)+IF(O$60=$B$10,SUM($F53:N53)-SUM($F61:N61)+O53+(O$60-O$52)/(P$52-O$52)*P53,0)</f>
        <v>0</v>
      </c>
      <c r="P61" s="510">
        <f ca="1">(P$60=$B$9)*P53+((P$60-P$52)/(Q$52-P$52)*Q53+(P$52-O$60)/(P$52-O$52)*P53)*(P$60&gt;$B$10)+IF(P$60=$B$10,SUM($F53:O53)-SUM($F61:O61)+P53+(P$60-P$52)/(Q$52-P$52)*Q53,0)</f>
        <v>0</v>
      </c>
      <c r="Q61" s="510">
        <f ca="1">(Q$60=$B$9)*Q53+((Q$60-Q$52)/(R$52-Q$52)*R53+(Q$52-P$60)/(Q$52-P$52)*Q53)*(Q$60&gt;$B$10)+IF(Q$60=$B$10,SUM($F53:P53)-SUM($F61:P61)+Q53+(Q$60-Q$52)/(R$52-Q$52)*R53,0)</f>
        <v>0</v>
      </c>
      <c r="R61" s="510">
        <f ca="1">(R$60=$B$9)*R53+((R$60-R$52)/(S$52-R$52)*S53+(R$52-Q$60)/(R$52-Q$52)*R53)*(R$60&gt;$B$10)+IF(R$60=$B$10,SUM($F53:Q53)-SUM($F61:Q61)+R53+(R$60-R$52)/(S$52-R$52)*S53,0)</f>
        <v>0</v>
      </c>
      <c r="S61" s="510">
        <f ca="1">(S$60=$B$9)*S53+((S$60-S$52)/(T$52-S$52)*T53+(S$52-R$60)/(S$52-R$52)*S53)*(S$60&gt;$B$10)+IF(S$60=$B$10,SUM($F53:R53)-SUM($F61:R61)+S53+(S$60-S$52)/(T$52-S$52)*T53,0)</f>
        <v>0</v>
      </c>
      <c r="T61" s="510">
        <f ca="1">(T$60=$B$9)*T53+((T$60-T$52)/(U$52-T$52)*U53+(T$52-S$60)/(T$52-S$52)*T53)*(T$60&gt;$B$10)+IF(T$60=$B$10,SUM($F53:S53)-SUM($F61:S61)+T53+(T$60-T$52)/(U$52-T$52)*U53,0)</f>
        <v>0</v>
      </c>
      <c r="U61" s="510">
        <f ca="1">(U$60=$B$9)*U53+((U$60-U$52)/(V$52-U$52)*V53+(U$52-T$60)/(U$52-T$52)*U53)*(U$60&gt;$B$10)+IF(U$60=$B$10,SUM($F53:T53)-SUM($F61:T61)+U53+(U$60-U$52)/(V$52-U$52)*V53,0)</f>
        <v>0</v>
      </c>
      <c r="V61" s="510">
        <f ca="1">(V$60=$B$9)*V53+((V$60-V$52)/(W$52-V$52)*W53+(V$52-U$60)/(V$52-U$52)*V53)*(V$60&gt;$B$10)+IF(V$60=$B$10,SUM($F53:U53)-SUM($F61:U61)+V53+(V$60-V$52)/(W$52-V$52)*W53,0)</f>
        <v>0</v>
      </c>
      <c r="W61" s="510">
        <f ca="1">(W$60=$B$9)*W53+((W$60-W$52)/(X$52-W$52)*X53+(W$52-V$60)/(W$52-V$52)*W53)*(W$60&gt;$B$10)+IF(W$60=$B$10,SUM($F53:V53)-SUM($F61:V61)+W53+(W$60-W$52)/(X$52-W$52)*X53,0)</f>
        <v>0</v>
      </c>
      <c r="X61" s="510">
        <f ca="1">(X$60=$B$9)*X53+((X$60-X$52)/(Y$52-X$52)*Y53+(X$52-W$60)/(X$52-W$52)*X53)*(X$60&gt;$B$10)+IF(X$60=$B$10,SUM($F53:W53)-SUM($F61:W61)+X53+(X$60-X$52)/(Y$52-X$52)*Y53,0)</f>
        <v>0</v>
      </c>
      <c r="Y61" s="510">
        <f ca="1">(Y$60=$B$9)*Y53+((Y$60-Y$52)/(Z$52-Y$52)*Z53+(Y$52-X$60)/(Y$52-X$52)*Y53)*(Y$60&gt;$B$10)+IF(Y$60=$B$10,SUM($F53:X53)-SUM($F61:X61)+Y53+(Y$60-Y$52)/(Z$52-Y$52)*Z53,0)</f>
        <v>0</v>
      </c>
      <c r="Z61" s="510">
        <f ca="1">(Z$60=$B$9)*Z53+((Z$60-Z$52)/(AA$52-Z$52)*AA53+(Z$52-Y$60)/(Z$52-Y$52)*Z53)*(Z$60&gt;$B$10)+IF(Z$60=$B$10,SUM($F53:Y53)-SUM($F61:Y61)+Z53+(Z$60-Z$52)/(AA$52-Z$52)*AA53,0)</f>
        <v>0</v>
      </c>
      <c r="AA61" s="510">
        <f ca="1">(AA$60=$B$9)*AA53+((AA$60-AA$52)/(AB$52-AA$52)*AB53+(AA$52-Z$60)/(AA$52-Z$52)*AA53)*(AA$60&gt;$B$10)+IF(AA$60=$B$10,SUM($F53:Z53)-SUM($F61:Z61)+AA53+(AA$60-AA$52)/(AB$52-AA$52)*AB53,0)</f>
        <v>0</v>
      </c>
      <c r="AB61" s="510">
        <f ca="1">(AB$60=$B$9)*AB53+((AB$60-AB$52)/(AC$52-AB$52)*AC53+(AB$52-AA$60)/(AB$52-AA$52)*AB53)*(AB$60&gt;$B$10)+IF(AB$60=$B$10,SUM($F53:AA53)-SUM($F61:AA61)+AB53+(AB$60-AB$52)/(AC$52-AB$52)*AC53,0)</f>
        <v>0</v>
      </c>
      <c r="AC61" s="510">
        <f ca="1">(AC$60=$B$9)*AC53+((AC$60-AC$52)/(AD$52-AC$52)*AD53+(AC$52-AB$60)/(AC$52-AB$52)*AC53)*(AC$60&gt;$B$10)+IF(AC$60=$B$10,SUM($F53:AB53)-SUM($F61:AB61)+AC53+(AC$60-AC$52)/(AD$52-AC$52)*AD53,0)</f>
        <v>0</v>
      </c>
      <c r="AD61" s="510">
        <f ca="1">(AD$60=$B$9)*AD53+((AD$60-AD$52)/(AE$52-AD$52)*AE53+(AD$52-AC$60)/(AD$52-AC$52)*AD53)*(AD$60&gt;$B$10)+IF(AD$60=$B$10,SUM($F53:AC53)-SUM($F61:AC61)+AD53+(AD$60-AD$52)/(AE$52-AD$52)*AE53,0)</f>
        <v>0</v>
      </c>
      <c r="AE61" s="510">
        <f ca="1">(AE$60=$B$9)*AE53+((AE$60-AE$52)/(AF$52-AE$52)*AF53+(AE$52-AD$60)/(AE$52-AD$52)*AE53)*(AE$60&gt;$B$10)+IF(AE$60=$B$10,SUM($F53:AD53)-SUM($F61:AD61)+AE53+(AE$60-AE$52)/(AF$52-AE$52)*AF53,0)</f>
        <v>0</v>
      </c>
      <c r="AF61" s="510">
        <f ca="1">(AF$60=$B$9)*AF53+((AF$60-AF$52)/(AG$52-AF$52)*AG53+(AF$52-AE$60)/(AF$52-AE$52)*AF53)*(AF$60&gt;$B$10)+IF(AF$60=$B$10,SUM($F53:AE53)-SUM($F61:AE61)+AF53+(AF$60-AF$52)/(AG$52-AF$52)*AG53,0)</f>
        <v>0</v>
      </c>
      <c r="AG61" s="510">
        <f ca="1">(AG$60=$B$9)*AG53+((AG$60-AG$52)/(AH$52-AG$52)*AH53+(AG$52-AF$60)/(AG$52-AF$52)*AG53)*(AG$60&gt;$B$10)+IF(AG$60=$B$10,SUM($F53:AF53)-SUM($F61:AF61)+AG53+(AG$60-AG$52)/(AH$52-AG$52)*AH53,0)</f>
        <v>0</v>
      </c>
      <c r="AH61" s="510">
        <f ca="1">(AH$60=$B$9)*AH53+((AH$60-AH$52)/(AI$52-AH$52)*AI53+(AH$52-AG$60)/(AH$52-AG$52)*AH53)*(AH$60&gt;$B$10)+IF(AH$60=$B$10,SUM($F53:AG53)-SUM($F61:AG61)+AH53+(AH$60-AH$52)/(AI$52-AH$52)*AI53,0)</f>
        <v>0</v>
      </c>
      <c r="AI61" s="510">
        <f ca="1">(AI$60=$B$9)*AI53+((AI$60-AI$52)/(AJ$52-AI$52)*AJ53+(AI$52-AH$60)/(AI$52-AH$52)*AI53)*(AI$60&gt;$B$10)+IF(AI$60=$B$10,SUM($F53:AH53)-SUM($F61:AH61)+AI53+(AI$60-AI$52)/(AJ$52-AI$52)*AJ53,0)</f>
        <v>0</v>
      </c>
      <c r="AJ61" s="510">
        <f ca="1">(AJ$60=$B$9)*AJ53+((AJ$60-AJ$52)/(AK$52-AJ$52)*AK53+(AJ$52-AI$60)/(AJ$52-AI$52)*AJ53)*(AJ$60&gt;$B$10)+IF(AJ$60=$B$10,SUM($F53:AI53)-SUM($F61:AI61)+AJ53+(AJ$60-AJ$52)/(AK$52-AJ$52)*AK53,0)</f>
        <v>0</v>
      </c>
      <c r="AK61" s="510">
        <f ca="1">(AK$60=$B$9)*AK53+((AK$60-AK$52)/(AL$52-AK$52)*AL53+(AK$52-AJ$60)/(AK$52-AJ$52)*AK53)*(AK$60&gt;$B$10)+IF(AK$60=$B$10,SUM($F53:AJ53)-SUM($F61:AJ61)+AK53+(AK$60-AK$52)/(AL$52-AK$52)*AL53,0)</f>
        <v>0</v>
      </c>
      <c r="AL61" s="510">
        <f ca="1">(AL$60=$B$9)*AL53+((AL$60-AL$52)/(AM$52-AL$52)*AM53+(AL$52-AK$60)/(AL$52-AK$52)*AL53)*(AL$60&gt;$B$10)+IF(AL$60=$B$10,SUM($F53:AK53)-SUM($F61:AK61)+AL53+(AL$60-AL$52)/(AM$52-AL$52)*AM53,0)</f>
        <v>0</v>
      </c>
      <c r="AM61" s="510">
        <f ca="1">(AM$60=$B$9)*AM53+((AM$60-AM$52)/(AN$52-AM$52)*AN53+(AM$52-AL$60)/(AM$52-AL$52)*AM53)*(AM$60&gt;$B$10)+IF(AM$60=$B$10,SUM($F53:AL53)-SUM($F61:AL61)+AM53+(AM$60-AM$52)/(AN$52-AM$52)*AN53,0)</f>
        <v>0</v>
      </c>
      <c r="AN61" s="510">
        <f ca="1">(AN$60=$B$9)*AN53+((AN$60-AN$52)/(AO$52-AN$52)*AO53+(AN$52-AM$60)/(AN$52-AM$52)*AN53)*(AN$60&gt;$B$10)+IF(AN$60=$B$10,SUM($F53:AM53)-SUM($F61:AM61)+AN53+(AN$60-AN$52)/(AO$52-AN$52)*AO53,0)</f>
        <v>0</v>
      </c>
      <c r="AO61" s="510">
        <f ca="1">(AO$60=$B$9)*AO53+((AO$60-AO$52)/(AP$52-AO$52)*AP53+(AO$52-AN$60)/(AO$52-AN$52)*AO53)*(AO$60&gt;$B$10)+IF(AO$60=$B$10,SUM($F53:AN53)-SUM($F61:AN61)+AO53+(AO$60-AO$52)/(AP$52-AO$52)*AP53,0)</f>
        <v>0</v>
      </c>
      <c r="AP61" s="510">
        <f ca="1">(AP$60=$B$9)*AP53+((AP$60-AP$52)/(AQ$52-AP$52)*AQ53+(AP$52-AO$60)/(AP$52-AO$52)*AP53)*(AP$60&gt;$B$10)+IF(AP$60=$B$10,SUM($F53:AO53)-SUM($F61:AO61)+AP53+(AP$60-AP$52)/(AQ$52-AP$52)*AQ53,0)</f>
        <v>0</v>
      </c>
      <c r="AQ61" s="510">
        <f ca="1">(AQ$60=$B$9)*AQ53+((AQ$60-AQ$52)/(AR$52-AQ$52)*AR53+(AQ$52-AP$60)/(AQ$52-AP$52)*AQ53)*(AQ$60&gt;$B$10)+IF(AQ$60=$B$10,SUM($F53:AP53)-SUM($F61:AP61)+AQ53+(AQ$60-AQ$52)/(AR$52-AQ$52)*AR53,0)</f>
        <v>0</v>
      </c>
      <c r="AR61" s="510">
        <f ca="1">(AR$60=$B$9)*AR53+((AR$60-AR$52)/(AS$52-AR$52)*AS53+(AR$52-AQ$60)/(AR$52-AQ$52)*AR53)*(AR$60&gt;$B$10)+IF(AR$60=$B$10,SUM($F53:AQ53)-SUM($F61:AQ61)+AR53+(AR$60-AR$52)/(AS$52-AR$52)*AS53,0)</f>
        <v>0</v>
      </c>
      <c r="AS61" s="510">
        <f ca="1">(AS$60=$B$9)*AS53+((AS$60-AS$52)/(AT$52-AS$52)*AT53+(AS$52-AR$60)/(AS$52-AR$52)*AS53)*(AS$60&gt;$B$10)+IF(AS$60=$B$10,SUM($F53:AR53)-SUM($F61:AR61)+AS53+(AS$60-AS$52)/(AT$52-AS$52)*AT53,0)</f>
        <v>0</v>
      </c>
      <c r="AT61" s="510">
        <f ca="1">(AT$60=$B$9)*AT53+((AT$60-AT$52)/(AU$52-AT$52)*AU53+(AT$52-AS$60)/(AT$52-AS$52)*AT53)*(AT$60&gt;$B$10)+IF(AT$60=$B$10,SUM($F53:AS53)-SUM($F61:AS61)+AT53+(AT$60-AT$52)/(AU$52-AT$52)*AU53,0)</f>
        <v>0</v>
      </c>
      <c r="AU61" s="510">
        <f ca="1">(AU$60=$B$9)*AU53+((AU$60-AU$52)/(AV$52-AU$52)*AV53+(AU$52-AT$60)/(AU$52-AT$52)*AU53)*(AU$60&gt;$B$10)+IF(AU$60=$B$10,SUM($F53:AT53)-SUM($F61:AT61)+AU53+(AU$60-AU$52)/(AV$52-AU$52)*AV53,0)</f>
        <v>0</v>
      </c>
      <c r="AV61" s="510">
        <f ca="1">(AV$60=$B$9)*AV53+((AV$60-AV$52)/(AW$52-AV$52)*AW53+(AV$52-AU$60)/(AV$52-AU$52)*AV53)*(AV$60&gt;$B$10)+IF(AV$60=$B$10,SUM($F53:AU53)-SUM($F61:AU61)+AV53+(AV$60-AV$52)/(AW$52-AV$52)*AW53,0)</f>
        <v>0</v>
      </c>
      <c r="AW61" s="510">
        <f ca="1">(AW$60=$B$9)*AW53+((AW$60-AW$52)/(AX$52-AW$52)*AX53+(AW$52-AV$60)/(AW$52-AV$52)*AW53)*(AW$60&gt;$B$10)+IF(AW$60=$B$10,SUM($F53:AV53)-SUM($F61:AV61)+AW53+(AW$60-AW$52)/(AX$52-AW$52)*AX53,0)</f>
        <v>0</v>
      </c>
      <c r="AX61" s="510">
        <f ca="1">(AX$60=$B$9)*AX53+((AX$60-AX$52)/(AY$52-AX$52)*AY53+(AX$52-AW$60)/(AX$52-AW$52)*AX53)*(AX$60&gt;$B$10)+IF(AX$60=$B$10,SUM($F53:AW53)-SUM($F61:AW61)+AX53+(AX$60-AX$52)/(AY$52-AX$52)*AY53,0)</f>
        <v>0</v>
      </c>
      <c r="AY61" s="510">
        <f ca="1">(AY$60=$B$9)*AY53+((AY$60-AY$52)/(AZ$52-AY$52)*AZ53+(AY$52-AX$60)/(AY$52-AX$52)*AY53)*(AY$60&gt;$B$10)+IF(AY$60=$B$10,SUM($F53:AX53)-SUM($F61:AX61)+AY53+(AY$60-AY$52)/(AZ$52-AY$52)*AZ53,0)</f>
        <v>0</v>
      </c>
      <c r="AZ61" s="510">
        <f ca="1">(AZ$60=$B$9)*AZ53+((AZ$60-AZ$52)/(BA$52-AZ$52)*BA53+(AZ$52-AY$60)/(AZ$52-AY$52)*AZ53)*(AZ$60&gt;$B$10)+IF(AZ$60=$B$10,SUM($F53:AY53)-SUM($F61:AY61)+AZ53+(AZ$60-AZ$52)/(BA$52-AZ$52)*BA53,0)</f>
        <v>0</v>
      </c>
      <c r="BA61" s="510">
        <f ca="1">(BA$60=$B$9)*BA53+((BA$60-BA$52)/(BB$52-BA$52)*BB53+(BA$52-AZ$60)/(BA$52-AZ$52)*BA53)*(BA$60&gt;$B$10)+IF(BA$60=$B$10,SUM($F53:AZ53)-SUM($F61:AZ61)+BA53+(BA$60-BA$52)/(BB$52-BA$52)*BB53,0)</f>
        <v>0</v>
      </c>
      <c r="BB61" s="510">
        <f ca="1">(BB$60=$B$9)*BB53+((BB$60-BB$52)/(BC$52-BB$52)*BC53+(BB$52-BA$60)/(BB$52-BA$52)*BB53)*(BB$60&gt;$B$10)+IF(BB$60=$B$10,SUM($F53:BA53)-SUM($F61:BA61)+BB53+(BB$60-BB$52)/(BC$52-BB$52)*BC53,0)</f>
        <v>0</v>
      </c>
      <c r="BC61" s="510">
        <f ca="1">(BC$60=$B$9)*BC53+((BC$60-BC$52)/(BD$52-BC$52)*BD53+(BC$52-BB$60)/(BC$52-BB$52)*BC53)*(BC$60&gt;$B$10)+IF(BC$60=$B$10,SUM($F53:BB53)-SUM($F61:BB61)+BC53+(BC$60-BC$52)/(BD$52-BC$52)*BD53,0)</f>
        <v>0</v>
      </c>
      <c r="BD61" s="510">
        <f ca="1">(BD$60=$B$9)*BD53+((BD$60-BD$52)/(BE$52-BD$52)*BE53+(BD$52-BC$60)/(BD$52-BC$52)*BD53)*(BD$60&gt;$B$10)+IF(BD$60=$B$10,SUM($F53:BC53)-SUM($F61:BC61)+BD53+(BD$60-BD$52)/(BE$52-BD$52)*BE53,0)</f>
        <v>0</v>
      </c>
      <c r="BE61" s="510">
        <f ca="1">(BE$60=$B$9)*BE53+((BE$60-BE$52)/(BF$52-BE$52)*BF53+(BE$52-BD$60)/(BE$52-BD$52)*BE53)*(BE$60&gt;$B$10)+IF(BE$60=$B$10,SUM($F53:BD53)-SUM($F61:BD61)+BE53+(BE$60-BE$52)/(BF$52-BE$52)*BF53,0)</f>
        <v>0</v>
      </c>
      <c r="BF61" s="510">
        <f ca="1">(BF$60=$B$9)*BF53+((BF$60-BF$52)/(BG$52-BF$52)*BG53+(BF$52-BE$60)/(BF$52-BE$52)*BF53)*(BF$60&gt;$B$10)+IF(BF$60=$B$10,SUM($F53:BE53)-SUM($F61:BE61)+BF53+(BF$60-BF$52)/(BG$52-BF$52)*BG53,0)</f>
        <v>0</v>
      </c>
      <c r="BG61" s="510">
        <f ca="1">(BG$60=$B$9)*BG53+((BG$60-BG$52)/(BH$52-BG$52)*BH53+(BG$52-BF$60)/(BG$52-BF$52)*BG53)*(BG$60&gt;$B$10)+IF(BG$60=$B$10,SUM($F53:BF53)-SUM($F61:BF61)+BG53+(BG$60-BG$52)/(BH$52-BG$52)*BH53,0)</f>
        <v>0</v>
      </c>
      <c r="BH61" s="510">
        <f ca="1">(BH$60=$B$9)*BH53+((BH$60-BH$52)/(BI$52-BH$52)*BI53+(BH$52-BG$60)/(BH$52-BG$52)*BH53)*(BH$60&gt;$B$10)+IF(BH$60=$B$10,SUM($F53:BG53)-SUM($F61:BG61)+BH53+(BH$60-BH$52)/(BI$52-BH$52)*BI53,0)</f>
        <v>0</v>
      </c>
      <c r="BI61" s="510">
        <f ca="1">(BI$60=$B$9)*BI53+((BI$60-BI$52)/(BJ$52-BI$52)*BJ53+(BI$52-BH$60)/(BI$52-BH$52)*BI53)*(BI$60&gt;$B$10)+IF(BI$60=$B$10,SUM($F53:BH53)-SUM($F61:BH61)+BI53+(BI$60-BI$52)/(BJ$52-BI$52)*BJ53,0)</f>
        <v>0</v>
      </c>
      <c r="BJ61" s="510">
        <f ca="1">(BJ$60=$B$9)*BJ53+((BJ$60-BJ$52)/(BK$52-BJ$52)*BK53+(BJ$52-BI$60)/(BJ$52-BI$52)*BJ53)*(BJ$60&gt;$B$10)+IF(BJ$60=$B$10,SUM($F53:BI53)-SUM($F61:BI61)+BJ53+(BJ$60-BJ$52)/(BK$52-BJ$52)*BK53,0)</f>
        <v>0</v>
      </c>
      <c r="BK61" s="510">
        <f ca="1">(BK$60=$B$9)*BK53+((BK$60-BK$52)/(BL$52-BK$52)*BL53+(BK$52-BJ$60)/(BK$52-BJ$52)*BK53)*(BK$60&gt;$B$10)+IF(BK$60=$B$10,SUM($F53:BJ53)-SUM($F61:BJ61)+BK53+(BK$60-BK$52)/(BL$52-BK$52)*BL53,0)</f>
        <v>0</v>
      </c>
      <c r="BL61" s="510">
        <f ca="1">(BL$60=$B$9)*BL53+((BL$60-BL$52)/(BM$52-BL$52)*BM53+(BL$52-BK$60)/(BL$52-BK$52)*BL53)*(BL$60&gt;$B$10)+IF(BL$60=$B$10,SUM($F53:BK53)-SUM($F61:BK61)+BL53+(BL$60-BL$52)/(BM$52-BL$52)*BM53,0)</f>
        <v>0</v>
      </c>
      <c r="BM61" s="510">
        <f ca="1">(BM$60=$B$9)*BM53+((BM$60-BM$52)/(BN$52-BM$52)*BN53+(BM$52-BL$60)/(BM$52-BL$52)*BM53)*(BM$60&gt;$B$10)+IF(BM$60=$B$10,SUM($F53:BL53)-SUM($F61:BL61)+BM53+(BM$60-BM$52)/(BN$52-BM$52)*BN53,0)</f>
        <v>0</v>
      </c>
      <c r="BN61" s="510">
        <f ca="1">(BN$60=$B$9)*BN53+((BN$60-BN$52)/(BO$52-BN$52)*BO53+(BN$52-BM$60)/(BN$52-BM$52)*BN53)*(BN$60&gt;$B$10)+IF(BN$60=$B$10,SUM($F53:BM53)-SUM($F61:BM61)+BN53+(BN$60-BN$52)/(BO$52-BN$52)*BO53,0)</f>
        <v>0</v>
      </c>
      <c r="BO61" s="510">
        <f ca="1">(BO$60=$B$9)*BO53+((BO$60-BO$52)/(BP$52-BO$52)*BP53+(BO$52-BN$60)/(BO$52-BN$52)*BO53)*(BO$60&gt;$B$10)+IF(BO$60=$B$10,SUM($F53:BN53)-SUM($F61:BN61)+BO53+(BO$60-BO$52)/(BP$52-BO$52)*BP53,0)</f>
        <v>0</v>
      </c>
      <c r="BP61" s="510">
        <f ca="1">(BP$60=$B$9)*BP53+((BP$60-BP$52)/(BQ$52-BP$52)*BQ53+(BP$52-BO$60)/(BP$52-BO$52)*BP53)*(BP$60&gt;$B$10)+IF(BP$60=$B$10,SUM($F53:BO53)-SUM($F61:BO61)+BP53+(BP$60-BP$52)/(BQ$52-BP$52)*BQ53,0)</f>
        <v>0</v>
      </c>
      <c r="BQ61" s="510">
        <f ca="1">(BQ$60=$B$9)*BQ53+((BQ$60-BQ$52)/(BR$52-BQ$52)*BR53+(BQ$52-BP$60)/(BQ$52-BP$52)*BQ53)*(BQ$60&gt;$B$10)+IF(BQ$60=$B$10,SUM($F53:BP53)-SUM($F61:BP61)+BQ53+(BQ$60-BQ$52)/(BR$52-BQ$52)*BR53,0)</f>
        <v>0</v>
      </c>
      <c r="BR61" s="510">
        <f ca="1">(BR$60=$B$9)*BR53+((BR$60-BR$52)/(BS$52-BR$52)*BS53+(BR$52-BQ$60)/(BR$52-BQ$52)*BR53)*(BR$60&gt;$B$10)+IF(BR$60=$B$10,SUM($F53:BQ53)-SUM($F61:BQ61)+BR53+(BR$60-BR$52)/(BS$52-BR$52)*BS53,0)</f>
        <v>0</v>
      </c>
      <c r="BS61" s="510">
        <f ca="1">(BS$60=$B$9)*BS53+((BS$60-BS$52)/(BT$52-BS$52)*BT53+(BS$52-BR$60)/(BS$52-BR$52)*BS53)*(BS$60&gt;$B$10)+IF(BS$60=$B$10,SUM($F53:BR53)-SUM($F61:BR61)+BS53+(BS$60-BS$52)/(BT$52-BS$52)*BT53,0)</f>
        <v>0</v>
      </c>
      <c r="BT61" s="510">
        <f ca="1">(BT$60=$B$9)*BT53+((BT$60-BT$52)/(BU$52-BT$52)*BU53+(BT$52-BS$60)/(BT$52-BS$52)*BT53)*(BT$60&gt;$B$10)+IF(BT$60=$B$10,SUM($F53:BS53)-SUM($F61:BS61)+BT53+(BT$60-BT$52)/(BU$52-BT$52)*BU53,0)</f>
        <v>0</v>
      </c>
      <c r="BU61" s="510">
        <f ca="1">(BU$60=$B$9)*BU53+((BU$60-BU$52)/(BV$52-BU$52)*BV53+(BU$52-BT$60)/(BU$52-BT$52)*BU53)*(BU$60&gt;$B$10)+IF(BU$60=$B$10,SUM($F53:BT53)-SUM($F61:BT61)+BU53+(BU$60-BU$52)/(BV$52-BU$52)*BV53,0)</f>
        <v>0</v>
      </c>
      <c r="BV61" s="510">
        <f ca="1">(BV$60=$B$9)*BV53+((BV$60-BV$52)/(BW$52-BV$52)*BW53+(BV$52-BU$60)/(BV$52-BU$52)*BV53)*(BV$60&gt;$B$10)+IF(BV$60=$B$10,SUM($F53:BU53)-SUM($F61:BU61)+BV53+(BV$60-BV$52)/(BW$52-BV$52)*BW53,0)</f>
        <v>0</v>
      </c>
      <c r="BW61" s="510">
        <f ca="1">(BW$60=$B$9)*BW53+((BW$60-BW$52)/(BX$52-BW$52)*BX53+(BW$52-BV$60)/(BW$52-BV$52)*BW53)*(BW$60&gt;$B$10)+IF(BW$60=$B$10,SUM($F53:BV53)-SUM($F61:BV61)+BW53+(BW$60-BW$52)/(BX$52-BW$52)*BX53,0)</f>
        <v>0</v>
      </c>
      <c r="BX61" s="510">
        <f ca="1">(BX$60=$B$9)*BX53+((BX$60-BX$52)/(BY$52-BX$52)*BY53+(BX$52-BW$60)/(BX$52-BW$52)*BX53)*(BX$60&gt;$B$10)+IF(BX$60=$B$10,SUM($F53:BW53)-SUM($F61:BW61)+BX53+(BX$60-BX$52)/(BY$52-BX$52)*BY53,0)</f>
        <v>0</v>
      </c>
      <c r="BY61" s="510">
        <f ca="1">(BY$60=$B$9)*BY53+((BY$60-BY$52)/(BZ$52-BY$52)*BZ53+(BY$52-BX$60)/(BY$52-BX$52)*BY53)*(BY$60&gt;$B$10)+IF(BY$60=$B$10,SUM($F53:BX53)-SUM($F61:BX61)+BY53+(BY$60-BY$52)/(BZ$52-BY$52)*BZ53,0)</f>
        <v>0</v>
      </c>
      <c r="BZ61" s="510">
        <f ca="1">(BZ$60=$B$9)*BZ53+((BZ$60-BZ$52)/(CA$52-BZ$52)*CA53+(BZ$52-BY$60)/(BZ$52-BY$52)*BZ53)*(BZ$60&gt;$B$10)+IF(BZ$60=$B$10,SUM($F53:BY53)-SUM($F61:BY61)+BZ53+(BZ$60-BZ$52)/(CA$52-BZ$52)*CA53,0)</f>
        <v>0</v>
      </c>
      <c r="CA61" s="510">
        <f ca="1">(CA$60=$B$9)*CA53+((CA$60-CA$52)/(CB$52-CA$52)*CB53+(CA$52-BZ$60)/(CA$52-BZ$52)*CA53)*(CA$60&gt;$B$10)+IF(CA$60=$B$10,SUM($F53:BZ53)-SUM($F61:BZ61)+CA53+(CA$60-CA$52)/(CB$52-CA$52)*CB53,0)</f>
        <v>0</v>
      </c>
      <c r="CB61" s="510">
        <f ca="1">(CB$60=$B$9)*CB53+((CB$60-CB$52)/(CC$52-CB$52)*CC53+(CB$52-CA$60)/(CB$52-CA$52)*CB53)*(CB$60&gt;$B$10)+IF(CB$60=$B$10,SUM($F53:CA53)-SUM($F61:CA61)+CB53+(CB$60-CB$52)/(CC$52-CB$52)*CC53,0)</f>
        <v>0</v>
      </c>
      <c r="CC61" s="510">
        <f ca="1">(CC$60=$B$9)*CC53+((CC$60-CC$52)/(CD$52-CC$52)*CD53+(CC$52-CB$60)/(CC$52-CB$52)*CC53)*(CC$60&gt;$B$10)+IF(CC$60=$B$10,SUM($F53:CB53)-SUM($F61:CB61)+CC53+(CC$60-CC$52)/(CD$52-CC$52)*CD53,0)</f>
        <v>0</v>
      </c>
      <c r="CD61" s="510">
        <f ca="1">(CD$60=$B$9)*CD53+((CD$60-CD$52)/(CE$52-CD$52)*CE53+(CD$52-CC$60)/(CD$52-CC$52)*CD53)*(CD$60&gt;$B$10)+IF(CD$60=$B$10,SUM($F53:CC53)-SUM($F61:CC61)+CD53+(CD$60-CD$52)/(CE$52-CD$52)*CE53,0)</f>
        <v>0</v>
      </c>
      <c r="CE61" s="510">
        <f ca="1">(CE$60=$B$9)*CE53+((CE$60-CE$52)/(CF$52-CE$52)*CF53+(CE$52-CD$60)/(CE$52-CD$52)*CE53)*(CE$60&gt;$B$10)+IF(CE$60=$B$10,SUM($F53:CD53)-SUM($F61:CD61)+CE53+(CE$60-CE$52)/(CF$52-CE$52)*CF53,0)</f>
        <v>0</v>
      </c>
      <c r="CF61" s="510">
        <f ca="1">(CF$60=$B$9)*CF53+((CF$60-CF$52)/(CG$52-CF$52)*CG53+(CF$52-CE$60)/(CF$52-CE$52)*CF53)*(CF$60&gt;$B$10)+IF(CF$60=$B$10,SUM($F53:CE53)-SUM($F61:CE61)+CF53+(CF$60-CF$52)/(CG$52-CF$52)*CG53,0)</f>
        <v>0</v>
      </c>
      <c r="CG61" s="510">
        <f ca="1">(CG$60=$B$9)*CG53+((CG$60-CG$52)/(CH$52-CG$52)*CH53+(CG$52-CF$60)/(CG$52-CF$52)*CG53)*(CG$60&gt;$B$10)+IF(CG$60=$B$10,SUM($F53:CF53)-SUM($F61:CF61)+CG53+(CG$60-CG$52)/(CH$52-CG$52)*CH53,0)</f>
        <v>0</v>
      </c>
      <c r="CH61" s="510">
        <f ca="1">(CH$60=$B$9)*CH53+((CH$60-CH$52)/(CI$52-CH$52)*CI53+(CH$52-CG$60)/(CH$52-CG$52)*CH53)*(CH$60&gt;$B$10)+IF(CH$60=$B$10,SUM($F53:CG53)-SUM($F61:CG61)+CH53+(CH$60-CH$52)/(CI$52-CH$52)*CI53,0)</f>
        <v>0</v>
      </c>
      <c r="CI61" s="510">
        <f ca="1">(CI$60=$B$9)*CI53+((CI$60-CI$52)/(CJ$52-CI$52)*CJ53+(CI$52-CH$60)/(CI$52-CH$52)*CI53)*(CI$60&gt;$B$10)+IF(CI$60=$B$10,SUM($F53:CH53)-SUM($F61:CH61)+CI53+(CI$60-CI$52)/(CJ$52-CI$52)*CJ53,0)</f>
        <v>0</v>
      </c>
      <c r="CJ61" s="510">
        <f ca="1">(CJ$60=$B$9)*CJ53+((CJ$60-CJ$52)/(CK$52-CJ$52)*CK53+(CJ$52-CI$60)/(CJ$52-CI$52)*CJ53)*(CJ$60&gt;$B$10)+IF(CJ$60=$B$10,SUM($F53:CI53)-SUM($F61:CI61)+CJ53+(CJ$60-CJ$52)/(CK$52-CJ$52)*CK53,0)</f>
        <v>0</v>
      </c>
      <c r="CK61" s="510">
        <f ca="1">(CK$60=$B$9)*CK53+((CK$60-CK$52)/(CL$52-CK$52)*CL53+(CK$52-CJ$60)/(CK$52-CJ$52)*CK53)*(CK$60&gt;$B$10)+IF(CK$60=$B$10,SUM($F53:CJ53)-SUM($F61:CJ61)+CK53+(CK$60-CK$52)/(CL$52-CK$52)*CL53,0)</f>
        <v>0</v>
      </c>
      <c r="CL61" s="510">
        <f ca="1">(CL$60=$B$9)*CL53+((CL$60-CL$52)/(CM$52-CL$52)*CM53+(CL$52-CK$60)/(CL$52-CK$52)*CL53)*(CL$60&gt;$B$10)+IF(CL$60=$B$10,SUM($F53:CK53)-SUM($F61:CK61)+CL53+(CL$60-CL$52)/(CM$52-CL$52)*CM53,0)</f>
        <v>0</v>
      </c>
      <c r="CM61" s="510">
        <f ca="1">(CM$60=$B$9)*CM53+((CM$60-CM$52)/(CN$52-CM$52)*CN53+(CM$52-CL$60)/(CM$52-CL$52)*CM53)*(CM$60&gt;$B$10)+IF(CM$60=$B$10,SUM($F53:CL53)-SUM($F61:CL61)+CM53+(CM$60-CM$52)/(CN$52-CM$52)*CN53,0)</f>
        <v>0</v>
      </c>
      <c r="CN61" s="510">
        <f ca="1">(CN$60=$B$9)*CN53+((CN$60-CN$52)/(CO$52-CN$52)*CO53+(CN$52-CM$60)/(CN$52-CM$52)*CN53)*(CN$60&gt;$B$10)+IF(CN$60=$B$10,SUM($F53:CM53)-SUM($F61:CM61)+CN53+(CN$60-CN$52)/(CO$52-CN$52)*CO53,0)</f>
        <v>0</v>
      </c>
      <c r="CO61" s="510">
        <f ca="1">(CO$60=$B$9)*CO53+((CO$60-CO$52)/(CP$52-CO$52)*CP53+(CO$52-CN$60)/(CO$52-CN$52)*CO53)*(CO$60&gt;$B$10)+IF(CO$60=$B$10,SUM($F53:CN53)-SUM($F61:CN61)+CO53+(CO$60-CO$52)/(CP$52-CO$52)*CP53,0)</f>
        <v>0</v>
      </c>
      <c r="CP61" s="510">
        <f ca="1">(CP$60=$B$9)*CP53+((CP$60-CP$52)/(CQ$52-CP$52)*CQ53+(CP$52-CO$60)/(CP$52-CO$52)*CP53)*(CP$60&gt;$B$10)+IF(CP$60=$B$10,SUM($F53:CO53)-SUM($F61:CO61)+CP53+(CP$60-CP$52)/(CQ$52-CP$52)*CQ53,0)</f>
        <v>0</v>
      </c>
      <c r="CQ61" s="510">
        <f ca="1">(CQ$60=$B$9)*CQ53+((CQ$60-CQ$52)/(CR$52-CQ$52)*CR53+(CQ$52-CP$60)/(CQ$52-CP$52)*CQ53)*(CQ$60&gt;$B$10)+IF(CQ$60=$B$10,SUM($F53:CP53)-SUM($F61:CP61)+CQ53+(CQ$60-CQ$52)/(CR$52-CQ$52)*CR53,0)</f>
        <v>0</v>
      </c>
      <c r="CR61" s="510">
        <f ca="1">(CR$60=$B$9)*CR53+((CR$60-CR$52)/(CS$52-CR$52)*CS53+(CR$52-CQ$60)/(CR$52-CQ$52)*CR53)*(CR$60&gt;$B$10)+IF(CR$60=$B$10,SUM($F53:CQ53)-SUM($F61:CQ61)+CR53+(CR$60-CR$52)/(CS$52-CR$52)*CS53,0)</f>
        <v>0</v>
      </c>
      <c r="CS61" s="510">
        <f ca="1">(CS$60=$B$9)*CS53+((CS$60-CS$52)/(CT$52-CS$52)*CT53+(CS$52-CR$60)/(CS$52-CR$52)*CS53)*(CS$60&gt;$B$10)+IF(CS$60=$B$10,SUM($F53:CR53)-SUM($F61:CR61)+CS53+(CS$60-CS$52)/(CT$52-CS$52)*CT53,0)</f>
        <v>0</v>
      </c>
      <c r="CT61" s="510">
        <f ca="1">(CT$60=$B$9)*CT53+((CT$60-CT$52)/(CU$52-CT$52)*CU53+(CT$52-CS$60)/(CT$52-CS$52)*CT53)*(CT$60&gt;$B$10)+IF(CT$60=$B$10,SUM($F53:CS53)-SUM($F61:CS61)+CT53+(CT$60-CT$52)/(CU$52-CT$52)*CU53,0)</f>
        <v>0</v>
      </c>
      <c r="CU61" s="510">
        <f ca="1">(CU$60=$B$9)*CU53+((CU$60-CU$52)/(CV$52-CU$52)*CV53+(CU$52-CT$60)/(CU$52-CT$52)*CU53)*(CU$60&gt;$B$10)+IF(CU$60=$B$10,SUM($F53:CT53)-SUM($F61:CT61)+CU53+(CU$60-CU$52)/(CV$52-CU$52)*CV53,0)</f>
        <v>0</v>
      </c>
      <c r="CV61" s="510">
        <f ca="1">(CV$60=$B$9)*CV53+((CV$60-CV$52)/(CW$52-CV$52)*CW53+(CV$52-CU$60)/(CV$52-CU$52)*CV53)*(CV$60&gt;$B$10)+IF(CV$60=$B$10,SUM($F53:CU53)-SUM($F61:CU61)+CV53+(CV$60-CV$52)/(CW$52-CV$52)*CW53,0)</f>
        <v>0</v>
      </c>
      <c r="CW61" s="510">
        <f ca="1">(CW$60=$B$9)*CW53+((CW$60-CW$52)/(CX$52-CW$52)*CX53+(CW$52-CV$60)/(CW$52-CV$52)*CW53)*(CW$60&gt;$B$10)+IF(CW$60=$B$10,SUM($F53:CV53)-SUM($F61:CV61)+CW53+(CW$60-CW$52)/(CX$52-CW$52)*CX53,0)</f>
        <v>0</v>
      </c>
      <c r="CX61" s="510">
        <f ca="1">(CX$60=$B$9)*CX53+((CX$60-CX$52)/(CY$52-CX$52)*CY53+(CX$52-CW$60)/(CX$52-CW$52)*CX53)*(CX$60&gt;$B$10)+IF(CX$60=$B$10,SUM($F53:CW53)-SUM($F61:CW61)+CX53+(CX$60-CX$52)/(CY$52-CX$52)*CY53,0)</f>
        <v>0</v>
      </c>
      <c r="CY61" s="510">
        <f ca="1">(CY$60=$B$9)*CY53+((CY$60-CY$52)/(CZ$52-CY$52)*CZ53+(CY$52-CX$60)/(CY$52-CX$52)*CY53)*(CY$60&gt;$B$10)+IF(CY$60=$B$10,SUM($F53:CX53)-SUM($F61:CX61)+CY53+(CY$60-CY$52)/(CZ$52-CY$52)*CZ53,0)</f>
        <v>0</v>
      </c>
      <c r="CZ61" s="510">
        <f ca="1">(CZ$60=$B$9)*CZ53+((CZ$60-CZ$52)/(DA$52-CZ$52)*DA53+(CZ$52-CY$60)/(CZ$52-CY$52)*CZ53)*(CZ$60&gt;$B$10)+IF(CZ$60=$B$10,SUM($F53:CY53)-SUM($F61:CY61)+CZ53+(CZ$60-CZ$52)/(DA$52-CZ$52)*DA53,0)</f>
        <v>0</v>
      </c>
      <c r="DA61" s="510">
        <f ca="1">(DA$60=$B$9)*DA53+((DA$60-DA$52)/(DB$52-DA$52)*DB53+(DA$52-CZ$60)/(DA$52-CZ$52)*DA53)*(DA$60&gt;$B$10)+IF(DA$60=$B$10,SUM($F53:CZ53)-SUM($F61:CZ61)+DA53+(DA$60-DA$52)/(DB$52-DA$52)*DB53,0)</f>
        <v>0</v>
      </c>
      <c r="DB61" s="510">
        <f ca="1">(DB$60=$B$9)*DB53+((DB$60-DB$52)/(DC$52-DB$52)*DC53+(DB$52-DA$60)/(DB$52-DA$52)*DB53)*(DB$60&gt;$B$10)+IF(DB$60=$B$10,SUM($F53:DA53)-SUM($F61:DA61)+DB53+(DB$60-DB$52)/(DC$52-DB$52)*DC53,0)</f>
        <v>0</v>
      </c>
      <c r="DC61" s="510">
        <f ca="1">(DC$60=$B$9)*DC53+((DC$60-DC$52)/(DD$52-DC$52)*DD53+(DC$52-DB$60)/(DC$52-DB$52)*DC53)*(DC$60&gt;$B$10)+IF(DC$60=$B$10,SUM($F53:DB53)-SUM($F61:DB61)+DC53+(DC$60-DC$52)/(DD$52-DC$52)*DD53,0)</f>
        <v>0</v>
      </c>
      <c r="DD61" s="510">
        <f ca="1">(DD$60=$B$9)*DD53+((DD$60-DD$52)/(DE$52-DD$52)*DE53+(DD$52-DC$60)/(DD$52-DC$52)*DD53)*(DD$60&gt;$B$10)+IF(DD$60=$B$10,SUM($F53:DC53)-SUM($F61:DC61)+DD53+(DD$60-DD$52)/(DE$52-DD$52)*DE53,0)</f>
        <v>0</v>
      </c>
      <c r="DE61" s="510">
        <f ca="1">(DE$60=$B$9)*DE53+((DE$60-DE$52)/(DF$52-DE$52)*DF53+(DE$52-DD$60)/(DE$52-DD$52)*DE53)*(DE$60&gt;$B$10)+IF(DE$60=$B$10,SUM($F53:DD53)-SUM($F61:DD61)+DE53+(DE$60-DE$52)/(DF$52-DE$52)*DF53,0)</f>
        <v>0</v>
      </c>
      <c r="DF61" s="510">
        <f ca="1">(DF$60=$B$9)*DF53+((DF$60-DF$52)/(DG$52-DF$52)*DG53+(DF$52-DE$60)/(DF$52-DE$52)*DF53)*(DF$60&gt;$B$10)+IF(DF$60=$B$10,SUM($F53:DE53)-SUM($F61:DE61)+DF53+(DF$60-DF$52)/(DG$52-DF$52)*DG53,0)</f>
        <v>0</v>
      </c>
      <c r="DG61" s="510">
        <f ca="1">(DG$60=$B$9)*DG53+((DG$60-DG$52)/(DH$52-DG$52)*DH53+(DG$52-DF$60)/(DG$52-DF$52)*DG53)*(DG$60&gt;$B$10)+IF(DG$60=$B$10,SUM($F53:DF53)-SUM($F61:DF61)+DG53+(DG$60-DG$52)/(DH$52-DG$52)*DH53,0)</f>
        <v>0</v>
      </c>
      <c r="DH61" s="510">
        <f ca="1">(DH$60=$B$9)*DH53+((DH$60-DH$52)/(DI$52-DH$52)*DI53+(DH$52-DG$60)/(DH$52-DG$52)*DH53)*(DH$60&gt;$B$10)+IF(DH$60=$B$10,SUM($F53:DG53)-SUM($F61:DG61)+DH53+(DH$60-DH$52)/(DI$52-DH$52)*DI53,0)</f>
        <v>0</v>
      </c>
      <c r="DI61" s="510">
        <f ca="1">(DI$60=$B$9)*DI53+((DI$60-DI$52)/(DJ$52-DI$52)*DJ53+(DI$52-DH$60)/(DI$52-DH$52)*DI53)*(DI$60&gt;$B$10)+IF(DI$60=$B$10,SUM($F53:DH53)-SUM($F61:DH61)+DI53+(DI$60-DI$52)/(DJ$52-DI$52)*DJ53,0)</f>
        <v>0</v>
      </c>
      <c r="DJ61" s="510">
        <f ca="1">(DJ$60=$B$9)*DJ53+((DJ$60-DJ$52)/(DK$52-DJ$52)*DK53+(DJ$52-DI$60)/(DJ$52-DI$52)*DJ53)*(DJ$60&gt;$B$10)+IF(DJ$60=$B$10,SUM($F53:DI53)-SUM($F61:DI61)+DJ53+(DJ$60-DJ$52)/(DK$52-DJ$52)*DK53,0)</f>
        <v>0</v>
      </c>
      <c r="DK61" s="510">
        <f ca="1">(DK$60=$B$9)*DK53+((DK$60-DK$52)/(DL$52-DK$52)*DL53+(DK$52-DJ$60)/(DK$52-DJ$52)*DK53)*(DK$60&gt;$B$10)+IF(DK$60=$B$10,SUM($F53:DJ53)-SUM($F61:DJ61)+DK53+(DK$60-DK$52)/(DL$52-DK$52)*DL53,0)</f>
        <v>0</v>
      </c>
      <c r="DL61" s="510">
        <f ca="1">(DL$60=$B$9)*DL53+((DL$60-DL$52)/(DM$52-DL$52)*DM53+(DL$52-DK$60)/(DL$52-DK$52)*DL53)*(DL$60&gt;$B$10)+IF(DL$60=$B$10,SUM($F53:DK53)-SUM($F61:DK61)+DL53+(DL$60-DL$52)/(DM$52-DL$52)*DM53,0)</f>
        <v>0</v>
      </c>
      <c r="DM61" s="510">
        <f ca="1">(DM$60=$B$9)*DM53+((DM$60-DM$52)/(DN$52-DM$52)*DN53+(DM$52-DL$60)/(DM$52-DL$52)*DM53)*(DM$60&gt;$B$10)+IF(DM$60=$B$10,SUM($F53:DL53)-SUM($F61:DL61)+DM53+(DM$60-DM$52)/(DN$52-DM$52)*DN53,0)</f>
        <v>0</v>
      </c>
      <c r="DN61" s="510">
        <f ca="1">(DN$60=$B$9)*DN53+((DN$60-DN$52)/(DO$52-DN$52)*DO53+(DN$52-DM$60)/(DN$52-DM$52)*DN53)*(DN$60&gt;$B$10)+IF(DN$60=$B$10,SUM($F53:DM53)-SUM($F61:DM61)+DN53+(DN$60-DN$52)/(DO$52-DN$52)*DO53,0)</f>
        <v>0</v>
      </c>
      <c r="DO61" s="510">
        <f ca="1">(DO$60=$B$9)*DO53+((DO$60-DO$52)/(DP$52-DO$52)*DP53+(DO$52-DN$60)/(DO$52-DN$52)*DO53)*(DO$60&gt;$B$10)+IF(DO$60=$B$10,SUM($F53:DN53)-SUM($F61:DN61)+DO53+(DO$60-DO$52)/(DP$52-DO$52)*DP53,0)</f>
        <v>0</v>
      </c>
      <c r="DP61" s="510">
        <f ca="1">(DP$60=$B$9)*DP53+((DP$60-DP$52)/(DQ$52-DP$52)*DQ53+(DP$52-DO$60)/(DP$52-DO$52)*DP53)*(DP$60&gt;$B$10)+IF(DP$60=$B$10,SUM($F53:DO53)-SUM($F61:DO61)+DP53+(DP$60-DP$52)/(DQ$52-DP$52)*DQ53,0)</f>
        <v>0</v>
      </c>
      <c r="DQ61" s="510">
        <f ca="1">(DQ$60=$B$9)*DQ53+((DQ$60-DQ$52)/(DR$52-DQ$52)*DR53+(DQ$52-DP$60)/(DQ$52-DP$52)*DQ53)*(DQ$60&gt;$B$10)+IF(DQ$60=$B$10,SUM($F53:DP53)-SUM($F61:DP61)+DQ53+(DQ$60-DQ$52)/(DR$52-DQ$52)*DR53,0)</f>
        <v>0</v>
      </c>
      <c r="DR61" s="510">
        <f ca="1">(DR$60=$B$9)*DR53+((DR$60-DR$52)/(DS$52-DR$52)*DS53+(DR$52-DQ$60)/(DR$52-DQ$52)*DR53)*(DR$60&gt;$B$10)+IF(DR$60=$B$10,SUM($F53:DQ53)-SUM($F61:DQ61)+DR53+(DR$60-DR$52)/(DS$52-DR$52)*DS53,0)</f>
        <v>0</v>
      </c>
      <c r="DS61" s="510">
        <f ca="1">(DS$60=$B$9)*DS53+((DS$60-DS$52)/(DT$52-DS$52)*DT53+(DS$52-DR$60)/(DS$52-DR$52)*DS53)*(DS$60&gt;$B$10)+IF(DS$60=$B$10,SUM($F53:DR53)-SUM($F61:DR61)+DS53+(DS$60-DS$52)/(DT$52-DS$52)*DT53,0)</f>
        <v>0</v>
      </c>
      <c r="DT61" s="510">
        <f ca="1">(DT$60=$B$9)*DT53+((DT$60-DT$52)/(DU$52-DT$52)*DU53+(DT$52-DS$60)/(DT$52-DS$52)*DT53)*(DT$60&gt;$B$10)+IF(DT$60=$B$10,SUM($F53:DS53)-SUM($F61:DS61)+DT53+(DT$60-DT$52)/(DU$52-DT$52)*DU53,0)</f>
        <v>0</v>
      </c>
      <c r="DU61" s="510">
        <f ca="1">(DU$60=$B$9)*DU53+((DU$60-DU$52)/(DV$52-DU$52)*DV53+(DU$52-DT$60)/(DU$52-DT$52)*DU53)*(DU$60&gt;$B$10)+IF(DU$60=$B$10,SUM($F53:DT53)-SUM($F61:DT61)+DU53+(DU$60-DU$52)/(DV$52-DU$52)*DV53,0)</f>
        <v>0</v>
      </c>
      <c r="DV61" s="510">
        <f ca="1">(DV$60=$B$9)*DV53+((DV$60-DV$52)/(DW$52-DV$52)*DW53+(DV$52-DU$60)/(DV$52-DU$52)*DV53)*(DV$60&gt;$B$10)+IF(DV$60=$B$10,SUM($F53:DU53)-SUM($F61:DU61)+DV53+(DV$60-DV$52)/(DW$52-DV$52)*DW53,0)</f>
        <v>0</v>
      </c>
      <c r="DW61" s="510">
        <f ca="1">(DW$60=$B$9)*DW53+((DW$60-DW$52)/(DX$52-DW$52)*DX53+(DW$52-DV$60)/(DW$52-DV$52)*DW53)*(DW$60&gt;$B$10)+IF(DW$60=$B$10,SUM($F53:DV53)-SUM($F61:DV61)+DW53+(DW$60-DW$52)/(DX$52-DW$52)*DX53,0)</f>
        <v>0</v>
      </c>
    </row>
    <row r="62" spans="1:127">
      <c r="A62" s="1019" t="str">
        <f>A54</f>
        <v>SHL Gross Interests</v>
      </c>
      <c r="B62" s="971"/>
      <c r="C62" s="971"/>
      <c r="D62" s="471"/>
      <c r="E62" s="471"/>
      <c r="F62" s="611"/>
      <c r="G62" s="510">
        <f ca="1">(G$60=$B$9)*G54+((G$60-G$52)/(H$52-G$52)*H54+(G$52-F$60)/(G$52-F$52)*G54)*(G$60&gt;$B$10)+IF(G$60=$B$10,SUM($F54:F54)-SUM($F62:F62)+G54+(G$60-G$52)/(H$52-G$52)*H54,0)</f>
        <v>0</v>
      </c>
      <c r="H62" s="510">
        <f ca="1">(H$60=$B$9)*H54+((H$60-H$52)/(I$52-H$52)*I54+(H$52-G$60)/(H$52-G$52)*H54)*(H$60&gt;$B$10)+IF(H$60=$B$10,SUM($F54:G54)-SUM($F62:G62)+H54+(H$60-H$52)/(I$52-H$52)*I54,0)</f>
        <v>0</v>
      </c>
      <c r="I62" s="510">
        <f ca="1">(I$60=$B$9)*I54+((I$60-I$52)/(J$52-I$52)*J54+(I$52-H$60)/(I$52-H$52)*I54)*(I$60&gt;$B$10)+IF(I$60=$B$10,SUM($F54:H54)-SUM($F62:H62)+I54+(I$60-I$52)/(J$52-I$52)*J54,0)</f>
        <v>0</v>
      </c>
      <c r="J62" s="510">
        <f ca="1">(J$60=$B$9)*J54+((J$60-J$52)/(K$52-J$52)*K54+(J$52-I$60)/(J$52-I$52)*J54)*(J$60&gt;$B$10)+IF(J$60=$B$10,SUM($F54:I54)-SUM($F62:I62)+J54+(J$60-J$52)/(K$52-J$52)*K54,0)</f>
        <v>0</v>
      </c>
      <c r="K62" s="510">
        <f ca="1">(K$60=$B$9)*K54+((K$60-K$52)/(L$52-K$52)*L54+(K$52-J$60)/(K$52-J$52)*K54)*(K$60&gt;$B$10)+IF(K$60=$B$10,SUM($F54:J54)-SUM($F62:J62)+K54+(K$60-K$52)/(L$52-K$52)*L54,0)</f>
        <v>0</v>
      </c>
      <c r="L62" s="510">
        <f ca="1">(L$60=$B$9)*L54+((L$60-L$52)/(M$52-L$52)*M54+(L$52-K$60)/(L$52-K$52)*L54)*(L$60&gt;$B$10)+IF(L$60=$B$10,SUM($F54:K54)-SUM($F62:K62)+L54+(L$60-L$52)/(M$52-L$52)*M54,0)</f>
        <v>0</v>
      </c>
      <c r="M62" s="510">
        <f ca="1">(M$60=$B$9)*M54+((M$60-M$52)/(N$52-M$52)*N54+(M$52-L$60)/(M$52-L$52)*M54)*(M$60&gt;$B$10)+IF(M$60=$B$10,SUM($F54:L54)-SUM($F62:L62)+M54+(M$60-M$52)/(N$52-M$52)*N54,0)</f>
        <v>0</v>
      </c>
      <c r="N62" s="510">
        <f ca="1">(N$60=$B$9)*N54+((N$60-N$52)/(O$52-N$52)*O54+(N$52-M$60)/(N$52-M$52)*N54)*(N$60&gt;$B$10)+IF(N$60=$B$10,SUM($F54:M54)-SUM($F62:M62)+N54+(N$60-N$52)/(O$52-N$52)*O54,0)</f>
        <v>0</v>
      </c>
      <c r="O62" s="510">
        <f ca="1">(O$60=$B$9)*O54+((O$60-O$52)/(P$52-O$52)*P54+(O$52-N$60)/(O$52-N$52)*O54)*(O$60&gt;$B$10)+IF(O$60=$B$10,SUM($F54:N54)-SUM($F62:N62)+O54+(O$60-O$52)/(P$52-O$52)*P54,0)</f>
        <v>0</v>
      </c>
      <c r="P62" s="510">
        <f ca="1">(P$60=$B$9)*P54+((P$60-P$52)/(Q$52-P$52)*Q54+(P$52-O$60)/(P$52-O$52)*P54)*(P$60&gt;$B$10)+IF(P$60=$B$10,SUM($F54:O54)-SUM($F62:O62)+P54+(P$60-P$52)/(Q$52-P$52)*Q54,0)</f>
        <v>0</v>
      </c>
      <c r="Q62" s="510">
        <f ca="1">(Q$60=$B$9)*Q54+((Q$60-Q$52)/(R$52-Q$52)*R54+(Q$52-P$60)/(Q$52-P$52)*Q54)*(Q$60&gt;$B$10)+IF(Q$60=$B$10,SUM($F54:P54)-SUM($F62:P62)+Q54+(Q$60-Q$52)/(R$52-Q$52)*R54,0)</f>
        <v>0</v>
      </c>
      <c r="R62" s="510">
        <f ca="1">(R$60=$B$9)*R54+((R$60-R$52)/(S$52-R$52)*S54+(R$52-Q$60)/(R$52-Q$52)*R54)*(R$60&gt;$B$10)+IF(R$60=$B$10,SUM($F54:Q54)-SUM($F62:Q62)+R54+(R$60-R$52)/(S$52-R$52)*S54,0)</f>
        <v>0</v>
      </c>
      <c r="S62" s="510">
        <f ca="1">(S$60=$B$9)*S54+((S$60-S$52)/(T$52-S$52)*T54+(S$52-R$60)/(S$52-R$52)*S54)*(S$60&gt;$B$10)+IF(S$60=$B$10,SUM($F54:R54)-SUM($F62:R62)+S54+(S$60-S$52)/(T$52-S$52)*T54,0)</f>
        <v>0</v>
      </c>
      <c r="T62" s="510">
        <f ca="1">(T$60=$B$9)*T54+((T$60-T$52)/(U$52-T$52)*U54+(T$52-S$60)/(T$52-S$52)*T54)*(T$60&gt;$B$10)+IF(T$60=$B$10,SUM($F54:S54)-SUM($F62:S62)+T54+(T$60-T$52)/(U$52-T$52)*U54,0)</f>
        <v>0</v>
      </c>
      <c r="U62" s="510">
        <f ca="1">(U$60=$B$9)*U54+((U$60-U$52)/(V$52-U$52)*V54+(U$52-T$60)/(U$52-T$52)*U54)*(U$60&gt;$B$10)+IF(U$60=$B$10,SUM($F54:T54)-SUM($F62:T62)+U54+(U$60-U$52)/(V$52-U$52)*V54,0)</f>
        <v>0</v>
      </c>
      <c r="V62" s="510">
        <f ca="1">(V$60=$B$9)*V54+((V$60-V$52)/(W$52-V$52)*W54+(V$52-U$60)/(V$52-U$52)*V54)*(V$60&gt;$B$10)+IF(V$60=$B$10,SUM($F54:U54)-SUM($F62:U62)+V54+(V$60-V$52)/(W$52-V$52)*W54,0)</f>
        <v>0</v>
      </c>
      <c r="W62" s="510">
        <f ca="1">(W$60=$B$9)*W54+((W$60-W$52)/(X$52-W$52)*X54+(W$52-V$60)/(W$52-V$52)*W54)*(W$60&gt;$B$10)+IF(W$60=$B$10,SUM($F54:V54)-SUM($F62:V62)+W54+(W$60-W$52)/(X$52-W$52)*X54,0)</f>
        <v>0</v>
      </c>
      <c r="X62" s="510">
        <f ca="1">(X$60=$B$9)*X54+((X$60-X$52)/(Y$52-X$52)*Y54+(X$52-W$60)/(X$52-W$52)*X54)*(X$60&gt;$B$10)+IF(X$60=$B$10,SUM($F54:W54)-SUM($F62:W62)+X54+(X$60-X$52)/(Y$52-X$52)*Y54,0)</f>
        <v>0</v>
      </c>
      <c r="Y62" s="510">
        <f ca="1">(Y$60=$B$9)*Y54+((Y$60-Y$52)/(Z$52-Y$52)*Z54+(Y$52-X$60)/(Y$52-X$52)*Y54)*(Y$60&gt;$B$10)+IF(Y$60=$B$10,SUM($F54:X54)-SUM($F62:X62)+Y54+(Y$60-Y$52)/(Z$52-Y$52)*Z54,0)</f>
        <v>0</v>
      </c>
      <c r="Z62" s="510">
        <f ca="1">(Z$60=$B$9)*Z54+((Z$60-Z$52)/(AA$52-Z$52)*AA54+(Z$52-Y$60)/(Z$52-Y$52)*Z54)*(Z$60&gt;$B$10)+IF(Z$60=$B$10,SUM($F54:Y54)-SUM($F62:Y62)+Z54+(Z$60-Z$52)/(AA$52-Z$52)*AA54,0)</f>
        <v>0</v>
      </c>
      <c r="AA62" s="510">
        <f ca="1">(AA$60=$B$9)*AA54+((AA$60-AA$52)/(AB$52-AA$52)*AB54+(AA$52-Z$60)/(AA$52-Z$52)*AA54)*(AA$60&gt;$B$10)+IF(AA$60=$B$10,SUM($F54:Z54)-SUM($F62:Z62)+AA54+(AA$60-AA$52)/(AB$52-AA$52)*AB54,0)</f>
        <v>0</v>
      </c>
      <c r="AB62" s="510">
        <f ca="1">(AB$60=$B$9)*AB54+((AB$60-AB$52)/(AC$52-AB$52)*AC54+(AB$52-AA$60)/(AB$52-AA$52)*AB54)*(AB$60&gt;$B$10)+IF(AB$60=$B$10,SUM($F54:AA54)-SUM($F62:AA62)+AB54+(AB$60-AB$52)/(AC$52-AB$52)*AC54,0)</f>
        <v>0</v>
      </c>
      <c r="AC62" s="510">
        <f ca="1">(AC$60=$B$9)*AC54+((AC$60-AC$52)/(AD$52-AC$52)*AD54+(AC$52-AB$60)/(AC$52-AB$52)*AC54)*(AC$60&gt;$B$10)+IF(AC$60=$B$10,SUM($F54:AB54)-SUM($F62:AB62)+AC54+(AC$60-AC$52)/(AD$52-AC$52)*AD54,0)</f>
        <v>0</v>
      </c>
      <c r="AD62" s="510">
        <f ca="1">(AD$60=$B$9)*AD54+((AD$60-AD$52)/(AE$52-AD$52)*AE54+(AD$52-AC$60)/(AD$52-AC$52)*AD54)*(AD$60&gt;$B$10)+IF(AD$60=$B$10,SUM($F54:AC54)-SUM($F62:AC62)+AD54+(AD$60-AD$52)/(AE$52-AD$52)*AE54,0)</f>
        <v>0</v>
      </c>
      <c r="AE62" s="510">
        <f ca="1">(AE$60=$B$9)*AE54+((AE$60-AE$52)/(AF$52-AE$52)*AF54+(AE$52-AD$60)/(AE$52-AD$52)*AE54)*(AE$60&gt;$B$10)+IF(AE$60=$B$10,SUM($F54:AD54)-SUM($F62:AD62)+AE54+(AE$60-AE$52)/(AF$52-AE$52)*AF54,0)</f>
        <v>0</v>
      </c>
      <c r="AF62" s="510">
        <f ca="1">(AF$60=$B$9)*AF54+((AF$60-AF$52)/(AG$52-AF$52)*AG54+(AF$52-AE$60)/(AF$52-AE$52)*AF54)*(AF$60&gt;$B$10)+IF(AF$60=$B$10,SUM($F54:AE54)-SUM($F62:AE62)+AF54+(AF$60-AF$52)/(AG$52-AF$52)*AG54,0)</f>
        <v>0</v>
      </c>
      <c r="AG62" s="510">
        <f ca="1">(AG$60=$B$9)*AG54+((AG$60-AG$52)/(AH$52-AG$52)*AH54+(AG$52-AF$60)/(AG$52-AF$52)*AG54)*(AG$60&gt;$B$10)+IF(AG$60=$B$10,SUM($F54:AF54)-SUM($F62:AF62)+AG54+(AG$60-AG$52)/(AH$52-AG$52)*AH54,0)</f>
        <v>0</v>
      </c>
      <c r="AH62" s="510">
        <f ca="1">(AH$60=$B$9)*AH54+((AH$60-AH$52)/(AI$52-AH$52)*AI54+(AH$52-AG$60)/(AH$52-AG$52)*AH54)*(AH$60&gt;$B$10)+IF(AH$60=$B$10,SUM($F54:AG54)-SUM($F62:AG62)+AH54+(AH$60-AH$52)/(AI$52-AH$52)*AI54,0)</f>
        <v>0</v>
      </c>
      <c r="AI62" s="510">
        <f ca="1">(AI$60=$B$9)*AI54+((AI$60-AI$52)/(AJ$52-AI$52)*AJ54+(AI$52-AH$60)/(AI$52-AH$52)*AI54)*(AI$60&gt;$B$10)+IF(AI$60=$B$10,SUM($F54:AH54)-SUM($F62:AH62)+AI54+(AI$60-AI$52)/(AJ$52-AI$52)*AJ54,0)</f>
        <v>0</v>
      </c>
      <c r="AJ62" s="510">
        <f ca="1">(AJ$60=$B$9)*AJ54+((AJ$60-AJ$52)/(AK$52-AJ$52)*AK54+(AJ$52-AI$60)/(AJ$52-AI$52)*AJ54)*(AJ$60&gt;$B$10)+IF(AJ$60=$B$10,SUM($F54:AI54)-SUM($F62:AI62)+AJ54+(AJ$60-AJ$52)/(AK$52-AJ$52)*AK54,0)</f>
        <v>0</v>
      </c>
      <c r="AK62" s="510">
        <f ca="1">(AK$60=$B$9)*AK54+((AK$60-AK$52)/(AL$52-AK$52)*AL54+(AK$52-AJ$60)/(AK$52-AJ$52)*AK54)*(AK$60&gt;$B$10)+IF(AK$60=$B$10,SUM($F54:AJ54)-SUM($F62:AJ62)+AK54+(AK$60-AK$52)/(AL$52-AK$52)*AL54,0)</f>
        <v>0</v>
      </c>
      <c r="AL62" s="510">
        <f ca="1">(AL$60=$B$9)*AL54+((AL$60-AL$52)/(AM$52-AL$52)*AM54+(AL$52-AK$60)/(AL$52-AK$52)*AL54)*(AL$60&gt;$B$10)+IF(AL$60=$B$10,SUM($F54:AK54)-SUM($F62:AK62)+AL54+(AL$60-AL$52)/(AM$52-AL$52)*AM54,0)</f>
        <v>0</v>
      </c>
      <c r="AM62" s="510">
        <f ca="1">(AM$60=$B$9)*AM54+((AM$60-AM$52)/(AN$52-AM$52)*AN54+(AM$52-AL$60)/(AM$52-AL$52)*AM54)*(AM$60&gt;$B$10)+IF(AM$60=$B$10,SUM($F54:AL54)-SUM($F62:AL62)+AM54+(AM$60-AM$52)/(AN$52-AM$52)*AN54,0)</f>
        <v>0</v>
      </c>
      <c r="AN62" s="510">
        <f ca="1">(AN$60=$B$9)*AN54+((AN$60-AN$52)/(AO$52-AN$52)*AO54+(AN$52-AM$60)/(AN$52-AM$52)*AN54)*(AN$60&gt;$B$10)+IF(AN$60=$B$10,SUM($F54:AM54)-SUM($F62:AM62)+AN54+(AN$60-AN$52)/(AO$52-AN$52)*AO54,0)</f>
        <v>0</v>
      </c>
      <c r="AO62" s="510">
        <f ca="1">(AO$60=$B$9)*AO54+((AO$60-AO$52)/(AP$52-AO$52)*AP54+(AO$52-AN$60)/(AO$52-AN$52)*AO54)*(AO$60&gt;$B$10)+IF(AO$60=$B$10,SUM($F54:AN54)-SUM($F62:AN62)+AO54+(AO$60-AO$52)/(AP$52-AO$52)*AP54,0)</f>
        <v>0</v>
      </c>
      <c r="AP62" s="510">
        <f ca="1">(AP$60=$B$9)*AP54+((AP$60-AP$52)/(AQ$52-AP$52)*AQ54+(AP$52-AO$60)/(AP$52-AO$52)*AP54)*(AP$60&gt;$B$10)+IF(AP$60=$B$10,SUM($F54:AO54)-SUM($F62:AO62)+AP54+(AP$60-AP$52)/(AQ$52-AP$52)*AQ54,0)</f>
        <v>0</v>
      </c>
      <c r="AQ62" s="510">
        <f ca="1">(AQ$60=$B$9)*AQ54+((AQ$60-AQ$52)/(AR$52-AQ$52)*AR54+(AQ$52-AP$60)/(AQ$52-AP$52)*AQ54)*(AQ$60&gt;$B$10)+IF(AQ$60=$B$10,SUM($F54:AP54)-SUM($F62:AP62)+AQ54+(AQ$60-AQ$52)/(AR$52-AQ$52)*AR54,0)</f>
        <v>0</v>
      </c>
      <c r="AR62" s="510">
        <f ca="1">(AR$60=$B$9)*AR54+((AR$60-AR$52)/(AS$52-AR$52)*AS54+(AR$52-AQ$60)/(AR$52-AQ$52)*AR54)*(AR$60&gt;$B$10)+IF(AR$60=$B$10,SUM($F54:AQ54)-SUM($F62:AQ62)+AR54+(AR$60-AR$52)/(AS$52-AR$52)*AS54,0)</f>
        <v>0</v>
      </c>
      <c r="AS62" s="510">
        <f ca="1">(AS$60=$B$9)*AS54+((AS$60-AS$52)/(AT$52-AS$52)*AT54+(AS$52-AR$60)/(AS$52-AR$52)*AS54)*(AS$60&gt;$B$10)+IF(AS$60=$B$10,SUM($F54:AR54)-SUM($F62:AR62)+AS54+(AS$60-AS$52)/(AT$52-AS$52)*AT54,0)</f>
        <v>0</v>
      </c>
      <c r="AT62" s="510">
        <f ca="1">(AT$60=$B$9)*AT54+((AT$60-AT$52)/(AU$52-AT$52)*AU54+(AT$52-AS$60)/(AT$52-AS$52)*AT54)*(AT$60&gt;$B$10)+IF(AT$60=$B$10,SUM($F54:AS54)-SUM($F62:AS62)+AT54+(AT$60-AT$52)/(AU$52-AT$52)*AU54,0)</f>
        <v>0</v>
      </c>
      <c r="AU62" s="510">
        <f ca="1">(AU$60=$B$9)*AU54+((AU$60-AU$52)/(AV$52-AU$52)*AV54+(AU$52-AT$60)/(AU$52-AT$52)*AU54)*(AU$60&gt;$B$10)+IF(AU$60=$B$10,SUM($F54:AT54)-SUM($F62:AT62)+AU54+(AU$60-AU$52)/(AV$52-AU$52)*AV54,0)</f>
        <v>0</v>
      </c>
      <c r="AV62" s="510">
        <f ca="1">(AV$60=$B$9)*AV54+((AV$60-AV$52)/(AW$52-AV$52)*AW54+(AV$52-AU$60)/(AV$52-AU$52)*AV54)*(AV$60&gt;$B$10)+IF(AV$60=$B$10,SUM($F54:AU54)-SUM($F62:AU62)+AV54+(AV$60-AV$52)/(AW$52-AV$52)*AW54,0)</f>
        <v>0</v>
      </c>
      <c r="AW62" s="510">
        <f ca="1">(AW$60=$B$9)*AW54+((AW$60-AW$52)/(AX$52-AW$52)*AX54+(AW$52-AV$60)/(AW$52-AV$52)*AW54)*(AW$60&gt;$B$10)+IF(AW$60=$B$10,SUM($F54:AV54)-SUM($F62:AV62)+AW54+(AW$60-AW$52)/(AX$52-AW$52)*AX54,0)</f>
        <v>0</v>
      </c>
      <c r="AX62" s="510">
        <f ca="1">(AX$60=$B$9)*AX54+((AX$60-AX$52)/(AY$52-AX$52)*AY54+(AX$52-AW$60)/(AX$52-AW$52)*AX54)*(AX$60&gt;$B$10)+IF(AX$60=$B$10,SUM($F54:AW54)-SUM($F62:AW62)+AX54+(AX$60-AX$52)/(AY$52-AX$52)*AY54,0)</f>
        <v>0</v>
      </c>
      <c r="AY62" s="510">
        <f ca="1">(AY$60=$B$9)*AY54+((AY$60-AY$52)/(AZ$52-AY$52)*AZ54+(AY$52-AX$60)/(AY$52-AX$52)*AY54)*(AY$60&gt;$B$10)+IF(AY$60=$B$10,SUM($F54:AX54)-SUM($F62:AX62)+AY54+(AY$60-AY$52)/(AZ$52-AY$52)*AZ54,0)</f>
        <v>0</v>
      </c>
      <c r="AZ62" s="510">
        <f ca="1">(AZ$60=$B$9)*AZ54+((AZ$60-AZ$52)/(BA$52-AZ$52)*BA54+(AZ$52-AY$60)/(AZ$52-AY$52)*AZ54)*(AZ$60&gt;$B$10)+IF(AZ$60=$B$10,SUM($F54:AY54)-SUM($F62:AY62)+AZ54+(AZ$60-AZ$52)/(BA$52-AZ$52)*BA54,0)</f>
        <v>0</v>
      </c>
      <c r="BA62" s="510">
        <f ca="1">(BA$60=$B$9)*BA54+((BA$60-BA$52)/(BB$52-BA$52)*BB54+(BA$52-AZ$60)/(BA$52-AZ$52)*BA54)*(BA$60&gt;$B$10)+IF(BA$60=$B$10,SUM($F54:AZ54)-SUM($F62:AZ62)+BA54+(BA$60-BA$52)/(BB$52-BA$52)*BB54,0)</f>
        <v>0</v>
      </c>
      <c r="BB62" s="510">
        <f ca="1">(BB$60=$B$9)*BB54+((BB$60-BB$52)/(BC$52-BB$52)*BC54+(BB$52-BA$60)/(BB$52-BA$52)*BB54)*(BB$60&gt;$B$10)+IF(BB$60=$B$10,SUM($F54:BA54)-SUM($F62:BA62)+BB54+(BB$60-BB$52)/(BC$52-BB$52)*BC54,0)</f>
        <v>0</v>
      </c>
      <c r="BC62" s="510">
        <f ca="1">(BC$60=$B$9)*BC54+((BC$60-BC$52)/(BD$52-BC$52)*BD54+(BC$52-BB$60)/(BC$52-BB$52)*BC54)*(BC$60&gt;$B$10)+IF(BC$60=$B$10,SUM($F54:BB54)-SUM($F62:BB62)+BC54+(BC$60-BC$52)/(BD$52-BC$52)*BD54,0)</f>
        <v>0</v>
      </c>
      <c r="BD62" s="510">
        <f ca="1">(BD$60=$B$9)*BD54+((BD$60-BD$52)/(BE$52-BD$52)*BE54+(BD$52-BC$60)/(BD$52-BC$52)*BD54)*(BD$60&gt;$B$10)+IF(BD$60=$B$10,SUM($F54:BC54)-SUM($F62:BC62)+BD54+(BD$60-BD$52)/(BE$52-BD$52)*BE54,0)</f>
        <v>0</v>
      </c>
      <c r="BE62" s="510">
        <f ca="1">(BE$60=$B$9)*BE54+((BE$60-BE$52)/(BF$52-BE$52)*BF54+(BE$52-BD$60)/(BE$52-BD$52)*BE54)*(BE$60&gt;$B$10)+IF(BE$60=$B$10,SUM($F54:BD54)-SUM($F62:BD62)+BE54+(BE$60-BE$52)/(BF$52-BE$52)*BF54,0)</f>
        <v>0</v>
      </c>
      <c r="BF62" s="510">
        <f ca="1">(BF$60=$B$9)*BF54+((BF$60-BF$52)/(BG$52-BF$52)*BG54+(BF$52-BE$60)/(BF$52-BE$52)*BF54)*(BF$60&gt;$B$10)+IF(BF$60=$B$10,SUM($F54:BE54)-SUM($F62:BE62)+BF54+(BF$60-BF$52)/(BG$52-BF$52)*BG54,0)</f>
        <v>0</v>
      </c>
      <c r="BG62" s="510">
        <f ca="1">(BG$60=$B$9)*BG54+((BG$60-BG$52)/(BH$52-BG$52)*BH54+(BG$52-BF$60)/(BG$52-BF$52)*BG54)*(BG$60&gt;$B$10)+IF(BG$60=$B$10,SUM($F54:BF54)-SUM($F62:BF62)+BG54+(BG$60-BG$52)/(BH$52-BG$52)*BH54,0)</f>
        <v>0</v>
      </c>
      <c r="BH62" s="510">
        <f ca="1">(BH$60=$B$9)*BH54+((BH$60-BH$52)/(BI$52-BH$52)*BI54+(BH$52-BG$60)/(BH$52-BG$52)*BH54)*(BH$60&gt;$B$10)+IF(BH$60=$B$10,SUM($F54:BG54)-SUM($F62:BG62)+BH54+(BH$60-BH$52)/(BI$52-BH$52)*BI54,0)</f>
        <v>0</v>
      </c>
      <c r="BI62" s="510">
        <f ca="1">(BI$60=$B$9)*BI54+((BI$60-BI$52)/(BJ$52-BI$52)*BJ54+(BI$52-BH$60)/(BI$52-BH$52)*BI54)*(BI$60&gt;$B$10)+IF(BI$60=$B$10,SUM($F54:BH54)-SUM($F62:BH62)+BI54+(BI$60-BI$52)/(BJ$52-BI$52)*BJ54,0)</f>
        <v>0</v>
      </c>
      <c r="BJ62" s="510">
        <f ca="1">(BJ$60=$B$9)*BJ54+((BJ$60-BJ$52)/(BK$52-BJ$52)*BK54+(BJ$52-BI$60)/(BJ$52-BI$52)*BJ54)*(BJ$60&gt;$B$10)+IF(BJ$60=$B$10,SUM($F54:BI54)-SUM($F62:BI62)+BJ54+(BJ$60-BJ$52)/(BK$52-BJ$52)*BK54,0)</f>
        <v>0</v>
      </c>
      <c r="BK62" s="510">
        <f ca="1">(BK$60=$B$9)*BK54+((BK$60-BK$52)/(BL$52-BK$52)*BL54+(BK$52-BJ$60)/(BK$52-BJ$52)*BK54)*(BK$60&gt;$B$10)+IF(BK$60=$B$10,SUM($F54:BJ54)-SUM($F62:BJ62)+BK54+(BK$60-BK$52)/(BL$52-BK$52)*BL54,0)</f>
        <v>0</v>
      </c>
      <c r="BL62" s="510">
        <f ca="1">(BL$60=$B$9)*BL54+((BL$60-BL$52)/(BM$52-BL$52)*BM54+(BL$52-BK$60)/(BL$52-BK$52)*BL54)*(BL$60&gt;$B$10)+IF(BL$60=$B$10,SUM($F54:BK54)-SUM($F62:BK62)+BL54+(BL$60-BL$52)/(BM$52-BL$52)*BM54,0)</f>
        <v>0</v>
      </c>
      <c r="BM62" s="510">
        <f ca="1">(BM$60=$B$9)*BM54+((BM$60-BM$52)/(BN$52-BM$52)*BN54+(BM$52-BL$60)/(BM$52-BL$52)*BM54)*(BM$60&gt;$B$10)+IF(BM$60=$B$10,SUM($F54:BL54)-SUM($F62:BL62)+BM54+(BM$60-BM$52)/(BN$52-BM$52)*BN54,0)</f>
        <v>0</v>
      </c>
      <c r="BN62" s="510">
        <f ca="1">(BN$60=$B$9)*BN54+((BN$60-BN$52)/(BO$52-BN$52)*BO54+(BN$52-BM$60)/(BN$52-BM$52)*BN54)*(BN$60&gt;$B$10)+IF(BN$60=$B$10,SUM($F54:BM54)-SUM($F62:BM62)+BN54+(BN$60-BN$52)/(BO$52-BN$52)*BO54,0)</f>
        <v>0</v>
      </c>
      <c r="BO62" s="510">
        <f ca="1">(BO$60=$B$9)*BO54+((BO$60-BO$52)/(BP$52-BO$52)*BP54+(BO$52-BN$60)/(BO$52-BN$52)*BO54)*(BO$60&gt;$B$10)+IF(BO$60=$B$10,SUM($F54:BN54)-SUM($F62:BN62)+BO54+(BO$60-BO$52)/(BP$52-BO$52)*BP54,0)</f>
        <v>0</v>
      </c>
      <c r="BP62" s="510">
        <f ca="1">(BP$60=$B$9)*BP54+((BP$60-BP$52)/(BQ$52-BP$52)*BQ54+(BP$52-BO$60)/(BP$52-BO$52)*BP54)*(BP$60&gt;$B$10)+IF(BP$60=$B$10,SUM($F54:BO54)-SUM($F62:BO62)+BP54+(BP$60-BP$52)/(BQ$52-BP$52)*BQ54,0)</f>
        <v>0</v>
      </c>
      <c r="BQ62" s="510">
        <f ca="1">(BQ$60=$B$9)*BQ54+((BQ$60-BQ$52)/(BR$52-BQ$52)*BR54+(BQ$52-BP$60)/(BQ$52-BP$52)*BQ54)*(BQ$60&gt;$B$10)+IF(BQ$60=$B$10,SUM($F54:BP54)-SUM($F62:BP62)+BQ54+(BQ$60-BQ$52)/(BR$52-BQ$52)*BR54,0)</f>
        <v>0</v>
      </c>
      <c r="BR62" s="510">
        <f ca="1">(BR$60=$B$9)*BR54+((BR$60-BR$52)/(BS$52-BR$52)*BS54+(BR$52-BQ$60)/(BR$52-BQ$52)*BR54)*(BR$60&gt;$B$10)+IF(BR$60=$B$10,SUM($F54:BQ54)-SUM($F62:BQ62)+BR54+(BR$60-BR$52)/(BS$52-BR$52)*BS54,0)</f>
        <v>0</v>
      </c>
      <c r="BS62" s="510">
        <f ca="1">(BS$60=$B$9)*BS54+((BS$60-BS$52)/(BT$52-BS$52)*BT54+(BS$52-BR$60)/(BS$52-BR$52)*BS54)*(BS$60&gt;$B$10)+IF(BS$60=$B$10,SUM($F54:BR54)-SUM($F62:BR62)+BS54+(BS$60-BS$52)/(BT$52-BS$52)*BT54,0)</f>
        <v>0</v>
      </c>
      <c r="BT62" s="510">
        <f ca="1">(BT$60=$B$9)*BT54+((BT$60-BT$52)/(BU$52-BT$52)*BU54+(BT$52-BS$60)/(BT$52-BS$52)*BT54)*(BT$60&gt;$B$10)+IF(BT$60=$B$10,SUM($F54:BS54)-SUM($F62:BS62)+BT54+(BT$60-BT$52)/(BU$52-BT$52)*BU54,0)</f>
        <v>0</v>
      </c>
      <c r="BU62" s="510">
        <f ca="1">(BU$60=$B$9)*BU54+((BU$60-BU$52)/(BV$52-BU$52)*BV54+(BU$52-BT$60)/(BU$52-BT$52)*BU54)*(BU$60&gt;$B$10)+IF(BU$60=$B$10,SUM($F54:BT54)-SUM($F62:BT62)+BU54+(BU$60-BU$52)/(BV$52-BU$52)*BV54,0)</f>
        <v>0</v>
      </c>
      <c r="BV62" s="510">
        <f ca="1">(BV$60=$B$9)*BV54+((BV$60-BV$52)/(BW$52-BV$52)*BW54+(BV$52-BU$60)/(BV$52-BU$52)*BV54)*(BV$60&gt;$B$10)+IF(BV$60=$B$10,SUM($F54:BU54)-SUM($F62:BU62)+BV54+(BV$60-BV$52)/(BW$52-BV$52)*BW54,0)</f>
        <v>0</v>
      </c>
      <c r="BW62" s="510">
        <f ca="1">(BW$60=$B$9)*BW54+((BW$60-BW$52)/(BX$52-BW$52)*BX54+(BW$52-BV$60)/(BW$52-BV$52)*BW54)*(BW$60&gt;$B$10)+IF(BW$60=$B$10,SUM($F54:BV54)-SUM($F62:BV62)+BW54+(BW$60-BW$52)/(BX$52-BW$52)*BX54,0)</f>
        <v>0</v>
      </c>
      <c r="BX62" s="510">
        <f ca="1">(BX$60=$B$9)*BX54+((BX$60-BX$52)/(BY$52-BX$52)*BY54+(BX$52-BW$60)/(BX$52-BW$52)*BX54)*(BX$60&gt;$B$10)+IF(BX$60=$B$10,SUM($F54:BW54)-SUM($F62:BW62)+BX54+(BX$60-BX$52)/(BY$52-BX$52)*BY54,0)</f>
        <v>0</v>
      </c>
      <c r="BY62" s="510">
        <f ca="1">(BY$60=$B$9)*BY54+((BY$60-BY$52)/(BZ$52-BY$52)*BZ54+(BY$52-BX$60)/(BY$52-BX$52)*BY54)*(BY$60&gt;$B$10)+IF(BY$60=$B$10,SUM($F54:BX54)-SUM($F62:BX62)+BY54+(BY$60-BY$52)/(BZ$52-BY$52)*BZ54,0)</f>
        <v>0</v>
      </c>
      <c r="BZ62" s="510">
        <f ca="1">(BZ$60=$B$9)*BZ54+((BZ$60-BZ$52)/(CA$52-BZ$52)*CA54+(BZ$52-BY$60)/(BZ$52-BY$52)*BZ54)*(BZ$60&gt;$B$10)+IF(BZ$60=$B$10,SUM($F54:BY54)-SUM($F62:BY62)+BZ54+(BZ$60-BZ$52)/(CA$52-BZ$52)*CA54,0)</f>
        <v>0</v>
      </c>
      <c r="CA62" s="510">
        <f ca="1">(CA$60=$B$9)*CA54+((CA$60-CA$52)/(CB$52-CA$52)*CB54+(CA$52-BZ$60)/(CA$52-BZ$52)*CA54)*(CA$60&gt;$B$10)+IF(CA$60=$B$10,SUM($F54:BZ54)-SUM($F62:BZ62)+CA54+(CA$60-CA$52)/(CB$52-CA$52)*CB54,0)</f>
        <v>0</v>
      </c>
      <c r="CB62" s="510">
        <f ca="1">(CB$60=$B$9)*CB54+((CB$60-CB$52)/(CC$52-CB$52)*CC54+(CB$52-CA$60)/(CB$52-CA$52)*CB54)*(CB$60&gt;$B$10)+IF(CB$60=$B$10,SUM($F54:CA54)-SUM($F62:CA62)+CB54+(CB$60-CB$52)/(CC$52-CB$52)*CC54,0)</f>
        <v>0</v>
      </c>
      <c r="CC62" s="510">
        <f ca="1">(CC$60=$B$9)*CC54+((CC$60-CC$52)/(CD$52-CC$52)*CD54+(CC$52-CB$60)/(CC$52-CB$52)*CC54)*(CC$60&gt;$B$10)+IF(CC$60=$B$10,SUM($F54:CB54)-SUM($F62:CB62)+CC54+(CC$60-CC$52)/(CD$52-CC$52)*CD54,0)</f>
        <v>0</v>
      </c>
      <c r="CD62" s="510">
        <f ca="1">(CD$60=$B$9)*CD54+((CD$60-CD$52)/(CE$52-CD$52)*CE54+(CD$52-CC$60)/(CD$52-CC$52)*CD54)*(CD$60&gt;$B$10)+IF(CD$60=$B$10,SUM($F54:CC54)-SUM($F62:CC62)+CD54+(CD$60-CD$52)/(CE$52-CD$52)*CE54,0)</f>
        <v>0</v>
      </c>
      <c r="CE62" s="510">
        <f ca="1">(CE$60=$B$9)*CE54+((CE$60-CE$52)/(CF$52-CE$52)*CF54+(CE$52-CD$60)/(CE$52-CD$52)*CE54)*(CE$60&gt;$B$10)+IF(CE$60=$B$10,SUM($F54:CD54)-SUM($F62:CD62)+CE54+(CE$60-CE$52)/(CF$52-CE$52)*CF54,0)</f>
        <v>0</v>
      </c>
      <c r="CF62" s="510">
        <f ca="1">(CF$60=$B$9)*CF54+((CF$60-CF$52)/(CG$52-CF$52)*CG54+(CF$52-CE$60)/(CF$52-CE$52)*CF54)*(CF$60&gt;$B$10)+IF(CF$60=$B$10,SUM($F54:CE54)-SUM($F62:CE62)+CF54+(CF$60-CF$52)/(CG$52-CF$52)*CG54,0)</f>
        <v>0</v>
      </c>
      <c r="CG62" s="510">
        <f ca="1">(CG$60=$B$9)*CG54+((CG$60-CG$52)/(CH$52-CG$52)*CH54+(CG$52-CF$60)/(CG$52-CF$52)*CG54)*(CG$60&gt;$B$10)+IF(CG$60=$B$10,SUM($F54:CF54)-SUM($F62:CF62)+CG54+(CG$60-CG$52)/(CH$52-CG$52)*CH54,0)</f>
        <v>0</v>
      </c>
      <c r="CH62" s="510">
        <f ca="1">(CH$60=$B$9)*CH54+((CH$60-CH$52)/(CI$52-CH$52)*CI54+(CH$52-CG$60)/(CH$52-CG$52)*CH54)*(CH$60&gt;$B$10)+IF(CH$60=$B$10,SUM($F54:CG54)-SUM($F62:CG62)+CH54+(CH$60-CH$52)/(CI$52-CH$52)*CI54,0)</f>
        <v>0</v>
      </c>
      <c r="CI62" s="510">
        <f ca="1">(CI$60=$B$9)*CI54+((CI$60-CI$52)/(CJ$52-CI$52)*CJ54+(CI$52-CH$60)/(CI$52-CH$52)*CI54)*(CI$60&gt;$B$10)+IF(CI$60=$B$10,SUM($F54:CH54)-SUM($F62:CH62)+CI54+(CI$60-CI$52)/(CJ$52-CI$52)*CJ54,0)</f>
        <v>0</v>
      </c>
      <c r="CJ62" s="510">
        <f ca="1">(CJ$60=$B$9)*CJ54+((CJ$60-CJ$52)/(CK$52-CJ$52)*CK54+(CJ$52-CI$60)/(CJ$52-CI$52)*CJ54)*(CJ$60&gt;$B$10)+IF(CJ$60=$B$10,SUM($F54:CI54)-SUM($F62:CI62)+CJ54+(CJ$60-CJ$52)/(CK$52-CJ$52)*CK54,0)</f>
        <v>0</v>
      </c>
      <c r="CK62" s="510">
        <f ca="1">(CK$60=$B$9)*CK54+((CK$60-CK$52)/(CL$52-CK$52)*CL54+(CK$52-CJ$60)/(CK$52-CJ$52)*CK54)*(CK$60&gt;$B$10)+IF(CK$60=$B$10,SUM($F54:CJ54)-SUM($F62:CJ62)+CK54+(CK$60-CK$52)/(CL$52-CK$52)*CL54,0)</f>
        <v>0</v>
      </c>
      <c r="CL62" s="510">
        <f ca="1">(CL$60=$B$9)*CL54+((CL$60-CL$52)/(CM$52-CL$52)*CM54+(CL$52-CK$60)/(CL$52-CK$52)*CL54)*(CL$60&gt;$B$10)+IF(CL$60=$B$10,SUM($F54:CK54)-SUM($F62:CK62)+CL54+(CL$60-CL$52)/(CM$52-CL$52)*CM54,0)</f>
        <v>0</v>
      </c>
      <c r="CM62" s="510">
        <f ca="1">(CM$60=$B$9)*CM54+((CM$60-CM$52)/(CN$52-CM$52)*CN54+(CM$52-CL$60)/(CM$52-CL$52)*CM54)*(CM$60&gt;$B$10)+IF(CM$60=$B$10,SUM($F54:CL54)-SUM($F62:CL62)+CM54+(CM$60-CM$52)/(CN$52-CM$52)*CN54,0)</f>
        <v>0</v>
      </c>
      <c r="CN62" s="510">
        <f ca="1">(CN$60=$B$9)*CN54+((CN$60-CN$52)/(CO$52-CN$52)*CO54+(CN$52-CM$60)/(CN$52-CM$52)*CN54)*(CN$60&gt;$B$10)+IF(CN$60=$B$10,SUM($F54:CM54)-SUM($F62:CM62)+CN54+(CN$60-CN$52)/(CO$52-CN$52)*CO54,0)</f>
        <v>0</v>
      </c>
      <c r="CO62" s="510">
        <f ca="1">(CO$60=$B$9)*CO54+((CO$60-CO$52)/(CP$52-CO$52)*CP54+(CO$52-CN$60)/(CO$52-CN$52)*CO54)*(CO$60&gt;$B$10)+IF(CO$60=$B$10,SUM($F54:CN54)-SUM($F62:CN62)+CO54+(CO$60-CO$52)/(CP$52-CO$52)*CP54,0)</f>
        <v>0</v>
      </c>
      <c r="CP62" s="510">
        <f ca="1">(CP$60=$B$9)*CP54+((CP$60-CP$52)/(CQ$52-CP$52)*CQ54+(CP$52-CO$60)/(CP$52-CO$52)*CP54)*(CP$60&gt;$B$10)+IF(CP$60=$B$10,SUM($F54:CO54)-SUM($F62:CO62)+CP54+(CP$60-CP$52)/(CQ$52-CP$52)*CQ54,0)</f>
        <v>0</v>
      </c>
      <c r="CQ62" s="510">
        <f ca="1">(CQ$60=$B$9)*CQ54+((CQ$60-CQ$52)/(CR$52-CQ$52)*CR54+(CQ$52-CP$60)/(CQ$52-CP$52)*CQ54)*(CQ$60&gt;$B$10)+IF(CQ$60=$B$10,SUM($F54:CP54)-SUM($F62:CP62)+CQ54+(CQ$60-CQ$52)/(CR$52-CQ$52)*CR54,0)</f>
        <v>0</v>
      </c>
      <c r="CR62" s="510">
        <f ca="1">(CR$60=$B$9)*CR54+((CR$60-CR$52)/(CS$52-CR$52)*CS54+(CR$52-CQ$60)/(CR$52-CQ$52)*CR54)*(CR$60&gt;$B$10)+IF(CR$60=$B$10,SUM($F54:CQ54)-SUM($F62:CQ62)+CR54+(CR$60-CR$52)/(CS$52-CR$52)*CS54,0)</f>
        <v>0</v>
      </c>
      <c r="CS62" s="510">
        <f ca="1">(CS$60=$B$9)*CS54+((CS$60-CS$52)/(CT$52-CS$52)*CT54+(CS$52-CR$60)/(CS$52-CR$52)*CS54)*(CS$60&gt;$B$10)+IF(CS$60=$B$10,SUM($F54:CR54)-SUM($F62:CR62)+CS54+(CS$60-CS$52)/(CT$52-CS$52)*CT54,0)</f>
        <v>0</v>
      </c>
      <c r="CT62" s="510">
        <f ca="1">(CT$60=$B$9)*CT54+((CT$60-CT$52)/(CU$52-CT$52)*CU54+(CT$52-CS$60)/(CT$52-CS$52)*CT54)*(CT$60&gt;$B$10)+IF(CT$60=$B$10,SUM($F54:CS54)-SUM($F62:CS62)+CT54+(CT$60-CT$52)/(CU$52-CT$52)*CU54,0)</f>
        <v>0</v>
      </c>
      <c r="CU62" s="510">
        <f ca="1">(CU$60=$B$9)*CU54+((CU$60-CU$52)/(CV$52-CU$52)*CV54+(CU$52-CT$60)/(CU$52-CT$52)*CU54)*(CU$60&gt;$B$10)+IF(CU$60=$B$10,SUM($F54:CT54)-SUM($F62:CT62)+CU54+(CU$60-CU$52)/(CV$52-CU$52)*CV54,0)</f>
        <v>0</v>
      </c>
      <c r="CV62" s="510">
        <f ca="1">(CV$60=$B$9)*CV54+((CV$60-CV$52)/(CW$52-CV$52)*CW54+(CV$52-CU$60)/(CV$52-CU$52)*CV54)*(CV$60&gt;$B$10)+IF(CV$60=$B$10,SUM($F54:CU54)-SUM($F62:CU62)+CV54+(CV$60-CV$52)/(CW$52-CV$52)*CW54,0)</f>
        <v>0</v>
      </c>
      <c r="CW62" s="510">
        <f ca="1">(CW$60=$B$9)*CW54+((CW$60-CW$52)/(CX$52-CW$52)*CX54+(CW$52-CV$60)/(CW$52-CV$52)*CW54)*(CW$60&gt;$B$10)+IF(CW$60=$B$10,SUM($F54:CV54)-SUM($F62:CV62)+CW54+(CW$60-CW$52)/(CX$52-CW$52)*CX54,0)</f>
        <v>0</v>
      </c>
      <c r="CX62" s="510">
        <f ca="1">(CX$60=$B$9)*CX54+((CX$60-CX$52)/(CY$52-CX$52)*CY54+(CX$52-CW$60)/(CX$52-CW$52)*CX54)*(CX$60&gt;$B$10)+IF(CX$60=$B$10,SUM($F54:CW54)-SUM($F62:CW62)+CX54+(CX$60-CX$52)/(CY$52-CX$52)*CY54,0)</f>
        <v>0</v>
      </c>
      <c r="CY62" s="510">
        <f ca="1">(CY$60=$B$9)*CY54+((CY$60-CY$52)/(CZ$52-CY$52)*CZ54+(CY$52-CX$60)/(CY$52-CX$52)*CY54)*(CY$60&gt;$B$10)+IF(CY$60=$B$10,SUM($F54:CX54)-SUM($F62:CX62)+CY54+(CY$60-CY$52)/(CZ$52-CY$52)*CZ54,0)</f>
        <v>0</v>
      </c>
      <c r="CZ62" s="510">
        <f ca="1">(CZ$60=$B$9)*CZ54+((CZ$60-CZ$52)/(DA$52-CZ$52)*DA54+(CZ$52-CY$60)/(CZ$52-CY$52)*CZ54)*(CZ$60&gt;$B$10)+IF(CZ$60=$B$10,SUM($F54:CY54)-SUM($F62:CY62)+CZ54+(CZ$60-CZ$52)/(DA$52-CZ$52)*DA54,0)</f>
        <v>0</v>
      </c>
      <c r="DA62" s="510">
        <f ca="1">(DA$60=$B$9)*DA54+((DA$60-DA$52)/(DB$52-DA$52)*DB54+(DA$52-CZ$60)/(DA$52-CZ$52)*DA54)*(DA$60&gt;$B$10)+IF(DA$60=$B$10,SUM($F54:CZ54)-SUM($F62:CZ62)+DA54+(DA$60-DA$52)/(DB$52-DA$52)*DB54,0)</f>
        <v>0</v>
      </c>
      <c r="DB62" s="510">
        <f ca="1">(DB$60=$B$9)*DB54+((DB$60-DB$52)/(DC$52-DB$52)*DC54+(DB$52-DA$60)/(DB$52-DA$52)*DB54)*(DB$60&gt;$B$10)+IF(DB$60=$B$10,SUM($F54:DA54)-SUM($F62:DA62)+DB54+(DB$60-DB$52)/(DC$52-DB$52)*DC54,0)</f>
        <v>0</v>
      </c>
      <c r="DC62" s="510">
        <f ca="1">(DC$60=$B$9)*DC54+((DC$60-DC$52)/(DD$52-DC$52)*DD54+(DC$52-DB$60)/(DC$52-DB$52)*DC54)*(DC$60&gt;$B$10)+IF(DC$60=$B$10,SUM($F54:DB54)-SUM($F62:DB62)+DC54+(DC$60-DC$52)/(DD$52-DC$52)*DD54,0)</f>
        <v>0</v>
      </c>
      <c r="DD62" s="510">
        <f ca="1">(DD$60=$B$9)*DD54+((DD$60-DD$52)/(DE$52-DD$52)*DE54+(DD$52-DC$60)/(DD$52-DC$52)*DD54)*(DD$60&gt;$B$10)+IF(DD$60=$B$10,SUM($F54:DC54)-SUM($F62:DC62)+DD54+(DD$60-DD$52)/(DE$52-DD$52)*DE54,0)</f>
        <v>0</v>
      </c>
      <c r="DE62" s="510">
        <f ca="1">(DE$60=$B$9)*DE54+((DE$60-DE$52)/(DF$52-DE$52)*DF54+(DE$52-DD$60)/(DE$52-DD$52)*DE54)*(DE$60&gt;$B$10)+IF(DE$60=$B$10,SUM($F54:DD54)-SUM($F62:DD62)+DE54+(DE$60-DE$52)/(DF$52-DE$52)*DF54,0)</f>
        <v>0</v>
      </c>
      <c r="DF62" s="510">
        <f ca="1">(DF$60=$B$9)*DF54+((DF$60-DF$52)/(DG$52-DF$52)*DG54+(DF$52-DE$60)/(DF$52-DE$52)*DF54)*(DF$60&gt;$B$10)+IF(DF$60=$B$10,SUM($F54:DE54)-SUM($F62:DE62)+DF54+(DF$60-DF$52)/(DG$52-DF$52)*DG54,0)</f>
        <v>0</v>
      </c>
      <c r="DG62" s="510">
        <f ca="1">(DG$60=$B$9)*DG54+((DG$60-DG$52)/(DH$52-DG$52)*DH54+(DG$52-DF$60)/(DG$52-DF$52)*DG54)*(DG$60&gt;$B$10)+IF(DG$60=$B$10,SUM($F54:DF54)-SUM($F62:DF62)+DG54+(DG$60-DG$52)/(DH$52-DG$52)*DH54,0)</f>
        <v>0</v>
      </c>
      <c r="DH62" s="510">
        <f ca="1">(DH$60=$B$9)*DH54+((DH$60-DH$52)/(DI$52-DH$52)*DI54+(DH$52-DG$60)/(DH$52-DG$52)*DH54)*(DH$60&gt;$B$10)+IF(DH$60=$B$10,SUM($F54:DG54)-SUM($F62:DG62)+DH54+(DH$60-DH$52)/(DI$52-DH$52)*DI54,0)</f>
        <v>0</v>
      </c>
      <c r="DI62" s="510">
        <f ca="1">(DI$60=$B$9)*DI54+((DI$60-DI$52)/(DJ$52-DI$52)*DJ54+(DI$52-DH$60)/(DI$52-DH$52)*DI54)*(DI$60&gt;$B$10)+IF(DI$60=$B$10,SUM($F54:DH54)-SUM($F62:DH62)+DI54+(DI$60-DI$52)/(DJ$52-DI$52)*DJ54,0)</f>
        <v>0</v>
      </c>
      <c r="DJ62" s="510">
        <f ca="1">(DJ$60=$B$9)*DJ54+((DJ$60-DJ$52)/(DK$52-DJ$52)*DK54+(DJ$52-DI$60)/(DJ$52-DI$52)*DJ54)*(DJ$60&gt;$B$10)+IF(DJ$60=$B$10,SUM($F54:DI54)-SUM($F62:DI62)+DJ54+(DJ$60-DJ$52)/(DK$52-DJ$52)*DK54,0)</f>
        <v>0</v>
      </c>
      <c r="DK62" s="510">
        <f ca="1">(DK$60=$B$9)*DK54+((DK$60-DK$52)/(DL$52-DK$52)*DL54+(DK$52-DJ$60)/(DK$52-DJ$52)*DK54)*(DK$60&gt;$B$10)+IF(DK$60=$B$10,SUM($F54:DJ54)-SUM($F62:DJ62)+DK54+(DK$60-DK$52)/(DL$52-DK$52)*DL54,0)</f>
        <v>0</v>
      </c>
      <c r="DL62" s="510">
        <f ca="1">(DL$60=$B$9)*DL54+((DL$60-DL$52)/(DM$52-DL$52)*DM54+(DL$52-DK$60)/(DL$52-DK$52)*DL54)*(DL$60&gt;$B$10)+IF(DL$60=$B$10,SUM($F54:DK54)-SUM($F62:DK62)+DL54+(DL$60-DL$52)/(DM$52-DL$52)*DM54,0)</f>
        <v>0</v>
      </c>
      <c r="DM62" s="510">
        <f ca="1">(DM$60=$B$9)*DM54+((DM$60-DM$52)/(DN$52-DM$52)*DN54+(DM$52-DL$60)/(DM$52-DL$52)*DM54)*(DM$60&gt;$B$10)+IF(DM$60=$B$10,SUM($F54:DL54)-SUM($F62:DL62)+DM54+(DM$60-DM$52)/(DN$52-DM$52)*DN54,0)</f>
        <v>0</v>
      </c>
      <c r="DN62" s="510">
        <f ca="1">(DN$60=$B$9)*DN54+((DN$60-DN$52)/(DO$52-DN$52)*DO54+(DN$52-DM$60)/(DN$52-DM$52)*DN54)*(DN$60&gt;$B$10)+IF(DN$60=$B$10,SUM($F54:DM54)-SUM($F62:DM62)+DN54+(DN$60-DN$52)/(DO$52-DN$52)*DO54,0)</f>
        <v>0</v>
      </c>
      <c r="DO62" s="510">
        <f ca="1">(DO$60=$B$9)*DO54+((DO$60-DO$52)/(DP$52-DO$52)*DP54+(DO$52-DN$60)/(DO$52-DN$52)*DO54)*(DO$60&gt;$B$10)+IF(DO$60=$B$10,SUM($F54:DN54)-SUM($F62:DN62)+DO54+(DO$60-DO$52)/(DP$52-DO$52)*DP54,0)</f>
        <v>0</v>
      </c>
      <c r="DP62" s="510">
        <f ca="1">(DP$60=$B$9)*DP54+((DP$60-DP$52)/(DQ$52-DP$52)*DQ54+(DP$52-DO$60)/(DP$52-DO$52)*DP54)*(DP$60&gt;$B$10)+IF(DP$60=$B$10,SUM($F54:DO54)-SUM($F62:DO62)+DP54+(DP$60-DP$52)/(DQ$52-DP$52)*DQ54,0)</f>
        <v>0</v>
      </c>
      <c r="DQ62" s="510">
        <f ca="1">(DQ$60=$B$9)*DQ54+((DQ$60-DQ$52)/(DR$52-DQ$52)*DR54+(DQ$52-DP$60)/(DQ$52-DP$52)*DQ54)*(DQ$60&gt;$B$10)+IF(DQ$60=$B$10,SUM($F54:DP54)-SUM($F62:DP62)+DQ54+(DQ$60-DQ$52)/(DR$52-DQ$52)*DR54,0)</f>
        <v>0</v>
      </c>
      <c r="DR62" s="510">
        <f ca="1">(DR$60=$B$9)*DR54+((DR$60-DR$52)/(DS$52-DR$52)*DS54+(DR$52-DQ$60)/(DR$52-DQ$52)*DR54)*(DR$60&gt;$B$10)+IF(DR$60=$B$10,SUM($F54:DQ54)-SUM($F62:DQ62)+DR54+(DR$60-DR$52)/(DS$52-DR$52)*DS54,0)</f>
        <v>0</v>
      </c>
      <c r="DS62" s="510">
        <f ca="1">(DS$60=$B$9)*DS54+((DS$60-DS$52)/(DT$52-DS$52)*DT54+(DS$52-DR$60)/(DS$52-DR$52)*DS54)*(DS$60&gt;$B$10)+IF(DS$60=$B$10,SUM($F54:DR54)-SUM($F62:DR62)+DS54+(DS$60-DS$52)/(DT$52-DS$52)*DT54,0)</f>
        <v>0</v>
      </c>
      <c r="DT62" s="510">
        <f ca="1">(DT$60=$B$9)*DT54+((DT$60-DT$52)/(DU$52-DT$52)*DU54+(DT$52-DS$60)/(DT$52-DS$52)*DT54)*(DT$60&gt;$B$10)+IF(DT$60=$B$10,SUM($F54:DS54)-SUM($F62:DS62)+DT54+(DT$60-DT$52)/(DU$52-DT$52)*DU54,0)</f>
        <v>0</v>
      </c>
      <c r="DU62" s="510">
        <f ca="1">(DU$60=$B$9)*DU54+((DU$60-DU$52)/(DV$52-DU$52)*DV54+(DU$52-DT$60)/(DU$52-DT$52)*DU54)*(DU$60&gt;$B$10)+IF(DU$60=$B$10,SUM($F54:DT54)-SUM($F62:DT62)+DU54+(DU$60-DU$52)/(DV$52-DU$52)*DV54,0)</f>
        <v>0</v>
      </c>
      <c r="DV62" s="510">
        <f ca="1">(DV$60=$B$9)*DV54+((DV$60-DV$52)/(DW$52-DV$52)*DW54+(DV$52-DU$60)/(DV$52-DU$52)*DV54)*(DV$60&gt;$B$10)+IF(DV$60=$B$10,SUM($F54:DU54)-SUM($F62:DU62)+DV54+(DV$60-DV$52)/(DW$52-DV$52)*DW54,0)</f>
        <v>0</v>
      </c>
      <c r="DW62" s="510">
        <f ca="1">(DW$60=$B$9)*DW54+((DW$60-DW$52)/(DX$52-DW$52)*DX54+(DW$52-DV$60)/(DW$52-DV$52)*DW54)*(DW$60&gt;$B$10)+IF(DW$60=$B$10,SUM($F54:DV54)-SUM($F62:DV62)+DW54+(DW$60-DW$52)/(DX$52-DW$52)*DX54,0)</f>
        <v>0</v>
      </c>
    </row>
    <row r="63" spans="1:127">
      <c r="A63" s="1020" t="str">
        <f>A55</f>
        <v>SHL Net Interest</v>
      </c>
      <c r="B63" s="971"/>
      <c r="C63" s="971"/>
      <c r="D63" s="471"/>
      <c r="E63" s="471"/>
      <c r="F63" s="611"/>
      <c r="G63" s="510">
        <f ca="1">(G$60=$B$9)*G55+((G$60-G$52)/(H$52-G$52)*H55+(G$52-F$60)/(G$52-F$52)*G55)*(G$60&gt;$B$10)+IF(G$60=$B$10,SUM($F55:F55)-SUM($F63:F63)+G55+(G$60-G$52)/(H$52-G$52)*H55,0)</f>
        <v>0</v>
      </c>
      <c r="H63" s="510">
        <f ca="1">(H$60=$B$9)*H55+((H$60-H$52)/(I$52-H$52)*I55+(H$52-G$60)/(H$52-G$52)*H55)*(H$60&gt;$B$10)+IF(H$60=$B$10,SUM($F55:G55)-SUM($F63:G63)+H55+(H$60-H$52)/(I$52-H$52)*I55,0)</f>
        <v>0</v>
      </c>
      <c r="I63" s="510">
        <f ca="1">(I$60=$B$9)*I55+((I$60-I$52)/(J$52-I$52)*J55+(I$52-H$60)/(I$52-H$52)*I55)*(I$60&gt;$B$10)+IF(I$60=$B$10,SUM($F55:H55)-SUM($F63:H63)+I55+(I$60-I$52)/(J$52-I$52)*J55,0)</f>
        <v>0</v>
      </c>
      <c r="J63" s="510">
        <f ca="1">(J$60=$B$9)*J55+((J$60-J$52)/(K$52-J$52)*K55+(J$52-I$60)/(J$52-I$52)*J55)*(J$60&gt;$B$10)+IF(J$60=$B$10,SUM($F55:I55)-SUM($F63:I63)+J55+(J$60-J$52)/(K$52-J$52)*K55,0)</f>
        <v>0</v>
      </c>
      <c r="K63" s="510">
        <f ca="1">(K$60=$B$9)*K55+((K$60-K$52)/(L$52-K$52)*L55+(K$52-J$60)/(K$52-J$52)*K55)*(K$60&gt;$B$10)+IF(K$60=$B$10,SUM($F55:J55)-SUM($F63:J63)+K55+(K$60-K$52)/(L$52-K$52)*L55,0)</f>
        <v>0</v>
      </c>
      <c r="L63" s="510">
        <f ca="1">(L$60=$B$9)*L55+((L$60-L$52)/(M$52-L$52)*M55+(L$52-K$60)/(L$52-K$52)*L55)*(L$60&gt;$B$10)+IF(L$60=$B$10,SUM($F55:K55)-SUM($F63:K63)+L55+(L$60-L$52)/(M$52-L$52)*M55,0)</f>
        <v>0</v>
      </c>
      <c r="M63" s="510">
        <f ca="1">(M$60=$B$9)*M55+((M$60-M$52)/(N$52-M$52)*N55+(M$52-L$60)/(M$52-L$52)*M55)*(M$60&gt;$B$10)+IF(M$60=$B$10,SUM($F55:L55)-SUM($F63:L63)+M55+(M$60-M$52)/(N$52-M$52)*N55,0)</f>
        <v>0</v>
      </c>
      <c r="N63" s="510">
        <f ca="1">(N$60=$B$9)*N55+((N$60-N$52)/(O$52-N$52)*O55+(N$52-M$60)/(N$52-M$52)*N55)*(N$60&gt;$B$10)+IF(N$60=$B$10,SUM($F55:M55)-SUM($F63:M63)+N55+(N$60-N$52)/(O$52-N$52)*O55,0)</f>
        <v>0</v>
      </c>
      <c r="O63" s="510">
        <f ca="1">(O$60=$B$9)*O55+((O$60-O$52)/(P$52-O$52)*P55+(O$52-N$60)/(O$52-N$52)*O55)*(O$60&gt;$B$10)+IF(O$60=$B$10,SUM($F55:N55)-SUM($F63:N63)+O55+(O$60-O$52)/(P$52-O$52)*P55,0)</f>
        <v>0</v>
      </c>
      <c r="P63" s="510">
        <f ca="1">(P$60=$B$9)*P55+((P$60-P$52)/(Q$52-P$52)*Q55+(P$52-O$60)/(P$52-O$52)*P55)*(P$60&gt;$B$10)+IF(P$60=$B$10,SUM($F55:O55)-SUM($F63:O63)+P55+(P$60-P$52)/(Q$52-P$52)*Q55,0)</f>
        <v>0</v>
      </c>
      <c r="Q63" s="510">
        <f ca="1">(Q$60=$B$9)*Q55+((Q$60-Q$52)/(R$52-Q$52)*R55+(Q$52-P$60)/(Q$52-P$52)*Q55)*(Q$60&gt;$B$10)+IF(Q$60=$B$10,SUM($F55:P55)-SUM($F63:P63)+Q55+(Q$60-Q$52)/(R$52-Q$52)*R55,0)</f>
        <v>0</v>
      </c>
      <c r="R63" s="510">
        <f ca="1">(R$60=$B$9)*R55+((R$60-R$52)/(S$52-R$52)*S55+(R$52-Q$60)/(R$52-Q$52)*R55)*(R$60&gt;$B$10)+IF(R$60=$B$10,SUM($F55:Q55)-SUM($F63:Q63)+R55+(R$60-R$52)/(S$52-R$52)*S55,0)</f>
        <v>0</v>
      </c>
      <c r="S63" s="510">
        <f ca="1">(S$60=$B$9)*S55+((S$60-S$52)/(T$52-S$52)*T55+(S$52-R$60)/(S$52-R$52)*S55)*(S$60&gt;$B$10)+IF(S$60=$B$10,SUM($F55:R55)-SUM($F63:R63)+S55+(S$60-S$52)/(T$52-S$52)*T55,0)</f>
        <v>0</v>
      </c>
      <c r="T63" s="510">
        <f ca="1">(T$60=$B$9)*T55+((T$60-T$52)/(U$52-T$52)*U55+(T$52-S$60)/(T$52-S$52)*T55)*(T$60&gt;$B$10)+IF(T$60=$B$10,SUM($F55:S55)-SUM($F63:S63)+T55+(T$60-T$52)/(U$52-T$52)*U55,0)</f>
        <v>0</v>
      </c>
      <c r="U63" s="510">
        <f ca="1">(U$60=$B$9)*U55+((U$60-U$52)/(V$52-U$52)*V55+(U$52-T$60)/(U$52-T$52)*U55)*(U$60&gt;$B$10)+IF(U$60=$B$10,SUM($F55:T55)-SUM($F63:T63)+U55+(U$60-U$52)/(V$52-U$52)*V55,0)</f>
        <v>0</v>
      </c>
      <c r="V63" s="510">
        <f ca="1">(V$60=$B$9)*V55+((V$60-V$52)/(W$52-V$52)*W55+(V$52-U$60)/(V$52-U$52)*V55)*(V$60&gt;$B$10)+IF(V$60=$B$10,SUM($F55:U55)-SUM($F63:U63)+V55+(V$60-V$52)/(W$52-V$52)*W55,0)</f>
        <v>0</v>
      </c>
      <c r="W63" s="510">
        <f ca="1">(W$60=$B$9)*W55+((W$60-W$52)/(X$52-W$52)*X55+(W$52-V$60)/(W$52-V$52)*W55)*(W$60&gt;$B$10)+IF(W$60=$B$10,SUM($F55:V55)-SUM($F63:V63)+W55+(W$60-W$52)/(X$52-W$52)*X55,0)</f>
        <v>0</v>
      </c>
      <c r="X63" s="510">
        <f ca="1">(X$60=$B$9)*X55+((X$60-X$52)/(Y$52-X$52)*Y55+(X$52-W$60)/(X$52-W$52)*X55)*(X$60&gt;$B$10)+IF(X$60=$B$10,SUM($F55:W55)-SUM($F63:W63)+X55+(X$60-X$52)/(Y$52-X$52)*Y55,0)</f>
        <v>0</v>
      </c>
      <c r="Y63" s="510">
        <f ca="1">(Y$60=$B$9)*Y55+((Y$60-Y$52)/(Z$52-Y$52)*Z55+(Y$52-X$60)/(Y$52-X$52)*Y55)*(Y$60&gt;$B$10)+IF(Y$60=$B$10,SUM($F55:X55)-SUM($F63:X63)+Y55+(Y$60-Y$52)/(Z$52-Y$52)*Z55,0)</f>
        <v>0</v>
      </c>
      <c r="Z63" s="510">
        <f ca="1">(Z$60=$B$9)*Z55+((Z$60-Z$52)/(AA$52-Z$52)*AA55+(Z$52-Y$60)/(Z$52-Y$52)*Z55)*(Z$60&gt;$B$10)+IF(Z$60=$B$10,SUM($F55:Y55)-SUM($F63:Y63)+Z55+(Z$60-Z$52)/(AA$52-Z$52)*AA55,0)</f>
        <v>0</v>
      </c>
      <c r="AA63" s="510">
        <f ca="1">(AA$60=$B$9)*AA55+((AA$60-AA$52)/(AB$52-AA$52)*AB55+(AA$52-Z$60)/(AA$52-Z$52)*AA55)*(AA$60&gt;$B$10)+IF(AA$60=$B$10,SUM($F55:Z55)-SUM($F63:Z63)+AA55+(AA$60-AA$52)/(AB$52-AA$52)*AB55,0)</f>
        <v>0</v>
      </c>
      <c r="AB63" s="510">
        <f ca="1">(AB$60=$B$9)*AB55+((AB$60-AB$52)/(AC$52-AB$52)*AC55+(AB$52-AA$60)/(AB$52-AA$52)*AB55)*(AB$60&gt;$B$10)+IF(AB$60=$B$10,SUM($F55:AA55)-SUM($F63:AA63)+AB55+(AB$60-AB$52)/(AC$52-AB$52)*AC55,0)</f>
        <v>0</v>
      </c>
      <c r="AC63" s="510">
        <f ca="1">(AC$60=$B$9)*AC55+((AC$60-AC$52)/(AD$52-AC$52)*AD55+(AC$52-AB$60)/(AC$52-AB$52)*AC55)*(AC$60&gt;$B$10)+IF(AC$60=$B$10,SUM($F55:AB55)-SUM($F63:AB63)+AC55+(AC$60-AC$52)/(AD$52-AC$52)*AD55,0)</f>
        <v>0</v>
      </c>
      <c r="AD63" s="510">
        <f ca="1">(AD$60=$B$9)*AD55+((AD$60-AD$52)/(AE$52-AD$52)*AE55+(AD$52-AC$60)/(AD$52-AC$52)*AD55)*(AD$60&gt;$B$10)+IF(AD$60=$B$10,SUM($F55:AC55)-SUM($F63:AC63)+AD55+(AD$60-AD$52)/(AE$52-AD$52)*AE55,0)</f>
        <v>0</v>
      </c>
      <c r="AE63" s="510">
        <f ca="1">(AE$60=$B$9)*AE55+((AE$60-AE$52)/(AF$52-AE$52)*AF55+(AE$52-AD$60)/(AE$52-AD$52)*AE55)*(AE$60&gt;$B$10)+IF(AE$60=$B$10,SUM($F55:AD55)-SUM($F63:AD63)+AE55+(AE$60-AE$52)/(AF$52-AE$52)*AF55,0)</f>
        <v>0</v>
      </c>
      <c r="AF63" s="510">
        <f ca="1">(AF$60=$B$9)*AF55+((AF$60-AF$52)/(AG$52-AF$52)*AG55+(AF$52-AE$60)/(AF$52-AE$52)*AF55)*(AF$60&gt;$B$10)+IF(AF$60=$B$10,SUM($F55:AE55)-SUM($F63:AE63)+AF55+(AF$60-AF$52)/(AG$52-AF$52)*AG55,0)</f>
        <v>0</v>
      </c>
      <c r="AG63" s="510">
        <f ca="1">(AG$60=$B$9)*AG55+((AG$60-AG$52)/(AH$52-AG$52)*AH55+(AG$52-AF$60)/(AG$52-AF$52)*AG55)*(AG$60&gt;$B$10)+IF(AG$60=$B$10,SUM($F55:AF55)-SUM($F63:AF63)+AG55+(AG$60-AG$52)/(AH$52-AG$52)*AH55,0)</f>
        <v>0</v>
      </c>
      <c r="AH63" s="510">
        <f ca="1">(AH$60=$B$9)*AH55+((AH$60-AH$52)/(AI$52-AH$52)*AI55+(AH$52-AG$60)/(AH$52-AG$52)*AH55)*(AH$60&gt;$B$10)+IF(AH$60=$B$10,SUM($F55:AG55)-SUM($F63:AG63)+AH55+(AH$60-AH$52)/(AI$52-AH$52)*AI55,0)</f>
        <v>0</v>
      </c>
      <c r="AI63" s="510">
        <f ca="1">(AI$60=$B$9)*AI55+((AI$60-AI$52)/(AJ$52-AI$52)*AJ55+(AI$52-AH$60)/(AI$52-AH$52)*AI55)*(AI$60&gt;$B$10)+IF(AI$60=$B$10,SUM($F55:AH55)-SUM($F63:AH63)+AI55+(AI$60-AI$52)/(AJ$52-AI$52)*AJ55,0)</f>
        <v>0</v>
      </c>
      <c r="AJ63" s="510">
        <f ca="1">(AJ$60=$B$9)*AJ55+((AJ$60-AJ$52)/(AK$52-AJ$52)*AK55+(AJ$52-AI$60)/(AJ$52-AI$52)*AJ55)*(AJ$60&gt;$B$10)+IF(AJ$60=$B$10,SUM($F55:AI55)-SUM($F63:AI63)+AJ55+(AJ$60-AJ$52)/(AK$52-AJ$52)*AK55,0)</f>
        <v>0</v>
      </c>
      <c r="AK63" s="510">
        <f ca="1">(AK$60=$B$9)*AK55+((AK$60-AK$52)/(AL$52-AK$52)*AL55+(AK$52-AJ$60)/(AK$52-AJ$52)*AK55)*(AK$60&gt;$B$10)+IF(AK$60=$B$10,SUM($F55:AJ55)-SUM($F63:AJ63)+AK55+(AK$60-AK$52)/(AL$52-AK$52)*AL55,0)</f>
        <v>0</v>
      </c>
      <c r="AL63" s="510">
        <f ca="1">(AL$60=$B$9)*AL55+((AL$60-AL$52)/(AM$52-AL$52)*AM55+(AL$52-AK$60)/(AL$52-AK$52)*AL55)*(AL$60&gt;$B$10)+IF(AL$60=$B$10,SUM($F55:AK55)-SUM($F63:AK63)+AL55+(AL$60-AL$52)/(AM$52-AL$52)*AM55,0)</f>
        <v>0</v>
      </c>
      <c r="AM63" s="510">
        <f ca="1">(AM$60=$B$9)*AM55+((AM$60-AM$52)/(AN$52-AM$52)*AN55+(AM$52-AL$60)/(AM$52-AL$52)*AM55)*(AM$60&gt;$B$10)+IF(AM$60=$B$10,SUM($F55:AL55)-SUM($F63:AL63)+AM55+(AM$60-AM$52)/(AN$52-AM$52)*AN55,0)</f>
        <v>0</v>
      </c>
      <c r="AN63" s="510">
        <f ca="1">(AN$60=$B$9)*AN55+((AN$60-AN$52)/(AO$52-AN$52)*AO55+(AN$52-AM$60)/(AN$52-AM$52)*AN55)*(AN$60&gt;$B$10)+IF(AN$60=$B$10,SUM($F55:AM55)-SUM($F63:AM63)+AN55+(AN$60-AN$52)/(AO$52-AN$52)*AO55,0)</f>
        <v>0</v>
      </c>
      <c r="AO63" s="510">
        <f ca="1">(AO$60=$B$9)*AO55+((AO$60-AO$52)/(AP$52-AO$52)*AP55+(AO$52-AN$60)/(AO$52-AN$52)*AO55)*(AO$60&gt;$B$10)+IF(AO$60=$B$10,SUM($F55:AN55)-SUM($F63:AN63)+AO55+(AO$60-AO$52)/(AP$52-AO$52)*AP55,0)</f>
        <v>0</v>
      </c>
      <c r="AP63" s="510">
        <f ca="1">(AP$60=$B$9)*AP55+((AP$60-AP$52)/(AQ$52-AP$52)*AQ55+(AP$52-AO$60)/(AP$52-AO$52)*AP55)*(AP$60&gt;$B$10)+IF(AP$60=$B$10,SUM($F55:AO55)-SUM($F63:AO63)+AP55+(AP$60-AP$52)/(AQ$52-AP$52)*AQ55,0)</f>
        <v>0</v>
      </c>
      <c r="AQ63" s="510">
        <f ca="1">(AQ$60=$B$9)*AQ55+((AQ$60-AQ$52)/(AR$52-AQ$52)*AR55+(AQ$52-AP$60)/(AQ$52-AP$52)*AQ55)*(AQ$60&gt;$B$10)+IF(AQ$60=$B$10,SUM($F55:AP55)-SUM($F63:AP63)+AQ55+(AQ$60-AQ$52)/(AR$52-AQ$52)*AR55,0)</f>
        <v>0</v>
      </c>
      <c r="AR63" s="510">
        <f ca="1">(AR$60=$B$9)*AR55+((AR$60-AR$52)/(AS$52-AR$52)*AS55+(AR$52-AQ$60)/(AR$52-AQ$52)*AR55)*(AR$60&gt;$B$10)+IF(AR$60=$B$10,SUM($F55:AQ55)-SUM($F63:AQ63)+AR55+(AR$60-AR$52)/(AS$52-AR$52)*AS55,0)</f>
        <v>0</v>
      </c>
      <c r="AS63" s="510">
        <f ca="1">(AS$60=$B$9)*AS55+((AS$60-AS$52)/(AT$52-AS$52)*AT55+(AS$52-AR$60)/(AS$52-AR$52)*AS55)*(AS$60&gt;$B$10)+IF(AS$60=$B$10,SUM($F55:AR55)-SUM($F63:AR63)+AS55+(AS$60-AS$52)/(AT$52-AS$52)*AT55,0)</f>
        <v>0</v>
      </c>
      <c r="AT63" s="510">
        <f ca="1">(AT$60=$B$9)*AT55+((AT$60-AT$52)/(AU$52-AT$52)*AU55+(AT$52-AS$60)/(AT$52-AS$52)*AT55)*(AT$60&gt;$B$10)+IF(AT$60=$B$10,SUM($F55:AS55)-SUM($F63:AS63)+AT55+(AT$60-AT$52)/(AU$52-AT$52)*AU55,0)</f>
        <v>0</v>
      </c>
      <c r="AU63" s="510">
        <f ca="1">(AU$60=$B$9)*AU55+((AU$60-AU$52)/(AV$52-AU$52)*AV55+(AU$52-AT$60)/(AU$52-AT$52)*AU55)*(AU$60&gt;$B$10)+IF(AU$60=$B$10,SUM($F55:AT55)-SUM($F63:AT63)+AU55+(AU$60-AU$52)/(AV$52-AU$52)*AV55,0)</f>
        <v>0</v>
      </c>
      <c r="AV63" s="510">
        <f ca="1">(AV$60=$B$9)*AV55+((AV$60-AV$52)/(AW$52-AV$52)*AW55+(AV$52-AU$60)/(AV$52-AU$52)*AV55)*(AV$60&gt;$B$10)+IF(AV$60=$B$10,SUM($F55:AU55)-SUM($F63:AU63)+AV55+(AV$60-AV$52)/(AW$52-AV$52)*AW55,0)</f>
        <v>0</v>
      </c>
      <c r="AW63" s="510">
        <f ca="1">(AW$60=$B$9)*AW55+((AW$60-AW$52)/(AX$52-AW$52)*AX55+(AW$52-AV$60)/(AW$52-AV$52)*AW55)*(AW$60&gt;$B$10)+IF(AW$60=$B$10,SUM($F55:AV55)-SUM($F63:AV63)+AW55+(AW$60-AW$52)/(AX$52-AW$52)*AX55,0)</f>
        <v>0</v>
      </c>
      <c r="AX63" s="510">
        <f ca="1">(AX$60=$B$9)*AX55+((AX$60-AX$52)/(AY$52-AX$52)*AY55+(AX$52-AW$60)/(AX$52-AW$52)*AX55)*(AX$60&gt;$B$10)+IF(AX$60=$B$10,SUM($F55:AW55)-SUM($F63:AW63)+AX55+(AX$60-AX$52)/(AY$52-AX$52)*AY55,0)</f>
        <v>0</v>
      </c>
      <c r="AY63" s="510">
        <f ca="1">(AY$60=$B$9)*AY55+((AY$60-AY$52)/(AZ$52-AY$52)*AZ55+(AY$52-AX$60)/(AY$52-AX$52)*AY55)*(AY$60&gt;$B$10)+IF(AY$60=$B$10,SUM($F55:AX55)-SUM($F63:AX63)+AY55+(AY$60-AY$52)/(AZ$52-AY$52)*AZ55,0)</f>
        <v>0</v>
      </c>
      <c r="AZ63" s="510">
        <f ca="1">(AZ$60=$B$9)*AZ55+((AZ$60-AZ$52)/(BA$52-AZ$52)*BA55+(AZ$52-AY$60)/(AZ$52-AY$52)*AZ55)*(AZ$60&gt;$B$10)+IF(AZ$60=$B$10,SUM($F55:AY55)-SUM($F63:AY63)+AZ55+(AZ$60-AZ$52)/(BA$52-AZ$52)*BA55,0)</f>
        <v>0</v>
      </c>
      <c r="BA63" s="510">
        <f ca="1">(BA$60=$B$9)*BA55+((BA$60-BA$52)/(BB$52-BA$52)*BB55+(BA$52-AZ$60)/(BA$52-AZ$52)*BA55)*(BA$60&gt;$B$10)+IF(BA$60=$B$10,SUM($F55:AZ55)-SUM($F63:AZ63)+BA55+(BA$60-BA$52)/(BB$52-BA$52)*BB55,0)</f>
        <v>0</v>
      </c>
      <c r="BB63" s="510">
        <f ca="1">(BB$60=$B$9)*BB55+((BB$60-BB$52)/(BC$52-BB$52)*BC55+(BB$52-BA$60)/(BB$52-BA$52)*BB55)*(BB$60&gt;$B$10)+IF(BB$60=$B$10,SUM($F55:BA55)-SUM($F63:BA63)+BB55+(BB$60-BB$52)/(BC$52-BB$52)*BC55,0)</f>
        <v>0</v>
      </c>
      <c r="BC63" s="510">
        <f ca="1">(BC$60=$B$9)*BC55+((BC$60-BC$52)/(BD$52-BC$52)*BD55+(BC$52-BB$60)/(BC$52-BB$52)*BC55)*(BC$60&gt;$B$10)+IF(BC$60=$B$10,SUM($F55:BB55)-SUM($F63:BB63)+BC55+(BC$60-BC$52)/(BD$52-BC$52)*BD55,0)</f>
        <v>0</v>
      </c>
      <c r="BD63" s="510">
        <f ca="1">(BD$60=$B$9)*BD55+((BD$60-BD$52)/(BE$52-BD$52)*BE55+(BD$52-BC$60)/(BD$52-BC$52)*BD55)*(BD$60&gt;$B$10)+IF(BD$60=$B$10,SUM($F55:BC55)-SUM($F63:BC63)+BD55+(BD$60-BD$52)/(BE$52-BD$52)*BE55,0)</f>
        <v>0</v>
      </c>
      <c r="BE63" s="510">
        <f ca="1">(BE$60=$B$9)*BE55+((BE$60-BE$52)/(BF$52-BE$52)*BF55+(BE$52-BD$60)/(BE$52-BD$52)*BE55)*(BE$60&gt;$B$10)+IF(BE$60=$B$10,SUM($F55:BD55)-SUM($F63:BD63)+BE55+(BE$60-BE$52)/(BF$52-BE$52)*BF55,0)</f>
        <v>0</v>
      </c>
      <c r="BF63" s="510">
        <f ca="1">(BF$60=$B$9)*BF55+((BF$60-BF$52)/(BG$52-BF$52)*BG55+(BF$52-BE$60)/(BF$52-BE$52)*BF55)*(BF$60&gt;$B$10)+IF(BF$60=$B$10,SUM($F55:BE55)-SUM($F63:BE63)+BF55+(BF$60-BF$52)/(BG$52-BF$52)*BG55,0)</f>
        <v>0</v>
      </c>
      <c r="BG63" s="510">
        <f ca="1">(BG$60=$B$9)*BG55+((BG$60-BG$52)/(BH$52-BG$52)*BH55+(BG$52-BF$60)/(BG$52-BF$52)*BG55)*(BG$60&gt;$B$10)+IF(BG$60=$B$10,SUM($F55:BF55)-SUM($F63:BF63)+BG55+(BG$60-BG$52)/(BH$52-BG$52)*BH55,0)</f>
        <v>0</v>
      </c>
      <c r="BH63" s="510">
        <f ca="1">(BH$60=$B$9)*BH55+((BH$60-BH$52)/(BI$52-BH$52)*BI55+(BH$52-BG$60)/(BH$52-BG$52)*BH55)*(BH$60&gt;$B$10)+IF(BH$60=$B$10,SUM($F55:BG55)-SUM($F63:BG63)+BH55+(BH$60-BH$52)/(BI$52-BH$52)*BI55,0)</f>
        <v>0</v>
      </c>
      <c r="BI63" s="510">
        <f ca="1">(BI$60=$B$9)*BI55+((BI$60-BI$52)/(BJ$52-BI$52)*BJ55+(BI$52-BH$60)/(BI$52-BH$52)*BI55)*(BI$60&gt;$B$10)+IF(BI$60=$B$10,SUM($F55:BH55)-SUM($F63:BH63)+BI55+(BI$60-BI$52)/(BJ$52-BI$52)*BJ55,0)</f>
        <v>0</v>
      </c>
      <c r="BJ63" s="510">
        <f ca="1">(BJ$60=$B$9)*BJ55+((BJ$60-BJ$52)/(BK$52-BJ$52)*BK55+(BJ$52-BI$60)/(BJ$52-BI$52)*BJ55)*(BJ$60&gt;$B$10)+IF(BJ$60=$B$10,SUM($F55:BI55)-SUM($F63:BI63)+BJ55+(BJ$60-BJ$52)/(BK$52-BJ$52)*BK55,0)</f>
        <v>0</v>
      </c>
      <c r="BK63" s="510">
        <f ca="1">(BK$60=$B$9)*BK55+((BK$60-BK$52)/(BL$52-BK$52)*BL55+(BK$52-BJ$60)/(BK$52-BJ$52)*BK55)*(BK$60&gt;$B$10)+IF(BK$60=$B$10,SUM($F55:BJ55)-SUM($F63:BJ63)+BK55+(BK$60-BK$52)/(BL$52-BK$52)*BL55,0)</f>
        <v>0</v>
      </c>
      <c r="BL63" s="510">
        <f ca="1">(BL$60=$B$9)*BL55+((BL$60-BL$52)/(BM$52-BL$52)*BM55+(BL$52-BK$60)/(BL$52-BK$52)*BL55)*(BL$60&gt;$B$10)+IF(BL$60=$B$10,SUM($F55:BK55)-SUM($F63:BK63)+BL55+(BL$60-BL$52)/(BM$52-BL$52)*BM55,0)</f>
        <v>0</v>
      </c>
      <c r="BM63" s="510">
        <f ca="1">(BM$60=$B$9)*BM55+((BM$60-BM$52)/(BN$52-BM$52)*BN55+(BM$52-BL$60)/(BM$52-BL$52)*BM55)*(BM$60&gt;$B$10)+IF(BM$60=$B$10,SUM($F55:BL55)-SUM($F63:BL63)+BM55+(BM$60-BM$52)/(BN$52-BM$52)*BN55,0)</f>
        <v>0</v>
      </c>
      <c r="BN63" s="510">
        <f ca="1">(BN$60=$B$9)*BN55+((BN$60-BN$52)/(BO$52-BN$52)*BO55+(BN$52-BM$60)/(BN$52-BM$52)*BN55)*(BN$60&gt;$B$10)+IF(BN$60=$B$10,SUM($F55:BM55)-SUM($F63:BM63)+BN55+(BN$60-BN$52)/(BO$52-BN$52)*BO55,0)</f>
        <v>0</v>
      </c>
      <c r="BO63" s="510">
        <f ca="1">(BO$60=$B$9)*BO55+((BO$60-BO$52)/(BP$52-BO$52)*BP55+(BO$52-BN$60)/(BO$52-BN$52)*BO55)*(BO$60&gt;$B$10)+IF(BO$60=$B$10,SUM($F55:BN55)-SUM($F63:BN63)+BO55+(BO$60-BO$52)/(BP$52-BO$52)*BP55,0)</f>
        <v>0</v>
      </c>
      <c r="BP63" s="510">
        <f ca="1">(BP$60=$B$9)*BP55+((BP$60-BP$52)/(BQ$52-BP$52)*BQ55+(BP$52-BO$60)/(BP$52-BO$52)*BP55)*(BP$60&gt;$B$10)+IF(BP$60=$B$10,SUM($F55:BO55)-SUM($F63:BO63)+BP55+(BP$60-BP$52)/(BQ$52-BP$52)*BQ55,0)</f>
        <v>0</v>
      </c>
      <c r="BQ63" s="510">
        <f ca="1">(BQ$60=$B$9)*BQ55+((BQ$60-BQ$52)/(BR$52-BQ$52)*BR55+(BQ$52-BP$60)/(BQ$52-BP$52)*BQ55)*(BQ$60&gt;$B$10)+IF(BQ$60=$B$10,SUM($F55:BP55)-SUM($F63:BP63)+BQ55+(BQ$60-BQ$52)/(BR$52-BQ$52)*BR55,0)</f>
        <v>0</v>
      </c>
      <c r="BR63" s="510">
        <f ca="1">(BR$60=$B$9)*BR55+((BR$60-BR$52)/(BS$52-BR$52)*BS55+(BR$52-BQ$60)/(BR$52-BQ$52)*BR55)*(BR$60&gt;$B$10)+IF(BR$60=$B$10,SUM($F55:BQ55)-SUM($F63:BQ63)+BR55+(BR$60-BR$52)/(BS$52-BR$52)*BS55,0)</f>
        <v>0</v>
      </c>
      <c r="BS63" s="510">
        <f ca="1">(BS$60=$B$9)*BS55+((BS$60-BS$52)/(BT$52-BS$52)*BT55+(BS$52-BR$60)/(BS$52-BR$52)*BS55)*(BS$60&gt;$B$10)+IF(BS$60=$B$10,SUM($F55:BR55)-SUM($F63:BR63)+BS55+(BS$60-BS$52)/(BT$52-BS$52)*BT55,0)</f>
        <v>0</v>
      </c>
      <c r="BT63" s="510">
        <f ca="1">(BT$60=$B$9)*BT55+((BT$60-BT$52)/(BU$52-BT$52)*BU55+(BT$52-BS$60)/(BT$52-BS$52)*BT55)*(BT$60&gt;$B$10)+IF(BT$60=$B$10,SUM($F55:BS55)-SUM($F63:BS63)+BT55+(BT$60-BT$52)/(BU$52-BT$52)*BU55,0)</f>
        <v>0</v>
      </c>
      <c r="BU63" s="510">
        <f ca="1">(BU$60=$B$9)*BU55+((BU$60-BU$52)/(BV$52-BU$52)*BV55+(BU$52-BT$60)/(BU$52-BT$52)*BU55)*(BU$60&gt;$B$10)+IF(BU$60=$B$10,SUM($F55:BT55)-SUM($F63:BT63)+BU55+(BU$60-BU$52)/(BV$52-BU$52)*BV55,0)</f>
        <v>0</v>
      </c>
      <c r="BV63" s="510">
        <f ca="1">(BV$60=$B$9)*BV55+((BV$60-BV$52)/(BW$52-BV$52)*BW55+(BV$52-BU$60)/(BV$52-BU$52)*BV55)*(BV$60&gt;$B$10)+IF(BV$60=$B$10,SUM($F55:BU55)-SUM($F63:BU63)+BV55+(BV$60-BV$52)/(BW$52-BV$52)*BW55,0)</f>
        <v>0</v>
      </c>
      <c r="BW63" s="510">
        <f ca="1">(BW$60=$B$9)*BW55+((BW$60-BW$52)/(BX$52-BW$52)*BX55+(BW$52-BV$60)/(BW$52-BV$52)*BW55)*(BW$60&gt;$B$10)+IF(BW$60=$B$10,SUM($F55:BV55)-SUM($F63:BV63)+BW55+(BW$60-BW$52)/(BX$52-BW$52)*BX55,0)</f>
        <v>0</v>
      </c>
      <c r="BX63" s="510">
        <f ca="1">(BX$60=$B$9)*BX55+((BX$60-BX$52)/(BY$52-BX$52)*BY55+(BX$52-BW$60)/(BX$52-BW$52)*BX55)*(BX$60&gt;$B$10)+IF(BX$60=$B$10,SUM($F55:BW55)-SUM($F63:BW63)+BX55+(BX$60-BX$52)/(BY$52-BX$52)*BY55,0)</f>
        <v>0</v>
      </c>
      <c r="BY63" s="510">
        <f ca="1">(BY$60=$B$9)*BY55+((BY$60-BY$52)/(BZ$52-BY$52)*BZ55+(BY$52-BX$60)/(BY$52-BX$52)*BY55)*(BY$60&gt;$B$10)+IF(BY$60=$B$10,SUM($F55:BX55)-SUM($F63:BX63)+BY55+(BY$60-BY$52)/(BZ$52-BY$52)*BZ55,0)</f>
        <v>0</v>
      </c>
      <c r="BZ63" s="510">
        <f ca="1">(BZ$60=$B$9)*BZ55+((BZ$60-BZ$52)/(CA$52-BZ$52)*CA55+(BZ$52-BY$60)/(BZ$52-BY$52)*BZ55)*(BZ$60&gt;$B$10)+IF(BZ$60=$B$10,SUM($F55:BY55)-SUM($F63:BY63)+BZ55+(BZ$60-BZ$52)/(CA$52-BZ$52)*CA55,0)</f>
        <v>0</v>
      </c>
      <c r="CA63" s="510">
        <f ca="1">(CA$60=$B$9)*CA55+((CA$60-CA$52)/(CB$52-CA$52)*CB55+(CA$52-BZ$60)/(CA$52-BZ$52)*CA55)*(CA$60&gt;$B$10)+IF(CA$60=$B$10,SUM($F55:BZ55)-SUM($F63:BZ63)+CA55+(CA$60-CA$52)/(CB$52-CA$52)*CB55,0)</f>
        <v>0</v>
      </c>
      <c r="CB63" s="510">
        <f ca="1">(CB$60=$B$9)*CB55+((CB$60-CB$52)/(CC$52-CB$52)*CC55+(CB$52-CA$60)/(CB$52-CA$52)*CB55)*(CB$60&gt;$B$10)+IF(CB$60=$B$10,SUM($F55:CA55)-SUM($F63:CA63)+CB55+(CB$60-CB$52)/(CC$52-CB$52)*CC55,0)</f>
        <v>0</v>
      </c>
      <c r="CC63" s="510">
        <f ca="1">(CC$60=$B$9)*CC55+((CC$60-CC$52)/(CD$52-CC$52)*CD55+(CC$52-CB$60)/(CC$52-CB$52)*CC55)*(CC$60&gt;$B$10)+IF(CC$60=$B$10,SUM($F55:CB55)-SUM($F63:CB63)+CC55+(CC$60-CC$52)/(CD$52-CC$52)*CD55,0)</f>
        <v>0</v>
      </c>
      <c r="CD63" s="510">
        <f ca="1">(CD$60=$B$9)*CD55+((CD$60-CD$52)/(CE$52-CD$52)*CE55+(CD$52-CC$60)/(CD$52-CC$52)*CD55)*(CD$60&gt;$B$10)+IF(CD$60=$B$10,SUM($F55:CC55)-SUM($F63:CC63)+CD55+(CD$60-CD$52)/(CE$52-CD$52)*CE55,0)</f>
        <v>0</v>
      </c>
      <c r="CE63" s="510">
        <f ca="1">(CE$60=$B$9)*CE55+((CE$60-CE$52)/(CF$52-CE$52)*CF55+(CE$52-CD$60)/(CE$52-CD$52)*CE55)*(CE$60&gt;$B$10)+IF(CE$60=$B$10,SUM($F55:CD55)-SUM($F63:CD63)+CE55+(CE$60-CE$52)/(CF$52-CE$52)*CF55,0)</f>
        <v>0</v>
      </c>
      <c r="CF63" s="510">
        <f ca="1">(CF$60=$B$9)*CF55+((CF$60-CF$52)/(CG$52-CF$52)*CG55+(CF$52-CE$60)/(CF$52-CE$52)*CF55)*(CF$60&gt;$B$10)+IF(CF$60=$B$10,SUM($F55:CE55)-SUM($F63:CE63)+CF55+(CF$60-CF$52)/(CG$52-CF$52)*CG55,0)</f>
        <v>0</v>
      </c>
      <c r="CG63" s="510">
        <f ca="1">(CG$60=$B$9)*CG55+((CG$60-CG$52)/(CH$52-CG$52)*CH55+(CG$52-CF$60)/(CG$52-CF$52)*CG55)*(CG$60&gt;$B$10)+IF(CG$60=$B$10,SUM($F55:CF55)-SUM($F63:CF63)+CG55+(CG$60-CG$52)/(CH$52-CG$52)*CH55,0)</f>
        <v>0</v>
      </c>
      <c r="CH63" s="510">
        <f ca="1">(CH$60=$B$9)*CH55+((CH$60-CH$52)/(CI$52-CH$52)*CI55+(CH$52-CG$60)/(CH$52-CG$52)*CH55)*(CH$60&gt;$B$10)+IF(CH$60=$B$10,SUM($F55:CG55)-SUM($F63:CG63)+CH55+(CH$60-CH$52)/(CI$52-CH$52)*CI55,0)</f>
        <v>0</v>
      </c>
      <c r="CI63" s="510">
        <f ca="1">(CI$60=$B$9)*CI55+((CI$60-CI$52)/(CJ$52-CI$52)*CJ55+(CI$52-CH$60)/(CI$52-CH$52)*CI55)*(CI$60&gt;$B$10)+IF(CI$60=$B$10,SUM($F55:CH55)-SUM($F63:CH63)+CI55+(CI$60-CI$52)/(CJ$52-CI$52)*CJ55,0)</f>
        <v>0</v>
      </c>
      <c r="CJ63" s="510">
        <f ca="1">(CJ$60=$B$9)*CJ55+((CJ$60-CJ$52)/(CK$52-CJ$52)*CK55+(CJ$52-CI$60)/(CJ$52-CI$52)*CJ55)*(CJ$60&gt;$B$10)+IF(CJ$60=$B$10,SUM($F55:CI55)-SUM($F63:CI63)+CJ55+(CJ$60-CJ$52)/(CK$52-CJ$52)*CK55,0)</f>
        <v>0</v>
      </c>
      <c r="CK63" s="510">
        <f ca="1">(CK$60=$B$9)*CK55+((CK$60-CK$52)/(CL$52-CK$52)*CL55+(CK$52-CJ$60)/(CK$52-CJ$52)*CK55)*(CK$60&gt;$B$10)+IF(CK$60=$B$10,SUM($F55:CJ55)-SUM($F63:CJ63)+CK55+(CK$60-CK$52)/(CL$52-CK$52)*CL55,0)</f>
        <v>0</v>
      </c>
      <c r="CL63" s="510">
        <f ca="1">(CL$60=$B$9)*CL55+((CL$60-CL$52)/(CM$52-CL$52)*CM55+(CL$52-CK$60)/(CL$52-CK$52)*CL55)*(CL$60&gt;$B$10)+IF(CL$60=$B$10,SUM($F55:CK55)-SUM($F63:CK63)+CL55+(CL$60-CL$52)/(CM$52-CL$52)*CM55,0)</f>
        <v>0</v>
      </c>
      <c r="CM63" s="510">
        <f ca="1">(CM$60=$B$9)*CM55+((CM$60-CM$52)/(CN$52-CM$52)*CN55+(CM$52-CL$60)/(CM$52-CL$52)*CM55)*(CM$60&gt;$B$10)+IF(CM$60=$B$10,SUM($F55:CL55)-SUM($F63:CL63)+CM55+(CM$60-CM$52)/(CN$52-CM$52)*CN55,0)</f>
        <v>0</v>
      </c>
      <c r="CN63" s="510">
        <f ca="1">(CN$60=$B$9)*CN55+((CN$60-CN$52)/(CO$52-CN$52)*CO55+(CN$52-CM$60)/(CN$52-CM$52)*CN55)*(CN$60&gt;$B$10)+IF(CN$60=$B$10,SUM($F55:CM55)-SUM($F63:CM63)+CN55+(CN$60-CN$52)/(CO$52-CN$52)*CO55,0)</f>
        <v>0</v>
      </c>
      <c r="CO63" s="510">
        <f ca="1">(CO$60=$B$9)*CO55+((CO$60-CO$52)/(CP$52-CO$52)*CP55+(CO$52-CN$60)/(CO$52-CN$52)*CO55)*(CO$60&gt;$B$10)+IF(CO$60=$B$10,SUM($F55:CN55)-SUM($F63:CN63)+CO55+(CO$60-CO$52)/(CP$52-CO$52)*CP55,0)</f>
        <v>0</v>
      </c>
      <c r="CP63" s="510">
        <f ca="1">(CP$60=$B$9)*CP55+((CP$60-CP$52)/(CQ$52-CP$52)*CQ55+(CP$52-CO$60)/(CP$52-CO$52)*CP55)*(CP$60&gt;$B$10)+IF(CP$60=$B$10,SUM($F55:CO55)-SUM($F63:CO63)+CP55+(CP$60-CP$52)/(CQ$52-CP$52)*CQ55,0)</f>
        <v>0</v>
      </c>
      <c r="CQ63" s="510">
        <f ca="1">(CQ$60=$B$9)*CQ55+((CQ$60-CQ$52)/(CR$52-CQ$52)*CR55+(CQ$52-CP$60)/(CQ$52-CP$52)*CQ55)*(CQ$60&gt;$B$10)+IF(CQ$60=$B$10,SUM($F55:CP55)-SUM($F63:CP63)+CQ55+(CQ$60-CQ$52)/(CR$52-CQ$52)*CR55,0)</f>
        <v>0</v>
      </c>
      <c r="CR63" s="510">
        <f ca="1">(CR$60=$B$9)*CR55+((CR$60-CR$52)/(CS$52-CR$52)*CS55+(CR$52-CQ$60)/(CR$52-CQ$52)*CR55)*(CR$60&gt;$B$10)+IF(CR$60=$B$10,SUM($F55:CQ55)-SUM($F63:CQ63)+CR55+(CR$60-CR$52)/(CS$52-CR$52)*CS55,0)</f>
        <v>0</v>
      </c>
      <c r="CS63" s="510">
        <f ca="1">(CS$60=$B$9)*CS55+((CS$60-CS$52)/(CT$52-CS$52)*CT55+(CS$52-CR$60)/(CS$52-CR$52)*CS55)*(CS$60&gt;$B$10)+IF(CS$60=$B$10,SUM($F55:CR55)-SUM($F63:CR63)+CS55+(CS$60-CS$52)/(CT$52-CS$52)*CT55,0)</f>
        <v>0</v>
      </c>
      <c r="CT63" s="510">
        <f ca="1">(CT$60=$B$9)*CT55+((CT$60-CT$52)/(CU$52-CT$52)*CU55+(CT$52-CS$60)/(CT$52-CS$52)*CT55)*(CT$60&gt;$B$10)+IF(CT$60=$B$10,SUM($F55:CS55)-SUM($F63:CS63)+CT55+(CT$60-CT$52)/(CU$52-CT$52)*CU55,0)</f>
        <v>0</v>
      </c>
      <c r="CU63" s="510">
        <f ca="1">(CU$60=$B$9)*CU55+((CU$60-CU$52)/(CV$52-CU$52)*CV55+(CU$52-CT$60)/(CU$52-CT$52)*CU55)*(CU$60&gt;$B$10)+IF(CU$60=$B$10,SUM($F55:CT55)-SUM($F63:CT63)+CU55+(CU$60-CU$52)/(CV$52-CU$52)*CV55,0)</f>
        <v>0</v>
      </c>
      <c r="CV63" s="510">
        <f ca="1">(CV$60=$B$9)*CV55+((CV$60-CV$52)/(CW$52-CV$52)*CW55+(CV$52-CU$60)/(CV$52-CU$52)*CV55)*(CV$60&gt;$B$10)+IF(CV$60=$B$10,SUM($F55:CU55)-SUM($F63:CU63)+CV55+(CV$60-CV$52)/(CW$52-CV$52)*CW55,0)</f>
        <v>0</v>
      </c>
      <c r="CW63" s="510">
        <f ca="1">(CW$60=$B$9)*CW55+((CW$60-CW$52)/(CX$52-CW$52)*CX55+(CW$52-CV$60)/(CW$52-CV$52)*CW55)*(CW$60&gt;$B$10)+IF(CW$60=$B$10,SUM($F55:CV55)-SUM($F63:CV63)+CW55+(CW$60-CW$52)/(CX$52-CW$52)*CX55,0)</f>
        <v>0</v>
      </c>
      <c r="CX63" s="510">
        <f ca="1">(CX$60=$B$9)*CX55+((CX$60-CX$52)/(CY$52-CX$52)*CY55+(CX$52-CW$60)/(CX$52-CW$52)*CX55)*(CX$60&gt;$B$10)+IF(CX$60=$B$10,SUM($F55:CW55)-SUM($F63:CW63)+CX55+(CX$60-CX$52)/(CY$52-CX$52)*CY55,0)</f>
        <v>0</v>
      </c>
      <c r="CY63" s="510">
        <f ca="1">(CY$60=$B$9)*CY55+((CY$60-CY$52)/(CZ$52-CY$52)*CZ55+(CY$52-CX$60)/(CY$52-CX$52)*CY55)*(CY$60&gt;$B$10)+IF(CY$60=$B$10,SUM($F55:CX55)-SUM($F63:CX63)+CY55+(CY$60-CY$52)/(CZ$52-CY$52)*CZ55,0)</f>
        <v>0</v>
      </c>
      <c r="CZ63" s="510">
        <f ca="1">(CZ$60=$B$9)*CZ55+((CZ$60-CZ$52)/(DA$52-CZ$52)*DA55+(CZ$52-CY$60)/(CZ$52-CY$52)*CZ55)*(CZ$60&gt;$B$10)+IF(CZ$60=$B$10,SUM($F55:CY55)-SUM($F63:CY63)+CZ55+(CZ$60-CZ$52)/(DA$52-CZ$52)*DA55,0)</f>
        <v>0</v>
      </c>
      <c r="DA63" s="510">
        <f ca="1">(DA$60=$B$9)*DA55+((DA$60-DA$52)/(DB$52-DA$52)*DB55+(DA$52-CZ$60)/(DA$52-CZ$52)*DA55)*(DA$60&gt;$B$10)+IF(DA$60=$B$10,SUM($F55:CZ55)-SUM($F63:CZ63)+DA55+(DA$60-DA$52)/(DB$52-DA$52)*DB55,0)</f>
        <v>0</v>
      </c>
      <c r="DB63" s="510">
        <f ca="1">(DB$60=$B$9)*DB55+((DB$60-DB$52)/(DC$52-DB$52)*DC55+(DB$52-DA$60)/(DB$52-DA$52)*DB55)*(DB$60&gt;$B$10)+IF(DB$60=$B$10,SUM($F55:DA55)-SUM($F63:DA63)+DB55+(DB$60-DB$52)/(DC$52-DB$52)*DC55,0)</f>
        <v>0</v>
      </c>
      <c r="DC63" s="510">
        <f ca="1">(DC$60=$B$9)*DC55+((DC$60-DC$52)/(DD$52-DC$52)*DD55+(DC$52-DB$60)/(DC$52-DB$52)*DC55)*(DC$60&gt;$B$10)+IF(DC$60=$B$10,SUM($F55:DB55)-SUM($F63:DB63)+DC55+(DC$60-DC$52)/(DD$52-DC$52)*DD55,0)</f>
        <v>0</v>
      </c>
      <c r="DD63" s="510">
        <f ca="1">(DD$60=$B$9)*DD55+((DD$60-DD$52)/(DE$52-DD$52)*DE55+(DD$52-DC$60)/(DD$52-DC$52)*DD55)*(DD$60&gt;$B$10)+IF(DD$60=$B$10,SUM($F55:DC55)-SUM($F63:DC63)+DD55+(DD$60-DD$52)/(DE$52-DD$52)*DE55,0)</f>
        <v>0</v>
      </c>
      <c r="DE63" s="510">
        <f ca="1">(DE$60=$B$9)*DE55+((DE$60-DE$52)/(DF$52-DE$52)*DF55+(DE$52-DD$60)/(DE$52-DD$52)*DE55)*(DE$60&gt;$B$10)+IF(DE$60=$B$10,SUM($F55:DD55)-SUM($F63:DD63)+DE55+(DE$60-DE$52)/(DF$52-DE$52)*DF55,0)</f>
        <v>0</v>
      </c>
      <c r="DF63" s="510">
        <f ca="1">(DF$60=$B$9)*DF55+((DF$60-DF$52)/(DG$52-DF$52)*DG55+(DF$52-DE$60)/(DF$52-DE$52)*DF55)*(DF$60&gt;$B$10)+IF(DF$60=$B$10,SUM($F55:DE55)-SUM($F63:DE63)+DF55+(DF$60-DF$52)/(DG$52-DF$52)*DG55,0)</f>
        <v>0</v>
      </c>
      <c r="DG63" s="510">
        <f ca="1">(DG$60=$B$9)*DG55+((DG$60-DG$52)/(DH$52-DG$52)*DH55+(DG$52-DF$60)/(DG$52-DF$52)*DG55)*(DG$60&gt;$B$10)+IF(DG$60=$B$10,SUM($F55:DF55)-SUM($F63:DF63)+DG55+(DG$60-DG$52)/(DH$52-DG$52)*DH55,0)</f>
        <v>0</v>
      </c>
      <c r="DH63" s="510">
        <f ca="1">(DH$60=$B$9)*DH55+((DH$60-DH$52)/(DI$52-DH$52)*DI55+(DH$52-DG$60)/(DH$52-DG$52)*DH55)*(DH$60&gt;$B$10)+IF(DH$60=$B$10,SUM($F55:DG55)-SUM($F63:DG63)+DH55+(DH$60-DH$52)/(DI$52-DH$52)*DI55,0)</f>
        <v>0</v>
      </c>
      <c r="DI63" s="510">
        <f ca="1">(DI$60=$B$9)*DI55+((DI$60-DI$52)/(DJ$52-DI$52)*DJ55+(DI$52-DH$60)/(DI$52-DH$52)*DI55)*(DI$60&gt;$B$10)+IF(DI$60=$B$10,SUM($F55:DH55)-SUM($F63:DH63)+DI55+(DI$60-DI$52)/(DJ$52-DI$52)*DJ55,0)</f>
        <v>0</v>
      </c>
      <c r="DJ63" s="510">
        <f ca="1">(DJ$60=$B$9)*DJ55+((DJ$60-DJ$52)/(DK$52-DJ$52)*DK55+(DJ$52-DI$60)/(DJ$52-DI$52)*DJ55)*(DJ$60&gt;$B$10)+IF(DJ$60=$B$10,SUM($F55:DI55)-SUM($F63:DI63)+DJ55+(DJ$60-DJ$52)/(DK$52-DJ$52)*DK55,0)</f>
        <v>0</v>
      </c>
      <c r="DK63" s="510">
        <f ca="1">(DK$60=$B$9)*DK55+((DK$60-DK$52)/(DL$52-DK$52)*DL55+(DK$52-DJ$60)/(DK$52-DJ$52)*DK55)*(DK$60&gt;$B$10)+IF(DK$60=$B$10,SUM($F55:DJ55)-SUM($F63:DJ63)+DK55+(DK$60-DK$52)/(DL$52-DK$52)*DL55,0)</f>
        <v>0</v>
      </c>
      <c r="DL63" s="510">
        <f ca="1">(DL$60=$B$9)*DL55+((DL$60-DL$52)/(DM$52-DL$52)*DM55+(DL$52-DK$60)/(DL$52-DK$52)*DL55)*(DL$60&gt;$B$10)+IF(DL$60=$B$10,SUM($F55:DK55)-SUM($F63:DK63)+DL55+(DL$60-DL$52)/(DM$52-DL$52)*DM55,0)</f>
        <v>0</v>
      </c>
      <c r="DM63" s="510">
        <f ca="1">(DM$60=$B$9)*DM55+((DM$60-DM$52)/(DN$52-DM$52)*DN55+(DM$52-DL$60)/(DM$52-DL$52)*DM55)*(DM$60&gt;$B$10)+IF(DM$60=$B$10,SUM($F55:DL55)-SUM($F63:DL63)+DM55+(DM$60-DM$52)/(DN$52-DM$52)*DN55,0)</f>
        <v>0</v>
      </c>
      <c r="DN63" s="510">
        <f ca="1">(DN$60=$B$9)*DN55+((DN$60-DN$52)/(DO$52-DN$52)*DO55+(DN$52-DM$60)/(DN$52-DM$52)*DN55)*(DN$60&gt;$B$10)+IF(DN$60=$B$10,SUM($F55:DM55)-SUM($F63:DM63)+DN55+(DN$60-DN$52)/(DO$52-DN$52)*DO55,0)</f>
        <v>0</v>
      </c>
      <c r="DO63" s="510">
        <f ca="1">(DO$60=$B$9)*DO55+((DO$60-DO$52)/(DP$52-DO$52)*DP55+(DO$52-DN$60)/(DO$52-DN$52)*DO55)*(DO$60&gt;$B$10)+IF(DO$60=$B$10,SUM($F55:DN55)-SUM($F63:DN63)+DO55+(DO$60-DO$52)/(DP$52-DO$52)*DP55,0)</f>
        <v>0</v>
      </c>
      <c r="DP63" s="510">
        <f ca="1">(DP$60=$B$9)*DP55+((DP$60-DP$52)/(DQ$52-DP$52)*DQ55+(DP$52-DO$60)/(DP$52-DO$52)*DP55)*(DP$60&gt;$B$10)+IF(DP$60=$B$10,SUM($F55:DO55)-SUM($F63:DO63)+DP55+(DP$60-DP$52)/(DQ$52-DP$52)*DQ55,0)</f>
        <v>0</v>
      </c>
      <c r="DQ63" s="510">
        <f ca="1">(DQ$60=$B$9)*DQ55+((DQ$60-DQ$52)/(DR$52-DQ$52)*DR55+(DQ$52-DP$60)/(DQ$52-DP$52)*DQ55)*(DQ$60&gt;$B$10)+IF(DQ$60=$B$10,SUM($F55:DP55)-SUM($F63:DP63)+DQ55+(DQ$60-DQ$52)/(DR$52-DQ$52)*DR55,0)</f>
        <v>0</v>
      </c>
      <c r="DR63" s="510">
        <f ca="1">(DR$60=$B$9)*DR55+((DR$60-DR$52)/(DS$52-DR$52)*DS55+(DR$52-DQ$60)/(DR$52-DQ$52)*DR55)*(DR$60&gt;$B$10)+IF(DR$60=$B$10,SUM($F55:DQ55)-SUM($F63:DQ63)+DR55+(DR$60-DR$52)/(DS$52-DR$52)*DS55,0)</f>
        <v>0</v>
      </c>
      <c r="DS63" s="510">
        <f ca="1">(DS$60=$B$9)*DS55+((DS$60-DS$52)/(DT$52-DS$52)*DT55+(DS$52-DR$60)/(DS$52-DR$52)*DS55)*(DS$60&gt;$B$10)+IF(DS$60=$B$10,SUM($F55:DR55)-SUM($F63:DR63)+DS55+(DS$60-DS$52)/(DT$52-DS$52)*DT55,0)</f>
        <v>0</v>
      </c>
      <c r="DT63" s="510">
        <f ca="1">(DT$60=$B$9)*DT55+((DT$60-DT$52)/(DU$52-DT$52)*DU55+(DT$52-DS$60)/(DT$52-DS$52)*DT55)*(DT$60&gt;$B$10)+IF(DT$60=$B$10,SUM($F55:DS55)-SUM($F63:DS63)+DT55+(DT$60-DT$52)/(DU$52-DT$52)*DU55,0)</f>
        <v>0</v>
      </c>
      <c r="DU63" s="510">
        <f ca="1">(DU$60=$B$9)*DU55+((DU$60-DU$52)/(DV$52-DU$52)*DV55+(DU$52-DT$60)/(DU$52-DT$52)*DU55)*(DU$60&gt;$B$10)+IF(DU$60=$B$10,SUM($F55:DT55)-SUM($F63:DT63)+DU55+(DU$60-DU$52)/(DV$52-DU$52)*DV55,0)</f>
        <v>0</v>
      </c>
      <c r="DV63" s="510">
        <f ca="1">(DV$60=$B$9)*DV55+((DV$60-DV$52)/(DW$52-DV$52)*DW55+(DV$52-DU$60)/(DV$52-DU$52)*DV55)*(DV$60&gt;$B$10)+IF(DV$60=$B$10,SUM($F55:DU55)-SUM($F63:DU63)+DV55+(DV$60-DV$52)/(DW$52-DV$52)*DW55,0)</f>
        <v>0</v>
      </c>
      <c r="DW63" s="510">
        <f ca="1">(DW$60=$B$9)*DW55+((DW$60-DW$52)/(DX$52-DW$52)*DX55+(DW$52-DV$60)/(DW$52-DV$52)*DW55)*(DW$60&gt;$B$10)+IF(DW$60=$B$10,SUM($F55:DV55)-SUM($F63:DV63)+DW55+(DW$60-DW$52)/(DX$52-DW$52)*DX55,0)</f>
        <v>0</v>
      </c>
    </row>
    <row r="64" spans="1:127">
      <c r="A64" s="1019" t="str">
        <f>A56</f>
        <v>Gross Dividends</v>
      </c>
      <c r="B64" s="971"/>
      <c r="C64" s="971"/>
      <c r="D64" s="471"/>
      <c r="E64" s="471"/>
      <c r="F64" s="611"/>
      <c r="G64" s="510">
        <f ca="1">(G$60=$B$9)*G56+((G$60-G$52)/(H$52-G$52)*H56+(G$52-F$60)/(G$52-F$52)*G56)*(G$60&gt;$B$10)+IF(G$60=$B$10,SUM($F56:F56)-SUM($F64:F64)+G56+(G$60-G$52)/(H$52-G$52)*H56,0)</f>
        <v>0</v>
      </c>
      <c r="H64" s="510">
        <f ca="1">(H$60=$B$9)*H56+((H$60-H$52)/(I$52-H$52)*I56+(H$52-G$60)/(H$52-G$52)*H56)*(H$60&gt;$B$10)+IF(H$60=$B$10,SUM($F56:G56)-SUM($F64:G64)+H56+(H$60-H$52)/(I$52-H$52)*I56,0)</f>
        <v>0</v>
      </c>
      <c r="I64" s="510">
        <f ca="1">(I$60=$B$9)*I56+((I$60-I$52)/(J$52-I$52)*J56+(I$52-H$60)/(I$52-H$52)*I56)*(I$60&gt;$B$10)+IF(I$60=$B$10,SUM($F56:H56)-SUM($F64:H64)+I56+(I$60-I$52)/(J$52-I$52)*J56,0)</f>
        <v>0</v>
      </c>
      <c r="J64" s="510">
        <f ca="1">(J$60=$B$9)*J56+((J$60-J$52)/(K$52-J$52)*K56+(J$52-I$60)/(J$52-I$52)*J56)*(J$60&gt;$B$10)+IF(J$60=$B$10,SUM($F56:I56)-SUM($F64:I64)+J56+(J$60-J$52)/(K$52-J$52)*K56,0)</f>
        <v>0</v>
      </c>
      <c r="K64" s="510">
        <f ca="1">(K$60=$B$9)*K56+((K$60-K$52)/(L$52-K$52)*L56+(K$52-J$60)/(K$52-J$52)*K56)*(K$60&gt;$B$10)+IF(K$60=$B$10,SUM($F56:J56)-SUM($F64:J64)+K56+(K$60-K$52)/(L$52-K$52)*L56,0)</f>
        <v>0</v>
      </c>
      <c r="L64" s="510">
        <f ca="1">(L$60=$B$9)*L56+((L$60-L$52)/(M$52-L$52)*M56+(L$52-K$60)/(L$52-K$52)*L56)*(L$60&gt;$B$10)+IF(L$60=$B$10,SUM($F56:K56)-SUM($F64:K64)+L56+(L$60-L$52)/(M$52-L$52)*M56,0)</f>
        <v>0</v>
      </c>
      <c r="M64" s="510">
        <f ca="1">(M$60=$B$9)*M56+((M$60-M$52)/(N$52-M$52)*N56+(M$52-L$60)/(M$52-L$52)*M56)*(M$60&gt;$B$10)+IF(M$60=$B$10,SUM($F56:L56)-SUM($F64:L64)+M56+(M$60-M$52)/(N$52-M$52)*N56,0)</f>
        <v>0</v>
      </c>
      <c r="N64" s="510">
        <f ca="1">(N$60=$B$9)*N56+((N$60-N$52)/(O$52-N$52)*O56+(N$52-M$60)/(N$52-M$52)*N56)*(N$60&gt;$B$10)+IF(N$60=$B$10,SUM($F56:M56)-SUM($F64:M64)+N56+(N$60-N$52)/(O$52-N$52)*O56,0)</f>
        <v>0</v>
      </c>
      <c r="O64" s="510">
        <f ca="1">(O$60=$B$9)*O56+((O$60-O$52)/(P$52-O$52)*P56+(O$52-N$60)/(O$52-N$52)*O56)*(O$60&gt;$B$10)+IF(O$60=$B$10,SUM($F56:N56)-SUM($F64:N64)+O56+(O$60-O$52)/(P$52-O$52)*P56,0)</f>
        <v>0</v>
      </c>
      <c r="P64" s="510">
        <f ca="1">(P$60=$B$9)*P56+((P$60-P$52)/(Q$52-P$52)*Q56+(P$52-O$60)/(P$52-O$52)*P56)*(P$60&gt;$B$10)+IF(P$60=$B$10,SUM($F56:O56)-SUM($F64:O64)+P56+(P$60-P$52)/(Q$52-P$52)*Q56,0)</f>
        <v>0</v>
      </c>
      <c r="Q64" s="510">
        <f ca="1">(Q$60=$B$9)*Q56+((Q$60-Q$52)/(R$52-Q$52)*R56+(Q$52-P$60)/(Q$52-P$52)*Q56)*(Q$60&gt;$B$10)+IF(Q$60=$B$10,SUM($F56:P56)-SUM($F64:P64)+Q56+(Q$60-Q$52)/(R$52-Q$52)*R56,0)</f>
        <v>0</v>
      </c>
      <c r="R64" s="510">
        <f ca="1">(R$60=$B$9)*R56+((R$60-R$52)/(S$52-R$52)*S56+(R$52-Q$60)/(R$52-Q$52)*R56)*(R$60&gt;$B$10)+IF(R$60=$B$10,SUM($F56:Q56)-SUM($F64:Q64)+R56+(R$60-R$52)/(S$52-R$52)*S56,0)</f>
        <v>0</v>
      </c>
      <c r="S64" s="510">
        <f ca="1">(S$60=$B$9)*S56+((S$60-S$52)/(T$52-S$52)*T56+(S$52-R$60)/(S$52-R$52)*S56)*(S$60&gt;$B$10)+IF(S$60=$B$10,SUM($F56:R56)-SUM($F64:R64)+S56+(S$60-S$52)/(T$52-S$52)*T56,0)</f>
        <v>0</v>
      </c>
      <c r="T64" s="510">
        <f ca="1">(T$60=$B$9)*T56+((T$60-T$52)/(U$52-T$52)*U56+(T$52-S$60)/(T$52-S$52)*T56)*(T$60&gt;$B$10)+IF(T$60=$B$10,SUM($F56:S56)-SUM($F64:S64)+T56+(T$60-T$52)/(U$52-T$52)*U56,0)</f>
        <v>0</v>
      </c>
      <c r="U64" s="510">
        <f ca="1">(U$60=$B$9)*U56+((U$60-U$52)/(V$52-U$52)*V56+(U$52-T$60)/(U$52-T$52)*U56)*(U$60&gt;$B$10)+IF(U$60=$B$10,SUM($F56:T56)-SUM($F64:T64)+U56+(U$60-U$52)/(V$52-U$52)*V56,0)</f>
        <v>0</v>
      </c>
      <c r="V64" s="510">
        <f ca="1">(V$60=$B$9)*V56+((V$60-V$52)/(W$52-V$52)*W56+(V$52-U$60)/(V$52-U$52)*V56)*(V$60&gt;$B$10)+IF(V$60=$B$10,SUM($F56:U56)-SUM($F64:U64)+V56+(V$60-V$52)/(W$52-V$52)*W56,0)</f>
        <v>0</v>
      </c>
      <c r="W64" s="510">
        <f ca="1">(W$60=$B$9)*W56+((W$60-W$52)/(X$52-W$52)*X56+(W$52-V$60)/(W$52-V$52)*W56)*(W$60&gt;$B$10)+IF(W$60=$B$10,SUM($F56:V56)-SUM($F64:V64)+W56+(W$60-W$52)/(X$52-W$52)*X56,0)</f>
        <v>0</v>
      </c>
      <c r="X64" s="510">
        <f ca="1">(X$60=$B$9)*X56+((X$60-X$52)/(Y$52-X$52)*Y56+(X$52-W$60)/(X$52-W$52)*X56)*(X$60&gt;$B$10)+IF(X$60=$B$10,SUM($F56:W56)-SUM($F64:W64)+X56+(X$60-X$52)/(Y$52-X$52)*Y56,0)</f>
        <v>0</v>
      </c>
      <c r="Y64" s="510">
        <f ca="1">(Y$60=$B$9)*Y56+((Y$60-Y$52)/(Z$52-Y$52)*Z56+(Y$52-X$60)/(Y$52-X$52)*Y56)*(Y$60&gt;$B$10)+IF(Y$60=$B$10,SUM($F56:X56)-SUM($F64:X64)+Y56+(Y$60-Y$52)/(Z$52-Y$52)*Z56,0)</f>
        <v>0</v>
      </c>
      <c r="Z64" s="510">
        <f ca="1">(Z$60=$B$9)*Z56+((Z$60-Z$52)/(AA$52-Z$52)*AA56+(Z$52-Y$60)/(Z$52-Y$52)*Z56)*(Z$60&gt;$B$10)+IF(Z$60=$B$10,SUM($F56:Y56)-SUM($F64:Y64)+Z56+(Z$60-Z$52)/(AA$52-Z$52)*AA56,0)</f>
        <v>0</v>
      </c>
      <c r="AA64" s="510">
        <f ca="1">(AA$60=$B$9)*AA56+((AA$60-AA$52)/(AB$52-AA$52)*AB56+(AA$52-Z$60)/(AA$52-Z$52)*AA56)*(AA$60&gt;$B$10)+IF(AA$60=$B$10,SUM($F56:Z56)-SUM($F64:Z64)+AA56+(AA$60-AA$52)/(AB$52-AA$52)*AB56,0)</f>
        <v>0</v>
      </c>
      <c r="AB64" s="510">
        <f ca="1">(AB$60=$B$9)*AB56+((AB$60-AB$52)/(AC$52-AB$52)*AC56+(AB$52-AA$60)/(AB$52-AA$52)*AB56)*(AB$60&gt;$B$10)+IF(AB$60=$B$10,SUM($F56:AA56)-SUM($F64:AA64)+AB56+(AB$60-AB$52)/(AC$52-AB$52)*AC56,0)</f>
        <v>0</v>
      </c>
      <c r="AC64" s="510">
        <f ca="1">(AC$60=$B$9)*AC56+((AC$60-AC$52)/(AD$52-AC$52)*AD56+(AC$52-AB$60)/(AC$52-AB$52)*AC56)*(AC$60&gt;$B$10)+IF(AC$60=$B$10,SUM($F56:AB56)-SUM($F64:AB64)+AC56+(AC$60-AC$52)/(AD$52-AC$52)*AD56,0)</f>
        <v>0</v>
      </c>
      <c r="AD64" s="510">
        <f ca="1">(AD$60=$B$9)*AD56+((AD$60-AD$52)/(AE$52-AD$52)*AE56+(AD$52-AC$60)/(AD$52-AC$52)*AD56)*(AD$60&gt;$B$10)+IF(AD$60=$B$10,SUM($F56:AC56)-SUM($F64:AC64)+AD56+(AD$60-AD$52)/(AE$52-AD$52)*AE56,0)</f>
        <v>0</v>
      </c>
      <c r="AE64" s="510">
        <f ca="1">(AE$60=$B$9)*AE56+((AE$60-AE$52)/(AF$52-AE$52)*AF56+(AE$52-AD$60)/(AE$52-AD$52)*AE56)*(AE$60&gt;$B$10)+IF(AE$60=$B$10,SUM($F56:AD56)-SUM($F64:AD64)+AE56+(AE$60-AE$52)/(AF$52-AE$52)*AF56,0)</f>
        <v>0</v>
      </c>
      <c r="AF64" s="510">
        <f ca="1">(AF$60=$B$9)*AF56+((AF$60-AF$52)/(AG$52-AF$52)*AG56+(AF$52-AE$60)/(AF$52-AE$52)*AF56)*(AF$60&gt;$B$10)+IF(AF$60=$B$10,SUM($F56:AE56)-SUM($F64:AE64)+AF56+(AF$60-AF$52)/(AG$52-AF$52)*AG56,0)</f>
        <v>0</v>
      </c>
      <c r="AG64" s="510">
        <f ca="1">(AG$60=$B$9)*AG56+((AG$60-AG$52)/(AH$52-AG$52)*AH56+(AG$52-AF$60)/(AG$52-AF$52)*AG56)*(AG$60&gt;$B$10)+IF(AG$60=$B$10,SUM($F56:AF56)-SUM($F64:AF64)+AG56+(AG$60-AG$52)/(AH$52-AG$52)*AH56,0)</f>
        <v>0</v>
      </c>
      <c r="AH64" s="510">
        <f ca="1">(AH$60=$B$9)*AH56+((AH$60-AH$52)/(AI$52-AH$52)*AI56+(AH$52-AG$60)/(AH$52-AG$52)*AH56)*(AH$60&gt;$B$10)+IF(AH$60=$B$10,SUM($F56:AG56)-SUM($F64:AG64)+AH56+(AH$60-AH$52)/(AI$52-AH$52)*AI56,0)</f>
        <v>0</v>
      </c>
      <c r="AI64" s="510">
        <f ca="1">(AI$60=$B$9)*AI56+((AI$60-AI$52)/(AJ$52-AI$52)*AJ56+(AI$52-AH$60)/(AI$52-AH$52)*AI56)*(AI$60&gt;$B$10)+IF(AI$60=$B$10,SUM($F56:AH56)-SUM($F64:AH64)+AI56+(AI$60-AI$52)/(AJ$52-AI$52)*AJ56,0)</f>
        <v>0</v>
      </c>
      <c r="AJ64" s="510">
        <f ca="1">(AJ$60=$B$9)*AJ56+((AJ$60-AJ$52)/(AK$52-AJ$52)*AK56+(AJ$52-AI$60)/(AJ$52-AI$52)*AJ56)*(AJ$60&gt;$B$10)+IF(AJ$60=$B$10,SUM($F56:AI56)-SUM($F64:AI64)+AJ56+(AJ$60-AJ$52)/(AK$52-AJ$52)*AK56,0)</f>
        <v>0</v>
      </c>
      <c r="AK64" s="510">
        <f ca="1">(AK$60=$B$9)*AK56+((AK$60-AK$52)/(AL$52-AK$52)*AL56+(AK$52-AJ$60)/(AK$52-AJ$52)*AK56)*(AK$60&gt;$B$10)+IF(AK$60=$B$10,SUM($F56:AJ56)-SUM($F64:AJ64)+AK56+(AK$60-AK$52)/(AL$52-AK$52)*AL56,0)</f>
        <v>0</v>
      </c>
      <c r="AL64" s="510">
        <f ca="1">(AL$60=$B$9)*AL56+((AL$60-AL$52)/(AM$52-AL$52)*AM56+(AL$52-AK$60)/(AL$52-AK$52)*AL56)*(AL$60&gt;$B$10)+IF(AL$60=$B$10,SUM($F56:AK56)-SUM($F64:AK64)+AL56+(AL$60-AL$52)/(AM$52-AL$52)*AM56,0)</f>
        <v>0</v>
      </c>
      <c r="AM64" s="510">
        <f ca="1">(AM$60=$B$9)*AM56+((AM$60-AM$52)/(AN$52-AM$52)*AN56+(AM$52-AL$60)/(AM$52-AL$52)*AM56)*(AM$60&gt;$B$10)+IF(AM$60=$B$10,SUM($F56:AL56)-SUM($F64:AL64)+AM56+(AM$60-AM$52)/(AN$52-AM$52)*AN56,0)</f>
        <v>0</v>
      </c>
      <c r="AN64" s="510">
        <f ca="1">(AN$60=$B$9)*AN56+((AN$60-AN$52)/(AO$52-AN$52)*AO56+(AN$52-AM$60)/(AN$52-AM$52)*AN56)*(AN$60&gt;$B$10)+IF(AN$60=$B$10,SUM($F56:AM56)-SUM($F64:AM64)+AN56+(AN$60-AN$52)/(AO$52-AN$52)*AO56,0)</f>
        <v>0</v>
      </c>
      <c r="AO64" s="510">
        <f ca="1">(AO$60=$B$9)*AO56+((AO$60-AO$52)/(AP$52-AO$52)*AP56+(AO$52-AN$60)/(AO$52-AN$52)*AO56)*(AO$60&gt;$B$10)+IF(AO$60=$B$10,SUM($F56:AN56)-SUM($F64:AN64)+AO56+(AO$60-AO$52)/(AP$52-AO$52)*AP56,0)</f>
        <v>0</v>
      </c>
      <c r="AP64" s="510">
        <f ca="1">(AP$60=$B$9)*AP56+((AP$60-AP$52)/(AQ$52-AP$52)*AQ56+(AP$52-AO$60)/(AP$52-AO$52)*AP56)*(AP$60&gt;$B$10)+IF(AP$60=$B$10,SUM($F56:AO56)-SUM($F64:AO64)+AP56+(AP$60-AP$52)/(AQ$52-AP$52)*AQ56,0)</f>
        <v>0</v>
      </c>
      <c r="AQ64" s="510">
        <f ca="1">(AQ$60=$B$9)*AQ56+((AQ$60-AQ$52)/(AR$52-AQ$52)*AR56+(AQ$52-AP$60)/(AQ$52-AP$52)*AQ56)*(AQ$60&gt;$B$10)+IF(AQ$60=$B$10,SUM($F56:AP56)-SUM($F64:AP64)+AQ56+(AQ$60-AQ$52)/(AR$52-AQ$52)*AR56,0)</f>
        <v>0</v>
      </c>
      <c r="AR64" s="510">
        <f ca="1">(AR$60=$B$9)*AR56+((AR$60-AR$52)/(AS$52-AR$52)*AS56+(AR$52-AQ$60)/(AR$52-AQ$52)*AR56)*(AR$60&gt;$B$10)+IF(AR$60=$B$10,SUM($F56:AQ56)-SUM($F64:AQ64)+AR56+(AR$60-AR$52)/(AS$52-AR$52)*AS56,0)</f>
        <v>0</v>
      </c>
      <c r="AS64" s="510">
        <f ca="1">(AS$60=$B$9)*AS56+((AS$60-AS$52)/(AT$52-AS$52)*AT56+(AS$52-AR$60)/(AS$52-AR$52)*AS56)*(AS$60&gt;$B$10)+IF(AS$60=$B$10,SUM($F56:AR56)-SUM($F64:AR64)+AS56+(AS$60-AS$52)/(AT$52-AS$52)*AT56,0)</f>
        <v>0</v>
      </c>
      <c r="AT64" s="510">
        <f ca="1">(AT$60=$B$9)*AT56+((AT$60-AT$52)/(AU$52-AT$52)*AU56+(AT$52-AS$60)/(AT$52-AS$52)*AT56)*(AT$60&gt;$B$10)+IF(AT$60=$B$10,SUM($F56:AS56)-SUM($F64:AS64)+AT56+(AT$60-AT$52)/(AU$52-AT$52)*AU56,0)</f>
        <v>0</v>
      </c>
      <c r="AU64" s="510">
        <f ca="1">(AU$60=$B$9)*AU56+((AU$60-AU$52)/(AV$52-AU$52)*AV56+(AU$52-AT$60)/(AU$52-AT$52)*AU56)*(AU$60&gt;$B$10)+IF(AU$60=$B$10,SUM($F56:AT56)-SUM($F64:AT64)+AU56+(AU$60-AU$52)/(AV$52-AU$52)*AV56,0)</f>
        <v>0</v>
      </c>
      <c r="AV64" s="510">
        <f ca="1">(AV$60=$B$9)*AV56+((AV$60-AV$52)/(AW$52-AV$52)*AW56+(AV$52-AU$60)/(AV$52-AU$52)*AV56)*(AV$60&gt;$B$10)+IF(AV$60=$B$10,SUM($F56:AU56)-SUM($F64:AU64)+AV56+(AV$60-AV$52)/(AW$52-AV$52)*AW56,0)</f>
        <v>0</v>
      </c>
      <c r="AW64" s="510">
        <f ca="1">(AW$60=$B$9)*AW56+((AW$60-AW$52)/(AX$52-AW$52)*AX56+(AW$52-AV$60)/(AW$52-AV$52)*AW56)*(AW$60&gt;$B$10)+IF(AW$60=$B$10,SUM($F56:AV56)-SUM($F64:AV64)+AW56+(AW$60-AW$52)/(AX$52-AW$52)*AX56,0)</f>
        <v>0</v>
      </c>
      <c r="AX64" s="510">
        <f ca="1">(AX$60=$B$9)*AX56+((AX$60-AX$52)/(AY$52-AX$52)*AY56+(AX$52-AW$60)/(AX$52-AW$52)*AX56)*(AX$60&gt;$B$10)+IF(AX$60=$B$10,SUM($F56:AW56)-SUM($F64:AW64)+AX56+(AX$60-AX$52)/(AY$52-AX$52)*AY56,0)</f>
        <v>0</v>
      </c>
      <c r="AY64" s="510">
        <f ca="1">(AY$60=$B$9)*AY56+((AY$60-AY$52)/(AZ$52-AY$52)*AZ56+(AY$52-AX$60)/(AY$52-AX$52)*AY56)*(AY$60&gt;$B$10)+IF(AY$60=$B$10,SUM($F56:AX56)-SUM($F64:AX64)+AY56+(AY$60-AY$52)/(AZ$52-AY$52)*AZ56,0)</f>
        <v>0</v>
      </c>
      <c r="AZ64" s="510">
        <f ca="1">(AZ$60=$B$9)*AZ56+((AZ$60-AZ$52)/(BA$52-AZ$52)*BA56+(AZ$52-AY$60)/(AZ$52-AY$52)*AZ56)*(AZ$60&gt;$B$10)+IF(AZ$60=$B$10,SUM($F56:AY56)-SUM($F64:AY64)+AZ56+(AZ$60-AZ$52)/(BA$52-AZ$52)*BA56,0)</f>
        <v>0</v>
      </c>
      <c r="BA64" s="510">
        <f ca="1">(BA$60=$B$9)*BA56+((BA$60-BA$52)/(BB$52-BA$52)*BB56+(BA$52-AZ$60)/(BA$52-AZ$52)*BA56)*(BA$60&gt;$B$10)+IF(BA$60=$B$10,SUM($F56:AZ56)-SUM($F64:AZ64)+BA56+(BA$60-BA$52)/(BB$52-BA$52)*BB56,0)</f>
        <v>0</v>
      </c>
      <c r="BB64" s="510">
        <f ca="1">(BB$60=$B$9)*BB56+((BB$60-BB$52)/(BC$52-BB$52)*BC56+(BB$52-BA$60)/(BB$52-BA$52)*BB56)*(BB$60&gt;$B$10)+IF(BB$60=$B$10,SUM($F56:BA56)-SUM($F64:BA64)+BB56+(BB$60-BB$52)/(BC$52-BB$52)*BC56,0)</f>
        <v>0</v>
      </c>
      <c r="BC64" s="510">
        <f ca="1">(BC$60=$B$9)*BC56+((BC$60-BC$52)/(BD$52-BC$52)*BD56+(BC$52-BB$60)/(BC$52-BB$52)*BC56)*(BC$60&gt;$B$10)+IF(BC$60=$B$10,SUM($F56:BB56)-SUM($F64:BB64)+BC56+(BC$60-BC$52)/(BD$52-BC$52)*BD56,0)</f>
        <v>0</v>
      </c>
      <c r="BD64" s="510">
        <f ca="1">(BD$60=$B$9)*BD56+((BD$60-BD$52)/(BE$52-BD$52)*BE56+(BD$52-BC$60)/(BD$52-BC$52)*BD56)*(BD$60&gt;$B$10)+IF(BD$60=$B$10,SUM($F56:BC56)-SUM($F64:BC64)+BD56+(BD$60-BD$52)/(BE$52-BD$52)*BE56,0)</f>
        <v>0</v>
      </c>
      <c r="BE64" s="510">
        <f ca="1">(BE$60=$B$9)*BE56+((BE$60-BE$52)/(BF$52-BE$52)*BF56+(BE$52-BD$60)/(BE$52-BD$52)*BE56)*(BE$60&gt;$B$10)+IF(BE$60=$B$10,SUM($F56:BD56)-SUM($F64:BD64)+BE56+(BE$60-BE$52)/(BF$52-BE$52)*BF56,0)</f>
        <v>0</v>
      </c>
      <c r="BF64" s="510">
        <f ca="1">(BF$60=$B$9)*BF56+((BF$60-BF$52)/(BG$52-BF$52)*BG56+(BF$52-BE$60)/(BF$52-BE$52)*BF56)*(BF$60&gt;$B$10)+IF(BF$60=$B$10,SUM($F56:BE56)-SUM($F64:BE64)+BF56+(BF$60-BF$52)/(BG$52-BF$52)*BG56,0)</f>
        <v>0</v>
      </c>
      <c r="BG64" s="510">
        <f ca="1">(BG$60=$B$9)*BG56+((BG$60-BG$52)/(BH$52-BG$52)*BH56+(BG$52-BF$60)/(BG$52-BF$52)*BG56)*(BG$60&gt;$B$10)+IF(BG$60=$B$10,SUM($F56:BF56)-SUM($F64:BF64)+BG56+(BG$60-BG$52)/(BH$52-BG$52)*BH56,0)</f>
        <v>0</v>
      </c>
      <c r="BH64" s="510">
        <f ca="1">(BH$60=$B$9)*BH56+((BH$60-BH$52)/(BI$52-BH$52)*BI56+(BH$52-BG$60)/(BH$52-BG$52)*BH56)*(BH$60&gt;$B$10)+IF(BH$60=$B$10,SUM($F56:BG56)-SUM($F64:BG64)+BH56+(BH$60-BH$52)/(BI$52-BH$52)*BI56,0)</f>
        <v>0</v>
      </c>
      <c r="BI64" s="510">
        <f ca="1">(BI$60=$B$9)*BI56+((BI$60-BI$52)/(BJ$52-BI$52)*BJ56+(BI$52-BH$60)/(BI$52-BH$52)*BI56)*(BI$60&gt;$B$10)+IF(BI$60=$B$10,SUM($F56:BH56)-SUM($F64:BH64)+BI56+(BI$60-BI$52)/(BJ$52-BI$52)*BJ56,0)</f>
        <v>0</v>
      </c>
      <c r="BJ64" s="510">
        <f ca="1">(BJ$60=$B$9)*BJ56+((BJ$60-BJ$52)/(BK$52-BJ$52)*BK56+(BJ$52-BI$60)/(BJ$52-BI$52)*BJ56)*(BJ$60&gt;$B$10)+IF(BJ$60=$B$10,SUM($F56:BI56)-SUM($F64:BI64)+BJ56+(BJ$60-BJ$52)/(BK$52-BJ$52)*BK56,0)</f>
        <v>0</v>
      </c>
      <c r="BK64" s="510">
        <f ca="1">(BK$60=$B$9)*BK56+((BK$60-BK$52)/(BL$52-BK$52)*BL56+(BK$52-BJ$60)/(BK$52-BJ$52)*BK56)*(BK$60&gt;$B$10)+IF(BK$60=$B$10,SUM($F56:BJ56)-SUM($F64:BJ64)+BK56+(BK$60-BK$52)/(BL$52-BK$52)*BL56,0)</f>
        <v>0</v>
      </c>
      <c r="BL64" s="510">
        <f ca="1">(BL$60=$B$9)*BL56+((BL$60-BL$52)/(BM$52-BL$52)*BM56+(BL$52-BK$60)/(BL$52-BK$52)*BL56)*(BL$60&gt;$B$10)+IF(BL$60=$B$10,SUM($F56:BK56)-SUM($F64:BK64)+BL56+(BL$60-BL$52)/(BM$52-BL$52)*BM56,0)</f>
        <v>0</v>
      </c>
      <c r="BM64" s="510">
        <f ca="1">(BM$60=$B$9)*BM56+((BM$60-BM$52)/(BN$52-BM$52)*BN56+(BM$52-BL$60)/(BM$52-BL$52)*BM56)*(BM$60&gt;$B$10)+IF(BM$60=$B$10,SUM($F56:BL56)-SUM($F64:BL64)+BM56+(BM$60-BM$52)/(BN$52-BM$52)*BN56,0)</f>
        <v>0</v>
      </c>
      <c r="BN64" s="510">
        <f ca="1">(BN$60=$B$9)*BN56+((BN$60-BN$52)/(BO$52-BN$52)*BO56+(BN$52-BM$60)/(BN$52-BM$52)*BN56)*(BN$60&gt;$B$10)+IF(BN$60=$B$10,SUM($F56:BM56)-SUM($F64:BM64)+BN56+(BN$60-BN$52)/(BO$52-BN$52)*BO56,0)</f>
        <v>0</v>
      </c>
      <c r="BO64" s="510">
        <f ca="1">(BO$60=$B$9)*BO56+((BO$60-BO$52)/(BP$52-BO$52)*BP56+(BO$52-BN$60)/(BO$52-BN$52)*BO56)*(BO$60&gt;$B$10)+IF(BO$60=$B$10,SUM($F56:BN56)-SUM($F64:BN64)+BO56+(BO$60-BO$52)/(BP$52-BO$52)*BP56,0)</f>
        <v>0</v>
      </c>
      <c r="BP64" s="510">
        <f ca="1">(BP$60=$B$9)*BP56+((BP$60-BP$52)/(BQ$52-BP$52)*BQ56+(BP$52-BO$60)/(BP$52-BO$52)*BP56)*(BP$60&gt;$B$10)+IF(BP$60=$B$10,SUM($F56:BO56)-SUM($F64:BO64)+BP56+(BP$60-BP$52)/(BQ$52-BP$52)*BQ56,0)</f>
        <v>0</v>
      </c>
      <c r="BQ64" s="510">
        <f ca="1">(BQ$60=$B$9)*BQ56+((BQ$60-BQ$52)/(BR$52-BQ$52)*BR56+(BQ$52-BP$60)/(BQ$52-BP$52)*BQ56)*(BQ$60&gt;$B$10)+IF(BQ$60=$B$10,SUM($F56:BP56)-SUM($F64:BP64)+BQ56+(BQ$60-BQ$52)/(BR$52-BQ$52)*BR56,0)</f>
        <v>0</v>
      </c>
      <c r="BR64" s="510">
        <f ca="1">(BR$60=$B$9)*BR56+((BR$60-BR$52)/(BS$52-BR$52)*BS56+(BR$52-BQ$60)/(BR$52-BQ$52)*BR56)*(BR$60&gt;$B$10)+IF(BR$60=$B$10,SUM($F56:BQ56)-SUM($F64:BQ64)+BR56+(BR$60-BR$52)/(BS$52-BR$52)*BS56,0)</f>
        <v>0</v>
      </c>
      <c r="BS64" s="510">
        <f ca="1">(BS$60=$B$9)*BS56+((BS$60-BS$52)/(BT$52-BS$52)*BT56+(BS$52-BR$60)/(BS$52-BR$52)*BS56)*(BS$60&gt;$B$10)+IF(BS$60=$B$10,SUM($F56:BR56)-SUM($F64:BR64)+BS56+(BS$60-BS$52)/(BT$52-BS$52)*BT56,0)</f>
        <v>0</v>
      </c>
      <c r="BT64" s="510">
        <f ca="1">(BT$60=$B$9)*BT56+((BT$60-BT$52)/(BU$52-BT$52)*BU56+(BT$52-BS$60)/(BT$52-BS$52)*BT56)*(BT$60&gt;$B$10)+IF(BT$60=$B$10,SUM($F56:BS56)-SUM($F64:BS64)+BT56+(BT$60-BT$52)/(BU$52-BT$52)*BU56,0)</f>
        <v>0</v>
      </c>
      <c r="BU64" s="510">
        <f ca="1">(BU$60=$B$9)*BU56+((BU$60-BU$52)/(BV$52-BU$52)*BV56+(BU$52-BT$60)/(BU$52-BT$52)*BU56)*(BU$60&gt;$B$10)+IF(BU$60=$B$10,SUM($F56:BT56)-SUM($F64:BT64)+BU56+(BU$60-BU$52)/(BV$52-BU$52)*BV56,0)</f>
        <v>0</v>
      </c>
      <c r="BV64" s="510">
        <f ca="1">(BV$60=$B$9)*BV56+((BV$60-BV$52)/(BW$52-BV$52)*BW56+(BV$52-BU$60)/(BV$52-BU$52)*BV56)*(BV$60&gt;$B$10)+IF(BV$60=$B$10,SUM($F56:BU56)-SUM($F64:BU64)+BV56+(BV$60-BV$52)/(BW$52-BV$52)*BW56,0)</f>
        <v>0</v>
      </c>
      <c r="BW64" s="510">
        <f ca="1">(BW$60=$B$9)*BW56+((BW$60-BW$52)/(BX$52-BW$52)*BX56+(BW$52-BV$60)/(BW$52-BV$52)*BW56)*(BW$60&gt;$B$10)+IF(BW$60=$B$10,SUM($F56:BV56)-SUM($F64:BV64)+BW56+(BW$60-BW$52)/(BX$52-BW$52)*BX56,0)</f>
        <v>0</v>
      </c>
      <c r="BX64" s="510">
        <f ca="1">(BX$60=$B$9)*BX56+((BX$60-BX$52)/(BY$52-BX$52)*BY56+(BX$52-BW$60)/(BX$52-BW$52)*BX56)*(BX$60&gt;$B$10)+IF(BX$60=$B$10,SUM($F56:BW56)-SUM($F64:BW64)+BX56+(BX$60-BX$52)/(BY$52-BX$52)*BY56,0)</f>
        <v>0</v>
      </c>
      <c r="BY64" s="510">
        <f ca="1">(BY$60=$B$9)*BY56+((BY$60-BY$52)/(BZ$52-BY$52)*BZ56+(BY$52-BX$60)/(BY$52-BX$52)*BY56)*(BY$60&gt;$B$10)+IF(BY$60=$B$10,SUM($F56:BX56)-SUM($F64:BX64)+BY56+(BY$60-BY$52)/(BZ$52-BY$52)*BZ56,0)</f>
        <v>0</v>
      </c>
      <c r="BZ64" s="510">
        <f ca="1">(BZ$60=$B$9)*BZ56+((BZ$60-BZ$52)/(CA$52-BZ$52)*CA56+(BZ$52-BY$60)/(BZ$52-BY$52)*BZ56)*(BZ$60&gt;$B$10)+IF(BZ$60=$B$10,SUM($F56:BY56)-SUM($F64:BY64)+BZ56+(BZ$60-BZ$52)/(CA$52-BZ$52)*CA56,0)</f>
        <v>0</v>
      </c>
      <c r="CA64" s="510">
        <f ca="1">(CA$60=$B$9)*CA56+((CA$60-CA$52)/(CB$52-CA$52)*CB56+(CA$52-BZ$60)/(CA$52-BZ$52)*CA56)*(CA$60&gt;$B$10)+IF(CA$60=$B$10,SUM($F56:BZ56)-SUM($F64:BZ64)+CA56+(CA$60-CA$52)/(CB$52-CA$52)*CB56,0)</f>
        <v>0</v>
      </c>
      <c r="CB64" s="510">
        <f ca="1">(CB$60=$B$9)*CB56+((CB$60-CB$52)/(CC$52-CB$52)*CC56+(CB$52-CA$60)/(CB$52-CA$52)*CB56)*(CB$60&gt;$B$10)+IF(CB$60=$B$10,SUM($F56:CA56)-SUM($F64:CA64)+CB56+(CB$60-CB$52)/(CC$52-CB$52)*CC56,0)</f>
        <v>0</v>
      </c>
      <c r="CC64" s="510">
        <f ca="1">(CC$60=$B$9)*CC56+((CC$60-CC$52)/(CD$52-CC$52)*CD56+(CC$52-CB$60)/(CC$52-CB$52)*CC56)*(CC$60&gt;$B$10)+IF(CC$60=$B$10,SUM($F56:CB56)-SUM($F64:CB64)+CC56+(CC$60-CC$52)/(CD$52-CC$52)*CD56,0)</f>
        <v>0</v>
      </c>
      <c r="CD64" s="510">
        <f ca="1">(CD$60=$B$9)*CD56+((CD$60-CD$52)/(CE$52-CD$52)*CE56+(CD$52-CC$60)/(CD$52-CC$52)*CD56)*(CD$60&gt;$B$10)+IF(CD$60=$B$10,SUM($F56:CC56)-SUM($F64:CC64)+CD56+(CD$60-CD$52)/(CE$52-CD$52)*CE56,0)</f>
        <v>0</v>
      </c>
      <c r="CE64" s="510">
        <f ca="1">(CE$60=$B$9)*CE56+((CE$60-CE$52)/(CF$52-CE$52)*CF56+(CE$52-CD$60)/(CE$52-CD$52)*CE56)*(CE$60&gt;$B$10)+IF(CE$60=$B$10,SUM($F56:CD56)-SUM($F64:CD64)+CE56+(CE$60-CE$52)/(CF$52-CE$52)*CF56,0)</f>
        <v>0</v>
      </c>
      <c r="CF64" s="510">
        <f ca="1">(CF$60=$B$9)*CF56+((CF$60-CF$52)/(CG$52-CF$52)*CG56+(CF$52-CE$60)/(CF$52-CE$52)*CF56)*(CF$60&gt;$B$10)+IF(CF$60=$B$10,SUM($F56:CE56)-SUM($F64:CE64)+CF56+(CF$60-CF$52)/(CG$52-CF$52)*CG56,0)</f>
        <v>0</v>
      </c>
      <c r="CG64" s="510">
        <f ca="1">(CG$60=$B$9)*CG56+((CG$60-CG$52)/(CH$52-CG$52)*CH56+(CG$52-CF$60)/(CG$52-CF$52)*CG56)*(CG$60&gt;$B$10)+IF(CG$60=$B$10,SUM($F56:CF56)-SUM($F64:CF64)+CG56+(CG$60-CG$52)/(CH$52-CG$52)*CH56,0)</f>
        <v>0</v>
      </c>
      <c r="CH64" s="510">
        <f ca="1">(CH$60=$B$9)*CH56+((CH$60-CH$52)/(CI$52-CH$52)*CI56+(CH$52-CG$60)/(CH$52-CG$52)*CH56)*(CH$60&gt;$B$10)+IF(CH$60=$B$10,SUM($F56:CG56)-SUM($F64:CG64)+CH56+(CH$60-CH$52)/(CI$52-CH$52)*CI56,0)</f>
        <v>0</v>
      </c>
      <c r="CI64" s="510">
        <f ca="1">(CI$60=$B$9)*CI56+((CI$60-CI$52)/(CJ$52-CI$52)*CJ56+(CI$52-CH$60)/(CI$52-CH$52)*CI56)*(CI$60&gt;$B$10)+IF(CI$60=$B$10,SUM($F56:CH56)-SUM($F64:CH64)+CI56+(CI$60-CI$52)/(CJ$52-CI$52)*CJ56,0)</f>
        <v>0</v>
      </c>
      <c r="CJ64" s="510">
        <f ca="1">(CJ$60=$B$9)*CJ56+((CJ$60-CJ$52)/(CK$52-CJ$52)*CK56+(CJ$52-CI$60)/(CJ$52-CI$52)*CJ56)*(CJ$60&gt;$B$10)+IF(CJ$60=$B$10,SUM($F56:CI56)-SUM($F64:CI64)+CJ56+(CJ$60-CJ$52)/(CK$52-CJ$52)*CK56,0)</f>
        <v>0</v>
      </c>
      <c r="CK64" s="510">
        <f ca="1">(CK$60=$B$9)*CK56+((CK$60-CK$52)/(CL$52-CK$52)*CL56+(CK$52-CJ$60)/(CK$52-CJ$52)*CK56)*(CK$60&gt;$B$10)+IF(CK$60=$B$10,SUM($F56:CJ56)-SUM($F64:CJ64)+CK56+(CK$60-CK$52)/(CL$52-CK$52)*CL56,0)</f>
        <v>0</v>
      </c>
      <c r="CL64" s="510">
        <f ca="1">(CL$60=$B$9)*CL56+((CL$60-CL$52)/(CM$52-CL$52)*CM56+(CL$52-CK$60)/(CL$52-CK$52)*CL56)*(CL$60&gt;$B$10)+IF(CL$60=$B$10,SUM($F56:CK56)-SUM($F64:CK64)+CL56+(CL$60-CL$52)/(CM$52-CL$52)*CM56,0)</f>
        <v>0</v>
      </c>
      <c r="CM64" s="510">
        <f ca="1">(CM$60=$B$9)*CM56+((CM$60-CM$52)/(CN$52-CM$52)*CN56+(CM$52-CL$60)/(CM$52-CL$52)*CM56)*(CM$60&gt;$B$10)+IF(CM$60=$B$10,SUM($F56:CL56)-SUM($F64:CL64)+CM56+(CM$60-CM$52)/(CN$52-CM$52)*CN56,0)</f>
        <v>0</v>
      </c>
      <c r="CN64" s="510">
        <f ca="1">(CN$60=$B$9)*CN56+((CN$60-CN$52)/(CO$52-CN$52)*CO56+(CN$52-CM$60)/(CN$52-CM$52)*CN56)*(CN$60&gt;$B$10)+IF(CN$60=$B$10,SUM($F56:CM56)-SUM($F64:CM64)+CN56+(CN$60-CN$52)/(CO$52-CN$52)*CO56,0)</f>
        <v>0</v>
      </c>
      <c r="CO64" s="510">
        <f ca="1">(CO$60=$B$9)*CO56+((CO$60-CO$52)/(CP$52-CO$52)*CP56+(CO$52-CN$60)/(CO$52-CN$52)*CO56)*(CO$60&gt;$B$10)+IF(CO$60=$B$10,SUM($F56:CN56)-SUM($F64:CN64)+CO56+(CO$60-CO$52)/(CP$52-CO$52)*CP56,0)</f>
        <v>0</v>
      </c>
      <c r="CP64" s="510">
        <f ca="1">(CP$60=$B$9)*CP56+((CP$60-CP$52)/(CQ$52-CP$52)*CQ56+(CP$52-CO$60)/(CP$52-CO$52)*CP56)*(CP$60&gt;$B$10)+IF(CP$60=$B$10,SUM($F56:CO56)-SUM($F64:CO64)+CP56+(CP$60-CP$52)/(CQ$52-CP$52)*CQ56,0)</f>
        <v>0</v>
      </c>
      <c r="CQ64" s="510">
        <f ca="1">(CQ$60=$B$9)*CQ56+((CQ$60-CQ$52)/(CR$52-CQ$52)*CR56+(CQ$52-CP$60)/(CQ$52-CP$52)*CQ56)*(CQ$60&gt;$B$10)+IF(CQ$60=$B$10,SUM($F56:CP56)-SUM($F64:CP64)+CQ56+(CQ$60-CQ$52)/(CR$52-CQ$52)*CR56,0)</f>
        <v>0</v>
      </c>
      <c r="CR64" s="510">
        <f ca="1">(CR$60=$B$9)*CR56+((CR$60-CR$52)/(CS$52-CR$52)*CS56+(CR$52-CQ$60)/(CR$52-CQ$52)*CR56)*(CR$60&gt;$B$10)+IF(CR$60=$B$10,SUM($F56:CQ56)-SUM($F64:CQ64)+CR56+(CR$60-CR$52)/(CS$52-CR$52)*CS56,0)</f>
        <v>0</v>
      </c>
      <c r="CS64" s="510">
        <f ca="1">(CS$60=$B$9)*CS56+((CS$60-CS$52)/(CT$52-CS$52)*CT56+(CS$52-CR$60)/(CS$52-CR$52)*CS56)*(CS$60&gt;$B$10)+IF(CS$60=$B$10,SUM($F56:CR56)-SUM($F64:CR64)+CS56+(CS$60-CS$52)/(CT$52-CS$52)*CT56,0)</f>
        <v>0</v>
      </c>
      <c r="CT64" s="510">
        <f ca="1">(CT$60=$B$9)*CT56+((CT$60-CT$52)/(CU$52-CT$52)*CU56+(CT$52-CS$60)/(CT$52-CS$52)*CT56)*(CT$60&gt;$B$10)+IF(CT$60=$B$10,SUM($F56:CS56)-SUM($F64:CS64)+CT56+(CT$60-CT$52)/(CU$52-CT$52)*CU56,0)</f>
        <v>0</v>
      </c>
      <c r="CU64" s="510">
        <f ca="1">(CU$60=$B$9)*CU56+((CU$60-CU$52)/(CV$52-CU$52)*CV56+(CU$52-CT$60)/(CU$52-CT$52)*CU56)*(CU$60&gt;$B$10)+IF(CU$60=$B$10,SUM($F56:CT56)-SUM($F64:CT64)+CU56+(CU$60-CU$52)/(CV$52-CU$52)*CV56,0)</f>
        <v>0</v>
      </c>
      <c r="CV64" s="510">
        <f ca="1">(CV$60=$B$9)*CV56+((CV$60-CV$52)/(CW$52-CV$52)*CW56+(CV$52-CU$60)/(CV$52-CU$52)*CV56)*(CV$60&gt;$B$10)+IF(CV$60=$B$10,SUM($F56:CU56)-SUM($F64:CU64)+CV56+(CV$60-CV$52)/(CW$52-CV$52)*CW56,0)</f>
        <v>0</v>
      </c>
      <c r="CW64" s="510">
        <f ca="1">(CW$60=$B$9)*CW56+((CW$60-CW$52)/(CX$52-CW$52)*CX56+(CW$52-CV$60)/(CW$52-CV$52)*CW56)*(CW$60&gt;$B$10)+IF(CW$60=$B$10,SUM($F56:CV56)-SUM($F64:CV64)+CW56+(CW$60-CW$52)/(CX$52-CW$52)*CX56,0)</f>
        <v>0</v>
      </c>
      <c r="CX64" s="510">
        <f ca="1">(CX$60=$B$9)*CX56+((CX$60-CX$52)/(CY$52-CX$52)*CY56+(CX$52-CW$60)/(CX$52-CW$52)*CX56)*(CX$60&gt;$B$10)+IF(CX$60=$B$10,SUM($F56:CW56)-SUM($F64:CW64)+CX56+(CX$60-CX$52)/(CY$52-CX$52)*CY56,0)</f>
        <v>0</v>
      </c>
      <c r="CY64" s="510">
        <f ca="1">(CY$60=$B$9)*CY56+((CY$60-CY$52)/(CZ$52-CY$52)*CZ56+(CY$52-CX$60)/(CY$52-CX$52)*CY56)*(CY$60&gt;$B$10)+IF(CY$60=$B$10,SUM($F56:CX56)-SUM($F64:CX64)+CY56+(CY$60-CY$52)/(CZ$52-CY$52)*CZ56,0)</f>
        <v>0</v>
      </c>
      <c r="CZ64" s="510">
        <f ca="1">(CZ$60=$B$9)*CZ56+((CZ$60-CZ$52)/(DA$52-CZ$52)*DA56+(CZ$52-CY$60)/(CZ$52-CY$52)*CZ56)*(CZ$60&gt;$B$10)+IF(CZ$60=$B$10,SUM($F56:CY56)-SUM($F64:CY64)+CZ56+(CZ$60-CZ$52)/(DA$52-CZ$52)*DA56,0)</f>
        <v>0</v>
      </c>
      <c r="DA64" s="510">
        <f ca="1">(DA$60=$B$9)*DA56+((DA$60-DA$52)/(DB$52-DA$52)*DB56+(DA$52-CZ$60)/(DA$52-CZ$52)*DA56)*(DA$60&gt;$B$10)+IF(DA$60=$B$10,SUM($F56:CZ56)-SUM($F64:CZ64)+DA56+(DA$60-DA$52)/(DB$52-DA$52)*DB56,0)</f>
        <v>0</v>
      </c>
      <c r="DB64" s="510">
        <f ca="1">(DB$60=$B$9)*DB56+((DB$60-DB$52)/(DC$52-DB$52)*DC56+(DB$52-DA$60)/(DB$52-DA$52)*DB56)*(DB$60&gt;$B$10)+IF(DB$60=$B$10,SUM($F56:DA56)-SUM($F64:DA64)+DB56+(DB$60-DB$52)/(DC$52-DB$52)*DC56,0)</f>
        <v>0</v>
      </c>
      <c r="DC64" s="510">
        <f ca="1">(DC$60=$B$9)*DC56+((DC$60-DC$52)/(DD$52-DC$52)*DD56+(DC$52-DB$60)/(DC$52-DB$52)*DC56)*(DC$60&gt;$B$10)+IF(DC$60=$B$10,SUM($F56:DB56)-SUM($F64:DB64)+DC56+(DC$60-DC$52)/(DD$52-DC$52)*DD56,0)</f>
        <v>0</v>
      </c>
      <c r="DD64" s="510">
        <f ca="1">(DD$60=$B$9)*DD56+((DD$60-DD$52)/(DE$52-DD$52)*DE56+(DD$52-DC$60)/(DD$52-DC$52)*DD56)*(DD$60&gt;$B$10)+IF(DD$60=$B$10,SUM($F56:DC56)-SUM($F64:DC64)+DD56+(DD$60-DD$52)/(DE$52-DD$52)*DE56,0)</f>
        <v>0</v>
      </c>
      <c r="DE64" s="510">
        <f ca="1">(DE$60=$B$9)*DE56+((DE$60-DE$52)/(DF$52-DE$52)*DF56+(DE$52-DD$60)/(DE$52-DD$52)*DE56)*(DE$60&gt;$B$10)+IF(DE$60=$B$10,SUM($F56:DD56)-SUM($F64:DD64)+DE56+(DE$60-DE$52)/(DF$52-DE$52)*DF56,0)</f>
        <v>0</v>
      </c>
      <c r="DF64" s="510">
        <f ca="1">(DF$60=$B$9)*DF56+((DF$60-DF$52)/(DG$52-DF$52)*DG56+(DF$52-DE$60)/(DF$52-DE$52)*DF56)*(DF$60&gt;$B$10)+IF(DF$60=$B$10,SUM($F56:DE56)-SUM($F64:DE64)+DF56+(DF$60-DF$52)/(DG$52-DF$52)*DG56,0)</f>
        <v>0</v>
      </c>
      <c r="DG64" s="510">
        <f ca="1">(DG$60=$B$9)*DG56+((DG$60-DG$52)/(DH$52-DG$52)*DH56+(DG$52-DF$60)/(DG$52-DF$52)*DG56)*(DG$60&gt;$B$10)+IF(DG$60=$B$10,SUM($F56:DF56)-SUM($F64:DF64)+DG56+(DG$60-DG$52)/(DH$52-DG$52)*DH56,0)</f>
        <v>0</v>
      </c>
      <c r="DH64" s="510">
        <f ca="1">(DH$60=$B$9)*DH56+((DH$60-DH$52)/(DI$52-DH$52)*DI56+(DH$52-DG$60)/(DH$52-DG$52)*DH56)*(DH$60&gt;$B$10)+IF(DH$60=$B$10,SUM($F56:DG56)-SUM($F64:DG64)+DH56+(DH$60-DH$52)/(DI$52-DH$52)*DI56,0)</f>
        <v>0</v>
      </c>
      <c r="DI64" s="510">
        <f ca="1">(DI$60=$B$9)*DI56+((DI$60-DI$52)/(DJ$52-DI$52)*DJ56+(DI$52-DH$60)/(DI$52-DH$52)*DI56)*(DI$60&gt;$B$10)+IF(DI$60=$B$10,SUM($F56:DH56)-SUM($F64:DH64)+DI56+(DI$60-DI$52)/(DJ$52-DI$52)*DJ56,0)</f>
        <v>0</v>
      </c>
      <c r="DJ64" s="510">
        <f ca="1">(DJ$60=$B$9)*DJ56+((DJ$60-DJ$52)/(DK$52-DJ$52)*DK56+(DJ$52-DI$60)/(DJ$52-DI$52)*DJ56)*(DJ$60&gt;$B$10)+IF(DJ$60=$B$10,SUM($F56:DI56)-SUM($F64:DI64)+DJ56+(DJ$60-DJ$52)/(DK$52-DJ$52)*DK56,0)</f>
        <v>0</v>
      </c>
      <c r="DK64" s="510">
        <f ca="1">(DK$60=$B$9)*DK56+((DK$60-DK$52)/(DL$52-DK$52)*DL56+(DK$52-DJ$60)/(DK$52-DJ$52)*DK56)*(DK$60&gt;$B$10)+IF(DK$60=$B$10,SUM($F56:DJ56)-SUM($F64:DJ64)+DK56+(DK$60-DK$52)/(DL$52-DK$52)*DL56,0)</f>
        <v>0</v>
      </c>
      <c r="DL64" s="510">
        <f ca="1">(DL$60=$B$9)*DL56+((DL$60-DL$52)/(DM$52-DL$52)*DM56+(DL$52-DK$60)/(DL$52-DK$52)*DL56)*(DL$60&gt;$B$10)+IF(DL$60=$B$10,SUM($F56:DK56)-SUM($F64:DK64)+DL56+(DL$60-DL$52)/(DM$52-DL$52)*DM56,0)</f>
        <v>0</v>
      </c>
      <c r="DM64" s="510">
        <f ca="1">(DM$60=$B$9)*DM56+((DM$60-DM$52)/(DN$52-DM$52)*DN56+(DM$52-DL$60)/(DM$52-DL$52)*DM56)*(DM$60&gt;$B$10)+IF(DM$60=$B$10,SUM($F56:DL56)-SUM($F64:DL64)+DM56+(DM$60-DM$52)/(DN$52-DM$52)*DN56,0)</f>
        <v>0</v>
      </c>
      <c r="DN64" s="510">
        <f ca="1">(DN$60=$B$9)*DN56+((DN$60-DN$52)/(DO$52-DN$52)*DO56+(DN$52-DM$60)/(DN$52-DM$52)*DN56)*(DN$60&gt;$B$10)+IF(DN$60=$B$10,SUM($F56:DM56)-SUM($F64:DM64)+DN56+(DN$60-DN$52)/(DO$52-DN$52)*DO56,0)</f>
        <v>0</v>
      </c>
      <c r="DO64" s="510">
        <f ca="1">(DO$60=$B$9)*DO56+((DO$60-DO$52)/(DP$52-DO$52)*DP56+(DO$52-DN$60)/(DO$52-DN$52)*DO56)*(DO$60&gt;$B$10)+IF(DO$60=$B$10,SUM($F56:DN56)-SUM($F64:DN64)+DO56+(DO$60-DO$52)/(DP$52-DO$52)*DP56,0)</f>
        <v>0</v>
      </c>
      <c r="DP64" s="510">
        <f ca="1">(DP$60=$B$9)*DP56+((DP$60-DP$52)/(DQ$52-DP$52)*DQ56+(DP$52-DO$60)/(DP$52-DO$52)*DP56)*(DP$60&gt;$B$10)+IF(DP$60=$B$10,SUM($F56:DO56)-SUM($F64:DO64)+DP56+(DP$60-DP$52)/(DQ$52-DP$52)*DQ56,0)</f>
        <v>0</v>
      </c>
      <c r="DQ64" s="510">
        <f ca="1">(DQ$60=$B$9)*DQ56+((DQ$60-DQ$52)/(DR$52-DQ$52)*DR56+(DQ$52-DP$60)/(DQ$52-DP$52)*DQ56)*(DQ$60&gt;$B$10)+IF(DQ$60=$B$10,SUM($F56:DP56)-SUM($F64:DP64)+DQ56+(DQ$60-DQ$52)/(DR$52-DQ$52)*DR56,0)</f>
        <v>0</v>
      </c>
      <c r="DR64" s="510">
        <f ca="1">(DR$60=$B$9)*DR56+((DR$60-DR$52)/(DS$52-DR$52)*DS56+(DR$52-DQ$60)/(DR$52-DQ$52)*DR56)*(DR$60&gt;$B$10)+IF(DR$60=$B$10,SUM($F56:DQ56)-SUM($F64:DQ64)+DR56+(DR$60-DR$52)/(DS$52-DR$52)*DS56,0)</f>
        <v>0</v>
      </c>
      <c r="DS64" s="510">
        <f ca="1">(DS$60=$B$9)*DS56+((DS$60-DS$52)/(DT$52-DS$52)*DT56+(DS$52-DR$60)/(DS$52-DR$52)*DS56)*(DS$60&gt;$B$10)+IF(DS$60=$B$10,SUM($F56:DR56)-SUM($F64:DR64)+DS56+(DS$60-DS$52)/(DT$52-DS$52)*DT56,0)</f>
        <v>0</v>
      </c>
      <c r="DT64" s="510">
        <f ca="1">(DT$60=$B$9)*DT56+((DT$60-DT$52)/(DU$52-DT$52)*DU56+(DT$52-DS$60)/(DT$52-DS$52)*DT56)*(DT$60&gt;$B$10)+IF(DT$60=$B$10,SUM($F56:DS56)-SUM($F64:DS64)+DT56+(DT$60-DT$52)/(DU$52-DT$52)*DU56,0)</f>
        <v>0</v>
      </c>
      <c r="DU64" s="510">
        <f ca="1">(DU$60=$B$9)*DU56+((DU$60-DU$52)/(DV$52-DU$52)*DV56+(DU$52-DT$60)/(DU$52-DT$52)*DU56)*(DU$60&gt;$B$10)+IF(DU$60=$B$10,SUM($F56:DT56)-SUM($F64:DT64)+DU56+(DU$60-DU$52)/(DV$52-DU$52)*DV56,0)</f>
        <v>0</v>
      </c>
      <c r="DV64" s="510">
        <f ca="1">(DV$60=$B$9)*DV56+((DV$60-DV$52)/(DW$52-DV$52)*DW56+(DV$52-DU$60)/(DV$52-DU$52)*DV56)*(DV$60&gt;$B$10)+IF(DV$60=$B$10,SUM($F56:DU56)-SUM($F64:DU64)+DV56+(DV$60-DV$52)/(DW$52-DV$52)*DW56,0)</f>
        <v>0</v>
      </c>
      <c r="DW64" s="510">
        <f ca="1">(DW$60=$B$9)*DW56+((DW$60-DW$52)/(DX$52-DW$52)*DX56+(DW$52-DV$60)/(DW$52-DV$52)*DW56)*(DW$60&gt;$B$10)+IF(DW$60=$B$10,SUM($F56:DV56)-SUM($F64:DV64)+DW56+(DW$60-DW$52)/(DX$52-DW$52)*DX56,0)</f>
        <v>0</v>
      </c>
    </row>
    <row r="65" spans="1:127">
      <c r="A65" s="1020" t="str">
        <f>A57</f>
        <v>Net Dividends</v>
      </c>
      <c r="B65" s="971"/>
      <c r="C65" s="971"/>
      <c r="D65" s="471"/>
      <c r="E65" s="471"/>
      <c r="F65" s="611"/>
      <c r="G65" s="510">
        <f ca="1">(G$60=$B$9)*G57+((G$60-G$52)/(H$52-G$52)*H57+(G$52-F$60)/(G$52-F$52)*G57)*(G$60&gt;$B$10)+IF(G$60=$B$10,SUM($F57:F57)-SUM($F65:F65)+G57+(G$60-G$52)/(H$52-G$52)*H57,0)</f>
        <v>0</v>
      </c>
      <c r="H65" s="510">
        <f ca="1">(H$60=$B$9)*H57+((H$60-H$52)/(I$52-H$52)*I57+(H$52-G$60)/(H$52-G$52)*H57)*(H$60&gt;$B$10)+IF(H$60=$B$10,SUM($F57:G57)-SUM($F65:G65)+H57+(H$60-H$52)/(I$52-H$52)*I57,0)</f>
        <v>0</v>
      </c>
      <c r="I65" s="510">
        <f ca="1">(I$60=$B$9)*I57+((I$60-I$52)/(J$52-I$52)*J57+(I$52-H$60)/(I$52-H$52)*I57)*(I$60&gt;$B$10)+IF(I$60=$B$10,SUM($F57:H57)-SUM($F65:H65)+I57+(I$60-I$52)/(J$52-I$52)*J57,0)</f>
        <v>0</v>
      </c>
      <c r="J65" s="510">
        <f ca="1">(J$60=$B$9)*J57+((J$60-J$52)/(K$52-J$52)*K57+(J$52-I$60)/(J$52-I$52)*J57)*(J$60&gt;$B$10)+IF(J$60=$B$10,SUM($F57:I57)-SUM($F65:I65)+J57+(J$60-J$52)/(K$52-J$52)*K57,0)</f>
        <v>0</v>
      </c>
      <c r="K65" s="510">
        <f ca="1">(K$60=$B$9)*K57+((K$60-K$52)/(L$52-K$52)*L57+(K$52-J$60)/(K$52-J$52)*K57)*(K$60&gt;$B$10)+IF(K$60=$B$10,SUM($F57:J57)-SUM($F65:J65)+K57+(K$60-K$52)/(L$52-K$52)*L57,0)</f>
        <v>0</v>
      </c>
      <c r="L65" s="510">
        <f ca="1">(L$60=$B$9)*L57+((L$60-L$52)/(M$52-L$52)*M57+(L$52-K$60)/(L$52-K$52)*L57)*(L$60&gt;$B$10)+IF(L$60=$B$10,SUM($F57:K57)-SUM($F65:K65)+L57+(L$60-L$52)/(M$52-L$52)*M57,0)</f>
        <v>0</v>
      </c>
      <c r="M65" s="510">
        <f ca="1">(M$60=$B$9)*M57+((M$60-M$52)/(N$52-M$52)*N57+(M$52-L$60)/(M$52-L$52)*M57)*(M$60&gt;$B$10)+IF(M$60=$B$10,SUM($F57:L57)-SUM($F65:L65)+M57+(M$60-M$52)/(N$52-M$52)*N57,0)</f>
        <v>0</v>
      </c>
      <c r="N65" s="510">
        <f ca="1">(N$60=$B$9)*N57+((N$60-N$52)/(O$52-N$52)*O57+(N$52-M$60)/(N$52-M$52)*N57)*(N$60&gt;$B$10)+IF(N$60=$B$10,SUM($F57:M57)-SUM($F65:M65)+N57+(N$60-N$52)/(O$52-N$52)*O57,0)</f>
        <v>0</v>
      </c>
      <c r="O65" s="510">
        <f ca="1">(O$60=$B$9)*O57+((O$60-O$52)/(P$52-O$52)*P57+(O$52-N$60)/(O$52-N$52)*O57)*(O$60&gt;$B$10)+IF(O$60=$B$10,SUM($F57:N57)-SUM($F65:N65)+O57+(O$60-O$52)/(P$52-O$52)*P57,0)</f>
        <v>0</v>
      </c>
      <c r="P65" s="510">
        <f ca="1">(P$60=$B$9)*P57+((P$60-P$52)/(Q$52-P$52)*Q57+(P$52-O$60)/(P$52-O$52)*P57)*(P$60&gt;$B$10)+IF(P$60=$B$10,SUM($F57:O57)-SUM($F65:O65)+P57+(P$60-P$52)/(Q$52-P$52)*Q57,0)</f>
        <v>0</v>
      </c>
      <c r="Q65" s="510">
        <f ca="1">(Q$60=$B$9)*Q57+((Q$60-Q$52)/(R$52-Q$52)*R57+(Q$52-P$60)/(Q$52-P$52)*Q57)*(Q$60&gt;$B$10)+IF(Q$60=$B$10,SUM($F57:P57)-SUM($F65:P65)+Q57+(Q$60-Q$52)/(R$52-Q$52)*R57,0)</f>
        <v>0</v>
      </c>
      <c r="R65" s="510">
        <f ca="1">(R$60=$B$9)*R57+((R$60-R$52)/(S$52-R$52)*S57+(R$52-Q$60)/(R$52-Q$52)*R57)*(R$60&gt;$B$10)+IF(R$60=$B$10,SUM($F57:Q57)-SUM($F65:Q65)+R57+(R$60-R$52)/(S$52-R$52)*S57,0)</f>
        <v>0</v>
      </c>
      <c r="S65" s="510">
        <f ca="1">(S$60=$B$9)*S57+((S$60-S$52)/(T$52-S$52)*T57+(S$52-R$60)/(S$52-R$52)*S57)*(S$60&gt;$B$10)+IF(S$60=$B$10,SUM($F57:R57)-SUM($F65:R65)+S57+(S$60-S$52)/(T$52-S$52)*T57,0)</f>
        <v>0</v>
      </c>
      <c r="T65" s="510">
        <f ca="1">(T$60=$B$9)*T57+((T$60-T$52)/(U$52-T$52)*U57+(T$52-S$60)/(T$52-S$52)*T57)*(T$60&gt;$B$10)+IF(T$60=$B$10,SUM($F57:S57)-SUM($F65:S65)+T57+(T$60-T$52)/(U$52-T$52)*U57,0)</f>
        <v>0</v>
      </c>
      <c r="U65" s="510">
        <f ca="1">(U$60=$B$9)*U57+((U$60-U$52)/(V$52-U$52)*V57+(U$52-T$60)/(U$52-T$52)*U57)*(U$60&gt;$B$10)+IF(U$60=$B$10,SUM($F57:T57)-SUM($F65:T65)+U57+(U$60-U$52)/(V$52-U$52)*V57,0)</f>
        <v>0</v>
      </c>
      <c r="V65" s="510">
        <f ca="1">(V$60=$B$9)*V57+((V$60-V$52)/(W$52-V$52)*W57+(V$52-U$60)/(V$52-U$52)*V57)*(V$60&gt;$B$10)+IF(V$60=$B$10,SUM($F57:U57)-SUM($F65:U65)+V57+(V$60-V$52)/(W$52-V$52)*W57,0)</f>
        <v>0</v>
      </c>
      <c r="W65" s="510">
        <f ca="1">(W$60=$B$9)*W57+((W$60-W$52)/(X$52-W$52)*X57+(W$52-V$60)/(W$52-V$52)*W57)*(W$60&gt;$B$10)+IF(W$60=$B$10,SUM($F57:V57)-SUM($F65:V65)+W57+(W$60-W$52)/(X$52-W$52)*X57,0)</f>
        <v>0</v>
      </c>
      <c r="X65" s="510">
        <f ca="1">(X$60=$B$9)*X57+((X$60-X$52)/(Y$52-X$52)*Y57+(X$52-W$60)/(X$52-W$52)*X57)*(X$60&gt;$B$10)+IF(X$60=$B$10,SUM($F57:W57)-SUM($F65:W65)+X57+(X$60-X$52)/(Y$52-X$52)*Y57,0)</f>
        <v>0</v>
      </c>
      <c r="Y65" s="510">
        <f ca="1">(Y$60=$B$9)*Y57+((Y$60-Y$52)/(Z$52-Y$52)*Z57+(Y$52-X$60)/(Y$52-X$52)*Y57)*(Y$60&gt;$B$10)+IF(Y$60=$B$10,SUM($F57:X57)-SUM($F65:X65)+Y57+(Y$60-Y$52)/(Z$52-Y$52)*Z57,0)</f>
        <v>0</v>
      </c>
      <c r="Z65" s="510">
        <f ca="1">(Z$60=$B$9)*Z57+((Z$60-Z$52)/(AA$52-Z$52)*AA57+(Z$52-Y$60)/(Z$52-Y$52)*Z57)*(Z$60&gt;$B$10)+IF(Z$60=$B$10,SUM($F57:Y57)-SUM($F65:Y65)+Z57+(Z$60-Z$52)/(AA$52-Z$52)*AA57,0)</f>
        <v>0</v>
      </c>
      <c r="AA65" s="510">
        <f ca="1">(AA$60=$B$9)*AA57+((AA$60-AA$52)/(AB$52-AA$52)*AB57+(AA$52-Z$60)/(AA$52-Z$52)*AA57)*(AA$60&gt;$B$10)+IF(AA$60=$B$10,SUM($F57:Z57)-SUM($F65:Z65)+AA57+(AA$60-AA$52)/(AB$52-AA$52)*AB57,0)</f>
        <v>0</v>
      </c>
      <c r="AB65" s="510">
        <f ca="1">(AB$60=$B$9)*AB57+((AB$60-AB$52)/(AC$52-AB$52)*AC57+(AB$52-AA$60)/(AB$52-AA$52)*AB57)*(AB$60&gt;$B$10)+IF(AB$60=$B$10,SUM($F57:AA57)-SUM($F65:AA65)+AB57+(AB$60-AB$52)/(AC$52-AB$52)*AC57,0)</f>
        <v>0</v>
      </c>
      <c r="AC65" s="510">
        <f ca="1">(AC$60=$B$9)*AC57+((AC$60-AC$52)/(AD$52-AC$52)*AD57+(AC$52-AB$60)/(AC$52-AB$52)*AC57)*(AC$60&gt;$B$10)+IF(AC$60=$B$10,SUM($F57:AB57)-SUM($F65:AB65)+AC57+(AC$60-AC$52)/(AD$52-AC$52)*AD57,0)</f>
        <v>0</v>
      </c>
      <c r="AD65" s="510">
        <f ca="1">(AD$60=$B$9)*AD57+((AD$60-AD$52)/(AE$52-AD$52)*AE57+(AD$52-AC$60)/(AD$52-AC$52)*AD57)*(AD$60&gt;$B$10)+IF(AD$60=$B$10,SUM($F57:AC57)-SUM($F65:AC65)+AD57+(AD$60-AD$52)/(AE$52-AD$52)*AE57,0)</f>
        <v>0</v>
      </c>
      <c r="AE65" s="510">
        <f ca="1">(AE$60=$B$9)*AE57+((AE$60-AE$52)/(AF$52-AE$52)*AF57+(AE$52-AD$60)/(AE$52-AD$52)*AE57)*(AE$60&gt;$B$10)+IF(AE$60=$B$10,SUM($F57:AD57)-SUM($F65:AD65)+AE57+(AE$60-AE$52)/(AF$52-AE$52)*AF57,0)</f>
        <v>0</v>
      </c>
      <c r="AF65" s="510">
        <f ca="1">(AF$60=$B$9)*AF57+((AF$60-AF$52)/(AG$52-AF$52)*AG57+(AF$52-AE$60)/(AF$52-AE$52)*AF57)*(AF$60&gt;$B$10)+IF(AF$60=$B$10,SUM($F57:AE57)-SUM($F65:AE65)+AF57+(AF$60-AF$52)/(AG$52-AF$52)*AG57,0)</f>
        <v>0</v>
      </c>
      <c r="AG65" s="510">
        <f ca="1">(AG$60=$B$9)*AG57+((AG$60-AG$52)/(AH$52-AG$52)*AH57+(AG$52-AF$60)/(AG$52-AF$52)*AG57)*(AG$60&gt;$B$10)+IF(AG$60=$B$10,SUM($F57:AF57)-SUM($F65:AF65)+AG57+(AG$60-AG$52)/(AH$52-AG$52)*AH57,0)</f>
        <v>0</v>
      </c>
      <c r="AH65" s="510">
        <f ca="1">(AH$60=$B$9)*AH57+((AH$60-AH$52)/(AI$52-AH$52)*AI57+(AH$52-AG$60)/(AH$52-AG$52)*AH57)*(AH$60&gt;$B$10)+IF(AH$60=$B$10,SUM($F57:AG57)-SUM($F65:AG65)+AH57+(AH$60-AH$52)/(AI$52-AH$52)*AI57,0)</f>
        <v>0</v>
      </c>
      <c r="AI65" s="510">
        <f ca="1">(AI$60=$B$9)*AI57+((AI$60-AI$52)/(AJ$52-AI$52)*AJ57+(AI$52-AH$60)/(AI$52-AH$52)*AI57)*(AI$60&gt;$B$10)+IF(AI$60=$B$10,SUM($F57:AH57)-SUM($F65:AH65)+AI57+(AI$60-AI$52)/(AJ$52-AI$52)*AJ57,0)</f>
        <v>0</v>
      </c>
      <c r="AJ65" s="510">
        <f ca="1">(AJ$60=$B$9)*AJ57+((AJ$60-AJ$52)/(AK$52-AJ$52)*AK57+(AJ$52-AI$60)/(AJ$52-AI$52)*AJ57)*(AJ$60&gt;$B$10)+IF(AJ$60=$B$10,SUM($F57:AI57)-SUM($F65:AI65)+AJ57+(AJ$60-AJ$52)/(AK$52-AJ$52)*AK57,0)</f>
        <v>0</v>
      </c>
      <c r="AK65" s="510">
        <f ca="1">(AK$60=$B$9)*AK57+((AK$60-AK$52)/(AL$52-AK$52)*AL57+(AK$52-AJ$60)/(AK$52-AJ$52)*AK57)*(AK$60&gt;$B$10)+IF(AK$60=$B$10,SUM($F57:AJ57)-SUM($F65:AJ65)+AK57+(AK$60-AK$52)/(AL$52-AK$52)*AL57,0)</f>
        <v>0</v>
      </c>
      <c r="AL65" s="510">
        <f ca="1">(AL$60=$B$9)*AL57+((AL$60-AL$52)/(AM$52-AL$52)*AM57+(AL$52-AK$60)/(AL$52-AK$52)*AL57)*(AL$60&gt;$B$10)+IF(AL$60=$B$10,SUM($F57:AK57)-SUM($F65:AK65)+AL57+(AL$60-AL$52)/(AM$52-AL$52)*AM57,0)</f>
        <v>0</v>
      </c>
      <c r="AM65" s="510">
        <f ca="1">(AM$60=$B$9)*AM57+((AM$60-AM$52)/(AN$52-AM$52)*AN57+(AM$52-AL$60)/(AM$52-AL$52)*AM57)*(AM$60&gt;$B$10)+IF(AM$60=$B$10,SUM($F57:AL57)-SUM($F65:AL65)+AM57+(AM$60-AM$52)/(AN$52-AM$52)*AN57,0)</f>
        <v>0</v>
      </c>
      <c r="AN65" s="510">
        <f ca="1">(AN$60=$B$9)*AN57+((AN$60-AN$52)/(AO$52-AN$52)*AO57+(AN$52-AM$60)/(AN$52-AM$52)*AN57)*(AN$60&gt;$B$10)+IF(AN$60=$B$10,SUM($F57:AM57)-SUM($F65:AM65)+AN57+(AN$60-AN$52)/(AO$52-AN$52)*AO57,0)</f>
        <v>0</v>
      </c>
      <c r="AO65" s="510">
        <f ca="1">(AO$60=$B$9)*AO57+((AO$60-AO$52)/(AP$52-AO$52)*AP57+(AO$52-AN$60)/(AO$52-AN$52)*AO57)*(AO$60&gt;$B$10)+IF(AO$60=$B$10,SUM($F57:AN57)-SUM($F65:AN65)+AO57+(AO$60-AO$52)/(AP$52-AO$52)*AP57,0)</f>
        <v>0</v>
      </c>
      <c r="AP65" s="510">
        <f ca="1">(AP$60=$B$9)*AP57+((AP$60-AP$52)/(AQ$52-AP$52)*AQ57+(AP$52-AO$60)/(AP$52-AO$52)*AP57)*(AP$60&gt;$B$10)+IF(AP$60=$B$10,SUM($F57:AO57)-SUM($F65:AO65)+AP57+(AP$60-AP$52)/(AQ$52-AP$52)*AQ57,0)</f>
        <v>0</v>
      </c>
      <c r="AQ65" s="510">
        <f ca="1">(AQ$60=$B$9)*AQ57+((AQ$60-AQ$52)/(AR$52-AQ$52)*AR57+(AQ$52-AP$60)/(AQ$52-AP$52)*AQ57)*(AQ$60&gt;$B$10)+IF(AQ$60=$B$10,SUM($F57:AP57)-SUM($F65:AP65)+AQ57+(AQ$60-AQ$52)/(AR$52-AQ$52)*AR57,0)</f>
        <v>0</v>
      </c>
      <c r="AR65" s="510">
        <f ca="1">(AR$60=$B$9)*AR57+((AR$60-AR$52)/(AS$52-AR$52)*AS57+(AR$52-AQ$60)/(AR$52-AQ$52)*AR57)*(AR$60&gt;$B$10)+IF(AR$60=$B$10,SUM($F57:AQ57)-SUM($F65:AQ65)+AR57+(AR$60-AR$52)/(AS$52-AR$52)*AS57,0)</f>
        <v>0</v>
      </c>
      <c r="AS65" s="510">
        <f ca="1">(AS$60=$B$9)*AS57+((AS$60-AS$52)/(AT$52-AS$52)*AT57+(AS$52-AR$60)/(AS$52-AR$52)*AS57)*(AS$60&gt;$B$10)+IF(AS$60=$B$10,SUM($F57:AR57)-SUM($F65:AR65)+AS57+(AS$60-AS$52)/(AT$52-AS$52)*AT57,0)</f>
        <v>0</v>
      </c>
      <c r="AT65" s="510">
        <f ca="1">(AT$60=$B$9)*AT57+((AT$60-AT$52)/(AU$52-AT$52)*AU57+(AT$52-AS$60)/(AT$52-AS$52)*AT57)*(AT$60&gt;$B$10)+IF(AT$60=$B$10,SUM($F57:AS57)-SUM($F65:AS65)+AT57+(AT$60-AT$52)/(AU$52-AT$52)*AU57,0)</f>
        <v>0</v>
      </c>
      <c r="AU65" s="510">
        <f ca="1">(AU$60=$B$9)*AU57+((AU$60-AU$52)/(AV$52-AU$52)*AV57+(AU$52-AT$60)/(AU$52-AT$52)*AU57)*(AU$60&gt;$B$10)+IF(AU$60=$B$10,SUM($F57:AT57)-SUM($F65:AT65)+AU57+(AU$60-AU$52)/(AV$52-AU$52)*AV57,0)</f>
        <v>0</v>
      </c>
      <c r="AV65" s="510">
        <f ca="1">(AV$60=$B$9)*AV57+((AV$60-AV$52)/(AW$52-AV$52)*AW57+(AV$52-AU$60)/(AV$52-AU$52)*AV57)*(AV$60&gt;$B$10)+IF(AV$60=$B$10,SUM($F57:AU57)-SUM($F65:AU65)+AV57+(AV$60-AV$52)/(AW$52-AV$52)*AW57,0)</f>
        <v>0</v>
      </c>
      <c r="AW65" s="510">
        <f ca="1">(AW$60=$B$9)*AW57+((AW$60-AW$52)/(AX$52-AW$52)*AX57+(AW$52-AV$60)/(AW$52-AV$52)*AW57)*(AW$60&gt;$B$10)+IF(AW$60=$B$10,SUM($F57:AV57)-SUM($F65:AV65)+AW57+(AW$60-AW$52)/(AX$52-AW$52)*AX57,0)</f>
        <v>0</v>
      </c>
      <c r="AX65" s="510">
        <f ca="1">(AX$60=$B$9)*AX57+((AX$60-AX$52)/(AY$52-AX$52)*AY57+(AX$52-AW$60)/(AX$52-AW$52)*AX57)*(AX$60&gt;$B$10)+IF(AX$60=$B$10,SUM($F57:AW57)-SUM($F65:AW65)+AX57+(AX$60-AX$52)/(AY$52-AX$52)*AY57,0)</f>
        <v>0</v>
      </c>
      <c r="AY65" s="510">
        <f ca="1">(AY$60=$B$9)*AY57+((AY$60-AY$52)/(AZ$52-AY$52)*AZ57+(AY$52-AX$60)/(AY$52-AX$52)*AY57)*(AY$60&gt;$B$10)+IF(AY$60=$B$10,SUM($F57:AX57)-SUM($F65:AX65)+AY57+(AY$60-AY$52)/(AZ$52-AY$52)*AZ57,0)</f>
        <v>0</v>
      </c>
      <c r="AZ65" s="510">
        <f ca="1">(AZ$60=$B$9)*AZ57+((AZ$60-AZ$52)/(BA$52-AZ$52)*BA57+(AZ$52-AY$60)/(AZ$52-AY$52)*AZ57)*(AZ$60&gt;$B$10)+IF(AZ$60=$B$10,SUM($F57:AY57)-SUM($F65:AY65)+AZ57+(AZ$60-AZ$52)/(BA$52-AZ$52)*BA57,0)</f>
        <v>0</v>
      </c>
      <c r="BA65" s="510">
        <f ca="1">(BA$60=$B$9)*BA57+((BA$60-BA$52)/(BB$52-BA$52)*BB57+(BA$52-AZ$60)/(BA$52-AZ$52)*BA57)*(BA$60&gt;$B$10)+IF(BA$60=$B$10,SUM($F57:AZ57)-SUM($F65:AZ65)+BA57+(BA$60-BA$52)/(BB$52-BA$52)*BB57,0)</f>
        <v>0</v>
      </c>
      <c r="BB65" s="510">
        <f ca="1">(BB$60=$B$9)*BB57+((BB$60-BB$52)/(BC$52-BB$52)*BC57+(BB$52-BA$60)/(BB$52-BA$52)*BB57)*(BB$60&gt;$B$10)+IF(BB$60=$B$10,SUM($F57:BA57)-SUM($F65:BA65)+BB57+(BB$60-BB$52)/(BC$52-BB$52)*BC57,0)</f>
        <v>0</v>
      </c>
      <c r="BC65" s="510">
        <f ca="1">(BC$60=$B$9)*BC57+((BC$60-BC$52)/(BD$52-BC$52)*BD57+(BC$52-BB$60)/(BC$52-BB$52)*BC57)*(BC$60&gt;$B$10)+IF(BC$60=$B$10,SUM($F57:BB57)-SUM($F65:BB65)+BC57+(BC$60-BC$52)/(BD$52-BC$52)*BD57,0)</f>
        <v>0</v>
      </c>
      <c r="BD65" s="510">
        <f ca="1">(BD$60=$B$9)*BD57+((BD$60-BD$52)/(BE$52-BD$52)*BE57+(BD$52-BC$60)/(BD$52-BC$52)*BD57)*(BD$60&gt;$B$10)+IF(BD$60=$B$10,SUM($F57:BC57)-SUM($F65:BC65)+BD57+(BD$60-BD$52)/(BE$52-BD$52)*BE57,0)</f>
        <v>0</v>
      </c>
      <c r="BE65" s="510">
        <f ca="1">(BE$60=$B$9)*BE57+((BE$60-BE$52)/(BF$52-BE$52)*BF57+(BE$52-BD$60)/(BE$52-BD$52)*BE57)*(BE$60&gt;$B$10)+IF(BE$60=$B$10,SUM($F57:BD57)-SUM($F65:BD65)+BE57+(BE$60-BE$52)/(BF$52-BE$52)*BF57,0)</f>
        <v>0</v>
      </c>
      <c r="BF65" s="510">
        <f ca="1">(BF$60=$B$9)*BF57+((BF$60-BF$52)/(BG$52-BF$52)*BG57+(BF$52-BE$60)/(BF$52-BE$52)*BF57)*(BF$60&gt;$B$10)+IF(BF$60=$B$10,SUM($F57:BE57)-SUM($F65:BE65)+BF57+(BF$60-BF$52)/(BG$52-BF$52)*BG57,0)</f>
        <v>0</v>
      </c>
      <c r="BG65" s="510">
        <f ca="1">(BG$60=$B$9)*BG57+((BG$60-BG$52)/(BH$52-BG$52)*BH57+(BG$52-BF$60)/(BG$52-BF$52)*BG57)*(BG$60&gt;$B$10)+IF(BG$60=$B$10,SUM($F57:BF57)-SUM($F65:BF65)+BG57+(BG$60-BG$52)/(BH$52-BG$52)*BH57,0)</f>
        <v>0</v>
      </c>
      <c r="BH65" s="510">
        <f ca="1">(BH$60=$B$9)*BH57+((BH$60-BH$52)/(BI$52-BH$52)*BI57+(BH$52-BG$60)/(BH$52-BG$52)*BH57)*(BH$60&gt;$B$10)+IF(BH$60=$B$10,SUM($F57:BG57)-SUM($F65:BG65)+BH57+(BH$60-BH$52)/(BI$52-BH$52)*BI57,0)</f>
        <v>0</v>
      </c>
      <c r="BI65" s="510">
        <f ca="1">(BI$60=$B$9)*BI57+((BI$60-BI$52)/(BJ$52-BI$52)*BJ57+(BI$52-BH$60)/(BI$52-BH$52)*BI57)*(BI$60&gt;$B$10)+IF(BI$60=$B$10,SUM($F57:BH57)-SUM($F65:BH65)+BI57+(BI$60-BI$52)/(BJ$52-BI$52)*BJ57,0)</f>
        <v>0</v>
      </c>
      <c r="BJ65" s="510">
        <f ca="1">(BJ$60=$B$9)*BJ57+((BJ$60-BJ$52)/(BK$52-BJ$52)*BK57+(BJ$52-BI$60)/(BJ$52-BI$52)*BJ57)*(BJ$60&gt;$B$10)+IF(BJ$60=$B$10,SUM($F57:BI57)-SUM($F65:BI65)+BJ57+(BJ$60-BJ$52)/(BK$52-BJ$52)*BK57,0)</f>
        <v>0</v>
      </c>
      <c r="BK65" s="510">
        <f ca="1">(BK$60=$B$9)*BK57+((BK$60-BK$52)/(BL$52-BK$52)*BL57+(BK$52-BJ$60)/(BK$52-BJ$52)*BK57)*(BK$60&gt;$B$10)+IF(BK$60=$B$10,SUM($F57:BJ57)-SUM($F65:BJ65)+BK57+(BK$60-BK$52)/(BL$52-BK$52)*BL57,0)</f>
        <v>0</v>
      </c>
      <c r="BL65" s="510">
        <f ca="1">(BL$60=$B$9)*BL57+((BL$60-BL$52)/(BM$52-BL$52)*BM57+(BL$52-BK$60)/(BL$52-BK$52)*BL57)*(BL$60&gt;$B$10)+IF(BL$60=$B$10,SUM($F57:BK57)-SUM($F65:BK65)+BL57+(BL$60-BL$52)/(BM$52-BL$52)*BM57,0)</f>
        <v>0</v>
      </c>
      <c r="BM65" s="510">
        <f ca="1">(BM$60=$B$9)*BM57+((BM$60-BM$52)/(BN$52-BM$52)*BN57+(BM$52-BL$60)/(BM$52-BL$52)*BM57)*(BM$60&gt;$B$10)+IF(BM$60=$B$10,SUM($F57:BL57)-SUM($F65:BL65)+BM57+(BM$60-BM$52)/(BN$52-BM$52)*BN57,0)</f>
        <v>0</v>
      </c>
      <c r="BN65" s="510">
        <f ca="1">(BN$60=$B$9)*BN57+((BN$60-BN$52)/(BO$52-BN$52)*BO57+(BN$52-BM$60)/(BN$52-BM$52)*BN57)*(BN$60&gt;$B$10)+IF(BN$60=$B$10,SUM($F57:BM57)-SUM($F65:BM65)+BN57+(BN$60-BN$52)/(BO$52-BN$52)*BO57,0)</f>
        <v>0</v>
      </c>
      <c r="BO65" s="510">
        <f ca="1">(BO$60=$B$9)*BO57+((BO$60-BO$52)/(BP$52-BO$52)*BP57+(BO$52-BN$60)/(BO$52-BN$52)*BO57)*(BO$60&gt;$B$10)+IF(BO$60=$B$10,SUM($F57:BN57)-SUM($F65:BN65)+BO57+(BO$60-BO$52)/(BP$52-BO$52)*BP57,0)</f>
        <v>0</v>
      </c>
      <c r="BP65" s="510">
        <f ca="1">(BP$60=$B$9)*BP57+((BP$60-BP$52)/(BQ$52-BP$52)*BQ57+(BP$52-BO$60)/(BP$52-BO$52)*BP57)*(BP$60&gt;$B$10)+IF(BP$60=$B$10,SUM($F57:BO57)-SUM($F65:BO65)+BP57+(BP$60-BP$52)/(BQ$52-BP$52)*BQ57,0)</f>
        <v>0</v>
      </c>
      <c r="BQ65" s="510">
        <f ca="1">(BQ$60=$B$9)*BQ57+((BQ$60-BQ$52)/(BR$52-BQ$52)*BR57+(BQ$52-BP$60)/(BQ$52-BP$52)*BQ57)*(BQ$60&gt;$B$10)+IF(BQ$60=$B$10,SUM($F57:BP57)-SUM($F65:BP65)+BQ57+(BQ$60-BQ$52)/(BR$52-BQ$52)*BR57,0)</f>
        <v>0</v>
      </c>
      <c r="BR65" s="510">
        <f ca="1">(BR$60=$B$9)*BR57+((BR$60-BR$52)/(BS$52-BR$52)*BS57+(BR$52-BQ$60)/(BR$52-BQ$52)*BR57)*(BR$60&gt;$B$10)+IF(BR$60=$B$10,SUM($F57:BQ57)-SUM($F65:BQ65)+BR57+(BR$60-BR$52)/(BS$52-BR$52)*BS57,0)</f>
        <v>0</v>
      </c>
      <c r="BS65" s="510">
        <f ca="1">(BS$60=$B$9)*BS57+((BS$60-BS$52)/(BT$52-BS$52)*BT57+(BS$52-BR$60)/(BS$52-BR$52)*BS57)*(BS$60&gt;$B$10)+IF(BS$60=$B$10,SUM($F57:BR57)-SUM($F65:BR65)+BS57+(BS$60-BS$52)/(BT$52-BS$52)*BT57,0)</f>
        <v>0</v>
      </c>
      <c r="BT65" s="510">
        <f ca="1">(BT$60=$B$9)*BT57+((BT$60-BT$52)/(BU$52-BT$52)*BU57+(BT$52-BS$60)/(BT$52-BS$52)*BT57)*(BT$60&gt;$B$10)+IF(BT$60=$B$10,SUM($F57:BS57)-SUM($F65:BS65)+BT57+(BT$60-BT$52)/(BU$52-BT$52)*BU57,0)</f>
        <v>0</v>
      </c>
      <c r="BU65" s="510">
        <f ca="1">(BU$60=$B$9)*BU57+((BU$60-BU$52)/(BV$52-BU$52)*BV57+(BU$52-BT$60)/(BU$52-BT$52)*BU57)*(BU$60&gt;$B$10)+IF(BU$60=$B$10,SUM($F57:BT57)-SUM($F65:BT65)+BU57+(BU$60-BU$52)/(BV$52-BU$52)*BV57,0)</f>
        <v>0</v>
      </c>
      <c r="BV65" s="510">
        <f ca="1">(BV$60=$B$9)*BV57+((BV$60-BV$52)/(BW$52-BV$52)*BW57+(BV$52-BU$60)/(BV$52-BU$52)*BV57)*(BV$60&gt;$B$10)+IF(BV$60=$B$10,SUM($F57:BU57)-SUM($F65:BU65)+BV57+(BV$60-BV$52)/(BW$52-BV$52)*BW57,0)</f>
        <v>0</v>
      </c>
      <c r="BW65" s="510">
        <f ca="1">(BW$60=$B$9)*BW57+((BW$60-BW$52)/(BX$52-BW$52)*BX57+(BW$52-BV$60)/(BW$52-BV$52)*BW57)*(BW$60&gt;$B$10)+IF(BW$60=$B$10,SUM($F57:BV57)-SUM($F65:BV65)+BW57+(BW$60-BW$52)/(BX$52-BW$52)*BX57,0)</f>
        <v>0</v>
      </c>
      <c r="BX65" s="510">
        <f ca="1">(BX$60=$B$9)*BX57+((BX$60-BX$52)/(BY$52-BX$52)*BY57+(BX$52-BW$60)/(BX$52-BW$52)*BX57)*(BX$60&gt;$B$10)+IF(BX$60=$B$10,SUM($F57:BW57)-SUM($F65:BW65)+BX57+(BX$60-BX$52)/(BY$52-BX$52)*BY57,0)</f>
        <v>0</v>
      </c>
      <c r="BY65" s="510">
        <f ca="1">(BY$60=$B$9)*BY57+((BY$60-BY$52)/(BZ$52-BY$52)*BZ57+(BY$52-BX$60)/(BY$52-BX$52)*BY57)*(BY$60&gt;$B$10)+IF(BY$60=$B$10,SUM($F57:BX57)-SUM($F65:BX65)+BY57+(BY$60-BY$52)/(BZ$52-BY$52)*BZ57,0)</f>
        <v>0</v>
      </c>
      <c r="BZ65" s="510">
        <f ca="1">(BZ$60=$B$9)*BZ57+((BZ$60-BZ$52)/(CA$52-BZ$52)*CA57+(BZ$52-BY$60)/(BZ$52-BY$52)*BZ57)*(BZ$60&gt;$B$10)+IF(BZ$60=$B$10,SUM($F57:BY57)-SUM($F65:BY65)+BZ57+(BZ$60-BZ$52)/(CA$52-BZ$52)*CA57,0)</f>
        <v>0</v>
      </c>
      <c r="CA65" s="510">
        <f ca="1">(CA$60=$B$9)*CA57+((CA$60-CA$52)/(CB$52-CA$52)*CB57+(CA$52-BZ$60)/(CA$52-BZ$52)*CA57)*(CA$60&gt;$B$10)+IF(CA$60=$B$10,SUM($F57:BZ57)-SUM($F65:BZ65)+CA57+(CA$60-CA$52)/(CB$52-CA$52)*CB57,0)</f>
        <v>0</v>
      </c>
      <c r="CB65" s="510">
        <f ca="1">(CB$60=$B$9)*CB57+((CB$60-CB$52)/(CC$52-CB$52)*CC57+(CB$52-CA$60)/(CB$52-CA$52)*CB57)*(CB$60&gt;$B$10)+IF(CB$60=$B$10,SUM($F57:CA57)-SUM($F65:CA65)+CB57+(CB$60-CB$52)/(CC$52-CB$52)*CC57,0)</f>
        <v>0</v>
      </c>
      <c r="CC65" s="510">
        <f ca="1">(CC$60=$B$9)*CC57+((CC$60-CC$52)/(CD$52-CC$52)*CD57+(CC$52-CB$60)/(CC$52-CB$52)*CC57)*(CC$60&gt;$B$10)+IF(CC$60=$B$10,SUM($F57:CB57)-SUM($F65:CB65)+CC57+(CC$60-CC$52)/(CD$52-CC$52)*CD57,0)</f>
        <v>0</v>
      </c>
      <c r="CD65" s="510">
        <f ca="1">(CD$60=$B$9)*CD57+((CD$60-CD$52)/(CE$52-CD$52)*CE57+(CD$52-CC$60)/(CD$52-CC$52)*CD57)*(CD$60&gt;$B$10)+IF(CD$60=$B$10,SUM($F57:CC57)-SUM($F65:CC65)+CD57+(CD$60-CD$52)/(CE$52-CD$52)*CE57,0)</f>
        <v>0</v>
      </c>
      <c r="CE65" s="510">
        <f ca="1">(CE$60=$B$9)*CE57+((CE$60-CE$52)/(CF$52-CE$52)*CF57+(CE$52-CD$60)/(CE$52-CD$52)*CE57)*(CE$60&gt;$B$10)+IF(CE$60=$B$10,SUM($F57:CD57)-SUM($F65:CD65)+CE57+(CE$60-CE$52)/(CF$52-CE$52)*CF57,0)</f>
        <v>0</v>
      </c>
      <c r="CF65" s="510">
        <f ca="1">(CF$60=$B$9)*CF57+((CF$60-CF$52)/(CG$52-CF$52)*CG57+(CF$52-CE$60)/(CF$52-CE$52)*CF57)*(CF$60&gt;$B$10)+IF(CF$60=$B$10,SUM($F57:CE57)-SUM($F65:CE65)+CF57+(CF$60-CF$52)/(CG$52-CF$52)*CG57,0)</f>
        <v>0</v>
      </c>
      <c r="CG65" s="510">
        <f ca="1">(CG$60=$B$9)*CG57+((CG$60-CG$52)/(CH$52-CG$52)*CH57+(CG$52-CF$60)/(CG$52-CF$52)*CG57)*(CG$60&gt;$B$10)+IF(CG$60=$B$10,SUM($F57:CF57)-SUM($F65:CF65)+CG57+(CG$60-CG$52)/(CH$52-CG$52)*CH57,0)</f>
        <v>0</v>
      </c>
      <c r="CH65" s="510">
        <f ca="1">(CH$60=$B$9)*CH57+((CH$60-CH$52)/(CI$52-CH$52)*CI57+(CH$52-CG$60)/(CH$52-CG$52)*CH57)*(CH$60&gt;$B$10)+IF(CH$60=$B$10,SUM($F57:CG57)-SUM($F65:CG65)+CH57+(CH$60-CH$52)/(CI$52-CH$52)*CI57,0)</f>
        <v>0</v>
      </c>
      <c r="CI65" s="510">
        <f ca="1">(CI$60=$B$9)*CI57+((CI$60-CI$52)/(CJ$52-CI$52)*CJ57+(CI$52-CH$60)/(CI$52-CH$52)*CI57)*(CI$60&gt;$B$10)+IF(CI$60=$B$10,SUM($F57:CH57)-SUM($F65:CH65)+CI57+(CI$60-CI$52)/(CJ$52-CI$52)*CJ57,0)</f>
        <v>0</v>
      </c>
      <c r="CJ65" s="510">
        <f ca="1">(CJ$60=$B$9)*CJ57+((CJ$60-CJ$52)/(CK$52-CJ$52)*CK57+(CJ$52-CI$60)/(CJ$52-CI$52)*CJ57)*(CJ$60&gt;$B$10)+IF(CJ$60=$B$10,SUM($F57:CI57)-SUM($F65:CI65)+CJ57+(CJ$60-CJ$52)/(CK$52-CJ$52)*CK57,0)</f>
        <v>0</v>
      </c>
      <c r="CK65" s="510">
        <f ca="1">(CK$60=$B$9)*CK57+((CK$60-CK$52)/(CL$52-CK$52)*CL57+(CK$52-CJ$60)/(CK$52-CJ$52)*CK57)*(CK$60&gt;$B$10)+IF(CK$60=$B$10,SUM($F57:CJ57)-SUM($F65:CJ65)+CK57+(CK$60-CK$52)/(CL$52-CK$52)*CL57,0)</f>
        <v>0</v>
      </c>
      <c r="CL65" s="510">
        <f ca="1">(CL$60=$B$9)*CL57+((CL$60-CL$52)/(CM$52-CL$52)*CM57+(CL$52-CK$60)/(CL$52-CK$52)*CL57)*(CL$60&gt;$B$10)+IF(CL$60=$B$10,SUM($F57:CK57)-SUM($F65:CK65)+CL57+(CL$60-CL$52)/(CM$52-CL$52)*CM57,0)</f>
        <v>0</v>
      </c>
      <c r="CM65" s="510">
        <f ca="1">(CM$60=$B$9)*CM57+((CM$60-CM$52)/(CN$52-CM$52)*CN57+(CM$52-CL$60)/(CM$52-CL$52)*CM57)*(CM$60&gt;$B$10)+IF(CM$60=$B$10,SUM($F57:CL57)-SUM($F65:CL65)+CM57+(CM$60-CM$52)/(CN$52-CM$52)*CN57,0)</f>
        <v>0</v>
      </c>
      <c r="CN65" s="510">
        <f ca="1">(CN$60=$B$9)*CN57+((CN$60-CN$52)/(CO$52-CN$52)*CO57+(CN$52-CM$60)/(CN$52-CM$52)*CN57)*(CN$60&gt;$B$10)+IF(CN$60=$B$10,SUM($F57:CM57)-SUM($F65:CM65)+CN57+(CN$60-CN$52)/(CO$52-CN$52)*CO57,0)</f>
        <v>0</v>
      </c>
      <c r="CO65" s="510">
        <f ca="1">(CO$60=$B$9)*CO57+((CO$60-CO$52)/(CP$52-CO$52)*CP57+(CO$52-CN$60)/(CO$52-CN$52)*CO57)*(CO$60&gt;$B$10)+IF(CO$60=$B$10,SUM($F57:CN57)-SUM($F65:CN65)+CO57+(CO$60-CO$52)/(CP$52-CO$52)*CP57,0)</f>
        <v>0</v>
      </c>
      <c r="CP65" s="510">
        <f ca="1">(CP$60=$B$9)*CP57+((CP$60-CP$52)/(CQ$52-CP$52)*CQ57+(CP$52-CO$60)/(CP$52-CO$52)*CP57)*(CP$60&gt;$B$10)+IF(CP$60=$B$10,SUM($F57:CO57)-SUM($F65:CO65)+CP57+(CP$60-CP$52)/(CQ$52-CP$52)*CQ57,0)</f>
        <v>0</v>
      </c>
      <c r="CQ65" s="510">
        <f ca="1">(CQ$60=$B$9)*CQ57+((CQ$60-CQ$52)/(CR$52-CQ$52)*CR57+(CQ$52-CP$60)/(CQ$52-CP$52)*CQ57)*(CQ$60&gt;$B$10)+IF(CQ$60=$B$10,SUM($F57:CP57)-SUM($F65:CP65)+CQ57+(CQ$60-CQ$52)/(CR$52-CQ$52)*CR57,0)</f>
        <v>0</v>
      </c>
      <c r="CR65" s="510">
        <f ca="1">(CR$60=$B$9)*CR57+((CR$60-CR$52)/(CS$52-CR$52)*CS57+(CR$52-CQ$60)/(CR$52-CQ$52)*CR57)*(CR$60&gt;$B$10)+IF(CR$60=$B$10,SUM($F57:CQ57)-SUM($F65:CQ65)+CR57+(CR$60-CR$52)/(CS$52-CR$52)*CS57,0)</f>
        <v>0</v>
      </c>
      <c r="CS65" s="510">
        <f ca="1">(CS$60=$B$9)*CS57+((CS$60-CS$52)/(CT$52-CS$52)*CT57+(CS$52-CR$60)/(CS$52-CR$52)*CS57)*(CS$60&gt;$B$10)+IF(CS$60=$B$10,SUM($F57:CR57)-SUM($F65:CR65)+CS57+(CS$60-CS$52)/(CT$52-CS$52)*CT57,0)</f>
        <v>0</v>
      </c>
      <c r="CT65" s="510">
        <f ca="1">(CT$60=$B$9)*CT57+((CT$60-CT$52)/(CU$52-CT$52)*CU57+(CT$52-CS$60)/(CT$52-CS$52)*CT57)*(CT$60&gt;$B$10)+IF(CT$60=$B$10,SUM($F57:CS57)-SUM($F65:CS65)+CT57+(CT$60-CT$52)/(CU$52-CT$52)*CU57,0)</f>
        <v>0</v>
      </c>
      <c r="CU65" s="510">
        <f ca="1">(CU$60=$B$9)*CU57+((CU$60-CU$52)/(CV$52-CU$52)*CV57+(CU$52-CT$60)/(CU$52-CT$52)*CU57)*(CU$60&gt;$B$10)+IF(CU$60=$B$10,SUM($F57:CT57)-SUM($F65:CT65)+CU57+(CU$60-CU$52)/(CV$52-CU$52)*CV57,0)</f>
        <v>0</v>
      </c>
      <c r="CV65" s="510">
        <f ca="1">(CV$60=$B$9)*CV57+((CV$60-CV$52)/(CW$52-CV$52)*CW57+(CV$52-CU$60)/(CV$52-CU$52)*CV57)*(CV$60&gt;$B$10)+IF(CV$60=$B$10,SUM($F57:CU57)-SUM($F65:CU65)+CV57+(CV$60-CV$52)/(CW$52-CV$52)*CW57,0)</f>
        <v>0</v>
      </c>
      <c r="CW65" s="510">
        <f ca="1">(CW$60=$B$9)*CW57+((CW$60-CW$52)/(CX$52-CW$52)*CX57+(CW$52-CV$60)/(CW$52-CV$52)*CW57)*(CW$60&gt;$B$10)+IF(CW$60=$B$10,SUM($F57:CV57)-SUM($F65:CV65)+CW57+(CW$60-CW$52)/(CX$52-CW$52)*CX57,0)</f>
        <v>0</v>
      </c>
      <c r="CX65" s="510">
        <f ca="1">(CX$60=$B$9)*CX57+((CX$60-CX$52)/(CY$52-CX$52)*CY57+(CX$52-CW$60)/(CX$52-CW$52)*CX57)*(CX$60&gt;$B$10)+IF(CX$60=$B$10,SUM($F57:CW57)-SUM($F65:CW65)+CX57+(CX$60-CX$52)/(CY$52-CX$52)*CY57,0)</f>
        <v>0</v>
      </c>
      <c r="CY65" s="510">
        <f ca="1">(CY$60=$B$9)*CY57+((CY$60-CY$52)/(CZ$52-CY$52)*CZ57+(CY$52-CX$60)/(CY$52-CX$52)*CY57)*(CY$60&gt;$B$10)+IF(CY$60=$B$10,SUM($F57:CX57)-SUM($F65:CX65)+CY57+(CY$60-CY$52)/(CZ$52-CY$52)*CZ57,0)</f>
        <v>0</v>
      </c>
      <c r="CZ65" s="510">
        <f ca="1">(CZ$60=$B$9)*CZ57+((CZ$60-CZ$52)/(DA$52-CZ$52)*DA57+(CZ$52-CY$60)/(CZ$52-CY$52)*CZ57)*(CZ$60&gt;$B$10)+IF(CZ$60=$B$10,SUM($F57:CY57)-SUM($F65:CY65)+CZ57+(CZ$60-CZ$52)/(DA$52-CZ$52)*DA57,0)</f>
        <v>0</v>
      </c>
      <c r="DA65" s="510">
        <f ca="1">(DA$60=$B$9)*DA57+((DA$60-DA$52)/(DB$52-DA$52)*DB57+(DA$52-CZ$60)/(DA$52-CZ$52)*DA57)*(DA$60&gt;$B$10)+IF(DA$60=$B$10,SUM($F57:CZ57)-SUM($F65:CZ65)+DA57+(DA$60-DA$52)/(DB$52-DA$52)*DB57,0)</f>
        <v>0</v>
      </c>
      <c r="DB65" s="510">
        <f ca="1">(DB$60=$B$9)*DB57+((DB$60-DB$52)/(DC$52-DB$52)*DC57+(DB$52-DA$60)/(DB$52-DA$52)*DB57)*(DB$60&gt;$B$10)+IF(DB$60=$B$10,SUM($F57:DA57)-SUM($F65:DA65)+DB57+(DB$60-DB$52)/(DC$52-DB$52)*DC57,0)</f>
        <v>0</v>
      </c>
      <c r="DC65" s="510">
        <f ca="1">(DC$60=$B$9)*DC57+((DC$60-DC$52)/(DD$52-DC$52)*DD57+(DC$52-DB$60)/(DC$52-DB$52)*DC57)*(DC$60&gt;$B$10)+IF(DC$60=$B$10,SUM($F57:DB57)-SUM($F65:DB65)+DC57+(DC$60-DC$52)/(DD$52-DC$52)*DD57,0)</f>
        <v>0</v>
      </c>
      <c r="DD65" s="510">
        <f ca="1">(DD$60=$B$9)*DD57+((DD$60-DD$52)/(DE$52-DD$52)*DE57+(DD$52-DC$60)/(DD$52-DC$52)*DD57)*(DD$60&gt;$B$10)+IF(DD$60=$B$10,SUM($F57:DC57)-SUM($F65:DC65)+DD57+(DD$60-DD$52)/(DE$52-DD$52)*DE57,0)</f>
        <v>0</v>
      </c>
      <c r="DE65" s="510">
        <f ca="1">(DE$60=$B$9)*DE57+((DE$60-DE$52)/(DF$52-DE$52)*DF57+(DE$52-DD$60)/(DE$52-DD$52)*DE57)*(DE$60&gt;$B$10)+IF(DE$60=$B$10,SUM($F57:DD57)-SUM($F65:DD65)+DE57+(DE$60-DE$52)/(DF$52-DE$52)*DF57,0)</f>
        <v>0</v>
      </c>
      <c r="DF65" s="510">
        <f ca="1">(DF$60=$B$9)*DF57+((DF$60-DF$52)/(DG$52-DF$52)*DG57+(DF$52-DE$60)/(DF$52-DE$52)*DF57)*(DF$60&gt;$B$10)+IF(DF$60=$B$10,SUM($F57:DE57)-SUM($F65:DE65)+DF57+(DF$60-DF$52)/(DG$52-DF$52)*DG57,0)</f>
        <v>0</v>
      </c>
      <c r="DG65" s="510">
        <f ca="1">(DG$60=$B$9)*DG57+((DG$60-DG$52)/(DH$52-DG$52)*DH57+(DG$52-DF$60)/(DG$52-DF$52)*DG57)*(DG$60&gt;$B$10)+IF(DG$60=$B$10,SUM($F57:DF57)-SUM($F65:DF65)+DG57+(DG$60-DG$52)/(DH$52-DG$52)*DH57,0)</f>
        <v>0</v>
      </c>
      <c r="DH65" s="510">
        <f ca="1">(DH$60=$B$9)*DH57+((DH$60-DH$52)/(DI$52-DH$52)*DI57+(DH$52-DG$60)/(DH$52-DG$52)*DH57)*(DH$60&gt;$B$10)+IF(DH$60=$B$10,SUM($F57:DG57)-SUM($F65:DG65)+DH57+(DH$60-DH$52)/(DI$52-DH$52)*DI57,0)</f>
        <v>0</v>
      </c>
      <c r="DI65" s="510">
        <f ca="1">(DI$60=$B$9)*DI57+((DI$60-DI$52)/(DJ$52-DI$52)*DJ57+(DI$52-DH$60)/(DI$52-DH$52)*DI57)*(DI$60&gt;$B$10)+IF(DI$60=$B$10,SUM($F57:DH57)-SUM($F65:DH65)+DI57+(DI$60-DI$52)/(DJ$52-DI$52)*DJ57,0)</f>
        <v>0</v>
      </c>
      <c r="DJ65" s="510">
        <f ca="1">(DJ$60=$B$9)*DJ57+((DJ$60-DJ$52)/(DK$52-DJ$52)*DK57+(DJ$52-DI$60)/(DJ$52-DI$52)*DJ57)*(DJ$60&gt;$B$10)+IF(DJ$60=$B$10,SUM($F57:DI57)-SUM($F65:DI65)+DJ57+(DJ$60-DJ$52)/(DK$52-DJ$52)*DK57,0)</f>
        <v>0</v>
      </c>
      <c r="DK65" s="510">
        <f ca="1">(DK$60=$B$9)*DK57+((DK$60-DK$52)/(DL$52-DK$52)*DL57+(DK$52-DJ$60)/(DK$52-DJ$52)*DK57)*(DK$60&gt;$B$10)+IF(DK$60=$B$10,SUM($F57:DJ57)-SUM($F65:DJ65)+DK57+(DK$60-DK$52)/(DL$52-DK$52)*DL57,0)</f>
        <v>0</v>
      </c>
      <c r="DL65" s="510">
        <f ca="1">(DL$60=$B$9)*DL57+((DL$60-DL$52)/(DM$52-DL$52)*DM57+(DL$52-DK$60)/(DL$52-DK$52)*DL57)*(DL$60&gt;$B$10)+IF(DL$60=$B$10,SUM($F57:DK57)-SUM($F65:DK65)+DL57+(DL$60-DL$52)/(DM$52-DL$52)*DM57,0)</f>
        <v>0</v>
      </c>
      <c r="DM65" s="510">
        <f ca="1">(DM$60=$B$9)*DM57+((DM$60-DM$52)/(DN$52-DM$52)*DN57+(DM$52-DL$60)/(DM$52-DL$52)*DM57)*(DM$60&gt;$B$10)+IF(DM$60=$B$10,SUM($F57:DL57)-SUM($F65:DL65)+DM57+(DM$60-DM$52)/(DN$52-DM$52)*DN57,0)</f>
        <v>0</v>
      </c>
      <c r="DN65" s="510">
        <f ca="1">(DN$60=$B$9)*DN57+((DN$60-DN$52)/(DO$52-DN$52)*DO57+(DN$52-DM$60)/(DN$52-DM$52)*DN57)*(DN$60&gt;$B$10)+IF(DN$60=$B$10,SUM($F57:DM57)-SUM($F65:DM65)+DN57+(DN$60-DN$52)/(DO$52-DN$52)*DO57,0)</f>
        <v>0</v>
      </c>
      <c r="DO65" s="510">
        <f ca="1">(DO$60=$B$9)*DO57+((DO$60-DO$52)/(DP$52-DO$52)*DP57+(DO$52-DN$60)/(DO$52-DN$52)*DO57)*(DO$60&gt;$B$10)+IF(DO$60=$B$10,SUM($F57:DN57)-SUM($F65:DN65)+DO57+(DO$60-DO$52)/(DP$52-DO$52)*DP57,0)</f>
        <v>0</v>
      </c>
      <c r="DP65" s="510">
        <f ca="1">(DP$60=$B$9)*DP57+((DP$60-DP$52)/(DQ$52-DP$52)*DQ57+(DP$52-DO$60)/(DP$52-DO$52)*DP57)*(DP$60&gt;$B$10)+IF(DP$60=$B$10,SUM($F57:DO57)-SUM($F65:DO65)+DP57+(DP$60-DP$52)/(DQ$52-DP$52)*DQ57,0)</f>
        <v>0</v>
      </c>
      <c r="DQ65" s="510">
        <f ca="1">(DQ$60=$B$9)*DQ57+((DQ$60-DQ$52)/(DR$52-DQ$52)*DR57+(DQ$52-DP$60)/(DQ$52-DP$52)*DQ57)*(DQ$60&gt;$B$10)+IF(DQ$60=$B$10,SUM($F57:DP57)-SUM($F65:DP65)+DQ57+(DQ$60-DQ$52)/(DR$52-DQ$52)*DR57,0)</f>
        <v>0</v>
      </c>
      <c r="DR65" s="510">
        <f ca="1">(DR$60=$B$9)*DR57+((DR$60-DR$52)/(DS$52-DR$52)*DS57+(DR$52-DQ$60)/(DR$52-DQ$52)*DR57)*(DR$60&gt;$B$10)+IF(DR$60=$B$10,SUM($F57:DQ57)-SUM($F65:DQ65)+DR57+(DR$60-DR$52)/(DS$52-DR$52)*DS57,0)</f>
        <v>0</v>
      </c>
      <c r="DS65" s="510">
        <f ca="1">(DS$60=$B$9)*DS57+((DS$60-DS$52)/(DT$52-DS$52)*DT57+(DS$52-DR$60)/(DS$52-DR$52)*DS57)*(DS$60&gt;$B$10)+IF(DS$60=$B$10,SUM($F57:DR57)-SUM($F65:DR65)+DS57+(DS$60-DS$52)/(DT$52-DS$52)*DT57,0)</f>
        <v>0</v>
      </c>
      <c r="DT65" s="510">
        <f ca="1">(DT$60=$B$9)*DT57+((DT$60-DT$52)/(DU$52-DT$52)*DU57+(DT$52-DS$60)/(DT$52-DS$52)*DT57)*(DT$60&gt;$B$10)+IF(DT$60=$B$10,SUM($F57:DS57)-SUM($F65:DS65)+DT57+(DT$60-DT$52)/(DU$52-DT$52)*DU57,0)</f>
        <v>0</v>
      </c>
      <c r="DU65" s="510">
        <f ca="1">(DU$60=$B$9)*DU57+((DU$60-DU$52)/(DV$52-DU$52)*DV57+(DU$52-DT$60)/(DU$52-DT$52)*DU57)*(DU$60&gt;$B$10)+IF(DU$60=$B$10,SUM($F57:DT57)-SUM($F65:DT65)+DU57+(DU$60-DU$52)/(DV$52-DU$52)*DV57,0)</f>
        <v>0</v>
      </c>
      <c r="DV65" s="510">
        <f ca="1">(DV$60=$B$9)*DV57+((DV$60-DV$52)/(DW$52-DV$52)*DW57+(DV$52-DU$60)/(DV$52-DU$52)*DV57)*(DV$60&gt;$B$10)+IF(DV$60=$B$10,SUM($F57:DU57)-SUM($F65:DU65)+DV57+(DV$60-DV$52)/(DW$52-DV$52)*DW57,0)</f>
        <v>0</v>
      </c>
      <c r="DW65" s="510">
        <f ca="1">(DW$60=$B$9)*DW57+((DW$60-DW$52)/(DX$52-DW$52)*DX57+(DW$52-DV$60)/(DW$52-DV$52)*DW57)*(DW$60&gt;$B$10)+IF(DW$60=$B$10,SUM($F57:DV57)-SUM($F65:DV65)+DW57+(DW$60-DW$52)/(DX$52-DW$52)*DX57,0)</f>
        <v>0</v>
      </c>
    </row>
    <row r="66" spans="1:127">
      <c r="A66" s="344" t="str">
        <f>"Gross Total "&amp;Inputs!$A$318</f>
        <v>Gross Total Investor 2</v>
      </c>
      <c r="B66" s="971"/>
      <c r="C66" s="971"/>
      <c r="D66" s="476"/>
      <c r="E66" s="476"/>
      <c r="F66" s="518"/>
      <c r="G66" s="513">
        <f t="shared" ref="G66:AL66" ca="1" si="42">G64+G62+G61</f>
        <v>0</v>
      </c>
      <c r="H66" s="513">
        <f t="shared" ca="1" si="42"/>
        <v>0</v>
      </c>
      <c r="I66" s="513">
        <f t="shared" ca="1" si="42"/>
        <v>0</v>
      </c>
      <c r="J66" s="513">
        <f t="shared" ca="1" si="42"/>
        <v>0</v>
      </c>
      <c r="K66" s="513">
        <f t="shared" ca="1" si="42"/>
        <v>0</v>
      </c>
      <c r="L66" s="513">
        <f t="shared" ca="1" si="42"/>
        <v>0</v>
      </c>
      <c r="M66" s="513">
        <f t="shared" ca="1" si="42"/>
        <v>0</v>
      </c>
      <c r="N66" s="513">
        <f t="shared" ca="1" si="42"/>
        <v>0</v>
      </c>
      <c r="O66" s="513">
        <f t="shared" ca="1" si="42"/>
        <v>0</v>
      </c>
      <c r="P66" s="513">
        <f t="shared" ca="1" si="42"/>
        <v>0</v>
      </c>
      <c r="Q66" s="513">
        <f t="shared" ca="1" si="42"/>
        <v>0</v>
      </c>
      <c r="R66" s="513">
        <f t="shared" ca="1" si="42"/>
        <v>0</v>
      </c>
      <c r="S66" s="513">
        <f t="shared" ca="1" si="42"/>
        <v>0</v>
      </c>
      <c r="T66" s="513">
        <f t="shared" ca="1" si="42"/>
        <v>0</v>
      </c>
      <c r="U66" s="513">
        <f t="shared" ca="1" si="42"/>
        <v>0</v>
      </c>
      <c r="V66" s="513">
        <f t="shared" ca="1" si="42"/>
        <v>0</v>
      </c>
      <c r="W66" s="513">
        <f t="shared" ca="1" si="42"/>
        <v>0</v>
      </c>
      <c r="X66" s="513">
        <f t="shared" ca="1" si="42"/>
        <v>0</v>
      </c>
      <c r="Y66" s="513">
        <f t="shared" ca="1" si="42"/>
        <v>0</v>
      </c>
      <c r="Z66" s="513">
        <f t="shared" ca="1" si="42"/>
        <v>0</v>
      </c>
      <c r="AA66" s="513">
        <f t="shared" ca="1" si="42"/>
        <v>0</v>
      </c>
      <c r="AB66" s="513">
        <f t="shared" ca="1" si="42"/>
        <v>0</v>
      </c>
      <c r="AC66" s="513">
        <f t="shared" ca="1" si="42"/>
        <v>0</v>
      </c>
      <c r="AD66" s="513">
        <f t="shared" ca="1" si="42"/>
        <v>0</v>
      </c>
      <c r="AE66" s="513">
        <f t="shared" ca="1" si="42"/>
        <v>0</v>
      </c>
      <c r="AF66" s="513">
        <f t="shared" ca="1" si="42"/>
        <v>0</v>
      </c>
      <c r="AG66" s="513">
        <f t="shared" ca="1" si="42"/>
        <v>0</v>
      </c>
      <c r="AH66" s="513">
        <f t="shared" ca="1" si="42"/>
        <v>0</v>
      </c>
      <c r="AI66" s="513">
        <f t="shared" ca="1" si="42"/>
        <v>0</v>
      </c>
      <c r="AJ66" s="513">
        <f t="shared" ca="1" si="42"/>
        <v>0</v>
      </c>
      <c r="AK66" s="513">
        <f t="shared" ca="1" si="42"/>
        <v>0</v>
      </c>
      <c r="AL66" s="513">
        <f t="shared" ca="1" si="42"/>
        <v>0</v>
      </c>
      <c r="AM66" s="513">
        <f t="shared" ref="AM66:BR66" ca="1" si="43">AM64+AM62+AM61</f>
        <v>0</v>
      </c>
      <c r="AN66" s="513">
        <f t="shared" ca="1" si="43"/>
        <v>0</v>
      </c>
      <c r="AO66" s="513">
        <f t="shared" ca="1" si="43"/>
        <v>0</v>
      </c>
      <c r="AP66" s="513">
        <f t="shared" ca="1" si="43"/>
        <v>0</v>
      </c>
      <c r="AQ66" s="513">
        <f t="shared" ca="1" si="43"/>
        <v>0</v>
      </c>
      <c r="AR66" s="513">
        <f t="shared" ca="1" si="43"/>
        <v>0</v>
      </c>
      <c r="AS66" s="513">
        <f t="shared" ca="1" si="43"/>
        <v>0</v>
      </c>
      <c r="AT66" s="513">
        <f t="shared" ca="1" si="43"/>
        <v>0</v>
      </c>
      <c r="AU66" s="513">
        <f t="shared" ca="1" si="43"/>
        <v>0</v>
      </c>
      <c r="AV66" s="513">
        <f t="shared" ca="1" si="43"/>
        <v>0</v>
      </c>
      <c r="AW66" s="513">
        <f t="shared" ca="1" si="43"/>
        <v>0</v>
      </c>
      <c r="AX66" s="513">
        <f t="shared" ca="1" si="43"/>
        <v>0</v>
      </c>
      <c r="AY66" s="513">
        <f t="shared" ca="1" si="43"/>
        <v>0</v>
      </c>
      <c r="AZ66" s="513">
        <f t="shared" ca="1" si="43"/>
        <v>0</v>
      </c>
      <c r="BA66" s="513">
        <f t="shared" ca="1" si="43"/>
        <v>0</v>
      </c>
      <c r="BB66" s="513">
        <f t="shared" ca="1" si="43"/>
        <v>0</v>
      </c>
      <c r="BC66" s="513">
        <f t="shared" ca="1" si="43"/>
        <v>0</v>
      </c>
      <c r="BD66" s="513">
        <f t="shared" ca="1" si="43"/>
        <v>0</v>
      </c>
      <c r="BE66" s="513">
        <f t="shared" ca="1" si="43"/>
        <v>0</v>
      </c>
      <c r="BF66" s="513">
        <f t="shared" ca="1" si="43"/>
        <v>0</v>
      </c>
      <c r="BG66" s="513">
        <f t="shared" ca="1" si="43"/>
        <v>0</v>
      </c>
      <c r="BH66" s="513">
        <f t="shared" ca="1" si="43"/>
        <v>0</v>
      </c>
      <c r="BI66" s="513">
        <f t="shared" ca="1" si="43"/>
        <v>0</v>
      </c>
      <c r="BJ66" s="513">
        <f t="shared" ca="1" si="43"/>
        <v>0</v>
      </c>
      <c r="BK66" s="513">
        <f t="shared" ca="1" si="43"/>
        <v>0</v>
      </c>
      <c r="BL66" s="513">
        <f t="shared" ca="1" si="43"/>
        <v>0</v>
      </c>
      <c r="BM66" s="513">
        <f t="shared" ca="1" si="43"/>
        <v>0</v>
      </c>
      <c r="BN66" s="513">
        <f t="shared" ca="1" si="43"/>
        <v>0</v>
      </c>
      <c r="BO66" s="513">
        <f t="shared" ca="1" si="43"/>
        <v>0</v>
      </c>
      <c r="BP66" s="513">
        <f t="shared" ca="1" si="43"/>
        <v>0</v>
      </c>
      <c r="BQ66" s="513">
        <f t="shared" ca="1" si="43"/>
        <v>0</v>
      </c>
      <c r="BR66" s="513">
        <f t="shared" ca="1" si="43"/>
        <v>0</v>
      </c>
      <c r="BS66" s="513">
        <f t="shared" ref="BS66:CX66" ca="1" si="44">BS64+BS62+BS61</f>
        <v>0</v>
      </c>
      <c r="BT66" s="513">
        <f t="shared" ca="1" si="44"/>
        <v>0</v>
      </c>
      <c r="BU66" s="513">
        <f t="shared" ca="1" si="44"/>
        <v>0</v>
      </c>
      <c r="BV66" s="513">
        <f t="shared" ca="1" si="44"/>
        <v>0</v>
      </c>
      <c r="BW66" s="513">
        <f t="shared" ca="1" si="44"/>
        <v>0</v>
      </c>
      <c r="BX66" s="513">
        <f t="shared" ca="1" si="44"/>
        <v>0</v>
      </c>
      <c r="BY66" s="513">
        <f t="shared" ca="1" si="44"/>
        <v>0</v>
      </c>
      <c r="BZ66" s="513">
        <f t="shared" ca="1" si="44"/>
        <v>0</v>
      </c>
      <c r="CA66" s="513">
        <f t="shared" ca="1" si="44"/>
        <v>0</v>
      </c>
      <c r="CB66" s="513">
        <f t="shared" ca="1" si="44"/>
        <v>0</v>
      </c>
      <c r="CC66" s="513">
        <f t="shared" ca="1" si="44"/>
        <v>0</v>
      </c>
      <c r="CD66" s="513">
        <f t="shared" ca="1" si="44"/>
        <v>0</v>
      </c>
      <c r="CE66" s="513">
        <f t="shared" ca="1" si="44"/>
        <v>0</v>
      </c>
      <c r="CF66" s="513">
        <f t="shared" ca="1" si="44"/>
        <v>0</v>
      </c>
      <c r="CG66" s="513">
        <f t="shared" ca="1" si="44"/>
        <v>0</v>
      </c>
      <c r="CH66" s="513">
        <f t="shared" ca="1" si="44"/>
        <v>0</v>
      </c>
      <c r="CI66" s="513">
        <f t="shared" ca="1" si="44"/>
        <v>0</v>
      </c>
      <c r="CJ66" s="513">
        <f t="shared" ca="1" si="44"/>
        <v>0</v>
      </c>
      <c r="CK66" s="513">
        <f t="shared" ca="1" si="44"/>
        <v>0</v>
      </c>
      <c r="CL66" s="513">
        <f t="shared" ca="1" si="44"/>
        <v>0</v>
      </c>
      <c r="CM66" s="513">
        <f t="shared" ca="1" si="44"/>
        <v>0</v>
      </c>
      <c r="CN66" s="513">
        <f t="shared" ca="1" si="44"/>
        <v>0</v>
      </c>
      <c r="CO66" s="513">
        <f t="shared" ca="1" si="44"/>
        <v>0</v>
      </c>
      <c r="CP66" s="513">
        <f t="shared" ca="1" si="44"/>
        <v>0</v>
      </c>
      <c r="CQ66" s="513">
        <f t="shared" ca="1" si="44"/>
        <v>0</v>
      </c>
      <c r="CR66" s="513">
        <f t="shared" ca="1" si="44"/>
        <v>0</v>
      </c>
      <c r="CS66" s="513">
        <f t="shared" ca="1" si="44"/>
        <v>0</v>
      </c>
      <c r="CT66" s="513">
        <f t="shared" ca="1" si="44"/>
        <v>0</v>
      </c>
      <c r="CU66" s="513">
        <f t="shared" ca="1" si="44"/>
        <v>0</v>
      </c>
      <c r="CV66" s="513">
        <f t="shared" ca="1" si="44"/>
        <v>0</v>
      </c>
      <c r="CW66" s="513">
        <f t="shared" ca="1" si="44"/>
        <v>0</v>
      </c>
      <c r="CX66" s="513">
        <f t="shared" ca="1" si="44"/>
        <v>0</v>
      </c>
      <c r="CY66" s="513">
        <f t="shared" ref="CY66:DW66" ca="1" si="45">CY64+CY62+CY61</f>
        <v>0</v>
      </c>
      <c r="CZ66" s="513">
        <f t="shared" ca="1" si="45"/>
        <v>0</v>
      </c>
      <c r="DA66" s="513">
        <f t="shared" ca="1" si="45"/>
        <v>0</v>
      </c>
      <c r="DB66" s="513">
        <f t="shared" ca="1" si="45"/>
        <v>0</v>
      </c>
      <c r="DC66" s="513">
        <f t="shared" ca="1" si="45"/>
        <v>0</v>
      </c>
      <c r="DD66" s="513">
        <f t="shared" ca="1" si="45"/>
        <v>0</v>
      </c>
      <c r="DE66" s="513">
        <f t="shared" ca="1" si="45"/>
        <v>0</v>
      </c>
      <c r="DF66" s="513">
        <f t="shared" ca="1" si="45"/>
        <v>0</v>
      </c>
      <c r="DG66" s="513">
        <f t="shared" ca="1" si="45"/>
        <v>0</v>
      </c>
      <c r="DH66" s="513">
        <f t="shared" ca="1" si="45"/>
        <v>0</v>
      </c>
      <c r="DI66" s="513">
        <f t="shared" ca="1" si="45"/>
        <v>0</v>
      </c>
      <c r="DJ66" s="513">
        <f t="shared" ca="1" si="45"/>
        <v>0</v>
      </c>
      <c r="DK66" s="513">
        <f t="shared" ca="1" si="45"/>
        <v>0</v>
      </c>
      <c r="DL66" s="513">
        <f t="shared" ca="1" si="45"/>
        <v>0</v>
      </c>
      <c r="DM66" s="513">
        <f t="shared" ca="1" si="45"/>
        <v>0</v>
      </c>
      <c r="DN66" s="513">
        <f t="shared" ca="1" si="45"/>
        <v>0</v>
      </c>
      <c r="DO66" s="513">
        <f t="shared" ca="1" si="45"/>
        <v>0</v>
      </c>
      <c r="DP66" s="513">
        <f t="shared" ca="1" si="45"/>
        <v>0</v>
      </c>
      <c r="DQ66" s="513">
        <f t="shared" ca="1" si="45"/>
        <v>0</v>
      </c>
      <c r="DR66" s="513">
        <f t="shared" ca="1" si="45"/>
        <v>0</v>
      </c>
      <c r="DS66" s="513">
        <f t="shared" ca="1" si="45"/>
        <v>0</v>
      </c>
      <c r="DT66" s="513">
        <f t="shared" ca="1" si="45"/>
        <v>0</v>
      </c>
      <c r="DU66" s="513">
        <f t="shared" ca="1" si="45"/>
        <v>0</v>
      </c>
      <c r="DV66" s="513">
        <f t="shared" ca="1" si="45"/>
        <v>0</v>
      </c>
      <c r="DW66" s="513">
        <f t="shared" ca="1" si="45"/>
        <v>0</v>
      </c>
    </row>
    <row r="67" spans="1:127">
      <c r="A67" s="344" t="str">
        <f>"Net Total "&amp;Inputs!$A$318</f>
        <v>Net Total Investor 2</v>
      </c>
      <c r="B67" s="971"/>
      <c r="C67" s="971"/>
      <c r="D67" s="476"/>
      <c r="E67" s="476"/>
      <c r="F67" s="518"/>
      <c r="G67" s="513">
        <f ca="1">G65+G63+G61</f>
        <v>0</v>
      </c>
      <c r="H67" s="513">
        <f t="shared" ref="H67:BS67" ca="1" si="46">H65+H63+H61</f>
        <v>0</v>
      </c>
      <c r="I67" s="513">
        <f t="shared" ca="1" si="46"/>
        <v>0</v>
      </c>
      <c r="J67" s="513">
        <f t="shared" ca="1" si="46"/>
        <v>0</v>
      </c>
      <c r="K67" s="513">
        <f t="shared" ca="1" si="46"/>
        <v>0</v>
      </c>
      <c r="L67" s="513">
        <f t="shared" ca="1" si="46"/>
        <v>0</v>
      </c>
      <c r="M67" s="513">
        <f t="shared" ca="1" si="46"/>
        <v>0</v>
      </c>
      <c r="N67" s="513">
        <f t="shared" ca="1" si="46"/>
        <v>0</v>
      </c>
      <c r="O67" s="513">
        <f t="shared" ca="1" si="46"/>
        <v>0</v>
      </c>
      <c r="P67" s="513">
        <f t="shared" ca="1" si="46"/>
        <v>0</v>
      </c>
      <c r="Q67" s="513">
        <f t="shared" ca="1" si="46"/>
        <v>0</v>
      </c>
      <c r="R67" s="513">
        <f t="shared" ca="1" si="46"/>
        <v>0</v>
      </c>
      <c r="S67" s="513">
        <f t="shared" ca="1" si="46"/>
        <v>0</v>
      </c>
      <c r="T67" s="513">
        <f t="shared" ca="1" si="46"/>
        <v>0</v>
      </c>
      <c r="U67" s="513">
        <f t="shared" ca="1" si="46"/>
        <v>0</v>
      </c>
      <c r="V67" s="513">
        <f t="shared" ca="1" si="46"/>
        <v>0</v>
      </c>
      <c r="W67" s="513">
        <f t="shared" ca="1" si="46"/>
        <v>0</v>
      </c>
      <c r="X67" s="513">
        <f t="shared" ca="1" si="46"/>
        <v>0</v>
      </c>
      <c r="Y67" s="513">
        <f t="shared" ca="1" si="46"/>
        <v>0</v>
      </c>
      <c r="Z67" s="513">
        <f t="shared" ca="1" si="46"/>
        <v>0</v>
      </c>
      <c r="AA67" s="513">
        <f t="shared" ca="1" si="46"/>
        <v>0</v>
      </c>
      <c r="AB67" s="513">
        <f t="shared" ca="1" si="46"/>
        <v>0</v>
      </c>
      <c r="AC67" s="513">
        <f t="shared" ca="1" si="46"/>
        <v>0</v>
      </c>
      <c r="AD67" s="513">
        <f t="shared" ca="1" si="46"/>
        <v>0</v>
      </c>
      <c r="AE67" s="513">
        <f t="shared" ca="1" si="46"/>
        <v>0</v>
      </c>
      <c r="AF67" s="513">
        <f t="shared" ca="1" si="46"/>
        <v>0</v>
      </c>
      <c r="AG67" s="513">
        <f t="shared" ca="1" si="46"/>
        <v>0</v>
      </c>
      <c r="AH67" s="513">
        <f t="shared" ca="1" si="46"/>
        <v>0</v>
      </c>
      <c r="AI67" s="513">
        <f t="shared" ca="1" si="46"/>
        <v>0</v>
      </c>
      <c r="AJ67" s="513">
        <f t="shared" ca="1" si="46"/>
        <v>0</v>
      </c>
      <c r="AK67" s="513">
        <f t="shared" ca="1" si="46"/>
        <v>0</v>
      </c>
      <c r="AL67" s="513">
        <f t="shared" ca="1" si="46"/>
        <v>0</v>
      </c>
      <c r="AM67" s="513">
        <f t="shared" ca="1" si="46"/>
        <v>0</v>
      </c>
      <c r="AN67" s="513">
        <f t="shared" ca="1" si="46"/>
        <v>0</v>
      </c>
      <c r="AO67" s="513">
        <f t="shared" ca="1" si="46"/>
        <v>0</v>
      </c>
      <c r="AP67" s="513">
        <f t="shared" ca="1" si="46"/>
        <v>0</v>
      </c>
      <c r="AQ67" s="513">
        <f t="shared" ca="1" si="46"/>
        <v>0</v>
      </c>
      <c r="AR67" s="513">
        <f t="shared" ca="1" si="46"/>
        <v>0</v>
      </c>
      <c r="AS67" s="513">
        <f t="shared" ca="1" si="46"/>
        <v>0</v>
      </c>
      <c r="AT67" s="513">
        <f t="shared" ca="1" si="46"/>
        <v>0</v>
      </c>
      <c r="AU67" s="513">
        <f t="shared" ca="1" si="46"/>
        <v>0</v>
      </c>
      <c r="AV67" s="513">
        <f t="shared" ca="1" si="46"/>
        <v>0</v>
      </c>
      <c r="AW67" s="513">
        <f t="shared" ca="1" si="46"/>
        <v>0</v>
      </c>
      <c r="AX67" s="513">
        <f t="shared" ca="1" si="46"/>
        <v>0</v>
      </c>
      <c r="AY67" s="513">
        <f t="shared" ca="1" si="46"/>
        <v>0</v>
      </c>
      <c r="AZ67" s="513">
        <f t="shared" ca="1" si="46"/>
        <v>0</v>
      </c>
      <c r="BA67" s="513">
        <f t="shared" ca="1" si="46"/>
        <v>0</v>
      </c>
      <c r="BB67" s="513">
        <f t="shared" ca="1" si="46"/>
        <v>0</v>
      </c>
      <c r="BC67" s="513">
        <f t="shared" ca="1" si="46"/>
        <v>0</v>
      </c>
      <c r="BD67" s="513">
        <f t="shared" ca="1" si="46"/>
        <v>0</v>
      </c>
      <c r="BE67" s="513">
        <f t="shared" ca="1" si="46"/>
        <v>0</v>
      </c>
      <c r="BF67" s="513">
        <f t="shared" ca="1" si="46"/>
        <v>0</v>
      </c>
      <c r="BG67" s="513">
        <f t="shared" ca="1" si="46"/>
        <v>0</v>
      </c>
      <c r="BH67" s="513">
        <f t="shared" ca="1" si="46"/>
        <v>0</v>
      </c>
      <c r="BI67" s="513">
        <f t="shared" ca="1" si="46"/>
        <v>0</v>
      </c>
      <c r="BJ67" s="513">
        <f t="shared" ca="1" si="46"/>
        <v>0</v>
      </c>
      <c r="BK67" s="513">
        <f t="shared" ca="1" si="46"/>
        <v>0</v>
      </c>
      <c r="BL67" s="513">
        <f t="shared" ca="1" si="46"/>
        <v>0</v>
      </c>
      <c r="BM67" s="513">
        <f t="shared" ca="1" si="46"/>
        <v>0</v>
      </c>
      <c r="BN67" s="513">
        <f t="shared" ca="1" si="46"/>
        <v>0</v>
      </c>
      <c r="BO67" s="513">
        <f t="shared" ca="1" si="46"/>
        <v>0</v>
      </c>
      <c r="BP67" s="513">
        <f t="shared" ca="1" si="46"/>
        <v>0</v>
      </c>
      <c r="BQ67" s="513">
        <f t="shared" ca="1" si="46"/>
        <v>0</v>
      </c>
      <c r="BR67" s="513">
        <f t="shared" ca="1" si="46"/>
        <v>0</v>
      </c>
      <c r="BS67" s="513">
        <f t="shared" ca="1" si="46"/>
        <v>0</v>
      </c>
      <c r="BT67" s="513">
        <f t="shared" ref="BT67:DW67" ca="1" si="47">BT65+BT63+BT61</f>
        <v>0</v>
      </c>
      <c r="BU67" s="513">
        <f t="shared" ca="1" si="47"/>
        <v>0</v>
      </c>
      <c r="BV67" s="513">
        <f t="shared" ca="1" si="47"/>
        <v>0</v>
      </c>
      <c r="BW67" s="513">
        <f t="shared" ca="1" si="47"/>
        <v>0</v>
      </c>
      <c r="BX67" s="513">
        <f t="shared" ca="1" si="47"/>
        <v>0</v>
      </c>
      <c r="BY67" s="513">
        <f t="shared" ca="1" si="47"/>
        <v>0</v>
      </c>
      <c r="BZ67" s="513">
        <f t="shared" ca="1" si="47"/>
        <v>0</v>
      </c>
      <c r="CA67" s="513">
        <f t="shared" ca="1" si="47"/>
        <v>0</v>
      </c>
      <c r="CB67" s="513">
        <f t="shared" ca="1" si="47"/>
        <v>0</v>
      </c>
      <c r="CC67" s="513">
        <f t="shared" ca="1" si="47"/>
        <v>0</v>
      </c>
      <c r="CD67" s="513">
        <f t="shared" ca="1" si="47"/>
        <v>0</v>
      </c>
      <c r="CE67" s="513">
        <f t="shared" ca="1" si="47"/>
        <v>0</v>
      </c>
      <c r="CF67" s="513">
        <f t="shared" ca="1" si="47"/>
        <v>0</v>
      </c>
      <c r="CG67" s="513">
        <f t="shared" ca="1" si="47"/>
        <v>0</v>
      </c>
      <c r="CH67" s="513">
        <f t="shared" ca="1" si="47"/>
        <v>0</v>
      </c>
      <c r="CI67" s="513">
        <f t="shared" ca="1" si="47"/>
        <v>0</v>
      </c>
      <c r="CJ67" s="513">
        <f t="shared" ca="1" si="47"/>
        <v>0</v>
      </c>
      <c r="CK67" s="513">
        <f t="shared" ca="1" si="47"/>
        <v>0</v>
      </c>
      <c r="CL67" s="513">
        <f t="shared" ca="1" si="47"/>
        <v>0</v>
      </c>
      <c r="CM67" s="513">
        <f t="shared" ca="1" si="47"/>
        <v>0</v>
      </c>
      <c r="CN67" s="513">
        <f t="shared" ca="1" si="47"/>
        <v>0</v>
      </c>
      <c r="CO67" s="513">
        <f t="shared" ca="1" si="47"/>
        <v>0</v>
      </c>
      <c r="CP67" s="513">
        <f t="shared" ca="1" si="47"/>
        <v>0</v>
      </c>
      <c r="CQ67" s="513">
        <f t="shared" ca="1" si="47"/>
        <v>0</v>
      </c>
      <c r="CR67" s="513">
        <f t="shared" ca="1" si="47"/>
        <v>0</v>
      </c>
      <c r="CS67" s="513">
        <f t="shared" ca="1" si="47"/>
        <v>0</v>
      </c>
      <c r="CT67" s="513">
        <f t="shared" ca="1" si="47"/>
        <v>0</v>
      </c>
      <c r="CU67" s="513">
        <f t="shared" ca="1" si="47"/>
        <v>0</v>
      </c>
      <c r="CV67" s="513">
        <f t="shared" ca="1" si="47"/>
        <v>0</v>
      </c>
      <c r="CW67" s="513">
        <f t="shared" ca="1" si="47"/>
        <v>0</v>
      </c>
      <c r="CX67" s="513">
        <f t="shared" ca="1" si="47"/>
        <v>0</v>
      </c>
      <c r="CY67" s="513">
        <f t="shared" ca="1" si="47"/>
        <v>0</v>
      </c>
      <c r="CZ67" s="513">
        <f t="shared" ca="1" si="47"/>
        <v>0</v>
      </c>
      <c r="DA67" s="513">
        <f t="shared" ca="1" si="47"/>
        <v>0</v>
      </c>
      <c r="DB67" s="513">
        <f t="shared" ca="1" si="47"/>
        <v>0</v>
      </c>
      <c r="DC67" s="513">
        <f t="shared" ca="1" si="47"/>
        <v>0</v>
      </c>
      <c r="DD67" s="513">
        <f t="shared" ca="1" si="47"/>
        <v>0</v>
      </c>
      <c r="DE67" s="513">
        <f t="shared" ca="1" si="47"/>
        <v>0</v>
      </c>
      <c r="DF67" s="513">
        <f t="shared" ca="1" si="47"/>
        <v>0</v>
      </c>
      <c r="DG67" s="513">
        <f t="shared" ca="1" si="47"/>
        <v>0</v>
      </c>
      <c r="DH67" s="513">
        <f t="shared" ca="1" si="47"/>
        <v>0</v>
      </c>
      <c r="DI67" s="513">
        <f t="shared" ca="1" si="47"/>
        <v>0</v>
      </c>
      <c r="DJ67" s="513">
        <f t="shared" ca="1" si="47"/>
        <v>0</v>
      </c>
      <c r="DK67" s="513">
        <f t="shared" ca="1" si="47"/>
        <v>0</v>
      </c>
      <c r="DL67" s="513">
        <f t="shared" ca="1" si="47"/>
        <v>0</v>
      </c>
      <c r="DM67" s="513">
        <f t="shared" ca="1" si="47"/>
        <v>0</v>
      </c>
      <c r="DN67" s="513">
        <f t="shared" ca="1" si="47"/>
        <v>0</v>
      </c>
      <c r="DO67" s="513">
        <f t="shared" ca="1" si="47"/>
        <v>0</v>
      </c>
      <c r="DP67" s="513">
        <f t="shared" ca="1" si="47"/>
        <v>0</v>
      </c>
      <c r="DQ67" s="513">
        <f t="shared" ca="1" si="47"/>
        <v>0</v>
      </c>
      <c r="DR67" s="513">
        <f t="shared" ca="1" si="47"/>
        <v>0</v>
      </c>
      <c r="DS67" s="513">
        <f t="shared" ca="1" si="47"/>
        <v>0</v>
      </c>
      <c r="DT67" s="513">
        <f t="shared" ca="1" si="47"/>
        <v>0</v>
      </c>
      <c r="DU67" s="513">
        <f t="shared" ca="1" si="47"/>
        <v>0</v>
      </c>
      <c r="DV67" s="513">
        <f t="shared" ca="1" si="47"/>
        <v>0</v>
      </c>
      <c r="DW67" s="513">
        <f t="shared" ca="1" si="47"/>
        <v>0</v>
      </c>
    </row>
    <row r="68" spans="1:127">
      <c r="A68" s="344" t="s">
        <v>1262</v>
      </c>
      <c r="B68" s="971"/>
      <c r="C68" s="971"/>
      <c r="D68" s="541"/>
      <c r="E68" s="471"/>
      <c r="G68" s="647"/>
      <c r="H68" s="648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  <c r="AD68" s="339"/>
      <c r="AE68" s="339"/>
      <c r="AF68" s="339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39"/>
      <c r="AY68" s="339"/>
      <c r="AZ68" s="339"/>
      <c r="BA68" s="339"/>
      <c r="BB68" s="339"/>
      <c r="BC68" s="339"/>
      <c r="BD68" s="339"/>
      <c r="BE68" s="339"/>
      <c r="BF68" s="339"/>
      <c r="BG68" s="339"/>
      <c r="BH68" s="339"/>
      <c r="BI68" s="339"/>
      <c r="BJ68" s="339"/>
      <c r="BK68" s="339"/>
      <c r="BL68" s="339"/>
      <c r="BM68" s="339"/>
      <c r="BN68" s="339"/>
      <c r="BO68" s="339"/>
      <c r="BP68" s="339"/>
      <c r="BQ68" s="339"/>
      <c r="BR68" s="339"/>
      <c r="BS68" s="339"/>
      <c r="BT68" s="339"/>
      <c r="BU68" s="339"/>
      <c r="BV68" s="339"/>
      <c r="BW68" s="339"/>
      <c r="BX68" s="339"/>
      <c r="BY68" s="339"/>
      <c r="BZ68" s="339"/>
      <c r="CA68" s="339"/>
      <c r="CB68" s="339"/>
      <c r="CC68" s="339"/>
      <c r="CD68" s="339"/>
      <c r="CE68" s="339"/>
      <c r="CF68" s="339"/>
      <c r="CG68" s="339"/>
      <c r="CH68" s="339"/>
      <c r="CI68" s="339"/>
      <c r="CJ68" s="339"/>
      <c r="CK68" s="339"/>
      <c r="CL68" s="339"/>
      <c r="CM68" s="339"/>
      <c r="CN68" s="339"/>
      <c r="CO68" s="339"/>
      <c r="CP68" s="339"/>
      <c r="CQ68" s="339"/>
      <c r="CR68" s="339"/>
      <c r="CS68" s="339"/>
      <c r="CT68" s="339"/>
      <c r="CU68" s="339"/>
      <c r="CV68" s="339"/>
      <c r="CW68" s="339"/>
      <c r="CX68" s="339"/>
      <c r="CY68" s="339"/>
      <c r="CZ68" s="339"/>
      <c r="DA68" s="339"/>
      <c r="DB68" s="339"/>
      <c r="DC68" s="339"/>
      <c r="DD68" s="339"/>
      <c r="DE68" s="339"/>
      <c r="DF68" s="339"/>
      <c r="DG68" s="339"/>
      <c r="DH68" s="339"/>
      <c r="DI68" s="339"/>
      <c r="DJ68" s="339"/>
      <c r="DK68" s="339"/>
      <c r="DL68" s="339"/>
      <c r="DM68" s="339"/>
      <c r="DN68" s="339"/>
      <c r="DO68" s="339"/>
      <c r="DP68" s="339"/>
      <c r="DQ68" s="339"/>
      <c r="DR68" s="339"/>
      <c r="DS68" s="339"/>
      <c r="DT68" s="339"/>
      <c r="DU68" s="339"/>
      <c r="DV68" s="339"/>
      <c r="DW68" s="339"/>
    </row>
    <row r="69" spans="1:127">
      <c r="A69" s="344"/>
      <c r="B69" s="971"/>
      <c r="C69" s="971"/>
      <c r="D69" s="476"/>
      <c r="E69" s="471"/>
      <c r="G69" s="647"/>
      <c r="H69" s="648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  <c r="AD69" s="339"/>
      <c r="AE69" s="339"/>
      <c r="AF69" s="339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39"/>
      <c r="AY69" s="339"/>
      <c r="AZ69" s="339"/>
      <c r="BA69" s="339"/>
      <c r="BB69" s="339"/>
      <c r="BC69" s="339"/>
      <c r="BD69" s="339"/>
      <c r="BE69" s="339"/>
      <c r="BF69" s="339"/>
      <c r="BG69" s="339"/>
      <c r="BH69" s="339"/>
      <c r="BI69" s="339"/>
      <c r="BJ69" s="339"/>
      <c r="BK69" s="339"/>
      <c r="BL69" s="339"/>
      <c r="BM69" s="339"/>
      <c r="BN69" s="339"/>
      <c r="BO69" s="339"/>
      <c r="BP69" s="339"/>
      <c r="BQ69" s="339"/>
      <c r="BR69" s="339"/>
      <c r="BS69" s="339"/>
      <c r="BT69" s="339"/>
      <c r="BU69" s="339"/>
      <c r="BV69" s="339"/>
      <c r="BW69" s="339"/>
      <c r="BX69" s="339"/>
      <c r="BY69" s="339"/>
      <c r="BZ69" s="339"/>
      <c r="CA69" s="339"/>
      <c r="CB69" s="339"/>
      <c r="CC69" s="339"/>
      <c r="CD69" s="339"/>
      <c r="CE69" s="339"/>
      <c r="CF69" s="339"/>
      <c r="CG69" s="339"/>
      <c r="CH69" s="339"/>
      <c r="CI69" s="339"/>
      <c r="CJ69" s="339"/>
      <c r="CK69" s="339"/>
      <c r="CL69" s="339"/>
      <c r="CM69" s="339"/>
      <c r="CN69" s="339"/>
      <c r="CO69" s="339"/>
      <c r="CP69" s="339"/>
      <c r="CQ69" s="339"/>
      <c r="CR69" s="339"/>
      <c r="CS69" s="339"/>
      <c r="CT69" s="339"/>
      <c r="CU69" s="339"/>
      <c r="CV69" s="339"/>
      <c r="CW69" s="339"/>
      <c r="CX69" s="339"/>
      <c r="CY69" s="339"/>
      <c r="CZ69" s="339"/>
      <c r="DA69" s="339"/>
      <c r="DB69" s="339"/>
      <c r="DC69" s="339"/>
      <c r="DD69" s="339"/>
      <c r="DE69" s="339"/>
      <c r="DF69" s="339"/>
      <c r="DG69" s="339"/>
      <c r="DH69" s="339"/>
      <c r="DI69" s="339"/>
      <c r="DJ69" s="339"/>
      <c r="DK69" s="339"/>
      <c r="DL69" s="339"/>
      <c r="DM69" s="339"/>
      <c r="DN69" s="339"/>
      <c r="DO69" s="339"/>
      <c r="DP69" s="339"/>
      <c r="DQ69" s="339"/>
      <c r="DR69" s="339"/>
      <c r="DS69" s="339"/>
      <c r="DT69" s="339"/>
      <c r="DU69" s="339"/>
      <c r="DV69" s="339"/>
      <c r="DW69" s="339"/>
    </row>
    <row r="70" spans="1:127">
      <c r="A70" s="861" t="str">
        <f>Inputs!$A$315&amp;" Operation Flows"</f>
        <v>Sponsor Operation Flows</v>
      </c>
      <c r="B70" s="1060">
        <f>Inputs!C315</f>
        <v>1</v>
      </c>
      <c r="C70" s="1018"/>
      <c r="D70" s="963"/>
      <c r="E70" s="864"/>
      <c r="F70" s="870"/>
      <c r="G70" s="638">
        <f>G$12</f>
        <v>47298</v>
      </c>
      <c r="H70" s="638">
        <f t="shared" ref="H70:BS70" si="48">H$12</f>
        <v>47848</v>
      </c>
      <c r="I70" s="638">
        <f t="shared" si="48"/>
        <v>48029</v>
      </c>
      <c r="J70" s="638">
        <f t="shared" si="48"/>
        <v>48213</v>
      </c>
      <c r="K70" s="638">
        <f t="shared" si="48"/>
        <v>48395</v>
      </c>
      <c r="L70" s="638">
        <f t="shared" si="48"/>
        <v>48579</v>
      </c>
      <c r="M70" s="638">
        <f t="shared" si="48"/>
        <v>48760</v>
      </c>
      <c r="N70" s="638">
        <f t="shared" si="48"/>
        <v>48944</v>
      </c>
      <c r="O70" s="638">
        <f t="shared" si="48"/>
        <v>49125</v>
      </c>
      <c r="P70" s="638">
        <f t="shared" si="48"/>
        <v>49309</v>
      </c>
      <c r="Q70" s="638">
        <f t="shared" si="48"/>
        <v>49490</v>
      </c>
      <c r="R70" s="638">
        <f t="shared" si="48"/>
        <v>49674</v>
      </c>
      <c r="S70" s="638">
        <f t="shared" si="48"/>
        <v>49856</v>
      </c>
      <c r="T70" s="638">
        <f t="shared" si="48"/>
        <v>50040</v>
      </c>
      <c r="U70" s="638">
        <f t="shared" si="48"/>
        <v>50221</v>
      </c>
      <c r="V70" s="638">
        <f t="shared" si="48"/>
        <v>50405</v>
      </c>
      <c r="W70" s="638">
        <f t="shared" si="48"/>
        <v>50586</v>
      </c>
      <c r="X70" s="638">
        <f t="shared" si="48"/>
        <v>50770</v>
      </c>
      <c r="Y70" s="638">
        <f t="shared" si="48"/>
        <v>50951</v>
      </c>
      <c r="Z70" s="638">
        <f t="shared" si="48"/>
        <v>51135</v>
      </c>
      <c r="AA70" s="638">
        <f t="shared" si="48"/>
        <v>51317</v>
      </c>
      <c r="AB70" s="638">
        <f t="shared" si="48"/>
        <v>51501</v>
      </c>
      <c r="AC70" s="638">
        <f t="shared" si="48"/>
        <v>51682</v>
      </c>
      <c r="AD70" s="638">
        <f t="shared" si="48"/>
        <v>51866</v>
      </c>
      <c r="AE70" s="638">
        <f t="shared" si="48"/>
        <v>52047</v>
      </c>
      <c r="AF70" s="638">
        <f t="shared" si="48"/>
        <v>52231</v>
      </c>
      <c r="AG70" s="638">
        <f t="shared" si="48"/>
        <v>52412</v>
      </c>
      <c r="AH70" s="638">
        <f t="shared" si="48"/>
        <v>52596</v>
      </c>
      <c r="AI70" s="638">
        <f t="shared" si="48"/>
        <v>52778</v>
      </c>
      <c r="AJ70" s="638">
        <f t="shared" si="48"/>
        <v>52962</v>
      </c>
      <c r="AK70" s="638">
        <f t="shared" si="48"/>
        <v>53143</v>
      </c>
      <c r="AL70" s="638">
        <f t="shared" si="48"/>
        <v>53327</v>
      </c>
      <c r="AM70" s="638">
        <f t="shared" si="48"/>
        <v>53508</v>
      </c>
      <c r="AN70" s="638">
        <f t="shared" si="48"/>
        <v>53692</v>
      </c>
      <c r="AO70" s="638">
        <f t="shared" si="48"/>
        <v>53873</v>
      </c>
      <c r="AP70" s="638">
        <f t="shared" si="48"/>
        <v>54057</v>
      </c>
      <c r="AQ70" s="638">
        <f t="shared" si="48"/>
        <v>54239</v>
      </c>
      <c r="AR70" s="638">
        <f t="shared" si="48"/>
        <v>54423</v>
      </c>
      <c r="AS70" s="638">
        <f t="shared" si="48"/>
        <v>54604</v>
      </c>
      <c r="AT70" s="638">
        <f t="shared" si="48"/>
        <v>54788</v>
      </c>
      <c r="AU70" s="638">
        <f t="shared" si="48"/>
        <v>54969</v>
      </c>
      <c r="AV70" s="638">
        <f t="shared" si="48"/>
        <v>55153</v>
      </c>
      <c r="AW70" s="638">
        <f t="shared" si="48"/>
        <v>55334</v>
      </c>
      <c r="AX70" s="638">
        <f t="shared" si="48"/>
        <v>55518</v>
      </c>
      <c r="AY70" s="638">
        <f t="shared" si="48"/>
        <v>55700</v>
      </c>
      <c r="AZ70" s="638">
        <f t="shared" si="48"/>
        <v>55884</v>
      </c>
      <c r="BA70" s="638">
        <f t="shared" si="48"/>
        <v>56065</v>
      </c>
      <c r="BB70" s="638">
        <f t="shared" si="48"/>
        <v>56249</v>
      </c>
      <c r="BC70" s="638">
        <f t="shared" si="48"/>
        <v>56430</v>
      </c>
      <c r="BD70" s="638">
        <f t="shared" si="48"/>
        <v>56614</v>
      </c>
      <c r="BE70" s="638">
        <f t="shared" si="48"/>
        <v>56795</v>
      </c>
      <c r="BF70" s="638">
        <f t="shared" si="48"/>
        <v>56979</v>
      </c>
      <c r="BG70" s="638">
        <f t="shared" si="48"/>
        <v>57161</v>
      </c>
      <c r="BH70" s="638">
        <f t="shared" si="48"/>
        <v>57345</v>
      </c>
      <c r="BI70" s="638">
        <f t="shared" si="48"/>
        <v>57526</v>
      </c>
      <c r="BJ70" s="638">
        <f t="shared" si="48"/>
        <v>57710</v>
      </c>
      <c r="BK70" s="638">
        <f t="shared" si="48"/>
        <v>57891</v>
      </c>
      <c r="BL70" s="638">
        <f t="shared" si="48"/>
        <v>58075</v>
      </c>
      <c r="BM70" s="638">
        <f t="shared" si="48"/>
        <v>58256</v>
      </c>
      <c r="BN70" s="638">
        <f t="shared" si="48"/>
        <v>58440</v>
      </c>
      <c r="BO70" s="638">
        <f t="shared" si="48"/>
        <v>58622</v>
      </c>
      <c r="BP70" s="638">
        <f t="shared" si="48"/>
        <v>58806</v>
      </c>
      <c r="BQ70" s="638">
        <f t="shared" si="48"/>
        <v>58987</v>
      </c>
      <c r="BR70" s="638">
        <f t="shared" si="48"/>
        <v>59171</v>
      </c>
      <c r="BS70" s="638">
        <f t="shared" si="48"/>
        <v>59352</v>
      </c>
      <c r="BT70" s="638">
        <f t="shared" ref="BT70:DW70" si="49">BT$12</f>
        <v>59536</v>
      </c>
      <c r="BU70" s="638">
        <f t="shared" si="49"/>
        <v>59717</v>
      </c>
      <c r="BV70" s="638">
        <f t="shared" si="49"/>
        <v>59901</v>
      </c>
      <c r="BW70" s="638">
        <f t="shared" si="49"/>
        <v>60083</v>
      </c>
      <c r="BX70" s="638">
        <f t="shared" si="49"/>
        <v>60267</v>
      </c>
      <c r="BY70" s="638">
        <f t="shared" si="49"/>
        <v>60448</v>
      </c>
      <c r="BZ70" s="638">
        <f t="shared" si="49"/>
        <v>60632</v>
      </c>
      <c r="CA70" s="638">
        <f t="shared" si="49"/>
        <v>60813</v>
      </c>
      <c r="CB70" s="638">
        <f t="shared" si="49"/>
        <v>60997</v>
      </c>
      <c r="CC70" s="638">
        <f t="shared" si="49"/>
        <v>61178</v>
      </c>
      <c r="CD70" s="638">
        <f t="shared" si="49"/>
        <v>61362</v>
      </c>
      <c r="CE70" s="638">
        <f t="shared" si="49"/>
        <v>61544</v>
      </c>
      <c r="CF70" s="638">
        <f t="shared" si="49"/>
        <v>61728</v>
      </c>
      <c r="CG70" s="638">
        <f t="shared" si="49"/>
        <v>61909</v>
      </c>
      <c r="CH70" s="638">
        <f t="shared" si="49"/>
        <v>62093</v>
      </c>
      <c r="CI70" s="638">
        <f t="shared" si="49"/>
        <v>62274</v>
      </c>
      <c r="CJ70" s="638">
        <f t="shared" si="49"/>
        <v>62458</v>
      </c>
      <c r="CK70" s="638">
        <f t="shared" si="49"/>
        <v>62639</v>
      </c>
      <c r="CL70" s="638">
        <f t="shared" si="49"/>
        <v>62823</v>
      </c>
      <c r="CM70" s="638">
        <f t="shared" si="49"/>
        <v>63005</v>
      </c>
      <c r="CN70" s="638">
        <f t="shared" si="49"/>
        <v>63189</v>
      </c>
      <c r="CO70" s="638">
        <f t="shared" si="49"/>
        <v>63370</v>
      </c>
      <c r="CP70" s="638">
        <f t="shared" si="49"/>
        <v>63554</v>
      </c>
      <c r="CQ70" s="638">
        <f t="shared" si="49"/>
        <v>63735</v>
      </c>
      <c r="CR70" s="638">
        <f t="shared" si="49"/>
        <v>63919</v>
      </c>
      <c r="CS70" s="638">
        <f t="shared" si="49"/>
        <v>64100</v>
      </c>
      <c r="CT70" s="638">
        <f t="shared" si="49"/>
        <v>64284</v>
      </c>
      <c r="CU70" s="638">
        <f t="shared" si="49"/>
        <v>64466</v>
      </c>
      <c r="CV70" s="638">
        <f t="shared" si="49"/>
        <v>64650</v>
      </c>
      <c r="CW70" s="638">
        <f t="shared" si="49"/>
        <v>64831</v>
      </c>
      <c r="CX70" s="638">
        <f t="shared" si="49"/>
        <v>65015</v>
      </c>
      <c r="CY70" s="638">
        <f t="shared" si="49"/>
        <v>65196</v>
      </c>
      <c r="CZ70" s="638">
        <f t="shared" si="49"/>
        <v>65380</v>
      </c>
      <c r="DA70" s="638">
        <f t="shared" si="49"/>
        <v>65561</v>
      </c>
      <c r="DB70" s="638">
        <f t="shared" si="49"/>
        <v>65745</v>
      </c>
      <c r="DC70" s="638">
        <f t="shared" si="49"/>
        <v>65927</v>
      </c>
      <c r="DD70" s="638">
        <f t="shared" si="49"/>
        <v>66111</v>
      </c>
      <c r="DE70" s="638">
        <f t="shared" si="49"/>
        <v>66292</v>
      </c>
      <c r="DF70" s="638">
        <f t="shared" si="49"/>
        <v>66476</v>
      </c>
      <c r="DG70" s="638">
        <f t="shared" si="49"/>
        <v>66657</v>
      </c>
      <c r="DH70" s="638">
        <f t="shared" si="49"/>
        <v>66841</v>
      </c>
      <c r="DI70" s="638">
        <f t="shared" si="49"/>
        <v>67022</v>
      </c>
      <c r="DJ70" s="638">
        <f t="shared" si="49"/>
        <v>67206</v>
      </c>
      <c r="DK70" s="638">
        <f t="shared" si="49"/>
        <v>67388</v>
      </c>
      <c r="DL70" s="638">
        <f t="shared" si="49"/>
        <v>67572</v>
      </c>
      <c r="DM70" s="638">
        <f t="shared" si="49"/>
        <v>67753</v>
      </c>
      <c r="DN70" s="638">
        <f t="shared" si="49"/>
        <v>67937</v>
      </c>
      <c r="DO70" s="638">
        <f t="shared" si="49"/>
        <v>68118</v>
      </c>
      <c r="DP70" s="638">
        <f t="shared" si="49"/>
        <v>68302</v>
      </c>
      <c r="DQ70" s="638">
        <f t="shared" si="49"/>
        <v>68483</v>
      </c>
      <c r="DR70" s="638">
        <f t="shared" si="49"/>
        <v>68667</v>
      </c>
      <c r="DS70" s="638">
        <f t="shared" si="49"/>
        <v>68849</v>
      </c>
      <c r="DT70" s="638">
        <f t="shared" si="49"/>
        <v>69033</v>
      </c>
      <c r="DU70" s="638">
        <f t="shared" si="49"/>
        <v>69214</v>
      </c>
      <c r="DV70" s="638">
        <f t="shared" si="49"/>
        <v>69398</v>
      </c>
      <c r="DW70" s="638">
        <f t="shared" si="49"/>
        <v>69579</v>
      </c>
    </row>
    <row r="71" spans="1:127">
      <c r="A71" s="1019" t="s">
        <v>1264</v>
      </c>
      <c r="B71" s="976">
        <f ca="1">Inputs!D328</f>
        <v>14620.773894815633</v>
      </c>
      <c r="C71" s="971"/>
      <c r="D71" s="471"/>
      <c r="E71" s="471"/>
      <c r="F71" s="611"/>
      <c r="G71" s="976">
        <f ca="1">IF(G$4=0,-$B$71,DS!G140*G7)</f>
        <v>-14620.773894815633</v>
      </c>
      <c r="H71" s="976">
        <f ca="1">IF(H$4=0,-$B$71,DS!H140*H7)</f>
        <v>0</v>
      </c>
      <c r="I71" s="976">
        <f ca="1">IF(I$4=0,-$B$71,DS!I140*I7)</f>
        <v>0</v>
      </c>
      <c r="J71" s="976">
        <f ca="1">IF(J$4=0,-$B$71,DS!J140*J7)</f>
        <v>0</v>
      </c>
      <c r="K71" s="976">
        <f ca="1">IF(K$4=0,-$B$71,DS!K140*K7)</f>
        <v>0</v>
      </c>
      <c r="L71" s="976">
        <f ca="1">IF(L$4=0,-$B$71,DS!L140*L7)</f>
        <v>0</v>
      </c>
      <c r="M71" s="976">
        <f ca="1">IF(M$4=0,-$B$71,DS!M140*M7)</f>
        <v>0</v>
      </c>
      <c r="N71" s="976">
        <f ca="1">IF(N$4=0,-$B$71,DS!N140*N7)</f>
        <v>0</v>
      </c>
      <c r="O71" s="976">
        <f ca="1">IF(O$4=0,-$B$71,DS!O140*O7)</f>
        <v>0</v>
      </c>
      <c r="P71" s="976">
        <f ca="1">IF(P$4=0,-$B$71,DS!P140*P7)</f>
        <v>0</v>
      </c>
      <c r="Q71" s="976">
        <f ca="1">IF(Q$4=0,-$B$71,DS!Q140*Q7)</f>
        <v>0</v>
      </c>
      <c r="R71" s="976">
        <f ca="1">IF(R$4=0,-$B$71,DS!R140*R7)</f>
        <v>0</v>
      </c>
      <c r="S71" s="976">
        <f ca="1">IF(S$4=0,-$B$71,DS!S140*S7)</f>
        <v>0</v>
      </c>
      <c r="T71" s="976">
        <f ca="1">IF(T$4=0,-$B$71,DS!T140*T7)</f>
        <v>0</v>
      </c>
      <c r="U71" s="976">
        <f ca="1">IF(U$4=0,-$B$71,DS!U140*U7)</f>
        <v>0</v>
      </c>
      <c r="V71" s="976">
        <f ca="1">IF(V$4=0,-$B$71,DS!V140*V7)</f>
        <v>0</v>
      </c>
      <c r="W71" s="976">
        <f ca="1">IF(W$4=0,-$B$71,DS!W140*W7)</f>
        <v>0</v>
      </c>
      <c r="X71" s="976">
        <f ca="1">IF(X$4=0,-$B$71,DS!X140*X7)</f>
        <v>0</v>
      </c>
      <c r="Y71" s="976">
        <f ca="1">IF(Y$4=0,-$B$71,DS!Y140*Y7)</f>
        <v>0</v>
      </c>
      <c r="Z71" s="976">
        <f ca="1">IF(Z$4=0,-$B$71,DS!Z140*Z7)</f>
        <v>0</v>
      </c>
      <c r="AA71" s="976">
        <f ca="1">IF(AA$4=0,-$B$71,DS!AA140*AA7)</f>
        <v>0</v>
      </c>
      <c r="AB71" s="976">
        <f ca="1">IF(AB$4=0,-$B$71,DS!AB140*AB7)</f>
        <v>0</v>
      </c>
      <c r="AC71" s="976">
        <f ca="1">IF(AC$4=0,-$B$71,DS!AC140*AC7)</f>
        <v>0</v>
      </c>
      <c r="AD71" s="976">
        <f ca="1">IF(AD$4=0,-$B$71,DS!AD140*AD7)</f>
        <v>0</v>
      </c>
      <c r="AE71" s="976">
        <f ca="1">IF(AE$4=0,-$B$71,DS!AE140*AE7)</f>
        <v>0</v>
      </c>
      <c r="AF71" s="976">
        <f ca="1">IF(AF$4=0,-$B$71,DS!AF140*AF7)</f>
        <v>224.11656791246105</v>
      </c>
      <c r="AG71" s="976">
        <f ca="1">IF(AG$4=0,-$B$71,DS!AG140*AG7)</f>
        <v>83.211857946056625</v>
      </c>
      <c r="AH71" s="976">
        <f ca="1">IF(AH$4=0,-$B$71,DS!AH140*AH7)</f>
        <v>258.70584794533193</v>
      </c>
      <c r="AI71" s="976">
        <f ca="1">IF(AI$4=0,-$B$71,DS!AI140*AI7)</f>
        <v>115.04197823766867</v>
      </c>
      <c r="AJ71" s="976">
        <f ca="1">IF(AJ$4=0,-$B$71,DS!AJ140*AJ7)</f>
        <v>1942.3381457077382</v>
      </c>
      <c r="AK71" s="976">
        <f ca="1">IF(AK$4=0,-$B$71,DS!AK140*AK7)</f>
        <v>1587.4167117684447</v>
      </c>
      <c r="AL71" s="976">
        <f ca="1">IF(AL$4=0,-$B$71,DS!AL140*AL7)</f>
        <v>1956.8415567801817</v>
      </c>
      <c r="AM71" s="976">
        <f ca="1">IF(AM$4=0,-$B$71,DS!AM140*AM7)</f>
        <v>1790.9756144230075</v>
      </c>
      <c r="AN71" s="976">
        <f ca="1">IF(AN$4=0,-$B$71,DS!AN140*AN7)</f>
        <v>2164.099556102627</v>
      </c>
      <c r="AO71" s="976">
        <f ca="1">IF(AO$4=0,-$B$71,DS!AO140*AO7)</f>
        <v>1991.9636321090975</v>
      </c>
      <c r="AP71" s="976">
        <f ca="1">IF(AP$4=0,-$B$71,DS!AP140*AP7)</f>
        <v>2379.1458689431702</v>
      </c>
      <c r="AQ71" s="976">
        <f ca="1">IF(AQ$4=0,-$B$71,DS!AQ140*AQ7)</f>
        <v>2213.9248535273591</v>
      </c>
      <c r="AR71" s="976">
        <f ca="1">IF(AR$4=0,-$B$71,DS!AR140*AR7)</f>
        <v>2626.6889330736199</v>
      </c>
      <c r="AS71" s="976">
        <f ca="1">IF(AS$4=0,-$B$71,DS!AS140*AS7)</f>
        <v>2443.6094775465253</v>
      </c>
      <c r="AT71" s="976">
        <f ca="1">IF(AT$4=0,-$B$71,DS!AT140*AT7)</f>
        <v>2885.635578779099</v>
      </c>
      <c r="AU71" s="976">
        <f ca="1">IF(AU$4=0,-$B$71,DS!AU140*AU7)</f>
        <v>2108.1666964607866</v>
      </c>
      <c r="AV71" s="976">
        <f ca="1">IF(AV$4=0,-$B$71,DS!AV140*AV7)</f>
        <v>0</v>
      </c>
      <c r="AW71" s="976">
        <f ca="1">IF(AW$4=0,-$B$71,DS!AW140*AW7)</f>
        <v>0</v>
      </c>
      <c r="AX71" s="976">
        <f ca="1">IF(AX$4=0,-$B$71,DS!AX140*AX7)</f>
        <v>0</v>
      </c>
      <c r="AY71" s="976">
        <f ca="1">IF(AY$4=0,-$B$71,DS!AY140*AY7)</f>
        <v>0</v>
      </c>
      <c r="AZ71" s="976">
        <f ca="1">IF(AZ$4=0,-$B$71,DS!AZ140*AZ7)</f>
        <v>0</v>
      </c>
      <c r="BA71" s="976">
        <f ca="1">IF(BA$4=0,-$B$71,DS!BA140*BA7)</f>
        <v>0</v>
      </c>
      <c r="BB71" s="976">
        <f ca="1">IF(BB$4=0,-$B$71,DS!BB140*BB7)</f>
        <v>0</v>
      </c>
      <c r="BC71" s="976">
        <f ca="1">IF(BC$4=0,-$B$71,DS!BC140*BC7)</f>
        <v>0</v>
      </c>
      <c r="BD71" s="976">
        <f ca="1">IF(BD$4=0,-$B$71,DS!BD140*BD7)</f>
        <v>0</v>
      </c>
      <c r="BE71" s="976">
        <f ca="1">IF(BE$4=0,-$B$71,DS!BE140*BE7)</f>
        <v>0</v>
      </c>
      <c r="BF71" s="976">
        <f ca="1">IF(BF$4=0,-$B$71,DS!BF140*BF7)</f>
        <v>0</v>
      </c>
      <c r="BG71" s="976">
        <f ca="1">IF(BG$4=0,-$B$71,DS!BG140*BG7)</f>
        <v>0</v>
      </c>
      <c r="BH71" s="976">
        <f ca="1">IF(BH$4=0,-$B$71,DS!BH140*BH7)</f>
        <v>0</v>
      </c>
      <c r="BI71" s="976">
        <f ca="1">IF(BI$4=0,-$B$71,DS!BI140*BI7)</f>
        <v>0</v>
      </c>
      <c r="BJ71" s="976">
        <f ca="1">IF(BJ$4=0,-$B$71,DS!BJ140*BJ7)</f>
        <v>0</v>
      </c>
      <c r="BK71" s="976">
        <f ca="1">IF(BK$4=0,-$B$71,DS!BK140*BK7)</f>
        <v>0</v>
      </c>
      <c r="BL71" s="976">
        <f ca="1">IF(BL$4=0,-$B$71,DS!BL140*BL7)</f>
        <v>0</v>
      </c>
      <c r="BM71" s="976">
        <f ca="1">IF(BM$4=0,-$B$71,DS!BM140*BM7)</f>
        <v>0</v>
      </c>
      <c r="BN71" s="976">
        <f ca="1">IF(BN$4=0,-$B$71,DS!BN140*BN7)</f>
        <v>0</v>
      </c>
      <c r="BO71" s="976">
        <f ca="1">IF(BO$4=0,-$B$71,DS!BO140*BO7)</f>
        <v>0</v>
      </c>
      <c r="BP71" s="976">
        <f ca="1">IF(BP$4=0,-$B$71,DS!BP140*BP7)</f>
        <v>0</v>
      </c>
      <c r="BQ71" s="976">
        <f ca="1">IF(BQ$4=0,-$B$71,DS!BQ140*BQ7)</f>
        <v>0</v>
      </c>
      <c r="BR71" s="976">
        <f ca="1">IF(BR$4=0,-$B$71,DS!BR140*BR7)</f>
        <v>0</v>
      </c>
      <c r="BS71" s="976">
        <f ca="1">IF(BS$4=0,-$B$71,DS!BS140*BS7)</f>
        <v>0</v>
      </c>
      <c r="BT71" s="976">
        <f ca="1">IF(BT$4=0,-$B$71,DS!BT140*BT7)</f>
        <v>0</v>
      </c>
      <c r="BU71" s="976">
        <f ca="1">IF(BU$4=0,-$B$71,DS!BU140*BU7)</f>
        <v>0</v>
      </c>
      <c r="BV71" s="976">
        <f ca="1">IF(BV$4=0,-$B$71,DS!BV140*BV7)</f>
        <v>0</v>
      </c>
      <c r="BW71" s="976">
        <f ca="1">IF(BW$4=0,-$B$71,DS!BW140*BW7)</f>
        <v>0</v>
      </c>
      <c r="BX71" s="976">
        <f ca="1">IF(BX$4=0,-$B$71,DS!BX140*BX7)</f>
        <v>0</v>
      </c>
      <c r="BY71" s="976">
        <f ca="1">IF(BY$4=0,-$B$71,DS!BY140*BY7)</f>
        <v>0</v>
      </c>
      <c r="BZ71" s="976">
        <f ca="1">IF(BZ$4=0,-$B$71,DS!BZ140*BZ7)</f>
        <v>0</v>
      </c>
      <c r="CA71" s="976">
        <f ca="1">IF(CA$4=0,-$B$71,DS!CA140*CA7)</f>
        <v>0</v>
      </c>
      <c r="CB71" s="976">
        <f ca="1">IF(CB$4=0,-$B$71,DS!CB140*CB7)</f>
        <v>0</v>
      </c>
      <c r="CC71" s="976">
        <f ca="1">IF(CC$4=0,-$B$71,DS!CC140*CC7)</f>
        <v>0</v>
      </c>
      <c r="CD71" s="976">
        <f ca="1">IF(CD$4=0,-$B$71,DS!CD140*CD7)</f>
        <v>0</v>
      </c>
      <c r="CE71" s="976">
        <f ca="1">IF(CE$4=0,-$B$71,DS!CE140*CE7)</f>
        <v>0</v>
      </c>
      <c r="CF71" s="976">
        <f ca="1">IF(CF$4=0,-$B$71,DS!CF140*CF7)</f>
        <v>0</v>
      </c>
      <c r="CG71" s="976">
        <f ca="1">IF(CG$4=0,-$B$71,DS!CG140*CG7)</f>
        <v>0</v>
      </c>
      <c r="CH71" s="976">
        <f ca="1">IF(CH$4=0,-$B$71,DS!CH140*CH7)</f>
        <v>0</v>
      </c>
      <c r="CI71" s="976">
        <f ca="1">IF(CI$4=0,-$B$71,DS!CI140*CI7)</f>
        <v>0</v>
      </c>
      <c r="CJ71" s="976">
        <f ca="1">IF(CJ$4=0,-$B$71,DS!CJ140*CJ7)</f>
        <v>0</v>
      </c>
      <c r="CK71" s="976">
        <f ca="1">IF(CK$4=0,-$B$71,DS!CK140*CK7)</f>
        <v>0</v>
      </c>
      <c r="CL71" s="976">
        <f ca="1">IF(CL$4=0,-$B$71,DS!CL140*CL7)</f>
        <v>0</v>
      </c>
      <c r="CM71" s="976">
        <f ca="1">IF(CM$4=0,-$B$71,DS!CM140*CM7)</f>
        <v>0</v>
      </c>
      <c r="CN71" s="976">
        <f ca="1">IF(CN$4=0,-$B$71,DS!CN140*CN7)</f>
        <v>0</v>
      </c>
      <c r="CO71" s="976">
        <f ca="1">IF(CO$4=0,-$B$71,DS!CO140*CO7)</f>
        <v>0</v>
      </c>
      <c r="CP71" s="976">
        <f ca="1">IF(CP$4=0,-$B$71,DS!CP140*CP7)</f>
        <v>0</v>
      </c>
      <c r="CQ71" s="976">
        <f ca="1">IF(CQ$4=0,-$B$71,DS!CQ140*CQ7)</f>
        <v>0</v>
      </c>
      <c r="CR71" s="976">
        <f ca="1">IF(CR$4=0,-$B$71,DS!CR140*CR7)</f>
        <v>0</v>
      </c>
      <c r="CS71" s="976">
        <f ca="1">IF(CS$4=0,-$B$71,DS!CS140*CS7)</f>
        <v>0</v>
      </c>
      <c r="CT71" s="976">
        <f ca="1">IF(CT$4=0,-$B$71,DS!CT140*CT7)</f>
        <v>0</v>
      </c>
      <c r="CU71" s="976">
        <f ca="1">IF(CU$4=0,-$B$71,DS!CU140*CU7)</f>
        <v>0</v>
      </c>
      <c r="CV71" s="976">
        <f ca="1">IF(CV$4=0,-$B$71,DS!CV140*CV7)</f>
        <v>0</v>
      </c>
      <c r="CW71" s="976">
        <f ca="1">IF(CW$4=0,-$B$71,DS!CW140*CW7)</f>
        <v>0</v>
      </c>
      <c r="CX71" s="976">
        <f ca="1">IF(CX$4=0,-$B$71,DS!CX140*CX7)</f>
        <v>0</v>
      </c>
      <c r="CY71" s="976">
        <f ca="1">IF(CY$4=0,-$B$71,DS!CY140*CY7)</f>
        <v>0</v>
      </c>
      <c r="CZ71" s="976">
        <f ca="1">IF(CZ$4=0,-$B$71,DS!CZ140*CZ7)</f>
        <v>0</v>
      </c>
      <c r="DA71" s="976">
        <f ca="1">IF(DA$4=0,-$B$71,DS!DA140*DA7)</f>
        <v>0</v>
      </c>
      <c r="DB71" s="976">
        <f ca="1">IF(DB$4=0,-$B$71,DS!DB140*DB7)</f>
        <v>0</v>
      </c>
      <c r="DC71" s="976">
        <f ca="1">IF(DC$4=0,-$B$71,DS!DC140*DC7)</f>
        <v>0</v>
      </c>
      <c r="DD71" s="976">
        <f ca="1">IF(DD$4=0,-$B$71,DS!DD140*DD7)</f>
        <v>0</v>
      </c>
      <c r="DE71" s="976">
        <f ca="1">IF(DE$4=0,-$B$71,DS!DE140*DE7)</f>
        <v>0</v>
      </c>
      <c r="DF71" s="976">
        <f ca="1">IF(DF$4=0,-$B$71,DS!DF140*DF7)</f>
        <v>0</v>
      </c>
      <c r="DG71" s="976">
        <f ca="1">IF(DG$4=0,-$B$71,DS!DG140*DG7)</f>
        <v>0</v>
      </c>
      <c r="DH71" s="976">
        <f ca="1">IF(DH$4=0,-$B$71,DS!DH140*DH7)</f>
        <v>0</v>
      </c>
      <c r="DI71" s="976">
        <f ca="1">IF(DI$4=0,-$B$71,DS!DI140*DI7)</f>
        <v>0</v>
      </c>
      <c r="DJ71" s="976">
        <f ca="1">IF(DJ$4=0,-$B$71,DS!DJ140*DJ7)</f>
        <v>0</v>
      </c>
      <c r="DK71" s="976">
        <f ca="1">IF(DK$4=0,-$B$71,DS!DK140*DK7)</f>
        <v>0</v>
      </c>
      <c r="DL71" s="976">
        <f ca="1">IF(DL$4=0,-$B$71,DS!DL140*DL7)</f>
        <v>0</v>
      </c>
      <c r="DM71" s="976">
        <f ca="1">IF(DM$4=0,-$B$71,DS!DM140*DM7)</f>
        <v>0</v>
      </c>
      <c r="DN71" s="976">
        <f ca="1">IF(DN$4=0,-$B$71,DS!DN140*DN7)</f>
        <v>0</v>
      </c>
      <c r="DO71" s="976">
        <f ca="1">IF(DO$4=0,-$B$71,DS!DO140*DO7)</f>
        <v>0</v>
      </c>
      <c r="DP71" s="976">
        <f ca="1">IF(DP$4=0,-$B$71,DS!DP140*DP7)</f>
        <v>0</v>
      </c>
      <c r="DQ71" s="976">
        <f ca="1">IF(DQ$4=0,-$B$71,DS!DQ140*DQ7)</f>
        <v>0</v>
      </c>
      <c r="DR71" s="976">
        <f ca="1">IF(DR$4=0,-$B$71,DS!DR140*DR7)</f>
        <v>0</v>
      </c>
      <c r="DS71" s="976">
        <f ca="1">IF(DS$4=0,-$B$71,DS!DS140*DS7)</f>
        <v>0</v>
      </c>
      <c r="DT71" s="976">
        <f ca="1">IF(DT$4=0,-$B$71,DS!DT140*DT7)</f>
        <v>0</v>
      </c>
      <c r="DU71" s="976">
        <f ca="1">IF(DU$4=0,-$B$71,DS!DU140*DU7)</f>
        <v>0</v>
      </c>
      <c r="DV71" s="976">
        <f ca="1">IF(DV$4=0,-$B$71,DS!DV140*DV7)</f>
        <v>0</v>
      </c>
      <c r="DW71" s="976">
        <f ca="1">IF(DW$4=0,-$B$71,DS!DW140*DW7)</f>
        <v>0</v>
      </c>
    </row>
    <row r="72" spans="1:127">
      <c r="A72" s="1019" t="s">
        <v>1263</v>
      </c>
      <c r="B72" s="971"/>
      <c r="C72" s="971"/>
      <c r="D72" s="471"/>
      <c r="E72" s="471"/>
      <c r="F72" s="611"/>
      <c r="G72" s="976">
        <f ca="1">(DS!G138+DS!G139-DS!G141)*G7</f>
        <v>0</v>
      </c>
      <c r="H72" s="976">
        <f ca="1">(DS!H138+DS!H139-DS!H141)*H7</f>
        <v>335.87001192815342</v>
      </c>
      <c r="I72" s="976">
        <f ca="1">(DS!I138+DS!I139-DS!I141)*I7</f>
        <v>330.39387042932458</v>
      </c>
      <c r="J72" s="976">
        <f ca="1">(DS!J138+DS!J139-DS!J141)*J7</f>
        <v>336.07875278384927</v>
      </c>
      <c r="K72" s="976">
        <f ca="1">(DS!K138+DS!K139-DS!K141)*K7</f>
        <v>340.5415560447218</v>
      </c>
      <c r="L72" s="976">
        <f ca="1">(DS!L138+DS!L139-DS!L141)*L7</f>
        <v>344.05441161728459</v>
      </c>
      <c r="M72" s="976">
        <f ca="1">(DS!M138+DS!M139-DS!M141)*M7</f>
        <v>345.51102678698453</v>
      </c>
      <c r="N72" s="976">
        <f ca="1">(DS!N138+DS!N139-DS!N141)*N7</f>
        <v>349.23262841929591</v>
      </c>
      <c r="O72" s="976">
        <f ca="1">(DS!O138+DS!O139-DS!O141)*O7</f>
        <v>347.80912291148707</v>
      </c>
      <c r="P72" s="976">
        <f ca="1">(DS!P138+DS!P139-DS!P141)*P7</f>
        <v>354.48829899669317</v>
      </c>
      <c r="Q72" s="976">
        <f ca="1">(DS!Q138+DS!Q139-DS!Q141)*Q7</f>
        <v>350.09626175264157</v>
      </c>
      <c r="R72" s="976">
        <f ca="1">(DS!R138+DS!R139-DS!R141)*R7</f>
        <v>358.83941444214724</v>
      </c>
      <c r="S72" s="976">
        <f ca="1">(DS!S138+DS!S139-DS!S141)*S7</f>
        <v>353.38594088006357</v>
      </c>
      <c r="T72" s="976">
        <f ca="1">(DS!T138+DS!T139-DS!T141)*T7</f>
        <v>365.23646797405399</v>
      </c>
      <c r="U72" s="976">
        <f ca="1">(DS!U138+DS!U139-DS!U141)*U7</f>
        <v>354.44024353998338</v>
      </c>
      <c r="V72" s="976">
        <f ca="1">(DS!V138+DS!V139-DS!V141)*V7</f>
        <v>370.73123830074883</v>
      </c>
      <c r="W72" s="976">
        <f ca="1">(DS!W138+DS!W139-DS!W141)*W7</f>
        <v>356.43397409897443</v>
      </c>
      <c r="X72" s="976">
        <f ca="1">(DS!X138+DS!X139-DS!X141)*X7</f>
        <v>376.30800665500556</v>
      </c>
      <c r="Y72" s="976">
        <f ca="1">(DS!Y138+DS!Y139-DS!Y141)*Y7</f>
        <v>358.28810723061906</v>
      </c>
      <c r="Z72" s="976">
        <f ca="1">(DS!Z138+DS!Z139-DS!Z141)*Z7</f>
        <v>380.92432030492228</v>
      </c>
      <c r="AA72" s="976">
        <f ca="1">(DS!AA138+DS!AA139-DS!AA141)*AA7</f>
        <v>361.09801681461613</v>
      </c>
      <c r="AB72" s="976">
        <f ca="1">(DS!AB138+DS!AB139-DS!AB141)*AB7</f>
        <v>362.21186155878786</v>
      </c>
      <c r="AC72" s="976">
        <f ca="1">(DS!AC138+DS!AC139-DS!AC141)*AC7</f>
        <v>341.58145701415651</v>
      </c>
      <c r="AD72" s="976">
        <f ca="1">(DS!AD138+DS!AD139-DS!AD141)*AD7</f>
        <v>368.04174225437328</v>
      </c>
      <c r="AE72" s="976">
        <f ca="1">(DS!AE138+DS!AE139-DS!AE141)*AE7</f>
        <v>343.19847993447775</v>
      </c>
      <c r="AF72" s="976">
        <f ca="1">(DS!AF138+DS!AF139-DS!AF141)*AF7</f>
        <v>1079.6770300090795</v>
      </c>
      <c r="AG72" s="976">
        <f ca="1">(DS!AG138+DS!AG139-DS!AG141)*AG7</f>
        <v>1053.1826196147904</v>
      </c>
      <c r="AH72" s="976">
        <f ca="1">(DS!AH138+DS!AH139-DS!AH141)*AH7</f>
        <v>1067.2828534922648</v>
      </c>
      <c r="AI72" s="976">
        <f ca="1">(DS!AI138+DS!AI139-DS!AI141)*AI7</f>
        <v>1045.362070318816</v>
      </c>
      <c r="AJ72" s="976">
        <f ca="1">(DS!AJ138+DS!AJ139-DS!AJ141)*AJ7</f>
        <v>1052.2100644472955</v>
      </c>
      <c r="AK72" s="976">
        <f ca="1">(DS!AK138+DS!AK139-DS!AK141)*AK7</f>
        <v>957.99951666674417</v>
      </c>
      <c r="AL72" s="976">
        <f ca="1">(DS!AL138+DS!AL139-DS!AL141)*AL7</f>
        <v>909.85940279784518</v>
      </c>
      <c r="AM72" s="976">
        <f ca="1">(DS!AM138+DS!AM139-DS!AM141)*AM7</f>
        <v>817.39442151993831</v>
      </c>
      <c r="AN72" s="976">
        <f ca="1">(DS!AN138+DS!AN139-DS!AN141)*AN7</f>
        <v>758.71455687973287</v>
      </c>
      <c r="AO72" s="976">
        <f ca="1">(DS!AO138+DS!AO139-DS!AO141)*AO7</f>
        <v>660.49171338511303</v>
      </c>
      <c r="AP72" s="976">
        <f ca="1">(DS!AP138+DS!AP139-DS!AP141)*AP7</f>
        <v>591.10565241267363</v>
      </c>
      <c r="AQ72" s="976">
        <f ca="1">(DS!AQ138+DS!AQ139-DS!AQ141)*AQ7</f>
        <v>489.7754845300833</v>
      </c>
      <c r="AR72" s="976">
        <f ca="1">(DS!AR138+DS!AR139-DS!AR141)*AR7</f>
        <v>405.87277286536892</v>
      </c>
      <c r="AS72" s="976">
        <f ca="1">(DS!AS138+DS!AS139-DS!AS141)*AS7</f>
        <v>295.05129364478694</v>
      </c>
      <c r="AT72" s="976">
        <f ca="1">(DS!AT138+DS!AT139-DS!AT141)*AT7</f>
        <v>201.39388901789349</v>
      </c>
      <c r="AU72" s="976">
        <f ca="1">(DS!AU138+DS!AU139-DS!AU141)*AU7</f>
        <v>83.63357195822519</v>
      </c>
      <c r="AV72" s="976">
        <f ca="1">(DS!AV138+DS!AV139-DS!AV141)*AV7</f>
        <v>0</v>
      </c>
      <c r="AW72" s="976">
        <f ca="1">(DS!AW138+DS!AW139-DS!AW141)*AW7</f>
        <v>0</v>
      </c>
      <c r="AX72" s="976">
        <f ca="1">(DS!AX138+DS!AX139-DS!AX141)*AX7</f>
        <v>0</v>
      </c>
      <c r="AY72" s="976">
        <f ca="1">(DS!AY138+DS!AY139-DS!AY141)*AY7</f>
        <v>0</v>
      </c>
      <c r="AZ72" s="976">
        <f ca="1">(DS!AZ138+DS!AZ139-DS!AZ141)*AZ7</f>
        <v>0</v>
      </c>
      <c r="BA72" s="976">
        <f ca="1">(DS!BA138+DS!BA139-DS!BA141)*BA7</f>
        <v>0</v>
      </c>
      <c r="BB72" s="976">
        <f ca="1">(DS!BB138+DS!BB139-DS!BB141)*BB7</f>
        <v>0</v>
      </c>
      <c r="BC72" s="976">
        <f ca="1">(DS!BC138+DS!BC139-DS!BC141)*BC7</f>
        <v>0</v>
      </c>
      <c r="BD72" s="976">
        <f ca="1">(DS!BD138+DS!BD139-DS!BD141)*BD7</f>
        <v>0</v>
      </c>
      <c r="BE72" s="976">
        <f ca="1">(DS!BE138+DS!BE139-DS!BE141)*BE7</f>
        <v>0</v>
      </c>
      <c r="BF72" s="976">
        <f ca="1">(DS!BF138+DS!BF139-DS!BF141)*BF7</f>
        <v>0</v>
      </c>
      <c r="BG72" s="976">
        <f ca="1">(DS!BG138+DS!BG139-DS!BG141)*BG7</f>
        <v>0</v>
      </c>
      <c r="BH72" s="976">
        <f ca="1">(DS!BH138+DS!BH139-DS!BH141)*BH7</f>
        <v>0</v>
      </c>
      <c r="BI72" s="976">
        <f ca="1">(DS!BI138+DS!BI139-DS!BI141)*BI7</f>
        <v>0</v>
      </c>
      <c r="BJ72" s="976">
        <f ca="1">(DS!BJ138+DS!BJ139-DS!BJ141)*BJ7</f>
        <v>0</v>
      </c>
      <c r="BK72" s="976">
        <f ca="1">(DS!BK138+DS!BK139-DS!BK141)*BK7</f>
        <v>0</v>
      </c>
      <c r="BL72" s="976">
        <f ca="1">(DS!BL138+DS!BL139-DS!BL141)*BL7</f>
        <v>0</v>
      </c>
      <c r="BM72" s="976">
        <f ca="1">(DS!BM138+DS!BM139-DS!BM141)*BM7</f>
        <v>0</v>
      </c>
      <c r="BN72" s="976">
        <f ca="1">(DS!BN138+DS!BN139-DS!BN141)*BN7</f>
        <v>0</v>
      </c>
      <c r="BO72" s="976">
        <f ca="1">(DS!BO138+DS!BO139-DS!BO141)*BO7</f>
        <v>0</v>
      </c>
      <c r="BP72" s="976">
        <f>(DS!BP138+DS!BP139-DS!BP141)*BP7</f>
        <v>0</v>
      </c>
      <c r="BQ72" s="976">
        <f>(DS!BQ138+DS!BQ139-DS!BQ141)*BQ7</f>
        <v>0</v>
      </c>
      <c r="BR72" s="976">
        <f>(DS!BR138+DS!BR139-DS!BR141)*BR7</f>
        <v>0</v>
      </c>
      <c r="BS72" s="976">
        <f>(DS!BS138+DS!BS139-DS!BS141)*BS7</f>
        <v>0</v>
      </c>
      <c r="BT72" s="976">
        <f>(DS!BT138+DS!BT139-DS!BT141)*BT7</f>
        <v>0</v>
      </c>
      <c r="BU72" s="976">
        <f>(DS!BU138+DS!BU139-DS!BU141)*BU7</f>
        <v>0</v>
      </c>
      <c r="BV72" s="976">
        <f>(DS!BV138+DS!BV139-DS!BV141)*BV7</f>
        <v>0</v>
      </c>
      <c r="BW72" s="976">
        <f>(DS!BW138+DS!BW139-DS!BW141)*BW7</f>
        <v>0</v>
      </c>
      <c r="BX72" s="976">
        <f>(DS!BX138+DS!BX139-DS!BX141)*BX7</f>
        <v>0</v>
      </c>
      <c r="BY72" s="976">
        <f>(DS!BY138+DS!BY139-DS!BY141)*BY7</f>
        <v>0</v>
      </c>
      <c r="BZ72" s="976">
        <f>(DS!BZ138+DS!BZ139-DS!BZ141)*BZ7</f>
        <v>0</v>
      </c>
      <c r="CA72" s="976">
        <f>(DS!CA138+DS!CA139-DS!CA141)*CA7</f>
        <v>0</v>
      </c>
      <c r="CB72" s="976">
        <f>(DS!CB138+DS!CB139-DS!CB141)*CB7</f>
        <v>0</v>
      </c>
      <c r="CC72" s="976">
        <f>(DS!CC138+DS!CC139-DS!CC141)*CC7</f>
        <v>0</v>
      </c>
      <c r="CD72" s="976">
        <f>(DS!CD138+DS!CD139-DS!CD141)*CD7</f>
        <v>0</v>
      </c>
      <c r="CE72" s="976">
        <f>(DS!CE138+DS!CE139-DS!CE141)*CE7</f>
        <v>0</v>
      </c>
      <c r="CF72" s="976">
        <f>(DS!CF138+DS!CF139-DS!CF141)*CF7</f>
        <v>0</v>
      </c>
      <c r="CG72" s="976">
        <f>(DS!CG138+DS!CG139-DS!CG141)*CG7</f>
        <v>0</v>
      </c>
      <c r="CH72" s="976">
        <f>(DS!CH138+DS!CH139-DS!CH141)*CH7</f>
        <v>0</v>
      </c>
      <c r="CI72" s="976">
        <f>(DS!CI138+DS!CI139-DS!CI141)*CI7</f>
        <v>0</v>
      </c>
      <c r="CJ72" s="976">
        <f>(DS!CJ138+DS!CJ139-DS!CJ141)*CJ7</f>
        <v>0</v>
      </c>
      <c r="CK72" s="976">
        <f>(DS!CK138+DS!CK139-DS!CK141)*CK7</f>
        <v>0</v>
      </c>
      <c r="CL72" s="976">
        <f>(DS!CL138+DS!CL139-DS!CL141)*CL7</f>
        <v>0</v>
      </c>
      <c r="CM72" s="976">
        <f>(DS!CM138+DS!CM139-DS!CM141)*CM7</f>
        <v>0</v>
      </c>
      <c r="CN72" s="976">
        <f>(DS!CN138+DS!CN139-DS!CN141)*CN7</f>
        <v>0</v>
      </c>
      <c r="CO72" s="976">
        <f>(DS!CO138+DS!CO139-DS!CO141)*CO7</f>
        <v>0</v>
      </c>
      <c r="CP72" s="976">
        <f>(DS!CP138+DS!CP139-DS!CP141)*CP7</f>
        <v>0</v>
      </c>
      <c r="CQ72" s="976">
        <f>(DS!CQ138+DS!CQ139-DS!CQ141)*CQ7</f>
        <v>0</v>
      </c>
      <c r="CR72" s="976">
        <f>(DS!CR138+DS!CR139-DS!CR141)*CR7</f>
        <v>0</v>
      </c>
      <c r="CS72" s="976">
        <f>(DS!CS138+DS!CS139-DS!CS141)*CS7</f>
        <v>0</v>
      </c>
      <c r="CT72" s="976">
        <f>(DS!CT138+DS!CT139-DS!CT141)*CT7</f>
        <v>0</v>
      </c>
      <c r="CU72" s="976">
        <f>(DS!CU138+DS!CU139-DS!CU141)*CU7</f>
        <v>0</v>
      </c>
      <c r="CV72" s="976">
        <f>(DS!CV138+DS!CV139-DS!CV141)*CV7</f>
        <v>0</v>
      </c>
      <c r="CW72" s="976">
        <f>(DS!CW138+DS!CW139-DS!CW141)*CW7</f>
        <v>0</v>
      </c>
      <c r="CX72" s="976">
        <f>(DS!CX138+DS!CX139-DS!CX141)*CX7</f>
        <v>0</v>
      </c>
      <c r="CY72" s="976">
        <f>(DS!CY138+DS!CY139-DS!CY141)*CY7</f>
        <v>0</v>
      </c>
      <c r="CZ72" s="976">
        <f>(DS!CZ138+DS!CZ139-DS!CZ141)*CZ7</f>
        <v>0</v>
      </c>
      <c r="DA72" s="976">
        <f>(DS!DA138+DS!DA139-DS!DA141)*DA7</f>
        <v>0</v>
      </c>
      <c r="DB72" s="976">
        <f>(DS!DB138+DS!DB139-DS!DB141)*DB7</f>
        <v>0</v>
      </c>
      <c r="DC72" s="976">
        <f>(DS!DC138+DS!DC139-DS!DC141)*DC7</f>
        <v>0</v>
      </c>
      <c r="DD72" s="976">
        <f>(DS!DD138+DS!DD139-DS!DD141)*DD7</f>
        <v>0</v>
      </c>
      <c r="DE72" s="976">
        <f>(DS!DE138+DS!DE139-DS!DE141)*DE7</f>
        <v>0</v>
      </c>
      <c r="DF72" s="976">
        <f>(DS!DF138+DS!DF139-DS!DF141)*DF7</f>
        <v>0</v>
      </c>
      <c r="DG72" s="976">
        <f>(DS!DG138+DS!DG139-DS!DG141)*DG7</f>
        <v>0</v>
      </c>
      <c r="DH72" s="976">
        <f>(DS!DH138+DS!DH139-DS!DH141)*DH7</f>
        <v>0</v>
      </c>
      <c r="DI72" s="976">
        <f>(DS!DI138+DS!DI139-DS!DI141)*DI7</f>
        <v>0</v>
      </c>
      <c r="DJ72" s="976">
        <f>(DS!DJ138+DS!DJ139-DS!DJ141)*DJ7</f>
        <v>0</v>
      </c>
      <c r="DK72" s="976">
        <f>(DS!DK138+DS!DK139-DS!DK141)*DK7</f>
        <v>0</v>
      </c>
      <c r="DL72" s="976">
        <f>(DS!DL138+DS!DL139-DS!DL141)*DL7</f>
        <v>0</v>
      </c>
      <c r="DM72" s="976">
        <f>(DS!DM138+DS!DM139-DS!DM141)*DM7</f>
        <v>0</v>
      </c>
      <c r="DN72" s="976">
        <f>(DS!DN138+DS!DN139-DS!DN141)*DN7</f>
        <v>0</v>
      </c>
      <c r="DO72" s="976">
        <f>(DS!DO138+DS!DO139-DS!DO141)*DO7</f>
        <v>0</v>
      </c>
      <c r="DP72" s="976">
        <f>(DS!DP138+DS!DP139-DS!DP141)*DP7</f>
        <v>0</v>
      </c>
      <c r="DQ72" s="976">
        <f>(DS!DQ138+DS!DQ139-DS!DQ141)*DQ7</f>
        <v>0</v>
      </c>
      <c r="DR72" s="976">
        <f>(DS!DR138+DS!DR139-DS!DR141)*DR7</f>
        <v>0</v>
      </c>
      <c r="DS72" s="976">
        <f>(DS!DS138+DS!DS139-DS!DS141)*DS7</f>
        <v>0</v>
      </c>
      <c r="DT72" s="976">
        <f>(DS!DT138+DS!DT139-DS!DT141)*DT7</f>
        <v>0</v>
      </c>
      <c r="DU72" s="976">
        <f>(DS!DU138+DS!DU139-DS!DU141)*DU7</f>
        <v>0</v>
      </c>
      <c r="DV72" s="976">
        <f>(DS!DV138+DS!DV139-DS!DV141)*DV7</f>
        <v>0</v>
      </c>
      <c r="DW72" s="976">
        <f>(DS!DW138+DS!DW139-DS!DW141)*DW7</f>
        <v>0</v>
      </c>
    </row>
    <row r="73" spans="1:127">
      <c r="A73" s="1020" t="s">
        <v>1265</v>
      </c>
      <c r="B73" s="971"/>
      <c r="C73" s="971"/>
      <c r="D73" s="471"/>
      <c r="E73" s="471"/>
      <c r="F73" s="611"/>
      <c r="G73" s="976">
        <f ca="1">(DS!G138-DS!G141)*G7</f>
        <v>0</v>
      </c>
      <c r="H73" s="976">
        <f ca="1">(DS!H138-DS!H141)*H7</f>
        <v>335.87001192815342</v>
      </c>
      <c r="I73" s="976">
        <f ca="1">(DS!I138-DS!I141)*I7</f>
        <v>330.39387042932458</v>
      </c>
      <c r="J73" s="976">
        <f ca="1">(DS!J138-DS!J141)*J7</f>
        <v>336.07875278384927</v>
      </c>
      <c r="K73" s="976">
        <f ca="1">(DS!K138-DS!K141)*K7</f>
        <v>340.5415560447218</v>
      </c>
      <c r="L73" s="976">
        <f ca="1">(DS!L138-DS!L141)*L7</f>
        <v>344.05441161728459</v>
      </c>
      <c r="M73" s="976">
        <f ca="1">(DS!M138-DS!M141)*M7</f>
        <v>345.51102678698453</v>
      </c>
      <c r="N73" s="976">
        <f ca="1">(DS!N138-DS!N141)*N7</f>
        <v>349.23262841929591</v>
      </c>
      <c r="O73" s="976">
        <f ca="1">(DS!O138-DS!O141)*O7</f>
        <v>347.80912291148707</v>
      </c>
      <c r="P73" s="976">
        <f ca="1">(DS!P138-DS!P141)*P7</f>
        <v>354.48829899669317</v>
      </c>
      <c r="Q73" s="976">
        <f ca="1">(DS!Q138-DS!Q141)*Q7</f>
        <v>350.09626175264157</v>
      </c>
      <c r="R73" s="976">
        <f ca="1">(DS!R138-DS!R141)*R7</f>
        <v>358.83941444214724</v>
      </c>
      <c r="S73" s="976">
        <f ca="1">(DS!S138-DS!S141)*S7</f>
        <v>353.38594088006357</v>
      </c>
      <c r="T73" s="976">
        <f ca="1">(DS!T138-DS!T141)*T7</f>
        <v>365.23646797405399</v>
      </c>
      <c r="U73" s="976">
        <f ca="1">(DS!U138-DS!U141)*U7</f>
        <v>354.44024353998338</v>
      </c>
      <c r="V73" s="976">
        <f ca="1">(DS!V138-DS!V141)*V7</f>
        <v>370.73123830074883</v>
      </c>
      <c r="W73" s="976">
        <f ca="1">(DS!W138-DS!W141)*W7</f>
        <v>356.43397409897443</v>
      </c>
      <c r="X73" s="976">
        <f ca="1">(DS!X138-DS!X141)*X7</f>
        <v>376.30800665500556</v>
      </c>
      <c r="Y73" s="976">
        <f ca="1">(DS!Y138-DS!Y141)*Y7</f>
        <v>358.28810723061906</v>
      </c>
      <c r="Z73" s="976">
        <f ca="1">(DS!Z138-DS!Z141)*Z7</f>
        <v>380.92432030492228</v>
      </c>
      <c r="AA73" s="976">
        <f ca="1">(DS!AA138-DS!AA141)*AA7</f>
        <v>361.09801681461613</v>
      </c>
      <c r="AB73" s="976">
        <f ca="1">(DS!AB138-DS!AB141)*AB7</f>
        <v>362.21186155878786</v>
      </c>
      <c r="AC73" s="976">
        <f ca="1">(DS!AC138-DS!AC141)*AC7</f>
        <v>341.58145701415651</v>
      </c>
      <c r="AD73" s="976">
        <f ca="1">(DS!AD138-DS!AD141)*AD7</f>
        <v>368.04174225437328</v>
      </c>
      <c r="AE73" s="976">
        <f ca="1">(DS!AE138-DS!AE141)*AE7</f>
        <v>343.19847993447775</v>
      </c>
      <c r="AF73" s="976">
        <f ca="1">(DS!AF138-DS!AF141)*AF7</f>
        <v>1079.6770300090795</v>
      </c>
      <c r="AG73" s="976">
        <f ca="1">(DS!AG138-DS!AG141)*AG7</f>
        <v>1053.1826196147904</v>
      </c>
      <c r="AH73" s="976">
        <f ca="1">(DS!AH138-DS!AH141)*AH7</f>
        <v>1067.2828534922648</v>
      </c>
      <c r="AI73" s="976">
        <f ca="1">(DS!AI138-DS!AI141)*AI7</f>
        <v>1045.362070318816</v>
      </c>
      <c r="AJ73" s="976">
        <f ca="1">(DS!AJ138-DS!AJ141)*AJ7</f>
        <v>1052.2100644472955</v>
      </c>
      <c r="AK73" s="976">
        <f ca="1">(DS!AK138-DS!AK141)*AK7</f>
        <v>957.99951666674417</v>
      </c>
      <c r="AL73" s="976">
        <f ca="1">(DS!AL138-DS!AL141)*AL7</f>
        <v>909.85940279784518</v>
      </c>
      <c r="AM73" s="976">
        <f ca="1">(DS!AM138-DS!AM141)*AM7</f>
        <v>817.39442151993831</v>
      </c>
      <c r="AN73" s="976">
        <f ca="1">(DS!AN138-DS!AN141)*AN7</f>
        <v>758.71455687973287</v>
      </c>
      <c r="AO73" s="976">
        <f ca="1">(DS!AO138-DS!AO141)*AO7</f>
        <v>660.49171338511303</v>
      </c>
      <c r="AP73" s="976">
        <f ca="1">(DS!AP138-DS!AP141)*AP7</f>
        <v>591.10565241267363</v>
      </c>
      <c r="AQ73" s="976">
        <f ca="1">(DS!AQ138-DS!AQ141)*AQ7</f>
        <v>489.7754845300833</v>
      </c>
      <c r="AR73" s="976">
        <f ca="1">(DS!AR138-DS!AR141)*AR7</f>
        <v>405.87277286536892</v>
      </c>
      <c r="AS73" s="976">
        <f ca="1">(DS!AS138-DS!AS141)*AS7</f>
        <v>295.05129364478694</v>
      </c>
      <c r="AT73" s="976">
        <f ca="1">(DS!AT138-DS!AT141)*AT7</f>
        <v>201.39388901789349</v>
      </c>
      <c r="AU73" s="976">
        <f ca="1">(DS!AU138-DS!AU141)*AU7</f>
        <v>83.63357195822519</v>
      </c>
      <c r="AV73" s="976">
        <f ca="1">(DS!AV138-DS!AV141)*AV7</f>
        <v>0</v>
      </c>
      <c r="AW73" s="976">
        <f ca="1">(DS!AW138-DS!AW141)*AW7</f>
        <v>0</v>
      </c>
      <c r="AX73" s="976">
        <f ca="1">(DS!AX138-DS!AX141)*AX7</f>
        <v>0</v>
      </c>
      <c r="AY73" s="976">
        <f ca="1">(DS!AY138-DS!AY141)*AY7</f>
        <v>0</v>
      </c>
      <c r="AZ73" s="976">
        <f ca="1">(DS!AZ138-DS!AZ141)*AZ7</f>
        <v>0</v>
      </c>
      <c r="BA73" s="976">
        <f ca="1">(DS!BA138-DS!BA141)*BA7</f>
        <v>0</v>
      </c>
      <c r="BB73" s="976">
        <f ca="1">(DS!BB138-DS!BB141)*BB7</f>
        <v>0</v>
      </c>
      <c r="BC73" s="976">
        <f ca="1">(DS!BC138-DS!BC141)*BC7</f>
        <v>0</v>
      </c>
      <c r="BD73" s="976">
        <f ca="1">(DS!BD138-DS!BD141)*BD7</f>
        <v>0</v>
      </c>
      <c r="BE73" s="976">
        <f ca="1">(DS!BE138-DS!BE141)*BE7</f>
        <v>0</v>
      </c>
      <c r="BF73" s="976">
        <f ca="1">(DS!BF138-DS!BF141)*BF7</f>
        <v>0</v>
      </c>
      <c r="BG73" s="976">
        <f ca="1">(DS!BG138-DS!BG141)*BG7</f>
        <v>0</v>
      </c>
      <c r="BH73" s="976">
        <f ca="1">(DS!BH138-DS!BH141)*BH7</f>
        <v>0</v>
      </c>
      <c r="BI73" s="976">
        <f ca="1">(DS!BI138-DS!BI141)*BI7</f>
        <v>0</v>
      </c>
      <c r="BJ73" s="976">
        <f ca="1">(DS!BJ138-DS!BJ141)*BJ7</f>
        <v>0</v>
      </c>
      <c r="BK73" s="976">
        <f ca="1">(DS!BK138-DS!BK141)*BK7</f>
        <v>0</v>
      </c>
      <c r="BL73" s="976">
        <f ca="1">(DS!BL138-DS!BL141)*BL7</f>
        <v>0</v>
      </c>
      <c r="BM73" s="976">
        <f ca="1">(DS!BM138-DS!BM141)*BM7</f>
        <v>0</v>
      </c>
      <c r="BN73" s="976">
        <f ca="1">(DS!BN138-DS!BN141)*BN7</f>
        <v>0</v>
      </c>
      <c r="BO73" s="976">
        <f ca="1">(DS!BO138-DS!BO141)*BO7</f>
        <v>0</v>
      </c>
      <c r="BP73" s="976">
        <f>(DS!BP138-DS!BP141)*BP7</f>
        <v>0</v>
      </c>
      <c r="BQ73" s="976">
        <f>(DS!BQ138-DS!BQ141)*BQ7</f>
        <v>0</v>
      </c>
      <c r="BR73" s="976">
        <f>(DS!BR138-DS!BR141)*BR7</f>
        <v>0</v>
      </c>
      <c r="BS73" s="976">
        <f>(DS!BS138-DS!BS141)*BS7</f>
        <v>0</v>
      </c>
      <c r="BT73" s="976">
        <f>(DS!BT138-DS!BT141)*BT7</f>
        <v>0</v>
      </c>
      <c r="BU73" s="976">
        <f>(DS!BU138-DS!BU141)*BU7</f>
        <v>0</v>
      </c>
      <c r="BV73" s="976">
        <f>(DS!BV138-DS!BV141)*BV7</f>
        <v>0</v>
      </c>
      <c r="BW73" s="976">
        <f>(DS!BW138-DS!BW141)*BW7</f>
        <v>0</v>
      </c>
      <c r="BX73" s="976">
        <f>(DS!BX138-DS!BX141)*BX7</f>
        <v>0</v>
      </c>
      <c r="BY73" s="976">
        <f>(DS!BY138-DS!BY141)*BY7</f>
        <v>0</v>
      </c>
      <c r="BZ73" s="976">
        <f>(DS!BZ138-DS!BZ141)*BZ7</f>
        <v>0</v>
      </c>
      <c r="CA73" s="976">
        <f>(DS!CA138-DS!CA141)*CA7</f>
        <v>0</v>
      </c>
      <c r="CB73" s="976">
        <f>(DS!CB138-DS!CB141)*CB7</f>
        <v>0</v>
      </c>
      <c r="CC73" s="976">
        <f>(DS!CC138-DS!CC141)*CC7</f>
        <v>0</v>
      </c>
      <c r="CD73" s="976">
        <f>(DS!CD138-DS!CD141)*CD7</f>
        <v>0</v>
      </c>
      <c r="CE73" s="976">
        <f>(DS!CE138-DS!CE141)*CE7</f>
        <v>0</v>
      </c>
      <c r="CF73" s="976">
        <f>(DS!CF138-DS!CF141)*CF7</f>
        <v>0</v>
      </c>
      <c r="CG73" s="976">
        <f>(DS!CG138-DS!CG141)*CG7</f>
        <v>0</v>
      </c>
      <c r="CH73" s="976">
        <f>(DS!CH138-DS!CH141)*CH7</f>
        <v>0</v>
      </c>
      <c r="CI73" s="976">
        <f>(DS!CI138-DS!CI141)*CI7</f>
        <v>0</v>
      </c>
      <c r="CJ73" s="976">
        <f>(DS!CJ138-DS!CJ141)*CJ7</f>
        <v>0</v>
      </c>
      <c r="CK73" s="976">
        <f>(DS!CK138-DS!CK141)*CK7</f>
        <v>0</v>
      </c>
      <c r="CL73" s="976">
        <f>(DS!CL138-DS!CL141)*CL7</f>
        <v>0</v>
      </c>
      <c r="CM73" s="976">
        <f>(DS!CM138-DS!CM141)*CM7</f>
        <v>0</v>
      </c>
      <c r="CN73" s="976">
        <f>(DS!CN138-DS!CN141)*CN7</f>
        <v>0</v>
      </c>
      <c r="CO73" s="976">
        <f>(DS!CO138-DS!CO141)*CO7</f>
        <v>0</v>
      </c>
      <c r="CP73" s="976">
        <f>(DS!CP138-DS!CP141)*CP7</f>
        <v>0</v>
      </c>
      <c r="CQ73" s="976">
        <f>(DS!CQ138-DS!CQ141)*CQ7</f>
        <v>0</v>
      </c>
      <c r="CR73" s="976">
        <f>(DS!CR138-DS!CR141)*CR7</f>
        <v>0</v>
      </c>
      <c r="CS73" s="976">
        <f>(DS!CS138-DS!CS141)*CS7</f>
        <v>0</v>
      </c>
      <c r="CT73" s="976">
        <f>(DS!CT138-DS!CT141)*CT7</f>
        <v>0</v>
      </c>
      <c r="CU73" s="976">
        <f>(DS!CU138-DS!CU141)*CU7</f>
        <v>0</v>
      </c>
      <c r="CV73" s="976">
        <f>(DS!CV138-DS!CV141)*CV7</f>
        <v>0</v>
      </c>
      <c r="CW73" s="976">
        <f>(DS!CW138-DS!CW141)*CW7</f>
        <v>0</v>
      </c>
      <c r="CX73" s="976">
        <f>(DS!CX138-DS!CX141)*CX7</f>
        <v>0</v>
      </c>
      <c r="CY73" s="976">
        <f>(DS!CY138-DS!CY141)*CY7</f>
        <v>0</v>
      </c>
      <c r="CZ73" s="976">
        <f>(DS!CZ138-DS!CZ141)*CZ7</f>
        <v>0</v>
      </c>
      <c r="DA73" s="976">
        <f>(DS!DA138-DS!DA141)*DA7</f>
        <v>0</v>
      </c>
      <c r="DB73" s="976">
        <f>(DS!DB138-DS!DB141)*DB7</f>
        <v>0</v>
      </c>
      <c r="DC73" s="976">
        <f>(DS!DC138-DS!DC141)*DC7</f>
        <v>0</v>
      </c>
      <c r="DD73" s="976">
        <f>(DS!DD138-DS!DD141)*DD7</f>
        <v>0</v>
      </c>
      <c r="DE73" s="976">
        <f>(DS!DE138-DS!DE141)*DE7</f>
        <v>0</v>
      </c>
      <c r="DF73" s="976">
        <f>(DS!DF138-DS!DF141)*DF7</f>
        <v>0</v>
      </c>
      <c r="DG73" s="976">
        <f>(DS!DG138-DS!DG141)*DG7</f>
        <v>0</v>
      </c>
      <c r="DH73" s="976">
        <f>(DS!DH138-DS!DH141)*DH7</f>
        <v>0</v>
      </c>
      <c r="DI73" s="976">
        <f>(DS!DI138-DS!DI141)*DI7</f>
        <v>0</v>
      </c>
      <c r="DJ73" s="976">
        <f>(DS!DJ138-DS!DJ141)*DJ7</f>
        <v>0</v>
      </c>
      <c r="DK73" s="976">
        <f>(DS!DK138-DS!DK141)*DK7</f>
        <v>0</v>
      </c>
      <c r="DL73" s="976">
        <f>(DS!DL138-DS!DL141)*DL7</f>
        <v>0</v>
      </c>
      <c r="DM73" s="976">
        <f>(DS!DM138-DS!DM141)*DM7</f>
        <v>0</v>
      </c>
      <c r="DN73" s="976">
        <f>(DS!DN138-DS!DN141)*DN7</f>
        <v>0</v>
      </c>
      <c r="DO73" s="976">
        <f>(DS!DO138-DS!DO141)*DO7</f>
        <v>0</v>
      </c>
      <c r="DP73" s="976">
        <f>(DS!DP138-DS!DP141)*DP7</f>
        <v>0</v>
      </c>
      <c r="DQ73" s="976">
        <f>(DS!DQ138-DS!DQ141)*DQ7</f>
        <v>0</v>
      </c>
      <c r="DR73" s="976">
        <f>(DS!DR138-DS!DR141)*DR7</f>
        <v>0</v>
      </c>
      <c r="DS73" s="976">
        <f>(DS!DS138-DS!DS141)*DS7</f>
        <v>0</v>
      </c>
      <c r="DT73" s="976">
        <f>(DS!DT138-DS!DT141)*DT7</f>
        <v>0</v>
      </c>
      <c r="DU73" s="976">
        <f>(DS!DU138-DS!DU141)*DU7</f>
        <v>0</v>
      </c>
      <c r="DV73" s="976">
        <f>(DS!DV138-DS!DV141)*DV7</f>
        <v>0</v>
      </c>
      <c r="DW73" s="976">
        <f>(DS!DW138-DS!DW141)*DW7</f>
        <v>0</v>
      </c>
    </row>
    <row r="74" spans="1:127">
      <c r="A74" s="1019" t="s">
        <v>1165</v>
      </c>
      <c r="B74" s="976">
        <f>Inputs!D315</f>
        <v>500</v>
      </c>
      <c r="C74" s="971"/>
      <c r="D74" s="471"/>
      <c r="E74" s="471"/>
      <c r="F74" s="611"/>
      <c r="G74" s="510">
        <f ca="1">IF(G$3=0,-$B$74,G14*G7*$B$70)</f>
        <v>-500</v>
      </c>
      <c r="H74" s="510">
        <f t="shared" ref="H74:BS74" ca="1" si="50">IF(H$3=0,-$B$74,H14*H7*$B$70)</f>
        <v>0</v>
      </c>
      <c r="I74" s="510">
        <f t="shared" ca="1" si="50"/>
        <v>0</v>
      </c>
      <c r="J74" s="510">
        <f t="shared" ca="1" si="50"/>
        <v>0</v>
      </c>
      <c r="K74" s="510">
        <f t="shared" ca="1" si="50"/>
        <v>0</v>
      </c>
      <c r="L74" s="510">
        <f t="shared" ca="1" si="50"/>
        <v>0</v>
      </c>
      <c r="M74" s="510">
        <f t="shared" ca="1" si="50"/>
        <v>0</v>
      </c>
      <c r="N74" s="510">
        <f t="shared" ca="1" si="50"/>
        <v>0</v>
      </c>
      <c r="O74" s="510">
        <f t="shared" ca="1" si="50"/>
        <v>0</v>
      </c>
      <c r="P74" s="510">
        <f t="shared" ca="1" si="50"/>
        <v>0</v>
      </c>
      <c r="Q74" s="510">
        <f t="shared" ca="1" si="50"/>
        <v>0</v>
      </c>
      <c r="R74" s="510">
        <f t="shared" ca="1" si="50"/>
        <v>0</v>
      </c>
      <c r="S74" s="510">
        <f t="shared" ca="1" si="50"/>
        <v>0</v>
      </c>
      <c r="T74" s="510">
        <f t="shared" ca="1" si="50"/>
        <v>0</v>
      </c>
      <c r="U74" s="510">
        <f t="shared" ca="1" si="50"/>
        <v>0</v>
      </c>
      <c r="V74" s="510">
        <f t="shared" ca="1" si="50"/>
        <v>0</v>
      </c>
      <c r="W74" s="510">
        <f t="shared" ca="1" si="50"/>
        <v>0</v>
      </c>
      <c r="X74" s="510">
        <f t="shared" ca="1" si="50"/>
        <v>0</v>
      </c>
      <c r="Y74" s="510">
        <f t="shared" ca="1" si="50"/>
        <v>0</v>
      </c>
      <c r="Z74" s="510">
        <f t="shared" ca="1" si="50"/>
        <v>0</v>
      </c>
      <c r="AA74" s="510">
        <f t="shared" ca="1" si="50"/>
        <v>0</v>
      </c>
      <c r="AB74" s="510">
        <f t="shared" ca="1" si="50"/>
        <v>0</v>
      </c>
      <c r="AC74" s="510">
        <f t="shared" ca="1" si="50"/>
        <v>0</v>
      </c>
      <c r="AD74" s="510">
        <f t="shared" ca="1" si="50"/>
        <v>0</v>
      </c>
      <c r="AE74" s="510">
        <f t="shared" ca="1" si="50"/>
        <v>0</v>
      </c>
      <c r="AF74" s="510">
        <f t="shared" ca="1" si="50"/>
        <v>0</v>
      </c>
      <c r="AG74" s="510">
        <f t="shared" ca="1" si="50"/>
        <v>0</v>
      </c>
      <c r="AH74" s="510">
        <f t="shared" ca="1" si="50"/>
        <v>0</v>
      </c>
      <c r="AI74" s="510">
        <f t="shared" ca="1" si="50"/>
        <v>0</v>
      </c>
      <c r="AJ74" s="510">
        <f t="shared" ca="1" si="50"/>
        <v>0</v>
      </c>
      <c r="AK74" s="510">
        <f t="shared" ca="1" si="50"/>
        <v>0</v>
      </c>
      <c r="AL74" s="510">
        <f t="shared" ca="1" si="50"/>
        <v>0</v>
      </c>
      <c r="AM74" s="510">
        <f t="shared" ca="1" si="50"/>
        <v>0</v>
      </c>
      <c r="AN74" s="510">
        <f t="shared" ca="1" si="50"/>
        <v>0</v>
      </c>
      <c r="AO74" s="510">
        <f t="shared" ca="1" si="50"/>
        <v>0</v>
      </c>
      <c r="AP74" s="510">
        <f t="shared" ca="1" si="50"/>
        <v>0</v>
      </c>
      <c r="AQ74" s="510">
        <f t="shared" ca="1" si="50"/>
        <v>0</v>
      </c>
      <c r="AR74" s="510">
        <f t="shared" ca="1" si="50"/>
        <v>0</v>
      </c>
      <c r="AS74" s="510">
        <f t="shared" ca="1" si="50"/>
        <v>0</v>
      </c>
      <c r="AT74" s="510">
        <f t="shared" ca="1" si="50"/>
        <v>0</v>
      </c>
      <c r="AU74" s="510">
        <f t="shared" ca="1" si="50"/>
        <v>39.649650241465224</v>
      </c>
      <c r="AV74" s="510">
        <f t="shared" ca="1" si="50"/>
        <v>3143.7134037943556</v>
      </c>
      <c r="AW74" s="510">
        <f t="shared" ca="1" si="50"/>
        <v>2566.5444246410993</v>
      </c>
      <c r="AX74" s="510">
        <f t="shared" ca="1" si="50"/>
        <v>3212.641439658667</v>
      </c>
      <c r="AY74" s="510">
        <f t="shared" ca="1" si="50"/>
        <v>2614.9784998685413</v>
      </c>
      <c r="AZ74" s="510">
        <f t="shared" ca="1" si="50"/>
        <v>3274.1680082495322</v>
      </c>
      <c r="BA74" s="510">
        <f t="shared" ca="1" si="50"/>
        <v>2646.5575378998938</v>
      </c>
      <c r="BB74" s="510">
        <f t="shared" ca="1" si="50"/>
        <v>3325.3898767289238</v>
      </c>
      <c r="BC74" s="510">
        <f t="shared" ca="1" si="50"/>
        <v>2709.9545717793458</v>
      </c>
      <c r="BD74" s="510">
        <f t="shared" ca="1" si="50"/>
        <v>3402.0908817008876</v>
      </c>
      <c r="BE74" s="510">
        <f t="shared" ca="1" si="50"/>
        <v>2747.0462943434081</v>
      </c>
      <c r="BF74" s="510">
        <f t="shared" ca="1" si="50"/>
        <v>3442.6250710426143</v>
      </c>
      <c r="BG74" s="510">
        <f t="shared" ca="1" si="50"/>
        <v>2782.6309188652426</v>
      </c>
      <c r="BH74" s="510">
        <f t="shared" ca="1" si="50"/>
        <v>3486.5071580853587</v>
      </c>
      <c r="BI74" s="510">
        <f t="shared" ca="1" si="50"/>
        <v>2797.7893042305323</v>
      </c>
      <c r="BJ74" s="510">
        <f t="shared" ca="1" si="50"/>
        <v>3517.833692193351</v>
      </c>
      <c r="BK74" s="510">
        <f t="shared" ca="1" si="50"/>
        <v>2800.2482793777217</v>
      </c>
      <c r="BL74" s="510">
        <f t="shared" ca="1" si="50"/>
        <v>3523.7089432490652</v>
      </c>
      <c r="BM74" s="510">
        <f t="shared" ca="1" si="50"/>
        <v>2824.314151323942</v>
      </c>
      <c r="BN74" s="510">
        <f t="shared" ca="1" si="50"/>
        <v>3541.3183097872079</v>
      </c>
      <c r="BO74" s="510">
        <f t="shared" ca="1" si="50"/>
        <v>2855.1297741326198</v>
      </c>
      <c r="BP74" s="510">
        <f t="shared" si="50"/>
        <v>0</v>
      </c>
      <c r="BQ74" s="510">
        <f t="shared" si="50"/>
        <v>0</v>
      </c>
      <c r="BR74" s="510">
        <f t="shared" si="50"/>
        <v>0</v>
      </c>
      <c r="BS74" s="510">
        <f t="shared" si="50"/>
        <v>0</v>
      </c>
      <c r="BT74" s="510">
        <f t="shared" ref="BT74:DW74" si="51">IF(BT$3=0,-$B$74,BT14*BT7*$B$70)</f>
        <v>0</v>
      </c>
      <c r="BU74" s="510">
        <f t="shared" si="51"/>
        <v>0</v>
      </c>
      <c r="BV74" s="510">
        <f t="shared" si="51"/>
        <v>0</v>
      </c>
      <c r="BW74" s="510">
        <f t="shared" si="51"/>
        <v>0</v>
      </c>
      <c r="BX74" s="510">
        <f t="shared" si="51"/>
        <v>0</v>
      </c>
      <c r="BY74" s="510">
        <f t="shared" si="51"/>
        <v>0</v>
      </c>
      <c r="BZ74" s="510">
        <f t="shared" si="51"/>
        <v>0</v>
      </c>
      <c r="CA74" s="510">
        <f t="shared" si="51"/>
        <v>0</v>
      </c>
      <c r="CB74" s="510">
        <f t="shared" si="51"/>
        <v>0</v>
      </c>
      <c r="CC74" s="510">
        <f t="shared" si="51"/>
        <v>0</v>
      </c>
      <c r="CD74" s="510">
        <f t="shared" si="51"/>
        <v>0</v>
      </c>
      <c r="CE74" s="510">
        <f t="shared" si="51"/>
        <v>0</v>
      </c>
      <c r="CF74" s="510">
        <f t="shared" si="51"/>
        <v>0</v>
      </c>
      <c r="CG74" s="510">
        <f t="shared" si="51"/>
        <v>0</v>
      </c>
      <c r="CH74" s="510">
        <f t="shared" si="51"/>
        <v>0</v>
      </c>
      <c r="CI74" s="510">
        <f t="shared" si="51"/>
        <v>0</v>
      </c>
      <c r="CJ74" s="510">
        <f t="shared" si="51"/>
        <v>0</v>
      </c>
      <c r="CK74" s="510">
        <f t="shared" si="51"/>
        <v>0</v>
      </c>
      <c r="CL74" s="510">
        <f t="shared" si="51"/>
        <v>0</v>
      </c>
      <c r="CM74" s="510">
        <f t="shared" si="51"/>
        <v>0</v>
      </c>
      <c r="CN74" s="510">
        <f t="shared" si="51"/>
        <v>0</v>
      </c>
      <c r="CO74" s="510">
        <f t="shared" si="51"/>
        <v>0</v>
      </c>
      <c r="CP74" s="510">
        <f t="shared" si="51"/>
        <v>0</v>
      </c>
      <c r="CQ74" s="510">
        <f t="shared" si="51"/>
        <v>0</v>
      </c>
      <c r="CR74" s="510">
        <f t="shared" si="51"/>
        <v>0</v>
      </c>
      <c r="CS74" s="510">
        <f t="shared" si="51"/>
        <v>0</v>
      </c>
      <c r="CT74" s="510">
        <f t="shared" si="51"/>
        <v>0</v>
      </c>
      <c r="CU74" s="510">
        <f t="shared" si="51"/>
        <v>0</v>
      </c>
      <c r="CV74" s="510">
        <f t="shared" si="51"/>
        <v>0</v>
      </c>
      <c r="CW74" s="510">
        <f t="shared" si="51"/>
        <v>0</v>
      </c>
      <c r="CX74" s="510">
        <f t="shared" si="51"/>
        <v>0</v>
      </c>
      <c r="CY74" s="510">
        <f t="shared" si="51"/>
        <v>0</v>
      </c>
      <c r="CZ74" s="510">
        <f t="shared" si="51"/>
        <v>0</v>
      </c>
      <c r="DA74" s="510">
        <f t="shared" si="51"/>
        <v>0</v>
      </c>
      <c r="DB74" s="510">
        <f t="shared" si="51"/>
        <v>0</v>
      </c>
      <c r="DC74" s="510">
        <f t="shared" si="51"/>
        <v>0</v>
      </c>
      <c r="DD74" s="510">
        <f t="shared" si="51"/>
        <v>0</v>
      </c>
      <c r="DE74" s="510">
        <f t="shared" si="51"/>
        <v>0</v>
      </c>
      <c r="DF74" s="510">
        <f t="shared" si="51"/>
        <v>0</v>
      </c>
      <c r="DG74" s="510">
        <f t="shared" si="51"/>
        <v>0</v>
      </c>
      <c r="DH74" s="510">
        <f t="shared" si="51"/>
        <v>0</v>
      </c>
      <c r="DI74" s="510">
        <f t="shared" si="51"/>
        <v>0</v>
      </c>
      <c r="DJ74" s="510">
        <f t="shared" si="51"/>
        <v>0</v>
      </c>
      <c r="DK74" s="510">
        <f t="shared" si="51"/>
        <v>0</v>
      </c>
      <c r="DL74" s="510">
        <f t="shared" si="51"/>
        <v>0</v>
      </c>
      <c r="DM74" s="510">
        <f t="shared" si="51"/>
        <v>0</v>
      </c>
      <c r="DN74" s="510">
        <f t="shared" si="51"/>
        <v>0</v>
      </c>
      <c r="DO74" s="510">
        <f t="shared" si="51"/>
        <v>0</v>
      </c>
      <c r="DP74" s="510">
        <f t="shared" si="51"/>
        <v>0</v>
      </c>
      <c r="DQ74" s="510">
        <f t="shared" si="51"/>
        <v>0</v>
      </c>
      <c r="DR74" s="510">
        <f t="shared" si="51"/>
        <v>0</v>
      </c>
      <c r="DS74" s="510">
        <f t="shared" si="51"/>
        <v>0</v>
      </c>
      <c r="DT74" s="510">
        <f t="shared" si="51"/>
        <v>0</v>
      </c>
      <c r="DU74" s="510">
        <f t="shared" si="51"/>
        <v>0</v>
      </c>
      <c r="DV74" s="510">
        <f t="shared" si="51"/>
        <v>0</v>
      </c>
      <c r="DW74" s="510">
        <f t="shared" si="51"/>
        <v>0</v>
      </c>
    </row>
    <row r="75" spans="1:127">
      <c r="A75" s="1020" t="s">
        <v>1164</v>
      </c>
      <c r="B75" s="1151">
        <f>Inputs!D426</f>
        <v>0.05</v>
      </c>
      <c r="C75" s="971"/>
      <c r="D75" s="471"/>
      <c r="E75" s="471"/>
      <c r="F75" s="611"/>
      <c r="G75" s="510">
        <f ca="1">IF(G$3=0,-$B$74,G14*G7*$B$70*(1-$B$75))</f>
        <v>-500</v>
      </c>
      <c r="H75" s="510">
        <f t="shared" ref="H75:BS75" ca="1" si="52">IF(H$3=0,-$B$74,H14*H7*$B$70*(1-$B$75))</f>
        <v>0</v>
      </c>
      <c r="I75" s="510">
        <f t="shared" ca="1" si="52"/>
        <v>0</v>
      </c>
      <c r="J75" s="510">
        <f t="shared" ca="1" si="52"/>
        <v>0</v>
      </c>
      <c r="K75" s="510">
        <f t="shared" ca="1" si="52"/>
        <v>0</v>
      </c>
      <c r="L75" s="510">
        <f t="shared" ca="1" si="52"/>
        <v>0</v>
      </c>
      <c r="M75" s="510">
        <f t="shared" ca="1" si="52"/>
        <v>0</v>
      </c>
      <c r="N75" s="510">
        <f t="shared" ca="1" si="52"/>
        <v>0</v>
      </c>
      <c r="O75" s="510">
        <f t="shared" ca="1" si="52"/>
        <v>0</v>
      </c>
      <c r="P75" s="510">
        <f t="shared" ca="1" si="52"/>
        <v>0</v>
      </c>
      <c r="Q75" s="510">
        <f t="shared" ca="1" si="52"/>
        <v>0</v>
      </c>
      <c r="R75" s="510">
        <f t="shared" ca="1" si="52"/>
        <v>0</v>
      </c>
      <c r="S75" s="510">
        <f t="shared" ca="1" si="52"/>
        <v>0</v>
      </c>
      <c r="T75" s="510">
        <f t="shared" ca="1" si="52"/>
        <v>0</v>
      </c>
      <c r="U75" s="510">
        <f t="shared" ca="1" si="52"/>
        <v>0</v>
      </c>
      <c r="V75" s="510">
        <f t="shared" ca="1" si="52"/>
        <v>0</v>
      </c>
      <c r="W75" s="510">
        <f t="shared" ca="1" si="52"/>
        <v>0</v>
      </c>
      <c r="X75" s="510">
        <f t="shared" ca="1" si="52"/>
        <v>0</v>
      </c>
      <c r="Y75" s="510">
        <f t="shared" ca="1" si="52"/>
        <v>0</v>
      </c>
      <c r="Z75" s="510">
        <f t="shared" ca="1" si="52"/>
        <v>0</v>
      </c>
      <c r="AA75" s="510">
        <f t="shared" ca="1" si="52"/>
        <v>0</v>
      </c>
      <c r="AB75" s="510">
        <f t="shared" ca="1" si="52"/>
        <v>0</v>
      </c>
      <c r="AC75" s="510">
        <f t="shared" ca="1" si="52"/>
        <v>0</v>
      </c>
      <c r="AD75" s="510">
        <f t="shared" ca="1" si="52"/>
        <v>0</v>
      </c>
      <c r="AE75" s="510">
        <f t="shared" ca="1" si="52"/>
        <v>0</v>
      </c>
      <c r="AF75" s="510">
        <f t="shared" ca="1" si="52"/>
        <v>0</v>
      </c>
      <c r="AG75" s="510">
        <f t="shared" ca="1" si="52"/>
        <v>0</v>
      </c>
      <c r="AH75" s="510">
        <f t="shared" ca="1" si="52"/>
        <v>0</v>
      </c>
      <c r="AI75" s="510">
        <f t="shared" ca="1" si="52"/>
        <v>0</v>
      </c>
      <c r="AJ75" s="510">
        <f t="shared" ca="1" si="52"/>
        <v>0</v>
      </c>
      <c r="AK75" s="510">
        <f t="shared" ca="1" si="52"/>
        <v>0</v>
      </c>
      <c r="AL75" s="510">
        <f t="shared" ca="1" si="52"/>
        <v>0</v>
      </c>
      <c r="AM75" s="510">
        <f t="shared" ca="1" si="52"/>
        <v>0</v>
      </c>
      <c r="AN75" s="510">
        <f t="shared" ca="1" si="52"/>
        <v>0</v>
      </c>
      <c r="AO75" s="510">
        <f t="shared" ca="1" si="52"/>
        <v>0</v>
      </c>
      <c r="AP75" s="510">
        <f t="shared" ca="1" si="52"/>
        <v>0</v>
      </c>
      <c r="AQ75" s="510">
        <f t="shared" ca="1" si="52"/>
        <v>0</v>
      </c>
      <c r="AR75" s="510">
        <f t="shared" ca="1" si="52"/>
        <v>0</v>
      </c>
      <c r="AS75" s="510">
        <f t="shared" ca="1" si="52"/>
        <v>0</v>
      </c>
      <c r="AT75" s="510">
        <f t="shared" ca="1" si="52"/>
        <v>0</v>
      </c>
      <c r="AU75" s="510">
        <f t="shared" ca="1" si="52"/>
        <v>37.667167729391963</v>
      </c>
      <c r="AV75" s="510">
        <f t="shared" ca="1" si="52"/>
        <v>2986.5277336046379</v>
      </c>
      <c r="AW75" s="510">
        <f t="shared" ca="1" si="52"/>
        <v>2438.217203409044</v>
      </c>
      <c r="AX75" s="510">
        <f t="shared" ca="1" si="52"/>
        <v>3052.0093676757333</v>
      </c>
      <c r="AY75" s="510">
        <f t="shared" ca="1" si="52"/>
        <v>2484.2295748751139</v>
      </c>
      <c r="AZ75" s="510">
        <f t="shared" ca="1" si="52"/>
        <v>3110.4596078370555</v>
      </c>
      <c r="BA75" s="510">
        <f t="shared" ca="1" si="52"/>
        <v>2514.2296610048988</v>
      </c>
      <c r="BB75" s="510">
        <f t="shared" ca="1" si="52"/>
        <v>3159.1203828924777</v>
      </c>
      <c r="BC75" s="510">
        <f t="shared" ca="1" si="52"/>
        <v>2574.4568431903785</v>
      </c>
      <c r="BD75" s="510">
        <f t="shared" ca="1" si="52"/>
        <v>3231.9863376158432</v>
      </c>
      <c r="BE75" s="510">
        <f t="shared" ca="1" si="52"/>
        <v>2609.6939796262377</v>
      </c>
      <c r="BF75" s="510">
        <f t="shared" ca="1" si="52"/>
        <v>3270.4938174904833</v>
      </c>
      <c r="BG75" s="510">
        <f t="shared" ca="1" si="52"/>
        <v>2643.4993729219805</v>
      </c>
      <c r="BH75" s="510">
        <f t="shared" ca="1" si="52"/>
        <v>3312.1818001810907</v>
      </c>
      <c r="BI75" s="510">
        <f t="shared" ca="1" si="52"/>
        <v>2657.8998390190054</v>
      </c>
      <c r="BJ75" s="510">
        <f t="shared" ca="1" si="52"/>
        <v>3341.9420075836833</v>
      </c>
      <c r="BK75" s="510">
        <f t="shared" ca="1" si="52"/>
        <v>2660.2358654088357</v>
      </c>
      <c r="BL75" s="510">
        <f t="shared" ca="1" si="52"/>
        <v>3347.5234960866119</v>
      </c>
      <c r="BM75" s="510">
        <f t="shared" ca="1" si="52"/>
        <v>2683.0984437577449</v>
      </c>
      <c r="BN75" s="510">
        <f t="shared" ca="1" si="52"/>
        <v>3364.2523942978473</v>
      </c>
      <c r="BO75" s="510">
        <f t="shared" ca="1" si="52"/>
        <v>2712.3732854259888</v>
      </c>
      <c r="BP75" s="510">
        <f t="shared" si="52"/>
        <v>0</v>
      </c>
      <c r="BQ75" s="510">
        <f t="shared" si="52"/>
        <v>0</v>
      </c>
      <c r="BR75" s="510">
        <f t="shared" si="52"/>
        <v>0</v>
      </c>
      <c r="BS75" s="510">
        <f t="shared" si="52"/>
        <v>0</v>
      </c>
      <c r="BT75" s="510">
        <f t="shared" ref="BT75:DW75" si="53">IF(BT$3=0,-$B$74,BT14*BT7*$B$70*(1-$B$75))</f>
        <v>0</v>
      </c>
      <c r="BU75" s="510">
        <f t="shared" si="53"/>
        <v>0</v>
      </c>
      <c r="BV75" s="510">
        <f t="shared" si="53"/>
        <v>0</v>
      </c>
      <c r="BW75" s="510">
        <f t="shared" si="53"/>
        <v>0</v>
      </c>
      <c r="BX75" s="510">
        <f t="shared" si="53"/>
        <v>0</v>
      </c>
      <c r="BY75" s="510">
        <f t="shared" si="53"/>
        <v>0</v>
      </c>
      <c r="BZ75" s="510">
        <f t="shared" si="53"/>
        <v>0</v>
      </c>
      <c r="CA75" s="510">
        <f t="shared" si="53"/>
        <v>0</v>
      </c>
      <c r="CB75" s="510">
        <f t="shared" si="53"/>
        <v>0</v>
      </c>
      <c r="CC75" s="510">
        <f t="shared" si="53"/>
        <v>0</v>
      </c>
      <c r="CD75" s="510">
        <f t="shared" si="53"/>
        <v>0</v>
      </c>
      <c r="CE75" s="510">
        <f t="shared" si="53"/>
        <v>0</v>
      </c>
      <c r="CF75" s="510">
        <f t="shared" si="53"/>
        <v>0</v>
      </c>
      <c r="CG75" s="510">
        <f t="shared" si="53"/>
        <v>0</v>
      </c>
      <c r="CH75" s="510">
        <f t="shared" si="53"/>
        <v>0</v>
      </c>
      <c r="CI75" s="510">
        <f t="shared" si="53"/>
        <v>0</v>
      </c>
      <c r="CJ75" s="510">
        <f t="shared" si="53"/>
        <v>0</v>
      </c>
      <c r="CK75" s="510">
        <f t="shared" si="53"/>
        <v>0</v>
      </c>
      <c r="CL75" s="510">
        <f t="shared" si="53"/>
        <v>0</v>
      </c>
      <c r="CM75" s="510">
        <f t="shared" si="53"/>
        <v>0</v>
      </c>
      <c r="CN75" s="510">
        <f t="shared" si="53"/>
        <v>0</v>
      </c>
      <c r="CO75" s="510">
        <f t="shared" si="53"/>
        <v>0</v>
      </c>
      <c r="CP75" s="510">
        <f t="shared" si="53"/>
        <v>0</v>
      </c>
      <c r="CQ75" s="510">
        <f t="shared" si="53"/>
        <v>0</v>
      </c>
      <c r="CR75" s="510">
        <f t="shared" si="53"/>
        <v>0</v>
      </c>
      <c r="CS75" s="510">
        <f t="shared" si="53"/>
        <v>0</v>
      </c>
      <c r="CT75" s="510">
        <f t="shared" si="53"/>
        <v>0</v>
      </c>
      <c r="CU75" s="510">
        <f t="shared" si="53"/>
        <v>0</v>
      </c>
      <c r="CV75" s="510">
        <f t="shared" si="53"/>
        <v>0</v>
      </c>
      <c r="CW75" s="510">
        <f t="shared" si="53"/>
        <v>0</v>
      </c>
      <c r="CX75" s="510">
        <f t="shared" si="53"/>
        <v>0</v>
      </c>
      <c r="CY75" s="510">
        <f t="shared" si="53"/>
        <v>0</v>
      </c>
      <c r="CZ75" s="510">
        <f t="shared" si="53"/>
        <v>0</v>
      </c>
      <c r="DA75" s="510">
        <f t="shared" si="53"/>
        <v>0</v>
      </c>
      <c r="DB75" s="510">
        <f t="shared" si="53"/>
        <v>0</v>
      </c>
      <c r="DC75" s="510">
        <f t="shared" si="53"/>
        <v>0</v>
      </c>
      <c r="DD75" s="510">
        <f t="shared" si="53"/>
        <v>0</v>
      </c>
      <c r="DE75" s="510">
        <f t="shared" si="53"/>
        <v>0</v>
      </c>
      <c r="DF75" s="510">
        <f t="shared" si="53"/>
        <v>0</v>
      </c>
      <c r="DG75" s="510">
        <f t="shared" si="53"/>
        <v>0</v>
      </c>
      <c r="DH75" s="510">
        <f t="shared" si="53"/>
        <v>0</v>
      </c>
      <c r="DI75" s="510">
        <f t="shared" si="53"/>
        <v>0</v>
      </c>
      <c r="DJ75" s="510">
        <f t="shared" si="53"/>
        <v>0</v>
      </c>
      <c r="DK75" s="510">
        <f t="shared" si="53"/>
        <v>0</v>
      </c>
      <c r="DL75" s="510">
        <f t="shared" si="53"/>
        <v>0</v>
      </c>
      <c r="DM75" s="510">
        <f t="shared" si="53"/>
        <v>0</v>
      </c>
      <c r="DN75" s="510">
        <f t="shared" si="53"/>
        <v>0</v>
      </c>
      <c r="DO75" s="510">
        <f t="shared" si="53"/>
        <v>0</v>
      </c>
      <c r="DP75" s="510">
        <f t="shared" si="53"/>
        <v>0</v>
      </c>
      <c r="DQ75" s="510">
        <f t="shared" si="53"/>
        <v>0</v>
      </c>
      <c r="DR75" s="510">
        <f t="shared" si="53"/>
        <v>0</v>
      </c>
      <c r="DS75" s="510">
        <f t="shared" si="53"/>
        <v>0</v>
      </c>
      <c r="DT75" s="510">
        <f t="shared" si="53"/>
        <v>0</v>
      </c>
      <c r="DU75" s="510">
        <f t="shared" si="53"/>
        <v>0</v>
      </c>
      <c r="DV75" s="510">
        <f t="shared" si="53"/>
        <v>0</v>
      </c>
      <c r="DW75" s="510">
        <f t="shared" si="53"/>
        <v>0</v>
      </c>
    </row>
    <row r="76" spans="1:127">
      <c r="A76" s="344" t="str">
        <f>"Total "&amp;Inputs!$A$315</f>
        <v>Total Sponsor</v>
      </c>
      <c r="B76" s="971"/>
      <c r="C76" s="971"/>
      <c r="D76" s="541"/>
      <c r="E76" s="541"/>
      <c r="F76" s="518"/>
      <c r="G76" s="513">
        <f ca="1">G71+G72+G74</f>
        <v>-15120.773894815633</v>
      </c>
      <c r="H76" s="513">
        <f ca="1">H71+H72+H74</f>
        <v>335.87001192815342</v>
      </c>
      <c r="I76" s="513">
        <f ca="1">I71+I72+I74</f>
        <v>330.39387042932458</v>
      </c>
      <c r="J76" s="513">
        <f ca="1">J71+J72+J74</f>
        <v>336.07875278384927</v>
      </c>
      <c r="K76" s="513">
        <f t="shared" ref="K76:BV76" ca="1" si="54">K71+K72+K74</f>
        <v>340.5415560447218</v>
      </c>
      <c r="L76" s="513">
        <f t="shared" ca="1" si="54"/>
        <v>344.05441161728459</v>
      </c>
      <c r="M76" s="513">
        <f t="shared" ca="1" si="54"/>
        <v>345.51102678698453</v>
      </c>
      <c r="N76" s="513">
        <f t="shared" ca="1" si="54"/>
        <v>349.23262841929591</v>
      </c>
      <c r="O76" s="513">
        <f t="shared" ca="1" si="54"/>
        <v>347.80912291148707</v>
      </c>
      <c r="P76" s="513">
        <f t="shared" ca="1" si="54"/>
        <v>354.48829899669317</v>
      </c>
      <c r="Q76" s="513">
        <f t="shared" ca="1" si="54"/>
        <v>350.09626175264157</v>
      </c>
      <c r="R76" s="513">
        <f t="shared" ca="1" si="54"/>
        <v>358.83941444214724</v>
      </c>
      <c r="S76" s="513">
        <f t="shared" ca="1" si="54"/>
        <v>353.38594088006357</v>
      </c>
      <c r="T76" s="513">
        <f t="shared" ca="1" si="54"/>
        <v>365.23646797405399</v>
      </c>
      <c r="U76" s="513">
        <f t="shared" ca="1" si="54"/>
        <v>354.44024353998338</v>
      </c>
      <c r="V76" s="513">
        <f t="shared" ca="1" si="54"/>
        <v>370.73123830074883</v>
      </c>
      <c r="W76" s="513">
        <f t="shared" ca="1" si="54"/>
        <v>356.43397409897443</v>
      </c>
      <c r="X76" s="513">
        <f t="shared" ca="1" si="54"/>
        <v>376.30800665500556</v>
      </c>
      <c r="Y76" s="513">
        <f t="shared" ca="1" si="54"/>
        <v>358.28810723061906</v>
      </c>
      <c r="Z76" s="513">
        <f t="shared" ca="1" si="54"/>
        <v>380.92432030492228</v>
      </c>
      <c r="AA76" s="513">
        <f t="shared" ca="1" si="54"/>
        <v>361.09801681461613</v>
      </c>
      <c r="AB76" s="513">
        <f t="shared" ca="1" si="54"/>
        <v>362.21186155878786</v>
      </c>
      <c r="AC76" s="513">
        <f t="shared" ca="1" si="54"/>
        <v>341.58145701415651</v>
      </c>
      <c r="AD76" s="513">
        <f t="shared" ca="1" si="54"/>
        <v>368.04174225437328</v>
      </c>
      <c r="AE76" s="513">
        <f t="shared" ca="1" si="54"/>
        <v>343.19847993447775</v>
      </c>
      <c r="AF76" s="513">
        <f t="shared" ca="1" si="54"/>
        <v>1303.7935979215406</v>
      </c>
      <c r="AG76" s="513">
        <f t="shared" ca="1" si="54"/>
        <v>1136.394477560847</v>
      </c>
      <c r="AH76" s="513">
        <f t="shared" ca="1" si="54"/>
        <v>1325.9887014375968</v>
      </c>
      <c r="AI76" s="513">
        <f t="shared" ca="1" si="54"/>
        <v>1160.4040485564847</v>
      </c>
      <c r="AJ76" s="513">
        <f t="shared" ca="1" si="54"/>
        <v>2994.5482101550338</v>
      </c>
      <c r="AK76" s="513">
        <f t="shared" ca="1" si="54"/>
        <v>2545.4162284351887</v>
      </c>
      <c r="AL76" s="513">
        <f t="shared" ca="1" si="54"/>
        <v>2866.7009595780269</v>
      </c>
      <c r="AM76" s="513">
        <f t="shared" ca="1" si="54"/>
        <v>2608.3700359429458</v>
      </c>
      <c r="AN76" s="513">
        <f t="shared" ca="1" si="54"/>
        <v>2922.8141129823598</v>
      </c>
      <c r="AO76" s="513">
        <f t="shared" ca="1" si="54"/>
        <v>2652.4553454942106</v>
      </c>
      <c r="AP76" s="513">
        <f t="shared" ca="1" si="54"/>
        <v>2970.2515213558436</v>
      </c>
      <c r="AQ76" s="513">
        <f t="shared" ca="1" si="54"/>
        <v>2703.7003380574424</v>
      </c>
      <c r="AR76" s="513">
        <f t="shared" ca="1" si="54"/>
        <v>3032.5617059389888</v>
      </c>
      <c r="AS76" s="513">
        <f t="shared" ca="1" si="54"/>
        <v>2738.6607711913121</v>
      </c>
      <c r="AT76" s="513">
        <f t="shared" ca="1" si="54"/>
        <v>3087.0294677969923</v>
      </c>
      <c r="AU76" s="513">
        <f t="shared" ca="1" si="54"/>
        <v>2231.4499186604771</v>
      </c>
      <c r="AV76" s="513">
        <f t="shared" ca="1" si="54"/>
        <v>3143.7134037943556</v>
      </c>
      <c r="AW76" s="513">
        <f t="shared" ca="1" si="54"/>
        <v>2566.5444246410993</v>
      </c>
      <c r="AX76" s="513">
        <f t="shared" ca="1" si="54"/>
        <v>3212.641439658667</v>
      </c>
      <c r="AY76" s="513">
        <f t="shared" ca="1" si="54"/>
        <v>2614.9784998685413</v>
      </c>
      <c r="AZ76" s="513">
        <f t="shared" ca="1" si="54"/>
        <v>3274.1680082495322</v>
      </c>
      <c r="BA76" s="513">
        <f t="shared" ca="1" si="54"/>
        <v>2646.5575378998938</v>
      </c>
      <c r="BB76" s="513">
        <f t="shared" ca="1" si="54"/>
        <v>3325.3898767289238</v>
      </c>
      <c r="BC76" s="513">
        <f t="shared" ca="1" si="54"/>
        <v>2709.9545717793458</v>
      </c>
      <c r="BD76" s="513">
        <f t="shared" ca="1" si="54"/>
        <v>3402.0908817008876</v>
      </c>
      <c r="BE76" s="513">
        <f t="shared" ca="1" si="54"/>
        <v>2747.0462943434081</v>
      </c>
      <c r="BF76" s="513">
        <f t="shared" ca="1" si="54"/>
        <v>3442.6250710426143</v>
      </c>
      <c r="BG76" s="513">
        <f t="shared" ca="1" si="54"/>
        <v>2782.6309188652426</v>
      </c>
      <c r="BH76" s="513">
        <f t="shared" ca="1" si="54"/>
        <v>3486.5071580853587</v>
      </c>
      <c r="BI76" s="513">
        <f t="shared" ca="1" si="54"/>
        <v>2797.7893042305323</v>
      </c>
      <c r="BJ76" s="513">
        <f t="shared" ca="1" si="54"/>
        <v>3517.833692193351</v>
      </c>
      <c r="BK76" s="513">
        <f t="shared" ca="1" si="54"/>
        <v>2800.2482793777217</v>
      </c>
      <c r="BL76" s="513">
        <f t="shared" ca="1" si="54"/>
        <v>3523.7089432490652</v>
      </c>
      <c r="BM76" s="513">
        <f t="shared" ca="1" si="54"/>
        <v>2824.314151323942</v>
      </c>
      <c r="BN76" s="513">
        <f t="shared" ca="1" si="54"/>
        <v>3541.3183097872079</v>
      </c>
      <c r="BO76" s="513">
        <f t="shared" ca="1" si="54"/>
        <v>2855.1297741326198</v>
      </c>
      <c r="BP76" s="513">
        <f t="shared" ca="1" si="54"/>
        <v>0</v>
      </c>
      <c r="BQ76" s="513">
        <f t="shared" ca="1" si="54"/>
        <v>0</v>
      </c>
      <c r="BR76" s="513">
        <f t="shared" ca="1" si="54"/>
        <v>0</v>
      </c>
      <c r="BS76" s="513">
        <f t="shared" ca="1" si="54"/>
        <v>0</v>
      </c>
      <c r="BT76" s="513">
        <f t="shared" ca="1" si="54"/>
        <v>0</v>
      </c>
      <c r="BU76" s="513">
        <f t="shared" ca="1" si="54"/>
        <v>0</v>
      </c>
      <c r="BV76" s="513">
        <f t="shared" ca="1" si="54"/>
        <v>0</v>
      </c>
      <c r="BW76" s="513">
        <f t="shared" ref="BW76:DW76" ca="1" si="55">BW71+BW72+BW74</f>
        <v>0</v>
      </c>
      <c r="BX76" s="513">
        <f t="shared" ca="1" si="55"/>
        <v>0</v>
      </c>
      <c r="BY76" s="513">
        <f t="shared" ca="1" si="55"/>
        <v>0</v>
      </c>
      <c r="BZ76" s="513">
        <f t="shared" ca="1" si="55"/>
        <v>0</v>
      </c>
      <c r="CA76" s="513">
        <f t="shared" ca="1" si="55"/>
        <v>0</v>
      </c>
      <c r="CB76" s="513">
        <f t="shared" ca="1" si="55"/>
        <v>0</v>
      </c>
      <c r="CC76" s="513">
        <f t="shared" ca="1" si="55"/>
        <v>0</v>
      </c>
      <c r="CD76" s="513">
        <f t="shared" ca="1" si="55"/>
        <v>0</v>
      </c>
      <c r="CE76" s="513">
        <f t="shared" ca="1" si="55"/>
        <v>0</v>
      </c>
      <c r="CF76" s="513">
        <f t="shared" ca="1" si="55"/>
        <v>0</v>
      </c>
      <c r="CG76" s="513">
        <f t="shared" ca="1" si="55"/>
        <v>0</v>
      </c>
      <c r="CH76" s="513">
        <f t="shared" ca="1" si="55"/>
        <v>0</v>
      </c>
      <c r="CI76" s="513">
        <f t="shared" ca="1" si="55"/>
        <v>0</v>
      </c>
      <c r="CJ76" s="513">
        <f t="shared" ca="1" si="55"/>
        <v>0</v>
      </c>
      <c r="CK76" s="513">
        <f t="shared" ca="1" si="55"/>
        <v>0</v>
      </c>
      <c r="CL76" s="513">
        <f t="shared" ca="1" si="55"/>
        <v>0</v>
      </c>
      <c r="CM76" s="513">
        <f t="shared" ca="1" si="55"/>
        <v>0</v>
      </c>
      <c r="CN76" s="513">
        <f t="shared" ca="1" si="55"/>
        <v>0</v>
      </c>
      <c r="CO76" s="513">
        <f t="shared" ca="1" si="55"/>
        <v>0</v>
      </c>
      <c r="CP76" s="513">
        <f t="shared" ca="1" si="55"/>
        <v>0</v>
      </c>
      <c r="CQ76" s="513">
        <f t="shared" ca="1" si="55"/>
        <v>0</v>
      </c>
      <c r="CR76" s="513">
        <f t="shared" ca="1" si="55"/>
        <v>0</v>
      </c>
      <c r="CS76" s="513">
        <f t="shared" ca="1" si="55"/>
        <v>0</v>
      </c>
      <c r="CT76" s="513">
        <f t="shared" ca="1" si="55"/>
        <v>0</v>
      </c>
      <c r="CU76" s="513">
        <f t="shared" ca="1" si="55"/>
        <v>0</v>
      </c>
      <c r="CV76" s="513">
        <f t="shared" ca="1" si="55"/>
        <v>0</v>
      </c>
      <c r="CW76" s="513">
        <f t="shared" ca="1" si="55"/>
        <v>0</v>
      </c>
      <c r="CX76" s="513">
        <f t="shared" ca="1" si="55"/>
        <v>0</v>
      </c>
      <c r="CY76" s="513">
        <f t="shared" ca="1" si="55"/>
        <v>0</v>
      </c>
      <c r="CZ76" s="513">
        <f t="shared" ca="1" si="55"/>
        <v>0</v>
      </c>
      <c r="DA76" s="513">
        <f t="shared" ca="1" si="55"/>
        <v>0</v>
      </c>
      <c r="DB76" s="513">
        <f t="shared" ca="1" si="55"/>
        <v>0</v>
      </c>
      <c r="DC76" s="513">
        <f t="shared" ca="1" si="55"/>
        <v>0</v>
      </c>
      <c r="DD76" s="513">
        <f t="shared" ca="1" si="55"/>
        <v>0</v>
      </c>
      <c r="DE76" s="513">
        <f t="shared" ca="1" si="55"/>
        <v>0</v>
      </c>
      <c r="DF76" s="513">
        <f t="shared" ca="1" si="55"/>
        <v>0</v>
      </c>
      <c r="DG76" s="513">
        <f t="shared" ca="1" si="55"/>
        <v>0</v>
      </c>
      <c r="DH76" s="513">
        <f t="shared" ca="1" si="55"/>
        <v>0</v>
      </c>
      <c r="DI76" s="513">
        <f t="shared" ca="1" si="55"/>
        <v>0</v>
      </c>
      <c r="DJ76" s="513">
        <f t="shared" ca="1" si="55"/>
        <v>0</v>
      </c>
      <c r="DK76" s="513">
        <f t="shared" ca="1" si="55"/>
        <v>0</v>
      </c>
      <c r="DL76" s="513">
        <f t="shared" ca="1" si="55"/>
        <v>0</v>
      </c>
      <c r="DM76" s="513">
        <f t="shared" ca="1" si="55"/>
        <v>0</v>
      </c>
      <c r="DN76" s="513">
        <f t="shared" ca="1" si="55"/>
        <v>0</v>
      </c>
      <c r="DO76" s="513">
        <f t="shared" ca="1" si="55"/>
        <v>0</v>
      </c>
      <c r="DP76" s="513">
        <f t="shared" ca="1" si="55"/>
        <v>0</v>
      </c>
      <c r="DQ76" s="513">
        <f t="shared" ca="1" si="55"/>
        <v>0</v>
      </c>
      <c r="DR76" s="513">
        <f t="shared" ca="1" si="55"/>
        <v>0</v>
      </c>
      <c r="DS76" s="513">
        <f t="shared" ca="1" si="55"/>
        <v>0</v>
      </c>
      <c r="DT76" s="513">
        <f t="shared" ca="1" si="55"/>
        <v>0</v>
      </c>
      <c r="DU76" s="513">
        <f t="shared" ca="1" si="55"/>
        <v>0</v>
      </c>
      <c r="DV76" s="513">
        <f t="shared" ca="1" si="55"/>
        <v>0</v>
      </c>
      <c r="DW76" s="513">
        <f t="shared" ca="1" si="55"/>
        <v>0</v>
      </c>
    </row>
    <row r="77" spans="1:127">
      <c r="B77" s="971"/>
      <c r="C77" s="971"/>
      <c r="D77" s="471"/>
      <c r="E77" s="471"/>
    </row>
    <row r="78" spans="1:127">
      <c r="A78" s="861" t="str">
        <f>Inputs!$A$315&amp;" Distribution Flows"</f>
        <v>Sponsor Distribution Flows</v>
      </c>
      <c r="B78" s="862"/>
      <c r="C78" s="862"/>
      <c r="D78" s="963"/>
      <c r="E78" s="864"/>
      <c r="F78" s="1126"/>
      <c r="G78" s="638">
        <f>G$23</f>
        <v>47298</v>
      </c>
      <c r="H78" s="638">
        <f t="shared" ref="H78:BS78" si="56">H$23</f>
        <v>47849</v>
      </c>
      <c r="I78" s="638">
        <f t="shared" si="56"/>
        <v>48030</v>
      </c>
      <c r="J78" s="638">
        <f t="shared" si="56"/>
        <v>48214</v>
      </c>
      <c r="K78" s="638">
        <f t="shared" si="56"/>
        <v>48396</v>
      </c>
      <c r="L78" s="638">
        <f t="shared" si="56"/>
        <v>48580</v>
      </c>
      <c r="M78" s="638">
        <f t="shared" si="56"/>
        <v>48761</v>
      </c>
      <c r="N78" s="638">
        <f t="shared" si="56"/>
        <v>48945</v>
      </c>
      <c r="O78" s="638">
        <f t="shared" si="56"/>
        <v>49126</v>
      </c>
      <c r="P78" s="638">
        <f t="shared" si="56"/>
        <v>49310</v>
      </c>
      <c r="Q78" s="638">
        <f t="shared" si="56"/>
        <v>49491</v>
      </c>
      <c r="R78" s="638">
        <f t="shared" si="56"/>
        <v>49675</v>
      </c>
      <c r="S78" s="638">
        <f t="shared" si="56"/>
        <v>49857</v>
      </c>
      <c r="T78" s="638">
        <f t="shared" si="56"/>
        <v>50041</v>
      </c>
      <c r="U78" s="638">
        <f t="shared" si="56"/>
        <v>50222</v>
      </c>
      <c r="V78" s="638">
        <f t="shared" si="56"/>
        <v>50406</v>
      </c>
      <c r="W78" s="638">
        <f t="shared" si="56"/>
        <v>50587</v>
      </c>
      <c r="X78" s="638">
        <f t="shared" si="56"/>
        <v>50771</v>
      </c>
      <c r="Y78" s="638">
        <f t="shared" si="56"/>
        <v>50952</v>
      </c>
      <c r="Z78" s="638">
        <f t="shared" si="56"/>
        <v>51136</v>
      </c>
      <c r="AA78" s="638">
        <f t="shared" si="56"/>
        <v>51318</v>
      </c>
      <c r="AB78" s="638">
        <f t="shared" si="56"/>
        <v>51502</v>
      </c>
      <c r="AC78" s="638">
        <f t="shared" si="56"/>
        <v>51683</v>
      </c>
      <c r="AD78" s="638">
        <f t="shared" si="56"/>
        <v>51867</v>
      </c>
      <c r="AE78" s="638">
        <f t="shared" si="56"/>
        <v>52048</v>
      </c>
      <c r="AF78" s="638">
        <f t="shared" si="56"/>
        <v>52232</v>
      </c>
      <c r="AG78" s="638">
        <f t="shared" si="56"/>
        <v>52413</v>
      </c>
      <c r="AH78" s="638">
        <f t="shared" si="56"/>
        <v>52597</v>
      </c>
      <c r="AI78" s="638">
        <f t="shared" si="56"/>
        <v>52779</v>
      </c>
      <c r="AJ78" s="638">
        <f t="shared" si="56"/>
        <v>52963</v>
      </c>
      <c r="AK78" s="638">
        <f t="shared" si="56"/>
        <v>53144</v>
      </c>
      <c r="AL78" s="638">
        <f t="shared" si="56"/>
        <v>53328</v>
      </c>
      <c r="AM78" s="638">
        <f t="shared" si="56"/>
        <v>53509</v>
      </c>
      <c r="AN78" s="638">
        <f t="shared" si="56"/>
        <v>53693</v>
      </c>
      <c r="AO78" s="638">
        <f t="shared" si="56"/>
        <v>53874</v>
      </c>
      <c r="AP78" s="638">
        <f t="shared" si="56"/>
        <v>54058</v>
      </c>
      <c r="AQ78" s="638">
        <f t="shared" si="56"/>
        <v>54240</v>
      </c>
      <c r="AR78" s="638">
        <f t="shared" si="56"/>
        <v>54424</v>
      </c>
      <c r="AS78" s="638">
        <f t="shared" si="56"/>
        <v>54605</v>
      </c>
      <c r="AT78" s="638">
        <f t="shared" si="56"/>
        <v>54789</v>
      </c>
      <c r="AU78" s="638">
        <f t="shared" si="56"/>
        <v>54970</v>
      </c>
      <c r="AV78" s="638">
        <f t="shared" si="56"/>
        <v>55154</v>
      </c>
      <c r="AW78" s="638">
        <f t="shared" si="56"/>
        <v>55335</v>
      </c>
      <c r="AX78" s="638">
        <f t="shared" si="56"/>
        <v>55519</v>
      </c>
      <c r="AY78" s="638">
        <f t="shared" si="56"/>
        <v>55701</v>
      </c>
      <c r="AZ78" s="638">
        <f t="shared" si="56"/>
        <v>55885</v>
      </c>
      <c r="BA78" s="638">
        <f t="shared" si="56"/>
        <v>56066</v>
      </c>
      <c r="BB78" s="638">
        <f t="shared" si="56"/>
        <v>56250</v>
      </c>
      <c r="BC78" s="638">
        <f t="shared" si="56"/>
        <v>56431</v>
      </c>
      <c r="BD78" s="638">
        <f t="shared" si="56"/>
        <v>56615</v>
      </c>
      <c r="BE78" s="638">
        <f t="shared" si="56"/>
        <v>56796</v>
      </c>
      <c r="BF78" s="638">
        <f t="shared" si="56"/>
        <v>56980</v>
      </c>
      <c r="BG78" s="638">
        <f t="shared" si="56"/>
        <v>57162</v>
      </c>
      <c r="BH78" s="638">
        <f t="shared" si="56"/>
        <v>57346</v>
      </c>
      <c r="BI78" s="638">
        <f t="shared" si="56"/>
        <v>57527</v>
      </c>
      <c r="BJ78" s="638">
        <f t="shared" si="56"/>
        <v>57711</v>
      </c>
      <c r="BK78" s="638">
        <f t="shared" si="56"/>
        <v>57892</v>
      </c>
      <c r="BL78" s="638">
        <f t="shared" si="56"/>
        <v>58076</v>
      </c>
      <c r="BM78" s="638">
        <f t="shared" si="56"/>
        <v>58257</v>
      </c>
      <c r="BN78" s="638">
        <f t="shared" si="56"/>
        <v>58441</v>
      </c>
      <c r="BO78" s="638">
        <f t="shared" si="56"/>
        <v>58623</v>
      </c>
      <c r="BP78" s="638">
        <f t="shared" si="56"/>
        <v>58807</v>
      </c>
      <c r="BQ78" s="638">
        <f t="shared" si="56"/>
        <v>58988</v>
      </c>
      <c r="BR78" s="638">
        <f t="shared" si="56"/>
        <v>59172</v>
      </c>
      <c r="BS78" s="638">
        <f t="shared" si="56"/>
        <v>59353</v>
      </c>
      <c r="BT78" s="638">
        <f t="shared" ref="BT78:DW78" si="57">BT$23</f>
        <v>59537</v>
      </c>
      <c r="BU78" s="638">
        <f t="shared" si="57"/>
        <v>59718</v>
      </c>
      <c r="BV78" s="638">
        <f t="shared" si="57"/>
        <v>59902</v>
      </c>
      <c r="BW78" s="638">
        <f t="shared" si="57"/>
        <v>60084</v>
      </c>
      <c r="BX78" s="638">
        <f t="shared" si="57"/>
        <v>60268</v>
      </c>
      <c r="BY78" s="638">
        <f t="shared" si="57"/>
        <v>60449</v>
      </c>
      <c r="BZ78" s="638">
        <f t="shared" si="57"/>
        <v>60633</v>
      </c>
      <c r="CA78" s="638">
        <f t="shared" si="57"/>
        <v>60814</v>
      </c>
      <c r="CB78" s="638">
        <f t="shared" si="57"/>
        <v>60998</v>
      </c>
      <c r="CC78" s="638">
        <f t="shared" si="57"/>
        <v>61179</v>
      </c>
      <c r="CD78" s="638">
        <f t="shared" si="57"/>
        <v>61363</v>
      </c>
      <c r="CE78" s="638">
        <f t="shared" si="57"/>
        <v>61545</v>
      </c>
      <c r="CF78" s="638">
        <f t="shared" si="57"/>
        <v>61729</v>
      </c>
      <c r="CG78" s="638">
        <f t="shared" si="57"/>
        <v>61910</v>
      </c>
      <c r="CH78" s="638">
        <f t="shared" si="57"/>
        <v>62094</v>
      </c>
      <c r="CI78" s="638">
        <f t="shared" si="57"/>
        <v>62275</v>
      </c>
      <c r="CJ78" s="638">
        <f t="shared" si="57"/>
        <v>62459</v>
      </c>
      <c r="CK78" s="638">
        <f t="shared" si="57"/>
        <v>62640</v>
      </c>
      <c r="CL78" s="638">
        <f t="shared" si="57"/>
        <v>62824</v>
      </c>
      <c r="CM78" s="638">
        <f t="shared" si="57"/>
        <v>63006</v>
      </c>
      <c r="CN78" s="638">
        <f t="shared" si="57"/>
        <v>63190</v>
      </c>
      <c r="CO78" s="638">
        <f t="shared" si="57"/>
        <v>63371</v>
      </c>
      <c r="CP78" s="638">
        <f t="shared" si="57"/>
        <v>63555</v>
      </c>
      <c r="CQ78" s="638">
        <f t="shared" si="57"/>
        <v>63736</v>
      </c>
      <c r="CR78" s="638">
        <f t="shared" si="57"/>
        <v>63920</v>
      </c>
      <c r="CS78" s="638">
        <f t="shared" si="57"/>
        <v>64101</v>
      </c>
      <c r="CT78" s="638">
        <f t="shared" si="57"/>
        <v>64285</v>
      </c>
      <c r="CU78" s="638">
        <f t="shared" si="57"/>
        <v>64467</v>
      </c>
      <c r="CV78" s="638">
        <f t="shared" si="57"/>
        <v>64651</v>
      </c>
      <c r="CW78" s="638">
        <f t="shared" si="57"/>
        <v>64832</v>
      </c>
      <c r="CX78" s="638">
        <f t="shared" si="57"/>
        <v>65016</v>
      </c>
      <c r="CY78" s="638">
        <f t="shared" si="57"/>
        <v>65197</v>
      </c>
      <c r="CZ78" s="638">
        <f t="shared" si="57"/>
        <v>65381</v>
      </c>
      <c r="DA78" s="638">
        <f t="shared" si="57"/>
        <v>65562</v>
      </c>
      <c r="DB78" s="638">
        <f t="shared" si="57"/>
        <v>65746</v>
      </c>
      <c r="DC78" s="638">
        <f t="shared" si="57"/>
        <v>65928</v>
      </c>
      <c r="DD78" s="638">
        <f t="shared" si="57"/>
        <v>66112</v>
      </c>
      <c r="DE78" s="638">
        <f t="shared" si="57"/>
        <v>66293</v>
      </c>
      <c r="DF78" s="638">
        <f t="shared" si="57"/>
        <v>66477</v>
      </c>
      <c r="DG78" s="638">
        <f t="shared" si="57"/>
        <v>66658</v>
      </c>
      <c r="DH78" s="638">
        <f t="shared" si="57"/>
        <v>66842</v>
      </c>
      <c r="DI78" s="638">
        <f t="shared" si="57"/>
        <v>67023</v>
      </c>
      <c r="DJ78" s="638">
        <f t="shared" si="57"/>
        <v>67207</v>
      </c>
      <c r="DK78" s="638">
        <f t="shared" si="57"/>
        <v>67389</v>
      </c>
      <c r="DL78" s="638">
        <f t="shared" si="57"/>
        <v>67573</v>
      </c>
      <c r="DM78" s="638">
        <f t="shared" si="57"/>
        <v>67754</v>
      </c>
      <c r="DN78" s="638">
        <f t="shared" si="57"/>
        <v>67938</v>
      </c>
      <c r="DO78" s="638">
        <f t="shared" si="57"/>
        <v>68119</v>
      </c>
      <c r="DP78" s="638">
        <f t="shared" si="57"/>
        <v>68303</v>
      </c>
      <c r="DQ78" s="638">
        <f t="shared" si="57"/>
        <v>68484</v>
      </c>
      <c r="DR78" s="638">
        <f t="shared" si="57"/>
        <v>68668</v>
      </c>
      <c r="DS78" s="638">
        <f t="shared" si="57"/>
        <v>68850</v>
      </c>
      <c r="DT78" s="638">
        <f t="shared" si="57"/>
        <v>69034</v>
      </c>
      <c r="DU78" s="638">
        <f t="shared" si="57"/>
        <v>69215</v>
      </c>
      <c r="DV78" s="638">
        <f t="shared" si="57"/>
        <v>69399</v>
      </c>
      <c r="DW78" s="638">
        <f t="shared" si="57"/>
        <v>69580</v>
      </c>
    </row>
    <row r="79" spans="1:127">
      <c r="A79" s="1019" t="str">
        <f>A71</f>
        <v>SHL Principal</v>
      </c>
      <c r="B79" s="971"/>
      <c r="C79" s="971"/>
      <c r="D79" s="471"/>
      <c r="E79" s="471"/>
      <c r="F79" s="518"/>
      <c r="G79" s="510">
        <f ca="1">(G$78=$B$9)*G71+((G$78-G$70)/(H$70-G$70)*H71+(G$70-F$78)/(G$70-F$70)*G71)*(G$78&gt;$B$10)+IF(G$78=$B$10,SUM($F71:F71)-SUM($F79:F79)+G71+(G$78-G$70)/(H$70-G$70)*H71,0)</f>
        <v>-14620.773894815633</v>
      </c>
      <c r="H79" s="510">
        <f ca="1">(H$78=$B$9)*H71+((H$78-H$70)/(I$70-H$70)*I71+(H$70-G$78)/(H$70-G$70)*H71)*(H$78&gt;$B$10)+IF(H$78=$B$10,SUM($F71:G71)-SUM($F79:G79)+H71+(H$78-H$70)/(I$70-H$70)*I71,0)</f>
        <v>0</v>
      </c>
      <c r="I79" s="510">
        <f ca="1">(I$78=$B$9)*I71+((I$78-I$70)/(J$70-I$70)*J71+(I$70-H$78)/(I$70-H$70)*I71)*(I$78&gt;$B$10)+IF(I$78=$B$10,SUM($F71:H71)-SUM($F79:H79)+I71+(I$78-I$70)/(J$70-I$70)*J71,0)</f>
        <v>0</v>
      </c>
      <c r="J79" s="510">
        <f ca="1">(J$78=$B$9)*J71+((J$78-J$70)/(K$70-J$70)*K71+(J$70-I$78)/(J$70-I$70)*J71)*(J$78&gt;$B$10)+IF(J$78=$B$10,SUM($F71:I71)-SUM($F79:I79)+J71+(J$78-J$70)/(K$70-J$70)*K71,0)</f>
        <v>0</v>
      </c>
      <c r="K79" s="510">
        <f ca="1">(K$78=$B$9)*K71+((K$78-K$70)/(L$70-K$70)*L71+(K$70-J$78)/(K$70-J$70)*K71)*(K$78&gt;$B$10)+IF(K$78=$B$10,SUM($F71:J71)-SUM($F79:J79)+K71+(K$78-K$70)/(L$70-K$70)*L71,0)</f>
        <v>0</v>
      </c>
      <c r="L79" s="510">
        <f ca="1">(L$78=$B$9)*L71+((L$78-L$70)/(M$70-L$70)*M71+(L$70-K$78)/(L$70-K$70)*L71)*(L$78&gt;$B$10)+IF(L$78=$B$10,SUM($F71:K71)-SUM($F79:K79)+L71+(L$78-L$70)/(M$70-L$70)*M71,0)</f>
        <v>0</v>
      </c>
      <c r="M79" s="510">
        <f ca="1">(M$78=$B$9)*M71+((M$78-M$70)/(N$70-M$70)*N71+(M$70-L$78)/(M$70-L$70)*M71)*(M$78&gt;$B$10)+IF(M$78=$B$10,SUM($F71:L71)-SUM($F79:L79)+M71+(M$78-M$70)/(N$70-M$70)*N71,0)</f>
        <v>0</v>
      </c>
      <c r="N79" s="510">
        <f ca="1">(N$78=$B$9)*N71+((N$78-N$70)/(O$70-N$70)*O71+(N$70-M$78)/(N$70-M$70)*N71)*(N$78&gt;$B$10)+IF(N$78=$B$10,SUM($F71:M71)-SUM($F79:M79)+N71+(N$78-N$70)/(O$70-N$70)*O71,0)</f>
        <v>0</v>
      </c>
      <c r="O79" s="510">
        <f ca="1">(O$78=$B$9)*O71+((O$78-O$70)/(P$70-O$70)*P71+(O$70-N$78)/(O$70-N$70)*O71)*(O$78&gt;$B$10)+IF(O$78=$B$10,SUM($F71:N71)-SUM($F79:N79)+O71+(O$78-O$70)/(P$70-O$70)*P71,0)</f>
        <v>0</v>
      </c>
      <c r="P79" s="510">
        <f ca="1">(P$78=$B$9)*P71+((P$78-P$70)/(Q$70-P$70)*Q71+(P$70-O$78)/(P$70-O$70)*P71)*(P$78&gt;$B$10)+IF(P$78=$B$10,SUM($F71:O71)-SUM($F79:O79)+P71+(P$78-P$70)/(Q$70-P$70)*Q71,0)</f>
        <v>0</v>
      </c>
      <c r="Q79" s="510">
        <f ca="1">(Q$78=$B$9)*Q71+((Q$78-Q$70)/(R$70-Q$70)*R71+(Q$70-P$78)/(Q$70-P$70)*Q71)*(Q$78&gt;$B$10)+IF(Q$78=$B$10,SUM($F71:P71)-SUM($F79:P79)+Q71+(Q$78-Q$70)/(R$70-Q$70)*R71,0)</f>
        <v>0</v>
      </c>
      <c r="R79" s="510">
        <f ca="1">(R$78=$B$9)*R71+((R$78-R$70)/(S$70-R$70)*S71+(R$70-Q$78)/(R$70-Q$70)*R71)*(R$78&gt;$B$10)+IF(R$78=$B$10,SUM($F71:Q71)-SUM($F79:Q79)+R71+(R$78-R$70)/(S$70-R$70)*S71,0)</f>
        <v>0</v>
      </c>
      <c r="S79" s="510">
        <f ca="1">(S$78=$B$9)*S71+((S$78-S$70)/(T$70-S$70)*T71+(S$70-R$78)/(S$70-R$70)*S71)*(S$78&gt;$B$10)+IF(S$78=$B$10,SUM($F71:R71)-SUM($F79:R79)+S71+(S$78-S$70)/(T$70-S$70)*T71,0)</f>
        <v>0</v>
      </c>
      <c r="T79" s="510">
        <f ca="1">(T$78=$B$9)*T71+((T$78-T$70)/(U$70-T$70)*U71+(T$70-S$78)/(T$70-S$70)*T71)*(T$78&gt;$B$10)+IF(T$78=$B$10,SUM($F71:S71)-SUM($F79:S79)+T71+(T$78-T$70)/(U$70-T$70)*U71,0)</f>
        <v>0</v>
      </c>
      <c r="U79" s="510">
        <f ca="1">(U$78=$B$9)*U71+((U$78-U$70)/(V$70-U$70)*V71+(U$70-T$78)/(U$70-T$70)*U71)*(U$78&gt;$B$10)+IF(U$78=$B$10,SUM($F71:T71)-SUM($F79:T79)+U71+(U$78-U$70)/(V$70-U$70)*V71,0)</f>
        <v>0</v>
      </c>
      <c r="V79" s="510">
        <f ca="1">(V$78=$B$9)*V71+((V$78-V$70)/(W$70-V$70)*W71+(V$70-U$78)/(V$70-U$70)*V71)*(V$78&gt;$B$10)+IF(V$78=$B$10,SUM($F71:U71)-SUM($F79:U79)+V71+(V$78-V$70)/(W$70-V$70)*W71,0)</f>
        <v>0</v>
      </c>
      <c r="W79" s="510">
        <f ca="1">(W$78=$B$9)*W71+((W$78-W$70)/(X$70-W$70)*X71+(W$70-V$78)/(W$70-V$70)*W71)*(W$78&gt;$B$10)+IF(W$78=$B$10,SUM($F71:V71)-SUM($F79:V79)+W71+(W$78-W$70)/(X$70-W$70)*X71,0)</f>
        <v>0</v>
      </c>
      <c r="X79" s="510">
        <f ca="1">(X$78=$B$9)*X71+((X$78-X$70)/(Y$70-X$70)*Y71+(X$70-W$78)/(X$70-W$70)*X71)*(X$78&gt;$B$10)+IF(X$78=$B$10,SUM($F71:W71)-SUM($F79:W79)+X71+(X$78-X$70)/(Y$70-X$70)*Y71,0)</f>
        <v>0</v>
      </c>
      <c r="Y79" s="510">
        <f ca="1">(Y$78=$B$9)*Y71+((Y$78-Y$70)/(Z$70-Y$70)*Z71+(Y$70-X$78)/(Y$70-X$70)*Y71)*(Y$78&gt;$B$10)+IF(Y$78=$B$10,SUM($F71:X71)-SUM($F79:X79)+Y71+(Y$78-Y$70)/(Z$70-Y$70)*Z71,0)</f>
        <v>0</v>
      </c>
      <c r="Z79" s="510">
        <f ca="1">(Z$78=$B$9)*Z71+((Z$78-Z$70)/(AA$70-Z$70)*AA71+(Z$70-Y$78)/(Z$70-Y$70)*Z71)*(Z$78&gt;$B$10)+IF(Z$78=$B$10,SUM($F71:Y71)-SUM($F79:Y79)+Z71+(Z$78-Z$70)/(AA$70-Z$70)*AA71,0)</f>
        <v>0</v>
      </c>
      <c r="AA79" s="510">
        <f ca="1">(AA$78=$B$9)*AA71+((AA$78-AA$70)/(AB$70-AA$70)*AB71+(AA$70-Z$78)/(AA$70-Z$70)*AA71)*(AA$78&gt;$B$10)+IF(AA$78=$B$10,SUM($F71:Z71)-SUM($F79:Z79)+AA71+(AA$78-AA$70)/(AB$70-AA$70)*AB71,0)</f>
        <v>0</v>
      </c>
      <c r="AB79" s="510">
        <f ca="1">(AB$78=$B$9)*AB71+((AB$78-AB$70)/(AC$70-AB$70)*AC71+(AB$70-AA$78)/(AB$70-AA$70)*AB71)*(AB$78&gt;$B$10)+IF(AB$78=$B$10,SUM($F71:AA71)-SUM($F79:AA79)+AB71+(AB$78-AB$70)/(AC$70-AB$70)*AC71,0)</f>
        <v>0</v>
      </c>
      <c r="AC79" s="510">
        <f ca="1">(AC$78=$B$9)*AC71+((AC$78-AC$70)/(AD$70-AC$70)*AD71+(AC$70-AB$78)/(AC$70-AB$70)*AC71)*(AC$78&gt;$B$10)+IF(AC$78=$B$10,SUM($F71:AB71)-SUM($F79:AB79)+AC71+(AC$78-AC$70)/(AD$70-AC$70)*AD71,0)</f>
        <v>0</v>
      </c>
      <c r="AD79" s="510">
        <f ca="1">(AD$78=$B$9)*AD71+((AD$78-AD$70)/(AE$70-AD$70)*AE71+(AD$70-AC$78)/(AD$70-AC$70)*AD71)*(AD$78&gt;$B$10)+IF(AD$78=$B$10,SUM($F71:AC71)-SUM($F79:AC79)+AD71+(AD$78-AD$70)/(AE$70-AD$70)*AE71,0)</f>
        <v>0</v>
      </c>
      <c r="AE79" s="510">
        <f ca="1">(AE$78=$B$9)*AE71+((AE$78-AE$70)/(AF$70-AE$70)*AF71+(AE$70-AD$78)/(AE$70-AD$70)*AE71)*(AE$78&gt;$B$10)+IF(AE$78=$B$10,SUM($F71:AD71)-SUM($F79:AD79)+AE71+(AE$78-AE$70)/(AF$70-AE$70)*AF71,0)</f>
        <v>1.2180248256112014</v>
      </c>
      <c r="AF79" s="510">
        <f ca="1">(AF$78=$B$9)*AF71+((AF$78-AF$70)/(AG$70-AF$70)*AG71+(AF$70-AE$78)/(AF$70-AE$70)*AF71)*(AF$78&gt;$B$10)+IF(AF$78=$B$10,SUM($F71:AE71)-SUM($F79:AE79)+AF71+(AF$78-AF$70)/(AG$70-AF$70)*AG71,0)</f>
        <v>223.35827710865127</v>
      </c>
      <c r="AG79" s="510">
        <f ca="1">(AG$78=$B$9)*AG71+((AG$78-AG$70)/(AH$70-AG$70)*AH71+(AG$70-AF$78)/(AG$70-AF$70)*AG71)*(AG$78&gt;$B$10)+IF(AG$78=$B$10,SUM($F71:AF71)-SUM($F79:AF79)+AG71+(AG$78-AG$70)/(AH$70-AG$70)*AH71,0)</f>
        <v>84.15813396743637</v>
      </c>
      <c r="AH79" s="510">
        <f ca="1">(AH$78=$B$9)*AH71+((AH$78-AH$70)/(AI$70-AH$70)*AI71+(AH$70-AG$78)/(AH$70-AG$70)*AH71)*(AH$78&gt;$B$10)+IF(AH$78=$B$10,SUM($F71:AG71)-SUM($F79:AG79)+AH71+(AH$78-AH$70)/(AI$70-AH$70)*AI71,0)</f>
        <v>257.93193668367644</v>
      </c>
      <c r="AI79" s="510">
        <f ca="1">(AI$78=$B$9)*AI71+((AI$78-AI$70)/(AJ$70-AI$70)*AJ71+(AI$70-AH$78)/(AI$70-AH$70)*AI71)*(AI$78&gt;$B$10)+IF(AI$78=$B$10,SUM($F71:AH71)-SUM($F79:AH79)+AI71+(AI$78-AI$70)/(AJ$70-AI$70)*AJ71,0)</f>
        <v>124.9660650306416</v>
      </c>
      <c r="AJ79" s="510">
        <f ca="1">(AJ$78=$B$9)*AJ71+((AJ$78-AJ$70)/(AK$70-AJ$70)*AK71+(AJ$70-AI$78)/(AJ$70-AI$70)*AJ71)*(AJ$78&gt;$B$10)+IF(AJ$78=$B$10,SUM($F71:AI71)-SUM($F79:AI79)+AJ71+(AJ$78-AJ$70)/(AK$70-AJ$70)*AK71,0)</f>
        <v>1940.5522182093084</v>
      </c>
      <c r="AK79" s="510">
        <f ca="1">(AK$78=$B$9)*AK71+((AK$78-AK$70)/(AL$70-AK$70)*AL71+(AK$70-AJ$78)/(AK$70-AJ$70)*AK71)*(AK$78&gt;$B$10)+IF(AK$78=$B$10,SUM($F71:AJ71)-SUM($F79:AJ79)+AK71+(AK$78-AK$70)/(AL$70-AK$70)*AL71,0)</f>
        <v>1589.2814621531377</v>
      </c>
      <c r="AL79" s="510">
        <f ca="1">(AL$78=$B$9)*AL71+((AL$78-AL$70)/(AM$70-AL$70)*AM71+(AL$70-AK$78)/(AL$70-AK$70)*AL71)*(AL$78&gt;$B$10)+IF(AL$78=$B$10,SUM($F71:AK71)-SUM($F79:AK79)+AL71+(AL$78-AL$70)/(AM$70-AL$70)*AM71,0)</f>
        <v>1956.1014412167845</v>
      </c>
      <c r="AM79" s="510">
        <f ca="1">(AM$78=$B$9)*AM71+((AM$78-AM$70)/(AN$70-AM$70)*AN71+(AM$70-AL$78)/(AM$70-AL$70)*AM71)*(AM$78&gt;$B$10)+IF(AM$78=$B$10,SUM($F71:AL71)-SUM($F79:AL79)+AM71+(AM$78-AM$70)/(AN$70-AM$70)*AN71,0)</f>
        <v>1792.8421321566354</v>
      </c>
      <c r="AN79" s="510">
        <f ca="1">(AN$78=$B$9)*AN71+((AN$78-AN$70)/(AO$70-AN$70)*AO71+(AN$70-AM$78)/(AN$70-AM$70)*AN71)*(AN$78&gt;$B$10)+IF(AN$78=$B$10,SUM($F71:AM71)-SUM($F79:AM79)+AN71+(AN$78-AN$70)/(AO$70-AN$70)*AO71,0)</f>
        <v>2163.3434694059388</v>
      </c>
      <c r="AO79" s="510">
        <f ca="1">(AO$78=$B$9)*AO71+((AO$78-AO$70)/(AP$70-AO$70)*AP71+(AO$70-AN$78)/(AO$70-AN$70)*AO71)*(AO$78&gt;$B$10)+IF(AO$78=$B$10,SUM($F71:AN71)-SUM($F79:AN79)+AO71+(AO$78-AO$70)/(AP$70-AO$70)*AP71,0)</f>
        <v>1993.8884487668754</v>
      </c>
      <c r="AP79" s="510">
        <f ca="1">(AP$78=$B$9)*AP71+((AP$78-AP$70)/(AQ$70-AP$70)*AQ71+(AP$70-AO$78)/(AP$70-AO$70)*AP71)*(AP$78&gt;$B$10)+IF(AP$78=$B$10,SUM($F71:AO71)-SUM($F79:AO79)+AP71+(AP$78-AP$70)/(AQ$70-AP$70)*AQ71,0)</f>
        <v>2378.3801506232162</v>
      </c>
      <c r="AQ79" s="510">
        <f ca="1">(AQ$78=$B$9)*AQ71+((AQ$78-AQ$70)/(AR$70-AQ$70)*AR71+(AQ$70-AP$78)/(AQ$70-AP$70)*AQ71)*(AQ$78&gt;$B$10)+IF(AQ$78=$B$10,SUM($F71:AP71)-SUM($F79:AP79)+AQ71+(AQ$78-AQ$70)/(AR$70-AQ$70)*AR71,0)</f>
        <v>2216.0359145871525</v>
      </c>
      <c r="AR79" s="510">
        <f ca="1">(AR$78=$B$9)*AR71+((AR$78-AR$70)/(AS$70-AR$70)*AS71+(AR$70-AQ$78)/(AR$70-AQ$70)*AR71)*(AR$78&gt;$B$10)+IF(AR$78=$B$10,SUM($F71:AQ71)-SUM($F79:AQ79)+AR71+(AR$78-AR$70)/(AS$70-AR$70)*AS71,0)</f>
        <v>2625.9140545900214</v>
      </c>
      <c r="AS79" s="510">
        <f ca="1">(AS$78=$B$9)*AS71+((AS$78-AS$70)/(AT$70-AS$70)*AT71+(AS$70-AR$78)/(AS$70-AR$70)*AS71)*(AS$78&gt;$B$10)+IF(AS$78=$B$10,SUM($F71:AR71)-SUM($F79:AR79)+AS71+(AS$78-AS$70)/(AT$70-AS$70)*AT71,0)</f>
        <v>2445.7916747567842</v>
      </c>
      <c r="AT79" s="510">
        <f ca="1">(AT$78=$B$9)*AT71+((AT$78-AT$70)/(AU$70-AT$70)*AU71+(AT$70-AS$78)/(AT$70-AS$70)*AT71)*(AT$78&gt;$B$10)+IF(AT$78=$B$10,SUM($F71:AS71)-SUM($F79:AS79)+AT71+(AT$78-AT$70)/(AU$70-AT$70)*AU71,0)</f>
        <v>2881.6001065352175</v>
      </c>
      <c r="AU79" s="510">
        <f ca="1">(AU$78=$B$9)*AU71+((AU$78-AU$70)/(AV$70-AU$70)*AV71+(AU$70-AT$78)/(AU$70-AT$70)*AU71)*(AU$78&gt;$B$10)+IF(AU$78=$B$10,SUM($F71:AT71)-SUM($F79:AT79)+AU71+(AU$78-AU$70)/(AV$70-AU$70)*AV71,0)</f>
        <v>2096.5193666460864</v>
      </c>
      <c r="AV79" s="510">
        <f ca="1">(AV$78=$B$9)*AV71+((AV$78-AV$70)/(AW$70-AV$70)*AW71+(AV$70-AU$78)/(AV$70-AU$70)*AV71)*(AV$78&gt;$B$10)+IF(AV$78=$B$10,SUM($F71:AU71)-SUM($F79:AU79)+AV71+(AV$78-AV$70)/(AW$70-AV$70)*AW71,0)</f>
        <v>0</v>
      </c>
      <c r="AW79" s="510">
        <f ca="1">(AW$78=$B$9)*AW71+((AW$78-AW$70)/(AX$70-AW$70)*AX71+(AW$70-AV$78)/(AW$70-AV$70)*AW71)*(AW$78&gt;$B$10)+IF(AW$78=$B$10,SUM($F71:AV71)-SUM($F79:AV79)+AW71+(AW$78-AW$70)/(AX$70-AW$70)*AX71,0)</f>
        <v>0</v>
      </c>
      <c r="AX79" s="510">
        <f ca="1">(AX$78=$B$9)*AX71+((AX$78-AX$70)/(AY$70-AX$70)*AY71+(AX$70-AW$78)/(AX$70-AW$70)*AX71)*(AX$78&gt;$B$10)+IF(AX$78=$B$10,SUM($F71:AW71)-SUM($F79:AW79)+AX71+(AX$78-AX$70)/(AY$70-AX$70)*AY71,0)</f>
        <v>0</v>
      </c>
      <c r="AY79" s="510">
        <f ca="1">(AY$78=$B$9)*AY71+((AY$78-AY$70)/(AZ$70-AY$70)*AZ71+(AY$70-AX$78)/(AY$70-AX$70)*AY71)*(AY$78&gt;$B$10)+IF(AY$78=$B$10,SUM($F71:AX71)-SUM($F79:AX79)+AY71+(AY$78-AY$70)/(AZ$70-AY$70)*AZ71,0)</f>
        <v>0</v>
      </c>
      <c r="AZ79" s="510">
        <f ca="1">(AZ$78=$B$9)*AZ71+((AZ$78-AZ$70)/(BA$70-AZ$70)*BA71+(AZ$70-AY$78)/(AZ$70-AY$70)*AZ71)*(AZ$78&gt;$B$10)+IF(AZ$78=$B$10,SUM($F71:AY71)-SUM($F79:AY79)+AZ71+(AZ$78-AZ$70)/(BA$70-AZ$70)*BA71,0)</f>
        <v>0</v>
      </c>
      <c r="BA79" s="510">
        <f ca="1">(BA$78=$B$9)*BA71+((BA$78-BA$70)/(BB$70-BA$70)*BB71+(BA$70-AZ$78)/(BA$70-AZ$70)*BA71)*(BA$78&gt;$B$10)+IF(BA$78=$B$10,SUM($F71:AZ71)-SUM($F79:AZ79)+BA71+(BA$78-BA$70)/(BB$70-BA$70)*BB71,0)</f>
        <v>0</v>
      </c>
      <c r="BB79" s="510">
        <f ca="1">(BB$78=$B$9)*BB71+((BB$78-BB$70)/(BC$70-BB$70)*BC71+(BB$70-BA$78)/(BB$70-BA$70)*BB71)*(BB$78&gt;$B$10)+IF(BB$78=$B$10,SUM($F71:BA71)-SUM($F79:BA79)+BB71+(BB$78-BB$70)/(BC$70-BB$70)*BC71,0)</f>
        <v>0</v>
      </c>
      <c r="BC79" s="510">
        <f ca="1">(BC$78=$B$9)*BC71+((BC$78-BC$70)/(BD$70-BC$70)*BD71+(BC$70-BB$78)/(BC$70-BB$70)*BC71)*(BC$78&gt;$B$10)+IF(BC$78=$B$10,SUM($F71:BB71)-SUM($F79:BB79)+BC71+(BC$78-BC$70)/(BD$70-BC$70)*BD71,0)</f>
        <v>0</v>
      </c>
      <c r="BD79" s="510">
        <f ca="1">(BD$78=$B$9)*BD71+((BD$78-BD$70)/(BE$70-BD$70)*BE71+(BD$70-BC$78)/(BD$70-BC$70)*BD71)*(BD$78&gt;$B$10)+IF(BD$78=$B$10,SUM($F71:BC71)-SUM($F79:BC79)+BD71+(BD$78-BD$70)/(BE$70-BD$70)*BE71,0)</f>
        <v>0</v>
      </c>
      <c r="BE79" s="510">
        <f ca="1">(BE$78=$B$9)*BE71+((BE$78-BE$70)/(BF$70-BE$70)*BF71+(BE$70-BD$78)/(BE$70-BD$70)*BE71)*(BE$78&gt;$B$10)+IF(BE$78=$B$10,SUM($F71:BD71)-SUM($F79:BD79)+BE71+(BE$78-BE$70)/(BF$70-BE$70)*BF71,0)</f>
        <v>0</v>
      </c>
      <c r="BF79" s="510">
        <f ca="1">(BF$78=$B$9)*BF71+((BF$78-BF$70)/(BG$70-BF$70)*BG71+(BF$70-BE$78)/(BF$70-BE$70)*BF71)*(BF$78&gt;$B$10)+IF(BF$78=$B$10,SUM($F71:BE71)-SUM($F79:BE79)+BF71+(BF$78-BF$70)/(BG$70-BF$70)*BG71,0)</f>
        <v>0</v>
      </c>
      <c r="BG79" s="510">
        <f ca="1">(BG$78=$B$9)*BG71+((BG$78-BG$70)/(BH$70-BG$70)*BH71+(BG$70-BF$78)/(BG$70-BF$70)*BG71)*(BG$78&gt;$B$10)+IF(BG$78=$B$10,SUM($F71:BF71)-SUM($F79:BF79)+BG71+(BG$78-BG$70)/(BH$70-BG$70)*BH71,0)</f>
        <v>0</v>
      </c>
      <c r="BH79" s="510">
        <f ca="1">(BH$78=$B$9)*BH71+((BH$78-BH$70)/(BI$70-BH$70)*BI71+(BH$70-BG$78)/(BH$70-BG$70)*BH71)*(BH$78&gt;$B$10)+IF(BH$78=$B$10,SUM($F71:BG71)-SUM($F79:BG79)+BH71+(BH$78-BH$70)/(BI$70-BH$70)*BI71,0)</f>
        <v>0</v>
      </c>
      <c r="BI79" s="510">
        <f ca="1">(BI$78=$B$9)*BI71+((BI$78-BI$70)/(BJ$70-BI$70)*BJ71+(BI$70-BH$78)/(BI$70-BH$70)*BI71)*(BI$78&gt;$B$10)+IF(BI$78=$B$10,SUM($F71:BH71)-SUM($F79:BH79)+BI71+(BI$78-BI$70)/(BJ$70-BI$70)*BJ71,0)</f>
        <v>0</v>
      </c>
      <c r="BJ79" s="510">
        <f ca="1">(BJ$78=$B$9)*BJ71+((BJ$78-BJ$70)/(BK$70-BJ$70)*BK71+(BJ$70-BI$78)/(BJ$70-BI$70)*BJ71)*(BJ$78&gt;$B$10)+IF(BJ$78=$B$10,SUM($F71:BI71)-SUM($F79:BI79)+BJ71+(BJ$78-BJ$70)/(BK$70-BJ$70)*BK71,0)</f>
        <v>0</v>
      </c>
      <c r="BK79" s="510">
        <f ca="1">(BK$78=$B$9)*BK71+((BK$78-BK$70)/(BL$70-BK$70)*BL71+(BK$70-BJ$78)/(BK$70-BJ$70)*BK71)*(BK$78&gt;$B$10)+IF(BK$78=$B$10,SUM($F71:BJ71)-SUM($F79:BJ79)+BK71+(BK$78-BK$70)/(BL$70-BK$70)*BL71,0)</f>
        <v>0</v>
      </c>
      <c r="BL79" s="510">
        <f ca="1">(BL$78=$B$9)*BL71+((BL$78-BL$70)/(BM$70-BL$70)*BM71+(BL$70-BK$78)/(BL$70-BK$70)*BL71)*(BL$78&gt;$B$10)+IF(BL$78=$B$10,SUM($F71:BK71)-SUM($F79:BK79)+BL71+(BL$78-BL$70)/(BM$70-BL$70)*BM71,0)</f>
        <v>0</v>
      </c>
      <c r="BM79" s="510">
        <f ca="1">(BM$78=$B$9)*BM71+((BM$78-BM$70)/(BN$70-BM$70)*BN71+(BM$70-BL$78)/(BM$70-BL$70)*BM71)*(BM$78&gt;$B$10)+IF(BM$78=$B$10,SUM($F71:BL71)-SUM($F79:BL79)+BM71+(BM$78-BM$70)/(BN$70-BM$70)*BN71,0)</f>
        <v>0</v>
      </c>
      <c r="BN79" s="510">
        <f ca="1">(BN$78=$B$9)*BN71+((BN$78-BN$70)/(BO$70-BN$70)*BO71+(BN$70-BM$78)/(BN$70-BM$70)*BN71)*(BN$78&gt;$B$10)+IF(BN$78=$B$10,SUM($F71:BM71)-SUM($F79:BM79)+BN71+(BN$78-BN$70)/(BO$70-BN$70)*BO71,0)</f>
        <v>0</v>
      </c>
      <c r="BO79" s="510">
        <f ca="1">(BO$78=$B$9)*BO71+((BO$78-BO$70)/(BP$70-BO$70)*BP71+(BO$70-BN$78)/(BO$70-BN$70)*BO71)*(BO$78&gt;$B$10)+IF(BO$78=$B$10,SUM($F71:BN71)-SUM($F79:BN79)+BO71+(BO$78-BO$70)/(BP$70-BO$70)*BP71,0)</f>
        <v>0</v>
      </c>
      <c r="BP79" s="510">
        <f ca="1">(BP$78=$B$9)*BP71+((BP$78-BP$70)/(BQ$70-BP$70)*BQ71+(BP$70-BO$78)/(BP$70-BO$70)*BP71)*(BP$78&gt;$B$10)+IF(BP$78=$B$10,SUM($F71:BO71)-SUM($F79:BO79)+BP71+(BP$78-BP$70)/(BQ$70-BP$70)*BQ71,0)</f>
        <v>0</v>
      </c>
      <c r="BQ79" s="510">
        <f ca="1">(BQ$78=$B$9)*BQ71+((BQ$78-BQ$70)/(BR$70-BQ$70)*BR71+(BQ$70-BP$78)/(BQ$70-BP$70)*BQ71)*(BQ$78&gt;$B$10)+IF(BQ$78=$B$10,SUM($F71:BP71)-SUM($F79:BP79)+BQ71+(BQ$78-BQ$70)/(BR$70-BQ$70)*BR71,0)</f>
        <v>0</v>
      </c>
      <c r="BR79" s="510">
        <f ca="1">(BR$78=$B$9)*BR71+((BR$78-BR$70)/(BS$70-BR$70)*BS71+(BR$70-BQ$78)/(BR$70-BQ$70)*BR71)*(BR$78&gt;$B$10)+IF(BR$78=$B$10,SUM($F71:BQ71)-SUM($F79:BQ79)+BR71+(BR$78-BR$70)/(BS$70-BR$70)*BS71,0)</f>
        <v>0</v>
      </c>
      <c r="BS79" s="510">
        <f ca="1">(BS$78=$B$9)*BS71+((BS$78-BS$70)/(BT$70-BS$70)*BT71+(BS$70-BR$78)/(BS$70-BR$70)*BS71)*(BS$78&gt;$B$10)+IF(BS$78=$B$10,SUM($F71:BR71)-SUM($F79:BR79)+BS71+(BS$78-BS$70)/(BT$70-BS$70)*BT71,0)</f>
        <v>0</v>
      </c>
      <c r="BT79" s="510">
        <f ca="1">(BT$78=$B$9)*BT71+((BT$78-BT$70)/(BU$70-BT$70)*BU71+(BT$70-BS$78)/(BT$70-BS$70)*BT71)*(BT$78&gt;$B$10)+IF(BT$78=$B$10,SUM($F71:BS71)-SUM($F79:BS79)+BT71+(BT$78-BT$70)/(BU$70-BT$70)*BU71,0)</f>
        <v>0</v>
      </c>
      <c r="BU79" s="510">
        <f ca="1">(BU$78=$B$9)*BU71+((BU$78-BU$70)/(BV$70-BU$70)*BV71+(BU$70-BT$78)/(BU$70-BT$70)*BU71)*(BU$78&gt;$B$10)+IF(BU$78=$B$10,SUM($F71:BT71)-SUM($F79:BT79)+BU71+(BU$78-BU$70)/(BV$70-BU$70)*BV71,0)</f>
        <v>0</v>
      </c>
      <c r="BV79" s="510">
        <f ca="1">(BV$78=$B$9)*BV71+((BV$78-BV$70)/(BW$70-BV$70)*BW71+(BV$70-BU$78)/(BV$70-BU$70)*BV71)*(BV$78&gt;$B$10)+IF(BV$78=$B$10,SUM($F71:BU71)-SUM($F79:BU79)+BV71+(BV$78-BV$70)/(BW$70-BV$70)*BW71,0)</f>
        <v>0</v>
      </c>
      <c r="BW79" s="510">
        <f ca="1">(BW$78=$B$9)*BW71+((BW$78-BW$70)/(BX$70-BW$70)*BX71+(BW$70-BV$78)/(BW$70-BV$70)*BW71)*(BW$78&gt;$B$10)+IF(BW$78=$B$10,SUM($F71:BV71)-SUM($F79:BV79)+BW71+(BW$78-BW$70)/(BX$70-BW$70)*BX71,0)</f>
        <v>0</v>
      </c>
      <c r="BX79" s="510">
        <f ca="1">(BX$78=$B$9)*BX71+((BX$78-BX$70)/(BY$70-BX$70)*BY71+(BX$70-BW$78)/(BX$70-BW$70)*BX71)*(BX$78&gt;$B$10)+IF(BX$78=$B$10,SUM($F71:BW71)-SUM($F79:BW79)+BX71+(BX$78-BX$70)/(BY$70-BX$70)*BY71,0)</f>
        <v>0</v>
      </c>
      <c r="BY79" s="510">
        <f ca="1">(BY$78=$B$9)*BY71+((BY$78-BY$70)/(BZ$70-BY$70)*BZ71+(BY$70-BX$78)/(BY$70-BX$70)*BY71)*(BY$78&gt;$B$10)+IF(BY$78=$B$10,SUM($F71:BX71)-SUM($F79:BX79)+BY71+(BY$78-BY$70)/(BZ$70-BY$70)*BZ71,0)</f>
        <v>0</v>
      </c>
      <c r="BZ79" s="510">
        <f ca="1">(BZ$78=$B$9)*BZ71+((BZ$78-BZ$70)/(CA$70-BZ$70)*CA71+(BZ$70-BY$78)/(BZ$70-BY$70)*BZ71)*(BZ$78&gt;$B$10)+IF(BZ$78=$B$10,SUM($F71:BY71)-SUM($F79:BY79)+BZ71+(BZ$78-BZ$70)/(CA$70-BZ$70)*CA71,0)</f>
        <v>0</v>
      </c>
      <c r="CA79" s="510">
        <f ca="1">(CA$78=$B$9)*CA71+((CA$78-CA$70)/(CB$70-CA$70)*CB71+(CA$70-BZ$78)/(CA$70-BZ$70)*CA71)*(CA$78&gt;$B$10)+IF(CA$78=$B$10,SUM($F71:BZ71)-SUM($F79:BZ79)+CA71+(CA$78-CA$70)/(CB$70-CA$70)*CB71,0)</f>
        <v>0</v>
      </c>
      <c r="CB79" s="510">
        <f ca="1">(CB$78=$B$9)*CB71+((CB$78-CB$70)/(CC$70-CB$70)*CC71+(CB$70-CA$78)/(CB$70-CA$70)*CB71)*(CB$78&gt;$B$10)+IF(CB$78=$B$10,SUM($F71:CA71)-SUM($F79:CA79)+CB71+(CB$78-CB$70)/(CC$70-CB$70)*CC71,0)</f>
        <v>0</v>
      </c>
      <c r="CC79" s="510">
        <f ca="1">(CC$78=$B$9)*CC71+((CC$78-CC$70)/(CD$70-CC$70)*CD71+(CC$70-CB$78)/(CC$70-CB$70)*CC71)*(CC$78&gt;$B$10)+IF(CC$78=$B$10,SUM($F71:CB71)-SUM($F79:CB79)+CC71+(CC$78-CC$70)/(CD$70-CC$70)*CD71,0)</f>
        <v>0</v>
      </c>
      <c r="CD79" s="510">
        <f ca="1">(CD$78=$B$9)*CD71+((CD$78-CD$70)/(CE$70-CD$70)*CE71+(CD$70-CC$78)/(CD$70-CC$70)*CD71)*(CD$78&gt;$B$10)+IF(CD$78=$B$10,SUM($F71:CC71)-SUM($F79:CC79)+CD71+(CD$78-CD$70)/(CE$70-CD$70)*CE71,0)</f>
        <v>0</v>
      </c>
      <c r="CE79" s="510">
        <f ca="1">(CE$78=$B$9)*CE71+((CE$78-CE$70)/(CF$70-CE$70)*CF71+(CE$70-CD$78)/(CE$70-CD$70)*CE71)*(CE$78&gt;$B$10)+IF(CE$78=$B$10,SUM($F71:CD71)-SUM($F79:CD79)+CE71+(CE$78-CE$70)/(CF$70-CE$70)*CF71,0)</f>
        <v>0</v>
      </c>
      <c r="CF79" s="510">
        <f ca="1">(CF$78=$B$9)*CF71+((CF$78-CF$70)/(CG$70-CF$70)*CG71+(CF$70-CE$78)/(CF$70-CE$70)*CF71)*(CF$78&gt;$B$10)+IF(CF$78=$B$10,SUM($F71:CE71)-SUM($F79:CE79)+CF71+(CF$78-CF$70)/(CG$70-CF$70)*CG71,0)</f>
        <v>0</v>
      </c>
      <c r="CG79" s="510">
        <f ca="1">(CG$78=$B$9)*CG71+((CG$78-CG$70)/(CH$70-CG$70)*CH71+(CG$70-CF$78)/(CG$70-CF$70)*CG71)*(CG$78&gt;$B$10)+IF(CG$78=$B$10,SUM($F71:CF71)-SUM($F79:CF79)+CG71+(CG$78-CG$70)/(CH$70-CG$70)*CH71,0)</f>
        <v>0</v>
      </c>
      <c r="CH79" s="510">
        <f ca="1">(CH$78=$B$9)*CH71+((CH$78-CH$70)/(CI$70-CH$70)*CI71+(CH$70-CG$78)/(CH$70-CG$70)*CH71)*(CH$78&gt;$B$10)+IF(CH$78=$B$10,SUM($F71:CG71)-SUM($F79:CG79)+CH71+(CH$78-CH$70)/(CI$70-CH$70)*CI71,0)</f>
        <v>0</v>
      </c>
      <c r="CI79" s="510">
        <f ca="1">(CI$78=$B$9)*CI71+((CI$78-CI$70)/(CJ$70-CI$70)*CJ71+(CI$70-CH$78)/(CI$70-CH$70)*CI71)*(CI$78&gt;$B$10)+IF(CI$78=$B$10,SUM($F71:CH71)-SUM($F79:CH79)+CI71+(CI$78-CI$70)/(CJ$70-CI$70)*CJ71,0)</f>
        <v>0</v>
      </c>
      <c r="CJ79" s="510">
        <f ca="1">(CJ$78=$B$9)*CJ71+((CJ$78-CJ$70)/(CK$70-CJ$70)*CK71+(CJ$70-CI$78)/(CJ$70-CI$70)*CJ71)*(CJ$78&gt;$B$10)+IF(CJ$78=$B$10,SUM($F71:CI71)-SUM($F79:CI79)+CJ71+(CJ$78-CJ$70)/(CK$70-CJ$70)*CK71,0)</f>
        <v>0</v>
      </c>
      <c r="CK79" s="510">
        <f ca="1">(CK$78=$B$9)*CK71+((CK$78-CK$70)/(CL$70-CK$70)*CL71+(CK$70-CJ$78)/(CK$70-CJ$70)*CK71)*(CK$78&gt;$B$10)+IF(CK$78=$B$10,SUM($F71:CJ71)-SUM($F79:CJ79)+CK71+(CK$78-CK$70)/(CL$70-CK$70)*CL71,0)</f>
        <v>0</v>
      </c>
      <c r="CL79" s="510">
        <f ca="1">(CL$78=$B$9)*CL71+((CL$78-CL$70)/(CM$70-CL$70)*CM71+(CL$70-CK$78)/(CL$70-CK$70)*CL71)*(CL$78&gt;$B$10)+IF(CL$78=$B$10,SUM($F71:CK71)-SUM($F79:CK79)+CL71+(CL$78-CL$70)/(CM$70-CL$70)*CM71,0)</f>
        <v>0</v>
      </c>
      <c r="CM79" s="510">
        <f ca="1">(CM$78=$B$9)*CM71+((CM$78-CM$70)/(CN$70-CM$70)*CN71+(CM$70-CL$78)/(CM$70-CL$70)*CM71)*(CM$78&gt;$B$10)+IF(CM$78=$B$10,SUM($F71:CL71)-SUM($F79:CL79)+CM71+(CM$78-CM$70)/(CN$70-CM$70)*CN71,0)</f>
        <v>0</v>
      </c>
      <c r="CN79" s="510">
        <f ca="1">(CN$78=$B$9)*CN71+((CN$78-CN$70)/(CO$70-CN$70)*CO71+(CN$70-CM$78)/(CN$70-CM$70)*CN71)*(CN$78&gt;$B$10)+IF(CN$78=$B$10,SUM($F71:CM71)-SUM($F79:CM79)+CN71+(CN$78-CN$70)/(CO$70-CN$70)*CO71,0)</f>
        <v>0</v>
      </c>
      <c r="CO79" s="510">
        <f ca="1">(CO$78=$B$9)*CO71+((CO$78-CO$70)/(CP$70-CO$70)*CP71+(CO$70-CN$78)/(CO$70-CN$70)*CO71)*(CO$78&gt;$B$10)+IF(CO$78=$B$10,SUM($F71:CN71)-SUM($F79:CN79)+CO71+(CO$78-CO$70)/(CP$70-CO$70)*CP71,0)</f>
        <v>0</v>
      </c>
      <c r="CP79" s="510">
        <f ca="1">(CP$78=$B$9)*CP71+((CP$78-CP$70)/(CQ$70-CP$70)*CQ71+(CP$70-CO$78)/(CP$70-CO$70)*CP71)*(CP$78&gt;$B$10)+IF(CP$78=$B$10,SUM($F71:CO71)-SUM($F79:CO79)+CP71+(CP$78-CP$70)/(CQ$70-CP$70)*CQ71,0)</f>
        <v>0</v>
      </c>
      <c r="CQ79" s="510">
        <f ca="1">(CQ$78=$B$9)*CQ71+((CQ$78-CQ$70)/(CR$70-CQ$70)*CR71+(CQ$70-CP$78)/(CQ$70-CP$70)*CQ71)*(CQ$78&gt;$B$10)+IF(CQ$78=$B$10,SUM($F71:CP71)-SUM($F79:CP79)+CQ71+(CQ$78-CQ$70)/(CR$70-CQ$70)*CR71,0)</f>
        <v>0</v>
      </c>
      <c r="CR79" s="510">
        <f ca="1">(CR$78=$B$9)*CR71+((CR$78-CR$70)/(CS$70-CR$70)*CS71+(CR$70-CQ$78)/(CR$70-CQ$70)*CR71)*(CR$78&gt;$B$10)+IF(CR$78=$B$10,SUM($F71:CQ71)-SUM($F79:CQ79)+CR71+(CR$78-CR$70)/(CS$70-CR$70)*CS71,0)</f>
        <v>0</v>
      </c>
      <c r="CS79" s="510">
        <f ca="1">(CS$78=$B$9)*CS71+((CS$78-CS$70)/(CT$70-CS$70)*CT71+(CS$70-CR$78)/(CS$70-CR$70)*CS71)*(CS$78&gt;$B$10)+IF(CS$78=$B$10,SUM($F71:CR71)-SUM($F79:CR79)+CS71+(CS$78-CS$70)/(CT$70-CS$70)*CT71,0)</f>
        <v>0</v>
      </c>
      <c r="CT79" s="510">
        <f ca="1">(CT$78=$B$9)*CT71+((CT$78-CT$70)/(CU$70-CT$70)*CU71+(CT$70-CS$78)/(CT$70-CS$70)*CT71)*(CT$78&gt;$B$10)+IF(CT$78=$B$10,SUM($F71:CS71)-SUM($F79:CS79)+CT71+(CT$78-CT$70)/(CU$70-CT$70)*CU71,0)</f>
        <v>0</v>
      </c>
      <c r="CU79" s="510">
        <f ca="1">(CU$78=$B$9)*CU71+((CU$78-CU$70)/(CV$70-CU$70)*CV71+(CU$70-CT$78)/(CU$70-CT$70)*CU71)*(CU$78&gt;$B$10)+IF(CU$78=$B$10,SUM($F71:CT71)-SUM($F79:CT79)+CU71+(CU$78-CU$70)/(CV$70-CU$70)*CV71,0)</f>
        <v>0</v>
      </c>
      <c r="CV79" s="510">
        <f ca="1">(CV$78=$B$9)*CV71+((CV$78-CV$70)/(CW$70-CV$70)*CW71+(CV$70-CU$78)/(CV$70-CU$70)*CV71)*(CV$78&gt;$B$10)+IF(CV$78=$B$10,SUM($F71:CU71)-SUM($F79:CU79)+CV71+(CV$78-CV$70)/(CW$70-CV$70)*CW71,0)</f>
        <v>0</v>
      </c>
      <c r="CW79" s="510">
        <f ca="1">(CW$78=$B$9)*CW71+((CW$78-CW$70)/(CX$70-CW$70)*CX71+(CW$70-CV$78)/(CW$70-CV$70)*CW71)*(CW$78&gt;$B$10)+IF(CW$78=$B$10,SUM($F71:CV71)-SUM($F79:CV79)+CW71+(CW$78-CW$70)/(CX$70-CW$70)*CX71,0)</f>
        <v>0</v>
      </c>
      <c r="CX79" s="510">
        <f ca="1">(CX$78=$B$9)*CX71+((CX$78-CX$70)/(CY$70-CX$70)*CY71+(CX$70-CW$78)/(CX$70-CW$70)*CX71)*(CX$78&gt;$B$10)+IF(CX$78=$B$10,SUM($F71:CW71)-SUM($F79:CW79)+CX71+(CX$78-CX$70)/(CY$70-CX$70)*CY71,0)</f>
        <v>0</v>
      </c>
      <c r="CY79" s="510">
        <f ca="1">(CY$78=$B$9)*CY71+((CY$78-CY$70)/(CZ$70-CY$70)*CZ71+(CY$70-CX$78)/(CY$70-CX$70)*CY71)*(CY$78&gt;$B$10)+IF(CY$78=$B$10,SUM($F71:CX71)-SUM($F79:CX79)+CY71+(CY$78-CY$70)/(CZ$70-CY$70)*CZ71,0)</f>
        <v>0</v>
      </c>
      <c r="CZ79" s="510">
        <f ca="1">(CZ$78=$B$9)*CZ71+((CZ$78-CZ$70)/(DA$70-CZ$70)*DA71+(CZ$70-CY$78)/(CZ$70-CY$70)*CZ71)*(CZ$78&gt;$B$10)+IF(CZ$78=$B$10,SUM($F71:CY71)-SUM($F79:CY79)+CZ71+(CZ$78-CZ$70)/(DA$70-CZ$70)*DA71,0)</f>
        <v>0</v>
      </c>
      <c r="DA79" s="510">
        <f ca="1">(DA$78=$B$9)*DA71+((DA$78-DA$70)/(DB$70-DA$70)*DB71+(DA$70-CZ$78)/(DA$70-CZ$70)*DA71)*(DA$78&gt;$B$10)+IF(DA$78=$B$10,SUM($F71:CZ71)-SUM($F79:CZ79)+DA71+(DA$78-DA$70)/(DB$70-DA$70)*DB71,0)</f>
        <v>0</v>
      </c>
      <c r="DB79" s="510">
        <f ca="1">(DB$78=$B$9)*DB71+((DB$78-DB$70)/(DC$70-DB$70)*DC71+(DB$70-DA$78)/(DB$70-DA$70)*DB71)*(DB$78&gt;$B$10)+IF(DB$78=$B$10,SUM($F71:DA71)-SUM($F79:DA79)+DB71+(DB$78-DB$70)/(DC$70-DB$70)*DC71,0)</f>
        <v>0</v>
      </c>
      <c r="DC79" s="510">
        <f ca="1">(DC$78=$B$9)*DC71+((DC$78-DC$70)/(DD$70-DC$70)*DD71+(DC$70-DB$78)/(DC$70-DB$70)*DC71)*(DC$78&gt;$B$10)+IF(DC$78=$B$10,SUM($F71:DB71)-SUM($F79:DB79)+DC71+(DC$78-DC$70)/(DD$70-DC$70)*DD71,0)</f>
        <v>0</v>
      </c>
      <c r="DD79" s="510">
        <f ca="1">(DD$78=$B$9)*DD71+((DD$78-DD$70)/(DE$70-DD$70)*DE71+(DD$70-DC$78)/(DD$70-DC$70)*DD71)*(DD$78&gt;$B$10)+IF(DD$78=$B$10,SUM($F71:DC71)-SUM($F79:DC79)+DD71+(DD$78-DD$70)/(DE$70-DD$70)*DE71,0)</f>
        <v>0</v>
      </c>
      <c r="DE79" s="510">
        <f ca="1">(DE$78=$B$9)*DE71+((DE$78-DE$70)/(DF$70-DE$70)*DF71+(DE$70-DD$78)/(DE$70-DD$70)*DE71)*(DE$78&gt;$B$10)+IF(DE$78=$B$10,SUM($F71:DD71)-SUM($F79:DD79)+DE71+(DE$78-DE$70)/(DF$70-DE$70)*DF71,0)</f>
        <v>0</v>
      </c>
      <c r="DF79" s="510">
        <f ca="1">(DF$78=$B$9)*DF71+((DF$78-DF$70)/(DG$70-DF$70)*DG71+(DF$70-DE$78)/(DF$70-DE$70)*DF71)*(DF$78&gt;$B$10)+IF(DF$78=$B$10,SUM($F71:DE71)-SUM($F79:DE79)+DF71+(DF$78-DF$70)/(DG$70-DF$70)*DG71,0)</f>
        <v>0</v>
      </c>
      <c r="DG79" s="510">
        <f ca="1">(DG$78=$B$9)*DG71+((DG$78-DG$70)/(DH$70-DG$70)*DH71+(DG$70-DF$78)/(DG$70-DF$70)*DG71)*(DG$78&gt;$B$10)+IF(DG$78=$B$10,SUM($F71:DF71)-SUM($F79:DF79)+DG71+(DG$78-DG$70)/(DH$70-DG$70)*DH71,0)</f>
        <v>0</v>
      </c>
      <c r="DH79" s="510">
        <f ca="1">(DH$78=$B$9)*DH71+((DH$78-DH$70)/(DI$70-DH$70)*DI71+(DH$70-DG$78)/(DH$70-DG$70)*DH71)*(DH$78&gt;$B$10)+IF(DH$78=$B$10,SUM($F71:DG71)-SUM($F79:DG79)+DH71+(DH$78-DH$70)/(DI$70-DH$70)*DI71,0)</f>
        <v>0</v>
      </c>
      <c r="DI79" s="510">
        <f ca="1">(DI$78=$B$9)*DI71+((DI$78-DI$70)/(DJ$70-DI$70)*DJ71+(DI$70-DH$78)/(DI$70-DH$70)*DI71)*(DI$78&gt;$B$10)+IF(DI$78=$B$10,SUM($F71:DH71)-SUM($F79:DH79)+DI71+(DI$78-DI$70)/(DJ$70-DI$70)*DJ71,0)</f>
        <v>0</v>
      </c>
      <c r="DJ79" s="510">
        <f ca="1">(DJ$78=$B$9)*DJ71+((DJ$78-DJ$70)/(DK$70-DJ$70)*DK71+(DJ$70-DI$78)/(DJ$70-DI$70)*DJ71)*(DJ$78&gt;$B$10)+IF(DJ$78=$B$10,SUM($F71:DI71)-SUM($F79:DI79)+DJ71+(DJ$78-DJ$70)/(DK$70-DJ$70)*DK71,0)</f>
        <v>0</v>
      </c>
      <c r="DK79" s="510">
        <f ca="1">(DK$78=$B$9)*DK71+((DK$78-DK$70)/(DL$70-DK$70)*DL71+(DK$70-DJ$78)/(DK$70-DJ$70)*DK71)*(DK$78&gt;$B$10)+IF(DK$78=$B$10,SUM($F71:DJ71)-SUM($F79:DJ79)+DK71+(DK$78-DK$70)/(DL$70-DK$70)*DL71,0)</f>
        <v>0</v>
      </c>
      <c r="DL79" s="510">
        <f ca="1">(DL$78=$B$9)*DL71+((DL$78-DL$70)/(DM$70-DL$70)*DM71+(DL$70-DK$78)/(DL$70-DK$70)*DL71)*(DL$78&gt;$B$10)+IF(DL$78=$B$10,SUM($F71:DK71)-SUM($F79:DK79)+DL71+(DL$78-DL$70)/(DM$70-DL$70)*DM71,0)</f>
        <v>0</v>
      </c>
      <c r="DM79" s="510">
        <f ca="1">(DM$78=$B$9)*DM71+((DM$78-DM$70)/(DN$70-DM$70)*DN71+(DM$70-DL$78)/(DM$70-DL$70)*DM71)*(DM$78&gt;$B$10)+IF(DM$78=$B$10,SUM($F71:DL71)-SUM($F79:DL79)+DM71+(DM$78-DM$70)/(DN$70-DM$70)*DN71,0)</f>
        <v>0</v>
      </c>
      <c r="DN79" s="510">
        <f ca="1">(DN$78=$B$9)*DN71+((DN$78-DN$70)/(DO$70-DN$70)*DO71+(DN$70-DM$78)/(DN$70-DM$70)*DN71)*(DN$78&gt;$B$10)+IF(DN$78=$B$10,SUM($F71:DM71)-SUM($F79:DM79)+DN71+(DN$78-DN$70)/(DO$70-DN$70)*DO71,0)</f>
        <v>0</v>
      </c>
      <c r="DO79" s="510">
        <f ca="1">(DO$78=$B$9)*DO71+((DO$78-DO$70)/(DP$70-DO$70)*DP71+(DO$70-DN$78)/(DO$70-DN$70)*DO71)*(DO$78&gt;$B$10)+IF(DO$78=$B$10,SUM($F71:DN71)-SUM($F79:DN79)+DO71+(DO$78-DO$70)/(DP$70-DO$70)*DP71,0)</f>
        <v>0</v>
      </c>
      <c r="DP79" s="510">
        <f ca="1">(DP$78=$B$9)*DP71+((DP$78-DP$70)/(DQ$70-DP$70)*DQ71+(DP$70-DO$78)/(DP$70-DO$70)*DP71)*(DP$78&gt;$B$10)+IF(DP$78=$B$10,SUM($F71:DO71)-SUM($F79:DO79)+DP71+(DP$78-DP$70)/(DQ$70-DP$70)*DQ71,0)</f>
        <v>0</v>
      </c>
      <c r="DQ79" s="510">
        <f ca="1">(DQ$78=$B$9)*DQ71+((DQ$78-DQ$70)/(DR$70-DQ$70)*DR71+(DQ$70-DP$78)/(DQ$70-DP$70)*DQ71)*(DQ$78&gt;$B$10)+IF(DQ$78=$B$10,SUM($F71:DP71)-SUM($F79:DP79)+DQ71+(DQ$78-DQ$70)/(DR$70-DQ$70)*DR71,0)</f>
        <v>0</v>
      </c>
      <c r="DR79" s="510">
        <f ca="1">(DR$78=$B$9)*DR71+((DR$78-DR$70)/(DS$70-DR$70)*DS71+(DR$70-DQ$78)/(DR$70-DQ$70)*DR71)*(DR$78&gt;$B$10)+IF(DR$78=$B$10,SUM($F71:DQ71)-SUM($F79:DQ79)+DR71+(DR$78-DR$70)/(DS$70-DR$70)*DS71,0)</f>
        <v>0</v>
      </c>
      <c r="DS79" s="510">
        <f ca="1">(DS$78=$B$9)*DS71+((DS$78-DS$70)/(DT$70-DS$70)*DT71+(DS$70-DR$78)/(DS$70-DR$70)*DS71)*(DS$78&gt;$B$10)+IF(DS$78=$B$10,SUM($F71:DR71)-SUM($F79:DR79)+DS71+(DS$78-DS$70)/(DT$70-DS$70)*DT71,0)</f>
        <v>0</v>
      </c>
      <c r="DT79" s="510">
        <f ca="1">(DT$78=$B$9)*DT71+((DT$78-DT$70)/(DU$70-DT$70)*DU71+(DT$70-DS$78)/(DT$70-DS$70)*DT71)*(DT$78&gt;$B$10)+IF(DT$78=$B$10,SUM($F71:DS71)-SUM($F79:DS79)+DT71+(DT$78-DT$70)/(DU$70-DT$70)*DU71,0)</f>
        <v>0</v>
      </c>
      <c r="DU79" s="510">
        <f ca="1">(DU$78=$B$9)*DU71+((DU$78-DU$70)/(DV$70-DU$70)*DV71+(DU$70-DT$78)/(DU$70-DT$70)*DU71)*(DU$78&gt;$B$10)+IF(DU$78=$B$10,SUM($F71:DT71)-SUM($F79:DT79)+DU71+(DU$78-DU$70)/(DV$70-DU$70)*DV71,0)</f>
        <v>0</v>
      </c>
      <c r="DV79" s="510">
        <f ca="1">(DV$78=$B$9)*DV71+((DV$78-DV$70)/(DW$70-DV$70)*DW71+(DV$70-DU$78)/(DV$70-DU$70)*DV71)*(DV$78&gt;$B$10)+IF(DV$78=$B$10,SUM($F71:DU71)-SUM($F79:DU79)+DV71+(DV$78-DV$70)/(DW$70-DV$70)*DW71,0)</f>
        <v>0</v>
      </c>
      <c r="DW79" s="510">
        <f ca="1">(DW$78=$B$9)*DW71+((DW$78-DW$70)/(DX$70-DW$70)*DX71+(DW$70-DV$78)/(DW$70-DV$70)*DW71)*(DW$78&gt;$B$10)+IF(DW$78=$B$10,SUM($F71:DV71)-SUM($F79:DV79)+DW71+(DW$78-DW$70)/(DX$70-DW$70)*DX71,0)</f>
        <v>0</v>
      </c>
    </row>
    <row r="80" spans="1:127">
      <c r="A80" s="1019" t="str">
        <f>A72</f>
        <v>SHL Gross Interests</v>
      </c>
      <c r="B80" s="971"/>
      <c r="C80" s="971"/>
      <c r="D80" s="471"/>
      <c r="E80" s="471"/>
      <c r="F80" s="518"/>
      <c r="G80" s="510">
        <f ca="1">(G$78=$B$9)*G72+((G$78-G$70)/(H$70-G$70)*H72+(G$70-F$78)/(G$70-F$70)*G72)*(G$78&gt;$B$10)+IF(G$78=$B$10,SUM($F72:F72)-SUM($F80:F80)+G72+(G$78-G$70)/(H$70-G$70)*H72,0)</f>
        <v>0</v>
      </c>
      <c r="H80" s="510">
        <f ca="1">(H$78=$B$9)*H72+((H$78-H$70)/(I$70-H$70)*I72+(H$70-G$78)/(H$70-G$70)*H72)*(H$78&gt;$B$10)+IF(H$78=$B$10,SUM($F72:G72)-SUM($F80:G80)+H72+(H$78-H$70)/(I$70-H$70)*I72,0)</f>
        <v>337.69539242776295</v>
      </c>
      <c r="I80" s="510">
        <f ca="1">(I$78=$B$9)*I72+((I$78-I$70)/(J$70-I$70)*J72+(I$70-H$78)/(I$70-H$70)*I72)*(I$78&gt;$B$10)+IF(I$78=$B$10,SUM($F72:H72)-SUM($F80:H80)+I72+(I$78-I$70)/(J$70-I$70)*J72,0)</f>
        <v>330.39500489049681</v>
      </c>
      <c r="J80" s="510">
        <f ca="1">(J$78=$B$9)*J72+((J$78-J$70)/(K$70-J$70)*K72+(J$70-I$78)/(J$70-I$70)*J72)*(J$78&gt;$B$10)+IF(J$78=$B$10,SUM($F72:I72)-SUM($F80:I80)+J72+(J$78-J$70)/(K$70-J$70)*K72,0)</f>
        <v>336.12334527386264</v>
      </c>
      <c r="K80" s="510">
        <f ca="1">(K$78=$B$9)*K72+((K$78-K$70)/(L$70-K$70)*L72+(K$70-J$78)/(K$70-J$70)*K72)*(K$78&gt;$B$10)+IF(K$78=$B$10,SUM($F72:J72)-SUM($F80:J80)+K72+(K$78-K$70)/(L$70-K$70)*L72,0)</f>
        <v>340.54030952662924</v>
      </c>
      <c r="L80" s="510">
        <f ca="1">(L$78=$B$9)*L72+((L$78-L$70)/(M$70-L$70)*M72+(L$70-K$78)/(L$70-K$70)*L72)*(L$78&gt;$B$10)+IF(L$78=$B$10,SUM($F72:K72)-SUM($F80:K80)+L72+(L$78-L$70)/(M$70-L$70)*M72,0)</f>
        <v>344.09345138506251</v>
      </c>
      <c r="M80" s="510">
        <f ca="1">(M$78=$B$9)*M72+((M$78-M$70)/(N$70-M$70)*N72+(M$70-L$78)/(M$70-L$70)*M72)*(M$78&gt;$B$10)+IF(M$78=$B$10,SUM($F72:L72)-SUM($F80:L80)+M72+(M$78-M$70)/(N$70-M$70)*N72,0)</f>
        <v>345.50012950182622</v>
      </c>
      <c r="N80" s="510">
        <f ca="1">(N$78=$B$9)*N72+((N$78-N$70)/(O$70-N$70)*O72+(N$70-M$78)/(N$70-M$70)*N72)*(N$78&gt;$B$10)+IF(N$78=$B$10,SUM($F72:M72)-SUM($F80:M80)+N72+(N$78-N$70)/(O$70-N$70)*O72,0)</f>
        <v>349.25622236812552</v>
      </c>
      <c r="O80" s="510">
        <f ca="1">(O$78=$B$9)*O72+((O$78-O$70)/(P$70-O$70)*P72+(O$70-N$78)/(O$70-N$70)*O72)*(O$78&gt;$B$10)+IF(O$78=$B$10,SUM($F72:N72)-SUM($F80:N80)+O72+(O$78-O$70)/(P$70-O$70)*P72,0)</f>
        <v>347.81409238970855</v>
      </c>
      <c r="P80" s="510">
        <f ca="1">(P$78=$B$9)*P72+((P$78-P$70)/(Q$70-P$70)*Q72+(P$70-O$78)/(P$70-O$70)*P72)*(P$78&gt;$B$10)+IF(P$78=$B$10,SUM($F72:O72)-SUM($F80:O80)+P72+(P$78-P$70)/(Q$70-P$70)*Q72,0)</f>
        <v>354.49596564466589</v>
      </c>
      <c r="Q80" s="510">
        <f ca="1">(Q$78=$B$9)*Q72+((Q$78-Q$70)/(R$70-Q$70)*R72+(Q$70-P$78)/(Q$70-P$70)*Q72)*(Q$78&gt;$B$10)+IF(Q$78=$B$10,SUM($F72:P72)-SUM($F80:P80)+Q72+(Q$78-Q$70)/(R$70-Q$70)*R72,0)</f>
        <v>350.11224247122021</v>
      </c>
      <c r="R80" s="510">
        <f ca="1">(R$78=$B$9)*R72+((R$78-R$70)/(S$70-R$70)*S72+(R$70-Q$78)/(R$70-Q$70)*R72)*(R$78&gt;$B$10)+IF(R$78=$B$10,SUM($F72:Q72)-SUM($F80:Q80)+R72+(R$78-R$70)/(S$70-R$70)*S72,0)</f>
        <v>358.83088122706903</v>
      </c>
      <c r="S80" s="510">
        <f ca="1">(S$78=$B$9)*S72+((S$78-S$70)/(T$70-S$70)*T72+(S$70-R$78)/(S$70-R$70)*S72)*(S$78&gt;$B$10)+IF(S$78=$B$10,SUM($F72:R72)-SUM($F80:R80)+S72+(S$78-S$70)/(T$70-S$70)*T72,0)</f>
        <v>353.42924069042391</v>
      </c>
      <c r="T80" s="510">
        <f ca="1">(T$78=$B$9)*T72+((T$78-T$70)/(U$70-T$70)*U72+(T$70-S$78)/(T$70-S$70)*T72)*(T$78&gt;$B$10)+IF(T$78=$B$10,SUM($F72:S72)-SUM($F80:S80)+T72+(T$78-T$70)/(U$70-T$70)*U72,0)</f>
        <v>365.20972055957083</v>
      </c>
      <c r="U80" s="510">
        <f ca="1">(U$78=$B$9)*U72+((U$78-U$70)/(V$70-U$70)*V72+(U$70-T$78)/(U$70-T$70)*U72)*(U$78&gt;$B$10)+IF(U$78=$B$10,SUM($F72:T72)-SUM($F80:T80)+U72+(U$78-U$70)/(V$70-U$70)*V72,0)</f>
        <v>354.49685383667685</v>
      </c>
      <c r="V80" s="510">
        <f ca="1">(V$78=$B$9)*V72+((V$78-V$70)/(W$70-V$70)*W72+(V$70-U$78)/(V$70-U$70)*V72)*(V$78&gt;$B$10)+IF(V$78=$B$10,SUM($F72:U72)-SUM($F80:U80)+V72+(V$78-V$70)/(W$70-V$70)*W72,0)</f>
        <v>370.68564309001664</v>
      </c>
      <c r="W80" s="510">
        <f ca="1">(W$78=$B$9)*W72+((W$78-W$70)/(X$70-W$70)*X72+(W$70-V$78)/(W$70-V$70)*W72)*(W$78&gt;$B$10)+IF(W$78=$B$10,SUM($F72:V72)-SUM($F80:V80)+W72+(W$78-W$70)/(X$70-W$70)*X72,0)</f>
        <v>356.50987783337104</v>
      </c>
      <c r="X80" s="510">
        <f ca="1">(X$78=$B$9)*X72+((X$78-X$70)/(Y$70-X$70)*Y72+(X$70-W$78)/(X$70-W$70)*X72)*(X$78&gt;$B$10)+IF(X$78=$B$10,SUM($F72:W72)-SUM($F80:W80)+X72+(X$78-X$70)/(Y$70-X$70)*Y72,0)</f>
        <v>376.24234675006556</v>
      </c>
      <c r="Y80" s="510">
        <f ca="1">(Y$78=$B$9)*Y72+((Y$78-Y$70)/(Z$70-Y$70)*Z72+(Y$70-X$78)/(Y$70-X$70)*Y72)*(Y$78&gt;$B$10)+IF(Y$78=$B$10,SUM($F72:X72)-SUM($F80:X80)+Y72+(Y$78-Y$70)/(Z$70-Y$70)*Z72,0)</f>
        <v>358.3788557966999</v>
      </c>
      <c r="Z80" s="510">
        <f ca="1">(Z$78=$B$9)*Z72+((Z$78-Z$70)/(AA$70-Z$70)*AA72+(Z$70-Y$78)/(Z$70-Y$70)*Z72)*(Z$78&gt;$B$10)+IF(Z$78=$B$10,SUM($F72:Y72)-SUM($F80:Y80)+Z72+(Z$78-Z$70)/(AA$70-Z$70)*AA72,0)</f>
        <v>380.83813447114278</v>
      </c>
      <c r="AA80" s="510">
        <f ca="1">(AA$78=$B$9)*AA72+((AA$78-AA$70)/(AB$70-AA$70)*AB72+(AA$70-Z$78)/(AA$70-Z$70)*AA72)*(AA$78&gt;$B$10)+IF(AA$78=$B$10,SUM($F72:Z72)-SUM($F80:Z80)+AA72+(AA$78-AA$70)/(AB$70-AA$70)*AB72,0)</f>
        <v>361.08250450303615</v>
      </c>
      <c r="AB80" s="510">
        <f ca="1">(AB$78=$B$9)*AB72+((AB$78-AB$70)/(AC$70-AB$70)*AC72+(AB$70-AA$78)/(AB$70-AA$70)*AB72)*(AB$78&gt;$B$10)+IF(AB$78=$B$10,SUM($F72:AA72)-SUM($F80:AA80)+AB72+(AB$78-AB$70)/(AC$70-AB$70)*AC72,0)</f>
        <v>362.13050920316886</v>
      </c>
      <c r="AC80" s="510">
        <f ca="1">(AC$78=$B$9)*AC72+((AC$78-AC$70)/(AD$70-AC$70)*AD72+(AC$70-AB$78)/(AC$70-AB$70)*AC72)*(AC$78&gt;$B$10)+IF(AC$78=$B$10,SUM($F72:AB72)-SUM($F80:AB80)+AC72+(AC$78-AC$70)/(AD$70-AC$70)*AD72,0)</f>
        <v>341.69449350399066</v>
      </c>
      <c r="AD80" s="510">
        <f ca="1">(AD$78=$B$9)*AD72+((AD$78-AD$70)/(AE$70-AD$70)*AE72+(AD$70-AC$78)/(AD$70-AC$70)*AD72)*(AD$78&gt;$B$10)+IF(AD$78=$B$10,SUM($F72:AC72)-SUM($F80:AC80)+AD72+(AD$78-AD$70)/(AE$70-AD$70)*AE72,0)</f>
        <v>367.93763959282819</v>
      </c>
      <c r="AE80" s="510">
        <f ca="1">(AE$78=$B$9)*AE72+((AE$78-AE$70)/(AF$70-AE$70)*AF72+(AE$70-AD$78)/(AE$70-AD$70)*AE72)*(AE$78&gt;$B$10)+IF(AE$78=$B$10,SUM($F72:AD72)-SUM($F80:AD80)+AE72+(AE$78-AE$70)/(AF$70-AE$70)*AF72,0)</f>
        <v>347.17016568164627</v>
      </c>
      <c r="AF80" s="510">
        <f ca="1">(AF$78=$B$9)*AF72+((AF$78-AF$70)/(AG$70-AF$70)*AG72+(AF$70-AE$78)/(AF$70-AE$70)*AF72)*(AF$78&gt;$B$10)+IF(AF$78=$B$10,SUM($F72:AE72)-SUM($F80:AE80)+AF72+(AF$78-AF$70)/(AG$70-AF$70)*AG72,0)</f>
        <v>1079.6279085695371</v>
      </c>
      <c r="AG80" s="510">
        <f ca="1">(AG$78=$B$9)*AG72+((AG$78-AG$70)/(AH$70-AG$70)*AH72+(AG$70-AF$78)/(AG$70-AF$70)*AG72)*(AG$78&gt;$B$10)+IF(AG$78=$B$10,SUM($F72:AF72)-SUM($F80:AF80)+AG72+(AG$78-AG$70)/(AH$70-AG$70)*AH72,0)</f>
        <v>1053.1643813993501</v>
      </c>
      <c r="AH80" s="510">
        <f ca="1">(AH$78=$B$9)*AH72+((AH$78-AH$70)/(AI$70-AH$70)*AI72+(AH$70-AG$78)/(AH$70-AG$70)*AH72)*(AH$78&gt;$B$10)+IF(AH$78=$B$10,SUM($F72:AG72)-SUM($F80:AG80)+AH72+(AH$78-AH$70)/(AI$70-AH$70)*AI72,0)</f>
        <v>1067.2261508406605</v>
      </c>
      <c r="AI80" s="510">
        <f ca="1">(AI$78=$B$9)*AI72+((AI$78-AI$70)/(AJ$70-AI$70)*AJ72+(AI$70-AH$78)/(AI$70-AH$70)*AI72)*(AI$78&gt;$B$10)+IF(AI$78=$B$10,SUM($F72:AH72)-SUM($F80:AH80)+AI72+(AI$78-AI$70)/(AJ$70-AI$70)*AJ72,0)</f>
        <v>1045.3368556386542</v>
      </c>
      <c r="AJ80" s="510">
        <f ca="1">(AJ$78=$B$9)*AJ72+((AJ$78-AJ$70)/(AK$70-AJ$70)*AK72+(AJ$70-AI$78)/(AJ$70-AI$70)*AJ72)*(AJ$78&gt;$B$10)+IF(AJ$78=$B$10,SUM($F72:AI72)-SUM($F80:AI80)+AJ72+(AJ$78-AJ$70)/(AK$70-AJ$70)*AK72,0)</f>
        <v>1051.7843464975513</v>
      </c>
      <c r="AK80" s="510">
        <f ca="1">(AK$78=$B$9)*AK72+((AK$78-AK$70)/(AL$70-AK$70)*AL72+(AK$70-AJ$78)/(AK$70-AJ$70)*AK72)*(AK$78&gt;$B$10)+IF(AK$78=$B$10,SUM($F72:AJ72)-SUM($F80:AJ80)+AK72+(AK$78-AK$70)/(AL$70-AK$70)*AL72,0)</f>
        <v>957.65158971621952</v>
      </c>
      <c r="AL80" s="510">
        <f ca="1">(AL$78=$B$9)*AL72+((AL$78-AL$70)/(AM$70-AL$70)*AM72+(AL$70-AK$78)/(AL$70-AK$70)*AL72)*(AL$78&gt;$B$10)+IF(AL$78=$B$10,SUM($F72:AK72)-SUM($F80:AK80)+AL72+(AL$78-AL$70)/(AM$70-AL$70)*AM72,0)</f>
        <v>909.4305060182769</v>
      </c>
      <c r="AM80" s="510">
        <f ca="1">(AM$78=$B$9)*AM72+((AM$78-AM$70)/(AN$70-AM$70)*AN72+(AM$70-AL$78)/(AM$70-AL$70)*AM72)*(AM$78&gt;$B$10)+IF(AM$78=$B$10,SUM($F72:AL72)-SUM($F80:AL80)+AM72+(AM$78-AM$70)/(AN$70-AM$70)*AN72,0)</f>
        <v>817.0018789195168</v>
      </c>
      <c r="AN80" s="510">
        <f ca="1">(AN$78=$B$9)*AN72+((AN$78-AN$70)/(AO$70-AN$70)*AO72+(AN$70-AM$78)/(AN$70-AM$70)*AN72)*(AN$78&gt;$B$10)+IF(AN$78=$B$10,SUM($F72:AM72)-SUM($F80:AM80)+AN72+(AN$78-AN$70)/(AO$70-AN$70)*AO72,0)</f>
        <v>758.24023368935423</v>
      </c>
      <c r="AO80" s="510">
        <f ca="1">(AO$78=$B$9)*AO72+((AO$78-AO$70)/(AP$70-AO$70)*AP72+(AO$70-AN$78)/(AO$70-AN$70)*AO72)*(AO$78&gt;$B$10)+IF(AO$78=$B$10,SUM($F72:AN72)-SUM($F80:AN80)+AO72+(AO$78-AO$70)/(AP$70-AO$70)*AP72,0)</f>
        <v>660.05511861643151</v>
      </c>
      <c r="AP80" s="510">
        <f ca="1">(AP$78=$B$9)*AP72+((AP$78-AP$70)/(AQ$70-AP$70)*AQ72+(AP$70-AO$78)/(AP$70-AO$70)*AP72)*(AP$78&gt;$B$10)+IF(AP$78=$B$10,SUM($F72:AO72)-SUM($F80:AO80)+AP72+(AP$78-AP$70)/(AQ$70-AP$70)*AQ72,0)</f>
        <v>590.58419578386417</v>
      </c>
      <c r="AQ80" s="510">
        <f ca="1">(AQ$78=$B$9)*AQ72+((AQ$78-AQ$70)/(AR$70-AQ$70)*AR72+(AQ$70-AP$78)/(AQ$70-AP$70)*AQ72)*(AQ$78&gt;$B$10)+IF(AQ$78=$B$10,SUM($F72:AP72)-SUM($F80:AP80)+AQ72+(AQ$78-AQ$70)/(AR$70-AQ$70)*AR72,0)</f>
        <v>489.29024072657052</v>
      </c>
      <c r="AR80" s="510">
        <f ca="1">(AR$78=$B$9)*AR72+((AR$78-AR$70)/(AS$70-AR$70)*AS72+(AR$70-AQ$78)/(AR$70-AQ$70)*AR72)*(AR$78&gt;$B$10)+IF(AR$78=$B$10,SUM($F72:AQ72)-SUM($F80:AQ80)+AR72+(AR$78-AR$70)/(AS$70-AR$70)*AS72,0)</f>
        <v>405.29706022250343</v>
      </c>
      <c r="AS80" s="510">
        <f ca="1">(AS$78=$B$9)*AS72+((AS$78-AS$70)/(AT$70-AS$70)*AT72+(AS$70-AR$78)/(AS$70-AR$70)*AS72)*(AS$78&gt;$B$10)+IF(AS$78=$B$10,SUM($F72:AR72)-SUM($F80:AR80)+AS72+(AS$78-AS$70)/(AT$70-AS$70)*AT72,0)</f>
        <v>294.51570800587263</v>
      </c>
      <c r="AT80" s="510">
        <f ca="1">(AT$78=$B$9)*AT72+((AT$78-AT$70)/(AU$70-AT$70)*AU72+(AT$70-AS$78)/(AT$70-AS$70)*AT72)*(AT$78&gt;$B$10)+IF(AT$78=$B$10,SUM($F72:AS72)-SUM($F80:AS80)+AT72+(AT$78-AT$70)/(AU$70-AT$70)*AU72,0)</f>
        <v>200.7614209458323</v>
      </c>
      <c r="AU80" s="510">
        <f ca="1">(AU$78=$B$9)*AU72+((AU$78-AU$70)/(AV$70-AU$70)*AV72+(AU$70-AT$78)/(AU$70-AT$70)*AU72)*(AU$78&gt;$B$10)+IF(AU$78=$B$10,SUM($F72:AT72)-SUM($F80:AT80)+AU72+(AU$78-AU$70)/(AV$70-AU$70)*AV72,0)</f>
        <v>83.171508024754331</v>
      </c>
      <c r="AV80" s="510">
        <f ca="1">(AV$78=$B$9)*AV72+((AV$78-AV$70)/(AW$70-AV$70)*AW72+(AV$70-AU$78)/(AV$70-AU$70)*AV72)*(AV$78&gt;$B$10)+IF(AV$78=$B$10,SUM($F72:AU72)-SUM($F80:AU80)+AV72+(AV$78-AV$70)/(AW$70-AV$70)*AW72,0)</f>
        <v>0</v>
      </c>
      <c r="AW80" s="510">
        <f ca="1">(AW$78=$B$9)*AW72+((AW$78-AW$70)/(AX$70-AW$70)*AX72+(AW$70-AV$78)/(AW$70-AV$70)*AW72)*(AW$78&gt;$B$10)+IF(AW$78=$B$10,SUM($F72:AV72)-SUM($F80:AV80)+AW72+(AW$78-AW$70)/(AX$70-AW$70)*AX72,0)</f>
        <v>0</v>
      </c>
      <c r="AX80" s="510">
        <f ca="1">(AX$78=$B$9)*AX72+((AX$78-AX$70)/(AY$70-AX$70)*AY72+(AX$70-AW$78)/(AX$70-AW$70)*AX72)*(AX$78&gt;$B$10)+IF(AX$78=$B$10,SUM($F72:AW72)-SUM($F80:AW80)+AX72+(AX$78-AX$70)/(AY$70-AX$70)*AY72,0)</f>
        <v>0</v>
      </c>
      <c r="AY80" s="510">
        <f ca="1">(AY$78=$B$9)*AY72+((AY$78-AY$70)/(AZ$70-AY$70)*AZ72+(AY$70-AX$78)/(AY$70-AX$70)*AY72)*(AY$78&gt;$B$10)+IF(AY$78=$B$10,SUM($F72:AX72)-SUM($F80:AX80)+AY72+(AY$78-AY$70)/(AZ$70-AY$70)*AZ72,0)</f>
        <v>0</v>
      </c>
      <c r="AZ80" s="510">
        <f ca="1">(AZ$78=$B$9)*AZ72+((AZ$78-AZ$70)/(BA$70-AZ$70)*BA72+(AZ$70-AY$78)/(AZ$70-AY$70)*AZ72)*(AZ$78&gt;$B$10)+IF(AZ$78=$B$10,SUM($F72:AY72)-SUM($F80:AY80)+AZ72+(AZ$78-AZ$70)/(BA$70-AZ$70)*BA72,0)</f>
        <v>0</v>
      </c>
      <c r="BA80" s="510">
        <f ca="1">(BA$78=$B$9)*BA72+((BA$78-BA$70)/(BB$70-BA$70)*BB72+(BA$70-AZ$78)/(BA$70-AZ$70)*BA72)*(BA$78&gt;$B$10)+IF(BA$78=$B$10,SUM($F72:AZ72)-SUM($F80:AZ80)+BA72+(BA$78-BA$70)/(BB$70-BA$70)*BB72,0)</f>
        <v>0</v>
      </c>
      <c r="BB80" s="510">
        <f ca="1">(BB$78=$B$9)*BB72+((BB$78-BB$70)/(BC$70-BB$70)*BC72+(BB$70-BA$78)/(BB$70-BA$70)*BB72)*(BB$78&gt;$B$10)+IF(BB$78=$B$10,SUM($F72:BA72)-SUM($F80:BA80)+BB72+(BB$78-BB$70)/(BC$70-BB$70)*BC72,0)</f>
        <v>0</v>
      </c>
      <c r="BC80" s="510">
        <f ca="1">(BC$78=$B$9)*BC72+((BC$78-BC$70)/(BD$70-BC$70)*BD72+(BC$70-BB$78)/(BC$70-BB$70)*BC72)*(BC$78&gt;$B$10)+IF(BC$78=$B$10,SUM($F72:BB72)-SUM($F80:BB80)+BC72+(BC$78-BC$70)/(BD$70-BC$70)*BD72,0)</f>
        <v>0</v>
      </c>
      <c r="BD80" s="510">
        <f ca="1">(BD$78=$B$9)*BD72+((BD$78-BD$70)/(BE$70-BD$70)*BE72+(BD$70-BC$78)/(BD$70-BC$70)*BD72)*(BD$78&gt;$B$10)+IF(BD$78=$B$10,SUM($F72:BC72)-SUM($F80:BC80)+BD72+(BD$78-BD$70)/(BE$70-BD$70)*BE72,0)</f>
        <v>0</v>
      </c>
      <c r="BE80" s="510">
        <f ca="1">(BE$78=$B$9)*BE72+((BE$78-BE$70)/(BF$70-BE$70)*BF72+(BE$70-BD$78)/(BE$70-BD$70)*BE72)*(BE$78&gt;$B$10)+IF(BE$78=$B$10,SUM($F72:BD72)-SUM($F80:BD80)+BE72+(BE$78-BE$70)/(BF$70-BE$70)*BF72,0)</f>
        <v>0</v>
      </c>
      <c r="BF80" s="510">
        <f ca="1">(BF$78=$B$9)*BF72+((BF$78-BF$70)/(BG$70-BF$70)*BG72+(BF$70-BE$78)/(BF$70-BE$70)*BF72)*(BF$78&gt;$B$10)+IF(BF$78=$B$10,SUM($F72:BE72)-SUM($F80:BE80)+BF72+(BF$78-BF$70)/(BG$70-BF$70)*BG72,0)</f>
        <v>0</v>
      </c>
      <c r="BG80" s="510">
        <f ca="1">(BG$78=$B$9)*BG72+((BG$78-BG$70)/(BH$70-BG$70)*BH72+(BG$70-BF$78)/(BG$70-BF$70)*BG72)*(BG$78&gt;$B$10)+IF(BG$78=$B$10,SUM($F72:BF72)-SUM($F80:BF80)+BG72+(BG$78-BG$70)/(BH$70-BG$70)*BH72,0)</f>
        <v>0</v>
      </c>
      <c r="BH80" s="510">
        <f ca="1">(BH$78=$B$9)*BH72+((BH$78-BH$70)/(BI$70-BH$70)*BI72+(BH$70-BG$78)/(BH$70-BG$70)*BH72)*(BH$78&gt;$B$10)+IF(BH$78=$B$10,SUM($F72:BG72)-SUM($F80:BG80)+BH72+(BH$78-BH$70)/(BI$70-BH$70)*BI72,0)</f>
        <v>0</v>
      </c>
      <c r="BI80" s="510">
        <f ca="1">(BI$78=$B$9)*BI72+((BI$78-BI$70)/(BJ$70-BI$70)*BJ72+(BI$70-BH$78)/(BI$70-BH$70)*BI72)*(BI$78&gt;$B$10)+IF(BI$78=$B$10,SUM($F72:BH72)-SUM($F80:BH80)+BI72+(BI$78-BI$70)/(BJ$70-BI$70)*BJ72,0)</f>
        <v>0</v>
      </c>
      <c r="BJ80" s="510">
        <f ca="1">(BJ$78=$B$9)*BJ72+((BJ$78-BJ$70)/(BK$70-BJ$70)*BK72+(BJ$70-BI$78)/(BJ$70-BI$70)*BJ72)*(BJ$78&gt;$B$10)+IF(BJ$78=$B$10,SUM($F72:BI72)-SUM($F80:BI80)+BJ72+(BJ$78-BJ$70)/(BK$70-BJ$70)*BK72,0)</f>
        <v>0</v>
      </c>
      <c r="BK80" s="510">
        <f ca="1">(BK$78=$B$9)*BK72+((BK$78-BK$70)/(BL$70-BK$70)*BL72+(BK$70-BJ$78)/(BK$70-BJ$70)*BK72)*(BK$78&gt;$B$10)+IF(BK$78=$B$10,SUM($F72:BJ72)-SUM($F80:BJ80)+BK72+(BK$78-BK$70)/(BL$70-BK$70)*BL72,0)</f>
        <v>0</v>
      </c>
      <c r="BL80" s="510">
        <f ca="1">(BL$78=$B$9)*BL72+((BL$78-BL$70)/(BM$70-BL$70)*BM72+(BL$70-BK$78)/(BL$70-BK$70)*BL72)*(BL$78&gt;$B$10)+IF(BL$78=$B$10,SUM($F72:BK72)-SUM($F80:BK80)+BL72+(BL$78-BL$70)/(BM$70-BL$70)*BM72,0)</f>
        <v>0</v>
      </c>
      <c r="BM80" s="510">
        <f ca="1">(BM$78=$B$9)*BM72+((BM$78-BM$70)/(BN$70-BM$70)*BN72+(BM$70-BL$78)/(BM$70-BL$70)*BM72)*(BM$78&gt;$B$10)+IF(BM$78=$B$10,SUM($F72:BL72)-SUM($F80:BL80)+BM72+(BM$78-BM$70)/(BN$70-BM$70)*BN72,0)</f>
        <v>0</v>
      </c>
      <c r="BN80" s="510">
        <f ca="1">(BN$78=$B$9)*BN72+((BN$78-BN$70)/(BO$70-BN$70)*BO72+(BN$70-BM$78)/(BN$70-BM$70)*BN72)*(BN$78&gt;$B$10)+IF(BN$78=$B$10,SUM($F72:BM72)-SUM($F80:BM80)+BN72+(BN$78-BN$70)/(BO$70-BN$70)*BO72,0)</f>
        <v>0</v>
      </c>
      <c r="BO80" s="510">
        <f ca="1">(BO$78=$B$9)*BO72+((BO$78-BO$70)/(BP$70-BO$70)*BP72+(BO$70-BN$78)/(BO$70-BN$70)*BO72)*(BO$78&gt;$B$10)+IF(BO$78=$B$10,SUM($F72:BN72)-SUM($F80:BN80)+BO72+(BO$78-BO$70)/(BP$70-BO$70)*BP72,0)</f>
        <v>0</v>
      </c>
      <c r="BP80" s="510">
        <f ca="1">(BP$78=$B$9)*BP72+((BP$78-BP$70)/(BQ$70-BP$70)*BQ72+(BP$70-BO$78)/(BP$70-BO$70)*BP72)*(BP$78&gt;$B$10)+IF(BP$78=$B$10,SUM($F72:BO72)-SUM($F80:BO80)+BP72+(BP$78-BP$70)/(BQ$70-BP$70)*BQ72,0)</f>
        <v>0</v>
      </c>
      <c r="BQ80" s="510">
        <f ca="1">(BQ$78=$B$9)*BQ72+((BQ$78-BQ$70)/(BR$70-BQ$70)*BR72+(BQ$70-BP$78)/(BQ$70-BP$70)*BQ72)*(BQ$78&gt;$B$10)+IF(BQ$78=$B$10,SUM($F72:BP72)-SUM($F80:BP80)+BQ72+(BQ$78-BQ$70)/(BR$70-BQ$70)*BR72,0)</f>
        <v>0</v>
      </c>
      <c r="BR80" s="510">
        <f ca="1">(BR$78=$B$9)*BR72+((BR$78-BR$70)/(BS$70-BR$70)*BS72+(BR$70-BQ$78)/(BR$70-BQ$70)*BR72)*(BR$78&gt;$B$10)+IF(BR$78=$B$10,SUM($F72:BQ72)-SUM($F80:BQ80)+BR72+(BR$78-BR$70)/(BS$70-BR$70)*BS72,0)</f>
        <v>0</v>
      </c>
      <c r="BS80" s="510">
        <f ca="1">(BS$78=$B$9)*BS72+((BS$78-BS$70)/(BT$70-BS$70)*BT72+(BS$70-BR$78)/(BS$70-BR$70)*BS72)*(BS$78&gt;$B$10)+IF(BS$78=$B$10,SUM($F72:BR72)-SUM($F80:BR80)+BS72+(BS$78-BS$70)/(BT$70-BS$70)*BT72,0)</f>
        <v>0</v>
      </c>
      <c r="BT80" s="510">
        <f ca="1">(BT$78=$B$9)*BT72+((BT$78-BT$70)/(BU$70-BT$70)*BU72+(BT$70-BS$78)/(BT$70-BS$70)*BT72)*(BT$78&gt;$B$10)+IF(BT$78=$B$10,SUM($F72:BS72)-SUM($F80:BS80)+BT72+(BT$78-BT$70)/(BU$70-BT$70)*BU72,0)</f>
        <v>0</v>
      </c>
      <c r="BU80" s="510">
        <f ca="1">(BU$78=$B$9)*BU72+((BU$78-BU$70)/(BV$70-BU$70)*BV72+(BU$70-BT$78)/(BU$70-BT$70)*BU72)*(BU$78&gt;$B$10)+IF(BU$78=$B$10,SUM($F72:BT72)-SUM($F80:BT80)+BU72+(BU$78-BU$70)/(BV$70-BU$70)*BV72,0)</f>
        <v>0</v>
      </c>
      <c r="BV80" s="510">
        <f ca="1">(BV$78=$B$9)*BV72+((BV$78-BV$70)/(BW$70-BV$70)*BW72+(BV$70-BU$78)/(BV$70-BU$70)*BV72)*(BV$78&gt;$B$10)+IF(BV$78=$B$10,SUM($F72:BU72)-SUM($F80:BU80)+BV72+(BV$78-BV$70)/(BW$70-BV$70)*BW72,0)</f>
        <v>0</v>
      </c>
      <c r="BW80" s="510">
        <f ca="1">(BW$78=$B$9)*BW72+((BW$78-BW$70)/(BX$70-BW$70)*BX72+(BW$70-BV$78)/(BW$70-BV$70)*BW72)*(BW$78&gt;$B$10)+IF(BW$78=$B$10,SUM($F72:BV72)-SUM($F80:BV80)+BW72+(BW$78-BW$70)/(BX$70-BW$70)*BX72,0)</f>
        <v>0</v>
      </c>
      <c r="BX80" s="510">
        <f ca="1">(BX$78=$B$9)*BX72+((BX$78-BX$70)/(BY$70-BX$70)*BY72+(BX$70-BW$78)/(BX$70-BW$70)*BX72)*(BX$78&gt;$B$10)+IF(BX$78=$B$10,SUM($F72:BW72)-SUM($F80:BW80)+BX72+(BX$78-BX$70)/(BY$70-BX$70)*BY72,0)</f>
        <v>0</v>
      </c>
      <c r="BY80" s="510">
        <f ca="1">(BY$78=$B$9)*BY72+((BY$78-BY$70)/(BZ$70-BY$70)*BZ72+(BY$70-BX$78)/(BY$70-BX$70)*BY72)*(BY$78&gt;$B$10)+IF(BY$78=$B$10,SUM($F72:BX72)-SUM($F80:BX80)+BY72+(BY$78-BY$70)/(BZ$70-BY$70)*BZ72,0)</f>
        <v>0</v>
      </c>
      <c r="BZ80" s="510">
        <f ca="1">(BZ$78=$B$9)*BZ72+((BZ$78-BZ$70)/(CA$70-BZ$70)*CA72+(BZ$70-BY$78)/(BZ$70-BY$70)*BZ72)*(BZ$78&gt;$B$10)+IF(BZ$78=$B$10,SUM($F72:BY72)-SUM($F80:BY80)+BZ72+(BZ$78-BZ$70)/(CA$70-BZ$70)*CA72,0)</f>
        <v>0</v>
      </c>
      <c r="CA80" s="510">
        <f ca="1">(CA$78=$B$9)*CA72+((CA$78-CA$70)/(CB$70-CA$70)*CB72+(CA$70-BZ$78)/(CA$70-BZ$70)*CA72)*(CA$78&gt;$B$10)+IF(CA$78=$B$10,SUM($F72:BZ72)-SUM($F80:BZ80)+CA72+(CA$78-CA$70)/(CB$70-CA$70)*CB72,0)</f>
        <v>0</v>
      </c>
      <c r="CB80" s="510">
        <f ca="1">(CB$78=$B$9)*CB72+((CB$78-CB$70)/(CC$70-CB$70)*CC72+(CB$70-CA$78)/(CB$70-CA$70)*CB72)*(CB$78&gt;$B$10)+IF(CB$78=$B$10,SUM($F72:CA72)-SUM($F80:CA80)+CB72+(CB$78-CB$70)/(CC$70-CB$70)*CC72,0)</f>
        <v>0</v>
      </c>
      <c r="CC80" s="510">
        <f ca="1">(CC$78=$B$9)*CC72+((CC$78-CC$70)/(CD$70-CC$70)*CD72+(CC$70-CB$78)/(CC$70-CB$70)*CC72)*(CC$78&gt;$B$10)+IF(CC$78=$B$10,SUM($F72:CB72)-SUM($F80:CB80)+CC72+(CC$78-CC$70)/(CD$70-CC$70)*CD72,0)</f>
        <v>0</v>
      </c>
      <c r="CD80" s="510">
        <f ca="1">(CD$78=$B$9)*CD72+((CD$78-CD$70)/(CE$70-CD$70)*CE72+(CD$70-CC$78)/(CD$70-CC$70)*CD72)*(CD$78&gt;$B$10)+IF(CD$78=$B$10,SUM($F72:CC72)-SUM($F80:CC80)+CD72+(CD$78-CD$70)/(CE$70-CD$70)*CE72,0)</f>
        <v>0</v>
      </c>
      <c r="CE80" s="510">
        <f ca="1">(CE$78=$B$9)*CE72+((CE$78-CE$70)/(CF$70-CE$70)*CF72+(CE$70-CD$78)/(CE$70-CD$70)*CE72)*(CE$78&gt;$B$10)+IF(CE$78=$B$10,SUM($F72:CD72)-SUM($F80:CD80)+CE72+(CE$78-CE$70)/(CF$70-CE$70)*CF72,0)</f>
        <v>0</v>
      </c>
      <c r="CF80" s="510">
        <f ca="1">(CF$78=$B$9)*CF72+((CF$78-CF$70)/(CG$70-CF$70)*CG72+(CF$70-CE$78)/(CF$70-CE$70)*CF72)*(CF$78&gt;$B$10)+IF(CF$78=$B$10,SUM($F72:CE72)-SUM($F80:CE80)+CF72+(CF$78-CF$70)/(CG$70-CF$70)*CG72,0)</f>
        <v>0</v>
      </c>
      <c r="CG80" s="510">
        <f ca="1">(CG$78=$B$9)*CG72+((CG$78-CG$70)/(CH$70-CG$70)*CH72+(CG$70-CF$78)/(CG$70-CF$70)*CG72)*(CG$78&gt;$B$10)+IF(CG$78=$B$10,SUM($F72:CF72)-SUM($F80:CF80)+CG72+(CG$78-CG$70)/(CH$70-CG$70)*CH72,0)</f>
        <v>0</v>
      </c>
      <c r="CH80" s="510">
        <f ca="1">(CH$78=$B$9)*CH72+((CH$78-CH$70)/(CI$70-CH$70)*CI72+(CH$70-CG$78)/(CH$70-CG$70)*CH72)*(CH$78&gt;$B$10)+IF(CH$78=$B$10,SUM($F72:CG72)-SUM($F80:CG80)+CH72+(CH$78-CH$70)/(CI$70-CH$70)*CI72,0)</f>
        <v>0</v>
      </c>
      <c r="CI80" s="510">
        <f ca="1">(CI$78=$B$9)*CI72+((CI$78-CI$70)/(CJ$70-CI$70)*CJ72+(CI$70-CH$78)/(CI$70-CH$70)*CI72)*(CI$78&gt;$B$10)+IF(CI$78=$B$10,SUM($F72:CH72)-SUM($F80:CH80)+CI72+(CI$78-CI$70)/(CJ$70-CI$70)*CJ72,0)</f>
        <v>0</v>
      </c>
      <c r="CJ80" s="510">
        <f ca="1">(CJ$78=$B$9)*CJ72+((CJ$78-CJ$70)/(CK$70-CJ$70)*CK72+(CJ$70-CI$78)/(CJ$70-CI$70)*CJ72)*(CJ$78&gt;$B$10)+IF(CJ$78=$B$10,SUM($F72:CI72)-SUM($F80:CI80)+CJ72+(CJ$78-CJ$70)/(CK$70-CJ$70)*CK72,0)</f>
        <v>0</v>
      </c>
      <c r="CK80" s="510">
        <f ca="1">(CK$78=$B$9)*CK72+((CK$78-CK$70)/(CL$70-CK$70)*CL72+(CK$70-CJ$78)/(CK$70-CJ$70)*CK72)*(CK$78&gt;$B$10)+IF(CK$78=$B$10,SUM($F72:CJ72)-SUM($F80:CJ80)+CK72+(CK$78-CK$70)/(CL$70-CK$70)*CL72,0)</f>
        <v>0</v>
      </c>
      <c r="CL80" s="510">
        <f ca="1">(CL$78=$B$9)*CL72+((CL$78-CL$70)/(CM$70-CL$70)*CM72+(CL$70-CK$78)/(CL$70-CK$70)*CL72)*(CL$78&gt;$B$10)+IF(CL$78=$B$10,SUM($F72:CK72)-SUM($F80:CK80)+CL72+(CL$78-CL$70)/(CM$70-CL$70)*CM72,0)</f>
        <v>0</v>
      </c>
      <c r="CM80" s="510">
        <f ca="1">(CM$78=$B$9)*CM72+((CM$78-CM$70)/(CN$70-CM$70)*CN72+(CM$70-CL$78)/(CM$70-CL$70)*CM72)*(CM$78&gt;$B$10)+IF(CM$78=$B$10,SUM($F72:CL72)-SUM($F80:CL80)+CM72+(CM$78-CM$70)/(CN$70-CM$70)*CN72,0)</f>
        <v>0</v>
      </c>
      <c r="CN80" s="510">
        <f ca="1">(CN$78=$B$9)*CN72+((CN$78-CN$70)/(CO$70-CN$70)*CO72+(CN$70-CM$78)/(CN$70-CM$70)*CN72)*(CN$78&gt;$B$10)+IF(CN$78=$B$10,SUM($F72:CM72)-SUM($F80:CM80)+CN72+(CN$78-CN$70)/(CO$70-CN$70)*CO72,0)</f>
        <v>0</v>
      </c>
      <c r="CO80" s="510">
        <f ca="1">(CO$78=$B$9)*CO72+((CO$78-CO$70)/(CP$70-CO$70)*CP72+(CO$70-CN$78)/(CO$70-CN$70)*CO72)*(CO$78&gt;$B$10)+IF(CO$78=$B$10,SUM($F72:CN72)-SUM($F80:CN80)+CO72+(CO$78-CO$70)/(CP$70-CO$70)*CP72,0)</f>
        <v>0</v>
      </c>
      <c r="CP80" s="510">
        <f ca="1">(CP$78=$B$9)*CP72+((CP$78-CP$70)/(CQ$70-CP$70)*CQ72+(CP$70-CO$78)/(CP$70-CO$70)*CP72)*(CP$78&gt;$B$10)+IF(CP$78=$B$10,SUM($F72:CO72)-SUM($F80:CO80)+CP72+(CP$78-CP$70)/(CQ$70-CP$70)*CQ72,0)</f>
        <v>0</v>
      </c>
      <c r="CQ80" s="510">
        <f ca="1">(CQ$78=$B$9)*CQ72+((CQ$78-CQ$70)/(CR$70-CQ$70)*CR72+(CQ$70-CP$78)/(CQ$70-CP$70)*CQ72)*(CQ$78&gt;$B$10)+IF(CQ$78=$B$10,SUM($F72:CP72)-SUM($F80:CP80)+CQ72+(CQ$78-CQ$70)/(CR$70-CQ$70)*CR72,0)</f>
        <v>0</v>
      </c>
      <c r="CR80" s="510">
        <f ca="1">(CR$78=$B$9)*CR72+((CR$78-CR$70)/(CS$70-CR$70)*CS72+(CR$70-CQ$78)/(CR$70-CQ$70)*CR72)*(CR$78&gt;$B$10)+IF(CR$78=$B$10,SUM($F72:CQ72)-SUM($F80:CQ80)+CR72+(CR$78-CR$70)/(CS$70-CR$70)*CS72,0)</f>
        <v>0</v>
      </c>
      <c r="CS80" s="510">
        <f ca="1">(CS$78=$B$9)*CS72+((CS$78-CS$70)/(CT$70-CS$70)*CT72+(CS$70-CR$78)/(CS$70-CR$70)*CS72)*(CS$78&gt;$B$10)+IF(CS$78=$B$10,SUM($F72:CR72)-SUM($F80:CR80)+CS72+(CS$78-CS$70)/(CT$70-CS$70)*CT72,0)</f>
        <v>0</v>
      </c>
      <c r="CT80" s="510">
        <f ca="1">(CT$78=$B$9)*CT72+((CT$78-CT$70)/(CU$70-CT$70)*CU72+(CT$70-CS$78)/(CT$70-CS$70)*CT72)*(CT$78&gt;$B$10)+IF(CT$78=$B$10,SUM($F72:CS72)-SUM($F80:CS80)+CT72+(CT$78-CT$70)/(CU$70-CT$70)*CU72,0)</f>
        <v>0</v>
      </c>
      <c r="CU80" s="510">
        <f ca="1">(CU$78=$B$9)*CU72+((CU$78-CU$70)/(CV$70-CU$70)*CV72+(CU$70-CT$78)/(CU$70-CT$70)*CU72)*(CU$78&gt;$B$10)+IF(CU$78=$B$10,SUM($F72:CT72)-SUM($F80:CT80)+CU72+(CU$78-CU$70)/(CV$70-CU$70)*CV72,0)</f>
        <v>0</v>
      </c>
      <c r="CV80" s="510">
        <f ca="1">(CV$78=$B$9)*CV72+((CV$78-CV$70)/(CW$70-CV$70)*CW72+(CV$70-CU$78)/(CV$70-CU$70)*CV72)*(CV$78&gt;$B$10)+IF(CV$78=$B$10,SUM($F72:CU72)-SUM($F80:CU80)+CV72+(CV$78-CV$70)/(CW$70-CV$70)*CW72,0)</f>
        <v>0</v>
      </c>
      <c r="CW80" s="510">
        <f ca="1">(CW$78=$B$9)*CW72+((CW$78-CW$70)/(CX$70-CW$70)*CX72+(CW$70-CV$78)/(CW$70-CV$70)*CW72)*(CW$78&gt;$B$10)+IF(CW$78=$B$10,SUM($F72:CV72)-SUM($F80:CV80)+CW72+(CW$78-CW$70)/(CX$70-CW$70)*CX72,0)</f>
        <v>0</v>
      </c>
      <c r="CX80" s="510">
        <f ca="1">(CX$78=$B$9)*CX72+((CX$78-CX$70)/(CY$70-CX$70)*CY72+(CX$70-CW$78)/(CX$70-CW$70)*CX72)*(CX$78&gt;$B$10)+IF(CX$78=$B$10,SUM($F72:CW72)-SUM($F80:CW80)+CX72+(CX$78-CX$70)/(CY$70-CX$70)*CY72,0)</f>
        <v>0</v>
      </c>
      <c r="CY80" s="510">
        <f ca="1">(CY$78=$B$9)*CY72+((CY$78-CY$70)/(CZ$70-CY$70)*CZ72+(CY$70-CX$78)/(CY$70-CX$70)*CY72)*(CY$78&gt;$B$10)+IF(CY$78=$B$10,SUM($F72:CX72)-SUM($F80:CX80)+CY72+(CY$78-CY$70)/(CZ$70-CY$70)*CZ72,0)</f>
        <v>0</v>
      </c>
      <c r="CZ80" s="510">
        <f ca="1">(CZ$78=$B$9)*CZ72+((CZ$78-CZ$70)/(DA$70-CZ$70)*DA72+(CZ$70-CY$78)/(CZ$70-CY$70)*CZ72)*(CZ$78&gt;$B$10)+IF(CZ$78=$B$10,SUM($F72:CY72)-SUM($F80:CY80)+CZ72+(CZ$78-CZ$70)/(DA$70-CZ$70)*DA72,0)</f>
        <v>0</v>
      </c>
      <c r="DA80" s="510">
        <f ca="1">(DA$78=$B$9)*DA72+((DA$78-DA$70)/(DB$70-DA$70)*DB72+(DA$70-CZ$78)/(DA$70-CZ$70)*DA72)*(DA$78&gt;$B$10)+IF(DA$78=$B$10,SUM($F72:CZ72)-SUM($F80:CZ80)+DA72+(DA$78-DA$70)/(DB$70-DA$70)*DB72,0)</f>
        <v>0</v>
      </c>
      <c r="DB80" s="510">
        <f ca="1">(DB$78=$B$9)*DB72+((DB$78-DB$70)/(DC$70-DB$70)*DC72+(DB$70-DA$78)/(DB$70-DA$70)*DB72)*(DB$78&gt;$B$10)+IF(DB$78=$B$10,SUM($F72:DA72)-SUM($F80:DA80)+DB72+(DB$78-DB$70)/(DC$70-DB$70)*DC72,0)</f>
        <v>0</v>
      </c>
      <c r="DC80" s="510">
        <f ca="1">(DC$78=$B$9)*DC72+((DC$78-DC$70)/(DD$70-DC$70)*DD72+(DC$70-DB$78)/(DC$70-DB$70)*DC72)*(DC$78&gt;$B$10)+IF(DC$78=$B$10,SUM($F72:DB72)-SUM($F80:DB80)+DC72+(DC$78-DC$70)/(DD$70-DC$70)*DD72,0)</f>
        <v>0</v>
      </c>
      <c r="DD80" s="510">
        <f ca="1">(DD$78=$B$9)*DD72+((DD$78-DD$70)/(DE$70-DD$70)*DE72+(DD$70-DC$78)/(DD$70-DC$70)*DD72)*(DD$78&gt;$B$10)+IF(DD$78=$B$10,SUM($F72:DC72)-SUM($F80:DC80)+DD72+(DD$78-DD$70)/(DE$70-DD$70)*DE72,0)</f>
        <v>0</v>
      </c>
      <c r="DE80" s="510">
        <f ca="1">(DE$78=$B$9)*DE72+((DE$78-DE$70)/(DF$70-DE$70)*DF72+(DE$70-DD$78)/(DE$70-DD$70)*DE72)*(DE$78&gt;$B$10)+IF(DE$78=$B$10,SUM($F72:DD72)-SUM($F80:DD80)+DE72+(DE$78-DE$70)/(DF$70-DE$70)*DF72,0)</f>
        <v>0</v>
      </c>
      <c r="DF80" s="510">
        <f ca="1">(DF$78=$B$9)*DF72+((DF$78-DF$70)/(DG$70-DF$70)*DG72+(DF$70-DE$78)/(DF$70-DE$70)*DF72)*(DF$78&gt;$B$10)+IF(DF$78=$B$10,SUM($F72:DE72)-SUM($F80:DE80)+DF72+(DF$78-DF$70)/(DG$70-DF$70)*DG72,0)</f>
        <v>0</v>
      </c>
      <c r="DG80" s="510">
        <f ca="1">(DG$78=$B$9)*DG72+((DG$78-DG$70)/(DH$70-DG$70)*DH72+(DG$70-DF$78)/(DG$70-DF$70)*DG72)*(DG$78&gt;$B$10)+IF(DG$78=$B$10,SUM($F72:DF72)-SUM($F80:DF80)+DG72+(DG$78-DG$70)/(DH$70-DG$70)*DH72,0)</f>
        <v>0</v>
      </c>
      <c r="DH80" s="510">
        <f ca="1">(DH$78=$B$9)*DH72+((DH$78-DH$70)/(DI$70-DH$70)*DI72+(DH$70-DG$78)/(DH$70-DG$70)*DH72)*(DH$78&gt;$B$10)+IF(DH$78=$B$10,SUM($F72:DG72)-SUM($F80:DG80)+DH72+(DH$78-DH$70)/(DI$70-DH$70)*DI72,0)</f>
        <v>0</v>
      </c>
      <c r="DI80" s="510">
        <f ca="1">(DI$78=$B$9)*DI72+((DI$78-DI$70)/(DJ$70-DI$70)*DJ72+(DI$70-DH$78)/(DI$70-DH$70)*DI72)*(DI$78&gt;$B$10)+IF(DI$78=$B$10,SUM($F72:DH72)-SUM($F80:DH80)+DI72+(DI$78-DI$70)/(DJ$70-DI$70)*DJ72,0)</f>
        <v>0</v>
      </c>
      <c r="DJ80" s="510">
        <f ca="1">(DJ$78=$B$9)*DJ72+((DJ$78-DJ$70)/(DK$70-DJ$70)*DK72+(DJ$70-DI$78)/(DJ$70-DI$70)*DJ72)*(DJ$78&gt;$B$10)+IF(DJ$78=$B$10,SUM($F72:DI72)-SUM($F80:DI80)+DJ72+(DJ$78-DJ$70)/(DK$70-DJ$70)*DK72,0)</f>
        <v>0</v>
      </c>
      <c r="DK80" s="510">
        <f ca="1">(DK$78=$B$9)*DK72+((DK$78-DK$70)/(DL$70-DK$70)*DL72+(DK$70-DJ$78)/(DK$70-DJ$70)*DK72)*(DK$78&gt;$B$10)+IF(DK$78=$B$10,SUM($F72:DJ72)-SUM($F80:DJ80)+DK72+(DK$78-DK$70)/(DL$70-DK$70)*DL72,0)</f>
        <v>0</v>
      </c>
      <c r="DL80" s="510">
        <f ca="1">(DL$78=$B$9)*DL72+((DL$78-DL$70)/(DM$70-DL$70)*DM72+(DL$70-DK$78)/(DL$70-DK$70)*DL72)*(DL$78&gt;$B$10)+IF(DL$78=$B$10,SUM($F72:DK72)-SUM($F80:DK80)+DL72+(DL$78-DL$70)/(DM$70-DL$70)*DM72,0)</f>
        <v>0</v>
      </c>
      <c r="DM80" s="510">
        <f ca="1">(DM$78=$B$9)*DM72+((DM$78-DM$70)/(DN$70-DM$70)*DN72+(DM$70-DL$78)/(DM$70-DL$70)*DM72)*(DM$78&gt;$B$10)+IF(DM$78=$B$10,SUM($F72:DL72)-SUM($F80:DL80)+DM72+(DM$78-DM$70)/(DN$70-DM$70)*DN72,0)</f>
        <v>0</v>
      </c>
      <c r="DN80" s="510">
        <f ca="1">(DN$78=$B$9)*DN72+((DN$78-DN$70)/(DO$70-DN$70)*DO72+(DN$70-DM$78)/(DN$70-DM$70)*DN72)*(DN$78&gt;$B$10)+IF(DN$78=$B$10,SUM($F72:DM72)-SUM($F80:DM80)+DN72+(DN$78-DN$70)/(DO$70-DN$70)*DO72,0)</f>
        <v>0</v>
      </c>
      <c r="DO80" s="510">
        <f ca="1">(DO$78=$B$9)*DO72+((DO$78-DO$70)/(DP$70-DO$70)*DP72+(DO$70-DN$78)/(DO$70-DN$70)*DO72)*(DO$78&gt;$B$10)+IF(DO$78=$B$10,SUM($F72:DN72)-SUM($F80:DN80)+DO72+(DO$78-DO$70)/(DP$70-DO$70)*DP72,0)</f>
        <v>0</v>
      </c>
      <c r="DP80" s="510">
        <f ca="1">(DP$78=$B$9)*DP72+((DP$78-DP$70)/(DQ$70-DP$70)*DQ72+(DP$70-DO$78)/(DP$70-DO$70)*DP72)*(DP$78&gt;$B$10)+IF(DP$78=$B$10,SUM($F72:DO72)-SUM($F80:DO80)+DP72+(DP$78-DP$70)/(DQ$70-DP$70)*DQ72,0)</f>
        <v>0</v>
      </c>
      <c r="DQ80" s="510">
        <f ca="1">(DQ$78=$B$9)*DQ72+((DQ$78-DQ$70)/(DR$70-DQ$70)*DR72+(DQ$70-DP$78)/(DQ$70-DP$70)*DQ72)*(DQ$78&gt;$B$10)+IF(DQ$78=$B$10,SUM($F72:DP72)-SUM($F80:DP80)+DQ72+(DQ$78-DQ$70)/(DR$70-DQ$70)*DR72,0)</f>
        <v>0</v>
      </c>
      <c r="DR80" s="510">
        <f ca="1">(DR$78=$B$9)*DR72+((DR$78-DR$70)/(DS$70-DR$70)*DS72+(DR$70-DQ$78)/(DR$70-DQ$70)*DR72)*(DR$78&gt;$B$10)+IF(DR$78=$B$10,SUM($F72:DQ72)-SUM($F80:DQ80)+DR72+(DR$78-DR$70)/(DS$70-DR$70)*DS72,0)</f>
        <v>0</v>
      </c>
      <c r="DS80" s="510">
        <f ca="1">(DS$78=$B$9)*DS72+((DS$78-DS$70)/(DT$70-DS$70)*DT72+(DS$70-DR$78)/(DS$70-DR$70)*DS72)*(DS$78&gt;$B$10)+IF(DS$78=$B$10,SUM($F72:DR72)-SUM($F80:DR80)+DS72+(DS$78-DS$70)/(DT$70-DS$70)*DT72,0)</f>
        <v>0</v>
      </c>
      <c r="DT80" s="510">
        <f ca="1">(DT$78=$B$9)*DT72+((DT$78-DT$70)/(DU$70-DT$70)*DU72+(DT$70-DS$78)/(DT$70-DS$70)*DT72)*(DT$78&gt;$B$10)+IF(DT$78=$B$10,SUM($F72:DS72)-SUM($F80:DS80)+DT72+(DT$78-DT$70)/(DU$70-DT$70)*DU72,0)</f>
        <v>0</v>
      </c>
      <c r="DU80" s="510">
        <f ca="1">(DU$78=$B$9)*DU72+((DU$78-DU$70)/(DV$70-DU$70)*DV72+(DU$70-DT$78)/(DU$70-DT$70)*DU72)*(DU$78&gt;$B$10)+IF(DU$78=$B$10,SUM($F72:DT72)-SUM($F80:DT80)+DU72+(DU$78-DU$70)/(DV$70-DU$70)*DV72,0)</f>
        <v>0</v>
      </c>
      <c r="DV80" s="510">
        <f ca="1">(DV$78=$B$9)*DV72+((DV$78-DV$70)/(DW$70-DV$70)*DW72+(DV$70-DU$78)/(DV$70-DU$70)*DV72)*(DV$78&gt;$B$10)+IF(DV$78=$B$10,SUM($F72:DU72)-SUM($F80:DU80)+DV72+(DV$78-DV$70)/(DW$70-DV$70)*DW72,0)</f>
        <v>0</v>
      </c>
      <c r="DW80" s="510">
        <f ca="1">(DW$78=$B$9)*DW72+((DW$78-DW$70)/(DX$70-DW$70)*DX72+(DW$70-DV$78)/(DW$70-DV$70)*DW72)*(DW$78&gt;$B$10)+IF(DW$78=$B$10,SUM($F72:DV72)-SUM($F80:DV80)+DW72+(DW$78-DW$70)/(DX$70-DW$70)*DX72,0)</f>
        <v>0</v>
      </c>
    </row>
    <row r="81" spans="1:127">
      <c r="A81" s="1020" t="str">
        <f>A73</f>
        <v>SHL Net Interests</v>
      </c>
      <c r="B81" s="971"/>
      <c r="C81" s="971"/>
      <c r="D81" s="471"/>
      <c r="E81" s="471"/>
      <c r="F81" s="518"/>
      <c r="G81" s="510">
        <f ca="1">(G$78=$B$9)*G73+((G$78-G$70)/(H$70-G$70)*H73+(G$70-F$78)/(G$70-F$70)*G73)*(G$78&gt;$B$10)+IF(G$78=$B$10,SUM($F73:F73)-SUM($F81:F81)+G73+(G$78-G$70)/(H$70-G$70)*H73,0)</f>
        <v>0</v>
      </c>
      <c r="H81" s="510">
        <f ca="1">(H$78=$B$9)*H73+((H$78-H$70)/(I$70-H$70)*I73+(H$70-G$78)/(H$70-G$70)*H73)*(H$78&gt;$B$10)+IF(H$78=$B$10,SUM($F73:G73)-SUM($F81:G81)+H73+(H$78-H$70)/(I$70-H$70)*I73,0)</f>
        <v>337.69539242776295</v>
      </c>
      <c r="I81" s="510">
        <f ca="1">(I$78=$B$9)*I73+((I$78-I$70)/(J$70-I$70)*J73+(I$70-H$78)/(I$70-H$70)*I73)*(I$78&gt;$B$10)+IF(I$78=$B$10,SUM($F73:H73)-SUM($F81:H81)+I73+(I$78-I$70)/(J$70-I$70)*J73,0)</f>
        <v>330.39500489049681</v>
      </c>
      <c r="J81" s="510">
        <f ca="1">(J$78=$B$9)*J73+((J$78-J$70)/(K$70-J$70)*K73+(J$70-I$78)/(J$70-I$70)*J73)*(J$78&gt;$B$10)+IF(J$78=$B$10,SUM($F73:I73)-SUM($F81:I81)+J73+(J$78-J$70)/(K$70-J$70)*K73,0)</f>
        <v>336.12334527386264</v>
      </c>
      <c r="K81" s="510">
        <f ca="1">(K$78=$B$9)*K73+((K$78-K$70)/(L$70-K$70)*L73+(K$70-J$78)/(K$70-J$70)*K73)*(K$78&gt;$B$10)+IF(K$78=$B$10,SUM($F73:J73)-SUM($F81:J81)+K73+(K$78-K$70)/(L$70-K$70)*L73,0)</f>
        <v>340.54030952662924</v>
      </c>
      <c r="L81" s="510">
        <f ca="1">(L$78=$B$9)*L73+((L$78-L$70)/(M$70-L$70)*M73+(L$70-K$78)/(L$70-K$70)*L73)*(L$78&gt;$B$10)+IF(L$78=$B$10,SUM($F73:K73)-SUM($F81:K81)+L73+(L$78-L$70)/(M$70-L$70)*M73,0)</f>
        <v>344.09345138506251</v>
      </c>
      <c r="M81" s="510">
        <f ca="1">(M$78=$B$9)*M73+((M$78-M$70)/(N$70-M$70)*N73+(M$70-L$78)/(M$70-L$70)*M73)*(M$78&gt;$B$10)+IF(M$78=$B$10,SUM($F73:L73)-SUM($F81:L81)+M73+(M$78-M$70)/(N$70-M$70)*N73,0)</f>
        <v>345.50012950182622</v>
      </c>
      <c r="N81" s="510">
        <f ca="1">(N$78=$B$9)*N73+((N$78-N$70)/(O$70-N$70)*O73+(N$70-M$78)/(N$70-M$70)*N73)*(N$78&gt;$B$10)+IF(N$78=$B$10,SUM($F73:M73)-SUM($F81:M81)+N73+(N$78-N$70)/(O$70-N$70)*O73,0)</f>
        <v>349.25622236812552</v>
      </c>
      <c r="O81" s="510">
        <f ca="1">(O$78=$B$9)*O73+((O$78-O$70)/(P$70-O$70)*P73+(O$70-N$78)/(O$70-N$70)*O73)*(O$78&gt;$B$10)+IF(O$78=$B$10,SUM($F73:N73)-SUM($F81:N81)+O73+(O$78-O$70)/(P$70-O$70)*P73,0)</f>
        <v>347.81409238970855</v>
      </c>
      <c r="P81" s="510">
        <f ca="1">(P$78=$B$9)*P73+((P$78-P$70)/(Q$70-P$70)*Q73+(P$70-O$78)/(P$70-O$70)*P73)*(P$78&gt;$B$10)+IF(P$78=$B$10,SUM($F73:O73)-SUM($F81:O81)+P73+(P$78-P$70)/(Q$70-P$70)*Q73,0)</f>
        <v>354.49596564466589</v>
      </c>
      <c r="Q81" s="510">
        <f ca="1">(Q$78=$B$9)*Q73+((Q$78-Q$70)/(R$70-Q$70)*R73+(Q$70-P$78)/(Q$70-P$70)*Q73)*(Q$78&gt;$B$10)+IF(Q$78=$B$10,SUM($F73:P73)-SUM($F81:P81)+Q73+(Q$78-Q$70)/(R$70-Q$70)*R73,0)</f>
        <v>350.11224247122021</v>
      </c>
      <c r="R81" s="510">
        <f ca="1">(R$78=$B$9)*R73+((R$78-R$70)/(S$70-R$70)*S73+(R$70-Q$78)/(R$70-Q$70)*R73)*(R$78&gt;$B$10)+IF(R$78=$B$10,SUM($F73:Q73)-SUM($F81:Q81)+R73+(R$78-R$70)/(S$70-R$70)*S73,0)</f>
        <v>358.83088122706903</v>
      </c>
      <c r="S81" s="510">
        <f ca="1">(S$78=$B$9)*S73+((S$78-S$70)/(T$70-S$70)*T73+(S$70-R$78)/(S$70-R$70)*S73)*(S$78&gt;$B$10)+IF(S$78=$B$10,SUM($F73:R73)-SUM($F81:R81)+S73+(S$78-S$70)/(T$70-S$70)*T73,0)</f>
        <v>353.42924069042391</v>
      </c>
      <c r="T81" s="510">
        <f ca="1">(T$78=$B$9)*T73+((T$78-T$70)/(U$70-T$70)*U73+(T$70-S$78)/(T$70-S$70)*T73)*(T$78&gt;$B$10)+IF(T$78=$B$10,SUM($F73:S73)-SUM($F81:S81)+T73+(T$78-T$70)/(U$70-T$70)*U73,0)</f>
        <v>365.20972055957083</v>
      </c>
      <c r="U81" s="510">
        <f ca="1">(U$78=$B$9)*U73+((U$78-U$70)/(V$70-U$70)*V73+(U$70-T$78)/(U$70-T$70)*U73)*(U$78&gt;$B$10)+IF(U$78=$B$10,SUM($F73:T73)-SUM($F81:T81)+U73+(U$78-U$70)/(V$70-U$70)*V73,0)</f>
        <v>354.49685383667685</v>
      </c>
      <c r="V81" s="510">
        <f ca="1">(V$78=$B$9)*V73+((V$78-V$70)/(W$70-V$70)*W73+(V$70-U$78)/(V$70-U$70)*V73)*(V$78&gt;$B$10)+IF(V$78=$B$10,SUM($F73:U73)-SUM($F81:U81)+V73+(V$78-V$70)/(W$70-V$70)*W73,0)</f>
        <v>370.68564309001664</v>
      </c>
      <c r="W81" s="510">
        <f ca="1">(W$78=$B$9)*W73+((W$78-W$70)/(X$70-W$70)*X73+(W$70-V$78)/(W$70-V$70)*W73)*(W$78&gt;$B$10)+IF(W$78=$B$10,SUM($F73:V73)-SUM($F81:V81)+W73+(W$78-W$70)/(X$70-W$70)*X73,0)</f>
        <v>356.50987783337104</v>
      </c>
      <c r="X81" s="510">
        <f ca="1">(X$78=$B$9)*X73+((X$78-X$70)/(Y$70-X$70)*Y73+(X$70-W$78)/(X$70-W$70)*X73)*(X$78&gt;$B$10)+IF(X$78=$B$10,SUM($F73:W73)-SUM($F81:W81)+X73+(X$78-X$70)/(Y$70-X$70)*Y73,0)</f>
        <v>376.24234675006556</v>
      </c>
      <c r="Y81" s="510">
        <f ca="1">(Y$78=$B$9)*Y73+((Y$78-Y$70)/(Z$70-Y$70)*Z73+(Y$70-X$78)/(Y$70-X$70)*Y73)*(Y$78&gt;$B$10)+IF(Y$78=$B$10,SUM($F73:X73)-SUM($F81:X81)+Y73+(Y$78-Y$70)/(Z$70-Y$70)*Z73,0)</f>
        <v>358.3788557966999</v>
      </c>
      <c r="Z81" s="510">
        <f ca="1">(Z$78=$B$9)*Z73+((Z$78-Z$70)/(AA$70-Z$70)*AA73+(Z$70-Y$78)/(Z$70-Y$70)*Z73)*(Z$78&gt;$B$10)+IF(Z$78=$B$10,SUM($F73:Y73)-SUM($F81:Y81)+Z73+(Z$78-Z$70)/(AA$70-Z$70)*AA73,0)</f>
        <v>380.83813447114278</v>
      </c>
      <c r="AA81" s="510">
        <f ca="1">(AA$78=$B$9)*AA73+((AA$78-AA$70)/(AB$70-AA$70)*AB73+(AA$70-Z$78)/(AA$70-Z$70)*AA73)*(AA$78&gt;$B$10)+IF(AA$78=$B$10,SUM($F73:Z73)-SUM($F81:Z81)+AA73+(AA$78-AA$70)/(AB$70-AA$70)*AB73,0)</f>
        <v>361.08250450303615</v>
      </c>
      <c r="AB81" s="510">
        <f ca="1">(AB$78=$B$9)*AB73+((AB$78-AB$70)/(AC$70-AB$70)*AC73+(AB$70-AA$78)/(AB$70-AA$70)*AB73)*(AB$78&gt;$B$10)+IF(AB$78=$B$10,SUM($F73:AA73)-SUM($F81:AA81)+AB73+(AB$78-AB$70)/(AC$70-AB$70)*AC73,0)</f>
        <v>362.13050920316886</v>
      </c>
      <c r="AC81" s="510">
        <f ca="1">(AC$78=$B$9)*AC73+((AC$78-AC$70)/(AD$70-AC$70)*AD73+(AC$70-AB$78)/(AC$70-AB$70)*AC73)*(AC$78&gt;$B$10)+IF(AC$78=$B$10,SUM($F73:AB73)-SUM($F81:AB81)+AC73+(AC$78-AC$70)/(AD$70-AC$70)*AD73,0)</f>
        <v>341.69449350399066</v>
      </c>
      <c r="AD81" s="510">
        <f ca="1">(AD$78=$B$9)*AD73+((AD$78-AD$70)/(AE$70-AD$70)*AE73+(AD$70-AC$78)/(AD$70-AC$70)*AD73)*(AD$78&gt;$B$10)+IF(AD$78=$B$10,SUM($F73:AC73)-SUM($F81:AC81)+AD73+(AD$78-AD$70)/(AE$70-AD$70)*AE73,0)</f>
        <v>367.93763959282819</v>
      </c>
      <c r="AE81" s="510">
        <f ca="1">(AE$78=$B$9)*AE73+((AE$78-AE$70)/(AF$70-AE$70)*AF73+(AE$70-AD$78)/(AE$70-AD$70)*AE73)*(AE$78&gt;$B$10)+IF(AE$78=$B$10,SUM($F73:AD73)-SUM($F81:AD81)+AE73+(AE$78-AE$70)/(AF$70-AE$70)*AF73,0)</f>
        <v>347.17016568164627</v>
      </c>
      <c r="AF81" s="510">
        <f ca="1">(AF$78=$B$9)*AF73+((AF$78-AF$70)/(AG$70-AF$70)*AG73+(AF$70-AE$78)/(AF$70-AE$70)*AF73)*(AF$78&gt;$B$10)+IF(AF$78=$B$10,SUM($F73:AE73)-SUM($F81:AE81)+AF73+(AF$78-AF$70)/(AG$70-AF$70)*AG73,0)</f>
        <v>1079.6279085695371</v>
      </c>
      <c r="AG81" s="510">
        <f ca="1">(AG$78=$B$9)*AG73+((AG$78-AG$70)/(AH$70-AG$70)*AH73+(AG$70-AF$78)/(AG$70-AF$70)*AG73)*(AG$78&gt;$B$10)+IF(AG$78=$B$10,SUM($F73:AF73)-SUM($F81:AF81)+AG73+(AG$78-AG$70)/(AH$70-AG$70)*AH73,0)</f>
        <v>1053.1643813993501</v>
      </c>
      <c r="AH81" s="510">
        <f ca="1">(AH$78=$B$9)*AH73+((AH$78-AH$70)/(AI$70-AH$70)*AI73+(AH$70-AG$78)/(AH$70-AG$70)*AH73)*(AH$78&gt;$B$10)+IF(AH$78=$B$10,SUM($F73:AG73)-SUM($F81:AG81)+AH73+(AH$78-AH$70)/(AI$70-AH$70)*AI73,0)</f>
        <v>1067.2261508406605</v>
      </c>
      <c r="AI81" s="510">
        <f ca="1">(AI$78=$B$9)*AI73+((AI$78-AI$70)/(AJ$70-AI$70)*AJ73+(AI$70-AH$78)/(AI$70-AH$70)*AI73)*(AI$78&gt;$B$10)+IF(AI$78=$B$10,SUM($F73:AH73)-SUM($F81:AH81)+AI73+(AI$78-AI$70)/(AJ$70-AI$70)*AJ73,0)</f>
        <v>1045.3368556386542</v>
      </c>
      <c r="AJ81" s="510">
        <f ca="1">(AJ$78=$B$9)*AJ73+((AJ$78-AJ$70)/(AK$70-AJ$70)*AK73+(AJ$70-AI$78)/(AJ$70-AI$70)*AJ73)*(AJ$78&gt;$B$10)+IF(AJ$78=$B$10,SUM($F73:AI73)-SUM($F81:AI81)+AJ73+(AJ$78-AJ$70)/(AK$70-AJ$70)*AK73,0)</f>
        <v>1051.7843464975513</v>
      </c>
      <c r="AK81" s="510">
        <f ca="1">(AK$78=$B$9)*AK73+((AK$78-AK$70)/(AL$70-AK$70)*AL73+(AK$70-AJ$78)/(AK$70-AJ$70)*AK73)*(AK$78&gt;$B$10)+IF(AK$78=$B$10,SUM($F73:AJ73)-SUM($F81:AJ81)+AK73+(AK$78-AK$70)/(AL$70-AK$70)*AL73,0)</f>
        <v>957.65158971621952</v>
      </c>
      <c r="AL81" s="510">
        <f ca="1">(AL$78=$B$9)*AL73+((AL$78-AL$70)/(AM$70-AL$70)*AM73+(AL$70-AK$78)/(AL$70-AK$70)*AL73)*(AL$78&gt;$B$10)+IF(AL$78=$B$10,SUM($F73:AK73)-SUM($F81:AK81)+AL73+(AL$78-AL$70)/(AM$70-AL$70)*AM73,0)</f>
        <v>909.4305060182769</v>
      </c>
      <c r="AM81" s="510">
        <f ca="1">(AM$78=$B$9)*AM73+((AM$78-AM$70)/(AN$70-AM$70)*AN73+(AM$70-AL$78)/(AM$70-AL$70)*AM73)*(AM$78&gt;$B$10)+IF(AM$78=$B$10,SUM($F73:AL73)-SUM($F81:AL81)+AM73+(AM$78-AM$70)/(AN$70-AM$70)*AN73,0)</f>
        <v>817.0018789195168</v>
      </c>
      <c r="AN81" s="510">
        <f ca="1">(AN$78=$B$9)*AN73+((AN$78-AN$70)/(AO$70-AN$70)*AO73+(AN$70-AM$78)/(AN$70-AM$70)*AN73)*(AN$78&gt;$B$10)+IF(AN$78=$B$10,SUM($F73:AM73)-SUM($F81:AM81)+AN73+(AN$78-AN$70)/(AO$70-AN$70)*AO73,0)</f>
        <v>758.24023368935423</v>
      </c>
      <c r="AO81" s="510">
        <f ca="1">(AO$78=$B$9)*AO73+((AO$78-AO$70)/(AP$70-AO$70)*AP73+(AO$70-AN$78)/(AO$70-AN$70)*AO73)*(AO$78&gt;$B$10)+IF(AO$78=$B$10,SUM($F73:AN73)-SUM($F81:AN81)+AO73+(AO$78-AO$70)/(AP$70-AO$70)*AP73,0)</f>
        <v>660.05511861643151</v>
      </c>
      <c r="AP81" s="510">
        <f ca="1">(AP$78=$B$9)*AP73+((AP$78-AP$70)/(AQ$70-AP$70)*AQ73+(AP$70-AO$78)/(AP$70-AO$70)*AP73)*(AP$78&gt;$B$10)+IF(AP$78=$B$10,SUM($F73:AO73)-SUM($F81:AO81)+AP73+(AP$78-AP$70)/(AQ$70-AP$70)*AQ73,0)</f>
        <v>590.58419578386417</v>
      </c>
      <c r="AQ81" s="510">
        <f ca="1">(AQ$78=$B$9)*AQ73+((AQ$78-AQ$70)/(AR$70-AQ$70)*AR73+(AQ$70-AP$78)/(AQ$70-AP$70)*AQ73)*(AQ$78&gt;$B$10)+IF(AQ$78=$B$10,SUM($F73:AP73)-SUM($F81:AP81)+AQ73+(AQ$78-AQ$70)/(AR$70-AQ$70)*AR73,0)</f>
        <v>489.29024072657052</v>
      </c>
      <c r="AR81" s="510">
        <f ca="1">(AR$78=$B$9)*AR73+((AR$78-AR$70)/(AS$70-AR$70)*AS73+(AR$70-AQ$78)/(AR$70-AQ$70)*AR73)*(AR$78&gt;$B$10)+IF(AR$78=$B$10,SUM($F73:AQ73)-SUM($F81:AQ81)+AR73+(AR$78-AR$70)/(AS$70-AR$70)*AS73,0)</f>
        <v>405.29706022250343</v>
      </c>
      <c r="AS81" s="510">
        <f ca="1">(AS$78=$B$9)*AS73+((AS$78-AS$70)/(AT$70-AS$70)*AT73+(AS$70-AR$78)/(AS$70-AR$70)*AS73)*(AS$78&gt;$B$10)+IF(AS$78=$B$10,SUM($F73:AR73)-SUM($F81:AR81)+AS73+(AS$78-AS$70)/(AT$70-AS$70)*AT73,0)</f>
        <v>294.51570800587263</v>
      </c>
      <c r="AT81" s="510">
        <f ca="1">(AT$78=$B$9)*AT73+((AT$78-AT$70)/(AU$70-AT$70)*AU73+(AT$70-AS$78)/(AT$70-AS$70)*AT73)*(AT$78&gt;$B$10)+IF(AT$78=$B$10,SUM($F73:AS73)-SUM($F81:AS81)+AT73+(AT$78-AT$70)/(AU$70-AT$70)*AU73,0)</f>
        <v>200.7614209458323</v>
      </c>
      <c r="AU81" s="510">
        <f ca="1">(AU$78=$B$9)*AU73+((AU$78-AU$70)/(AV$70-AU$70)*AV73+(AU$70-AT$78)/(AU$70-AT$70)*AU73)*(AU$78&gt;$B$10)+IF(AU$78=$B$10,SUM($F73:AT73)-SUM($F81:AT81)+AU73+(AU$78-AU$70)/(AV$70-AU$70)*AV73,0)</f>
        <v>83.171508024754331</v>
      </c>
      <c r="AV81" s="510">
        <f ca="1">(AV$78=$B$9)*AV73+((AV$78-AV$70)/(AW$70-AV$70)*AW73+(AV$70-AU$78)/(AV$70-AU$70)*AV73)*(AV$78&gt;$B$10)+IF(AV$78=$B$10,SUM($F73:AU73)-SUM($F81:AU81)+AV73+(AV$78-AV$70)/(AW$70-AV$70)*AW73,0)</f>
        <v>0</v>
      </c>
      <c r="AW81" s="510">
        <f ca="1">(AW$78=$B$9)*AW73+((AW$78-AW$70)/(AX$70-AW$70)*AX73+(AW$70-AV$78)/(AW$70-AV$70)*AW73)*(AW$78&gt;$B$10)+IF(AW$78=$B$10,SUM($F73:AV73)-SUM($F81:AV81)+AW73+(AW$78-AW$70)/(AX$70-AW$70)*AX73,0)</f>
        <v>0</v>
      </c>
      <c r="AX81" s="510">
        <f ca="1">(AX$78=$B$9)*AX73+((AX$78-AX$70)/(AY$70-AX$70)*AY73+(AX$70-AW$78)/(AX$70-AW$70)*AX73)*(AX$78&gt;$B$10)+IF(AX$78=$B$10,SUM($F73:AW73)-SUM($F81:AW81)+AX73+(AX$78-AX$70)/(AY$70-AX$70)*AY73,0)</f>
        <v>0</v>
      </c>
      <c r="AY81" s="510">
        <f ca="1">(AY$78=$B$9)*AY73+((AY$78-AY$70)/(AZ$70-AY$70)*AZ73+(AY$70-AX$78)/(AY$70-AX$70)*AY73)*(AY$78&gt;$B$10)+IF(AY$78=$B$10,SUM($F73:AX73)-SUM($F81:AX81)+AY73+(AY$78-AY$70)/(AZ$70-AY$70)*AZ73,0)</f>
        <v>0</v>
      </c>
      <c r="AZ81" s="510">
        <f ca="1">(AZ$78=$B$9)*AZ73+((AZ$78-AZ$70)/(BA$70-AZ$70)*BA73+(AZ$70-AY$78)/(AZ$70-AY$70)*AZ73)*(AZ$78&gt;$B$10)+IF(AZ$78=$B$10,SUM($F73:AY73)-SUM($F81:AY81)+AZ73+(AZ$78-AZ$70)/(BA$70-AZ$70)*BA73,0)</f>
        <v>0</v>
      </c>
      <c r="BA81" s="510">
        <f ca="1">(BA$78=$B$9)*BA73+((BA$78-BA$70)/(BB$70-BA$70)*BB73+(BA$70-AZ$78)/(BA$70-AZ$70)*BA73)*(BA$78&gt;$B$10)+IF(BA$78=$B$10,SUM($F73:AZ73)-SUM($F81:AZ81)+BA73+(BA$78-BA$70)/(BB$70-BA$70)*BB73,0)</f>
        <v>0</v>
      </c>
      <c r="BB81" s="510">
        <f ca="1">(BB$78=$B$9)*BB73+((BB$78-BB$70)/(BC$70-BB$70)*BC73+(BB$70-BA$78)/(BB$70-BA$70)*BB73)*(BB$78&gt;$B$10)+IF(BB$78=$B$10,SUM($F73:BA73)-SUM($F81:BA81)+BB73+(BB$78-BB$70)/(BC$70-BB$70)*BC73,0)</f>
        <v>0</v>
      </c>
      <c r="BC81" s="510">
        <f ca="1">(BC$78=$B$9)*BC73+((BC$78-BC$70)/(BD$70-BC$70)*BD73+(BC$70-BB$78)/(BC$70-BB$70)*BC73)*(BC$78&gt;$B$10)+IF(BC$78=$B$10,SUM($F73:BB73)-SUM($F81:BB81)+BC73+(BC$78-BC$70)/(BD$70-BC$70)*BD73,0)</f>
        <v>0</v>
      </c>
      <c r="BD81" s="510">
        <f ca="1">(BD$78=$B$9)*BD73+((BD$78-BD$70)/(BE$70-BD$70)*BE73+(BD$70-BC$78)/(BD$70-BC$70)*BD73)*(BD$78&gt;$B$10)+IF(BD$78=$B$10,SUM($F73:BC73)-SUM($F81:BC81)+BD73+(BD$78-BD$70)/(BE$70-BD$70)*BE73,0)</f>
        <v>0</v>
      </c>
      <c r="BE81" s="510">
        <f ca="1">(BE$78=$B$9)*BE73+((BE$78-BE$70)/(BF$70-BE$70)*BF73+(BE$70-BD$78)/(BE$70-BD$70)*BE73)*(BE$78&gt;$B$10)+IF(BE$78=$B$10,SUM($F73:BD73)-SUM($F81:BD81)+BE73+(BE$78-BE$70)/(BF$70-BE$70)*BF73,0)</f>
        <v>0</v>
      </c>
      <c r="BF81" s="510">
        <f ca="1">(BF$78=$B$9)*BF73+((BF$78-BF$70)/(BG$70-BF$70)*BG73+(BF$70-BE$78)/(BF$70-BE$70)*BF73)*(BF$78&gt;$B$10)+IF(BF$78=$B$10,SUM($F73:BE73)-SUM($F81:BE81)+BF73+(BF$78-BF$70)/(BG$70-BF$70)*BG73,0)</f>
        <v>0</v>
      </c>
      <c r="BG81" s="510">
        <f ca="1">(BG$78=$B$9)*BG73+((BG$78-BG$70)/(BH$70-BG$70)*BH73+(BG$70-BF$78)/(BG$70-BF$70)*BG73)*(BG$78&gt;$B$10)+IF(BG$78=$B$10,SUM($F73:BF73)-SUM($F81:BF81)+BG73+(BG$78-BG$70)/(BH$70-BG$70)*BH73,0)</f>
        <v>0</v>
      </c>
      <c r="BH81" s="510">
        <f ca="1">(BH$78=$B$9)*BH73+((BH$78-BH$70)/(BI$70-BH$70)*BI73+(BH$70-BG$78)/(BH$70-BG$70)*BH73)*(BH$78&gt;$B$10)+IF(BH$78=$B$10,SUM($F73:BG73)-SUM($F81:BG81)+BH73+(BH$78-BH$70)/(BI$70-BH$70)*BI73,0)</f>
        <v>0</v>
      </c>
      <c r="BI81" s="510">
        <f ca="1">(BI$78=$B$9)*BI73+((BI$78-BI$70)/(BJ$70-BI$70)*BJ73+(BI$70-BH$78)/(BI$70-BH$70)*BI73)*(BI$78&gt;$B$10)+IF(BI$78=$B$10,SUM($F73:BH73)-SUM($F81:BH81)+BI73+(BI$78-BI$70)/(BJ$70-BI$70)*BJ73,0)</f>
        <v>0</v>
      </c>
      <c r="BJ81" s="510">
        <f ca="1">(BJ$78=$B$9)*BJ73+((BJ$78-BJ$70)/(BK$70-BJ$70)*BK73+(BJ$70-BI$78)/(BJ$70-BI$70)*BJ73)*(BJ$78&gt;$B$10)+IF(BJ$78=$B$10,SUM($F73:BI73)-SUM($F81:BI81)+BJ73+(BJ$78-BJ$70)/(BK$70-BJ$70)*BK73,0)</f>
        <v>0</v>
      </c>
      <c r="BK81" s="510">
        <f ca="1">(BK$78=$B$9)*BK73+((BK$78-BK$70)/(BL$70-BK$70)*BL73+(BK$70-BJ$78)/(BK$70-BJ$70)*BK73)*(BK$78&gt;$B$10)+IF(BK$78=$B$10,SUM($F73:BJ73)-SUM($F81:BJ81)+BK73+(BK$78-BK$70)/(BL$70-BK$70)*BL73,0)</f>
        <v>0</v>
      </c>
      <c r="BL81" s="510">
        <f ca="1">(BL$78=$B$9)*BL73+((BL$78-BL$70)/(BM$70-BL$70)*BM73+(BL$70-BK$78)/(BL$70-BK$70)*BL73)*(BL$78&gt;$B$10)+IF(BL$78=$B$10,SUM($F73:BK73)-SUM($F81:BK81)+BL73+(BL$78-BL$70)/(BM$70-BL$70)*BM73,0)</f>
        <v>0</v>
      </c>
      <c r="BM81" s="510">
        <f ca="1">(BM$78=$B$9)*BM73+((BM$78-BM$70)/(BN$70-BM$70)*BN73+(BM$70-BL$78)/(BM$70-BL$70)*BM73)*(BM$78&gt;$B$10)+IF(BM$78=$B$10,SUM($F73:BL73)-SUM($F81:BL81)+BM73+(BM$78-BM$70)/(BN$70-BM$70)*BN73,0)</f>
        <v>0</v>
      </c>
      <c r="BN81" s="510">
        <f ca="1">(BN$78=$B$9)*BN73+((BN$78-BN$70)/(BO$70-BN$70)*BO73+(BN$70-BM$78)/(BN$70-BM$70)*BN73)*(BN$78&gt;$B$10)+IF(BN$78=$B$10,SUM($F73:BM73)-SUM($F81:BM81)+BN73+(BN$78-BN$70)/(BO$70-BN$70)*BO73,0)</f>
        <v>0</v>
      </c>
      <c r="BO81" s="510">
        <f ca="1">(BO$78=$B$9)*BO73+((BO$78-BO$70)/(BP$70-BO$70)*BP73+(BO$70-BN$78)/(BO$70-BN$70)*BO73)*(BO$78&gt;$B$10)+IF(BO$78=$B$10,SUM($F73:BN73)-SUM($F81:BN81)+BO73+(BO$78-BO$70)/(BP$70-BO$70)*BP73,0)</f>
        <v>0</v>
      </c>
      <c r="BP81" s="510">
        <f ca="1">(BP$78=$B$9)*BP73+((BP$78-BP$70)/(BQ$70-BP$70)*BQ73+(BP$70-BO$78)/(BP$70-BO$70)*BP73)*(BP$78&gt;$B$10)+IF(BP$78=$B$10,SUM($F73:BO73)-SUM($F81:BO81)+BP73+(BP$78-BP$70)/(BQ$70-BP$70)*BQ73,0)</f>
        <v>0</v>
      </c>
      <c r="BQ81" s="510">
        <f ca="1">(BQ$78=$B$9)*BQ73+((BQ$78-BQ$70)/(BR$70-BQ$70)*BR73+(BQ$70-BP$78)/(BQ$70-BP$70)*BQ73)*(BQ$78&gt;$B$10)+IF(BQ$78=$B$10,SUM($F73:BP73)-SUM($F81:BP81)+BQ73+(BQ$78-BQ$70)/(BR$70-BQ$70)*BR73,0)</f>
        <v>0</v>
      </c>
      <c r="BR81" s="510">
        <f ca="1">(BR$78=$B$9)*BR73+((BR$78-BR$70)/(BS$70-BR$70)*BS73+(BR$70-BQ$78)/(BR$70-BQ$70)*BR73)*(BR$78&gt;$B$10)+IF(BR$78=$B$10,SUM($F73:BQ73)-SUM($F81:BQ81)+BR73+(BR$78-BR$70)/(BS$70-BR$70)*BS73,0)</f>
        <v>0</v>
      </c>
      <c r="BS81" s="510">
        <f ca="1">(BS$78=$B$9)*BS73+((BS$78-BS$70)/(BT$70-BS$70)*BT73+(BS$70-BR$78)/(BS$70-BR$70)*BS73)*(BS$78&gt;$B$10)+IF(BS$78=$B$10,SUM($F73:BR73)-SUM($F81:BR81)+BS73+(BS$78-BS$70)/(BT$70-BS$70)*BT73,0)</f>
        <v>0</v>
      </c>
      <c r="BT81" s="510">
        <f ca="1">(BT$78=$B$9)*BT73+((BT$78-BT$70)/(BU$70-BT$70)*BU73+(BT$70-BS$78)/(BT$70-BS$70)*BT73)*(BT$78&gt;$B$10)+IF(BT$78=$B$10,SUM($F73:BS73)-SUM($F81:BS81)+BT73+(BT$78-BT$70)/(BU$70-BT$70)*BU73,0)</f>
        <v>0</v>
      </c>
      <c r="BU81" s="510">
        <f ca="1">(BU$78=$B$9)*BU73+((BU$78-BU$70)/(BV$70-BU$70)*BV73+(BU$70-BT$78)/(BU$70-BT$70)*BU73)*(BU$78&gt;$B$10)+IF(BU$78=$B$10,SUM($F73:BT73)-SUM($F81:BT81)+BU73+(BU$78-BU$70)/(BV$70-BU$70)*BV73,0)</f>
        <v>0</v>
      </c>
      <c r="BV81" s="510">
        <f ca="1">(BV$78=$B$9)*BV73+((BV$78-BV$70)/(BW$70-BV$70)*BW73+(BV$70-BU$78)/(BV$70-BU$70)*BV73)*(BV$78&gt;$B$10)+IF(BV$78=$B$10,SUM($F73:BU73)-SUM($F81:BU81)+BV73+(BV$78-BV$70)/(BW$70-BV$70)*BW73,0)</f>
        <v>0</v>
      </c>
      <c r="BW81" s="510">
        <f ca="1">(BW$78=$B$9)*BW73+((BW$78-BW$70)/(BX$70-BW$70)*BX73+(BW$70-BV$78)/(BW$70-BV$70)*BW73)*(BW$78&gt;$B$10)+IF(BW$78=$B$10,SUM($F73:BV73)-SUM($F81:BV81)+BW73+(BW$78-BW$70)/(BX$70-BW$70)*BX73,0)</f>
        <v>0</v>
      </c>
      <c r="BX81" s="510">
        <f ca="1">(BX$78=$B$9)*BX73+((BX$78-BX$70)/(BY$70-BX$70)*BY73+(BX$70-BW$78)/(BX$70-BW$70)*BX73)*(BX$78&gt;$B$10)+IF(BX$78=$B$10,SUM($F73:BW73)-SUM($F81:BW81)+BX73+(BX$78-BX$70)/(BY$70-BX$70)*BY73,0)</f>
        <v>0</v>
      </c>
      <c r="BY81" s="510">
        <f ca="1">(BY$78=$B$9)*BY73+((BY$78-BY$70)/(BZ$70-BY$70)*BZ73+(BY$70-BX$78)/(BY$70-BX$70)*BY73)*(BY$78&gt;$B$10)+IF(BY$78=$B$10,SUM($F73:BX73)-SUM($F81:BX81)+BY73+(BY$78-BY$70)/(BZ$70-BY$70)*BZ73,0)</f>
        <v>0</v>
      </c>
      <c r="BZ81" s="510">
        <f ca="1">(BZ$78=$B$9)*BZ73+((BZ$78-BZ$70)/(CA$70-BZ$70)*CA73+(BZ$70-BY$78)/(BZ$70-BY$70)*BZ73)*(BZ$78&gt;$B$10)+IF(BZ$78=$B$10,SUM($F73:BY73)-SUM($F81:BY81)+BZ73+(BZ$78-BZ$70)/(CA$70-BZ$70)*CA73,0)</f>
        <v>0</v>
      </c>
      <c r="CA81" s="510">
        <f ca="1">(CA$78=$B$9)*CA73+((CA$78-CA$70)/(CB$70-CA$70)*CB73+(CA$70-BZ$78)/(CA$70-BZ$70)*CA73)*(CA$78&gt;$B$10)+IF(CA$78=$B$10,SUM($F73:BZ73)-SUM($F81:BZ81)+CA73+(CA$78-CA$70)/(CB$70-CA$70)*CB73,0)</f>
        <v>0</v>
      </c>
      <c r="CB81" s="510">
        <f ca="1">(CB$78=$B$9)*CB73+((CB$78-CB$70)/(CC$70-CB$70)*CC73+(CB$70-CA$78)/(CB$70-CA$70)*CB73)*(CB$78&gt;$B$10)+IF(CB$78=$B$10,SUM($F73:CA73)-SUM($F81:CA81)+CB73+(CB$78-CB$70)/(CC$70-CB$70)*CC73,0)</f>
        <v>0</v>
      </c>
      <c r="CC81" s="510">
        <f ca="1">(CC$78=$B$9)*CC73+((CC$78-CC$70)/(CD$70-CC$70)*CD73+(CC$70-CB$78)/(CC$70-CB$70)*CC73)*(CC$78&gt;$B$10)+IF(CC$78=$B$10,SUM($F73:CB73)-SUM($F81:CB81)+CC73+(CC$78-CC$70)/(CD$70-CC$70)*CD73,0)</f>
        <v>0</v>
      </c>
      <c r="CD81" s="510">
        <f ca="1">(CD$78=$B$9)*CD73+((CD$78-CD$70)/(CE$70-CD$70)*CE73+(CD$70-CC$78)/(CD$70-CC$70)*CD73)*(CD$78&gt;$B$10)+IF(CD$78=$B$10,SUM($F73:CC73)-SUM($F81:CC81)+CD73+(CD$78-CD$70)/(CE$70-CD$70)*CE73,0)</f>
        <v>0</v>
      </c>
      <c r="CE81" s="510">
        <f ca="1">(CE$78=$B$9)*CE73+((CE$78-CE$70)/(CF$70-CE$70)*CF73+(CE$70-CD$78)/(CE$70-CD$70)*CE73)*(CE$78&gt;$B$10)+IF(CE$78=$B$10,SUM($F73:CD73)-SUM($F81:CD81)+CE73+(CE$78-CE$70)/(CF$70-CE$70)*CF73,0)</f>
        <v>0</v>
      </c>
      <c r="CF81" s="510">
        <f ca="1">(CF$78=$B$9)*CF73+((CF$78-CF$70)/(CG$70-CF$70)*CG73+(CF$70-CE$78)/(CF$70-CE$70)*CF73)*(CF$78&gt;$B$10)+IF(CF$78=$B$10,SUM($F73:CE73)-SUM($F81:CE81)+CF73+(CF$78-CF$70)/(CG$70-CF$70)*CG73,0)</f>
        <v>0</v>
      </c>
      <c r="CG81" s="510">
        <f ca="1">(CG$78=$B$9)*CG73+((CG$78-CG$70)/(CH$70-CG$70)*CH73+(CG$70-CF$78)/(CG$70-CF$70)*CG73)*(CG$78&gt;$B$10)+IF(CG$78=$B$10,SUM($F73:CF73)-SUM($F81:CF81)+CG73+(CG$78-CG$70)/(CH$70-CG$70)*CH73,0)</f>
        <v>0</v>
      </c>
      <c r="CH81" s="510">
        <f ca="1">(CH$78=$B$9)*CH73+((CH$78-CH$70)/(CI$70-CH$70)*CI73+(CH$70-CG$78)/(CH$70-CG$70)*CH73)*(CH$78&gt;$B$10)+IF(CH$78=$B$10,SUM($F73:CG73)-SUM($F81:CG81)+CH73+(CH$78-CH$70)/(CI$70-CH$70)*CI73,0)</f>
        <v>0</v>
      </c>
      <c r="CI81" s="510">
        <f ca="1">(CI$78=$B$9)*CI73+((CI$78-CI$70)/(CJ$70-CI$70)*CJ73+(CI$70-CH$78)/(CI$70-CH$70)*CI73)*(CI$78&gt;$B$10)+IF(CI$78=$B$10,SUM($F73:CH73)-SUM($F81:CH81)+CI73+(CI$78-CI$70)/(CJ$70-CI$70)*CJ73,0)</f>
        <v>0</v>
      </c>
      <c r="CJ81" s="510">
        <f ca="1">(CJ$78=$B$9)*CJ73+((CJ$78-CJ$70)/(CK$70-CJ$70)*CK73+(CJ$70-CI$78)/(CJ$70-CI$70)*CJ73)*(CJ$78&gt;$B$10)+IF(CJ$78=$B$10,SUM($F73:CI73)-SUM($F81:CI81)+CJ73+(CJ$78-CJ$70)/(CK$70-CJ$70)*CK73,0)</f>
        <v>0</v>
      </c>
      <c r="CK81" s="510">
        <f ca="1">(CK$78=$B$9)*CK73+((CK$78-CK$70)/(CL$70-CK$70)*CL73+(CK$70-CJ$78)/(CK$70-CJ$70)*CK73)*(CK$78&gt;$B$10)+IF(CK$78=$B$10,SUM($F73:CJ73)-SUM($F81:CJ81)+CK73+(CK$78-CK$70)/(CL$70-CK$70)*CL73,0)</f>
        <v>0</v>
      </c>
      <c r="CL81" s="510">
        <f ca="1">(CL$78=$B$9)*CL73+((CL$78-CL$70)/(CM$70-CL$70)*CM73+(CL$70-CK$78)/(CL$70-CK$70)*CL73)*(CL$78&gt;$B$10)+IF(CL$78=$B$10,SUM($F73:CK73)-SUM($F81:CK81)+CL73+(CL$78-CL$70)/(CM$70-CL$70)*CM73,0)</f>
        <v>0</v>
      </c>
      <c r="CM81" s="510">
        <f ca="1">(CM$78=$B$9)*CM73+((CM$78-CM$70)/(CN$70-CM$70)*CN73+(CM$70-CL$78)/(CM$70-CL$70)*CM73)*(CM$78&gt;$B$10)+IF(CM$78=$B$10,SUM($F73:CL73)-SUM($F81:CL81)+CM73+(CM$78-CM$70)/(CN$70-CM$70)*CN73,0)</f>
        <v>0</v>
      </c>
      <c r="CN81" s="510">
        <f ca="1">(CN$78=$B$9)*CN73+((CN$78-CN$70)/(CO$70-CN$70)*CO73+(CN$70-CM$78)/(CN$70-CM$70)*CN73)*(CN$78&gt;$B$10)+IF(CN$78=$B$10,SUM($F73:CM73)-SUM($F81:CM81)+CN73+(CN$78-CN$70)/(CO$70-CN$70)*CO73,0)</f>
        <v>0</v>
      </c>
      <c r="CO81" s="510">
        <f ca="1">(CO$78=$B$9)*CO73+((CO$78-CO$70)/(CP$70-CO$70)*CP73+(CO$70-CN$78)/(CO$70-CN$70)*CO73)*(CO$78&gt;$B$10)+IF(CO$78=$B$10,SUM($F73:CN73)-SUM($F81:CN81)+CO73+(CO$78-CO$70)/(CP$70-CO$70)*CP73,0)</f>
        <v>0</v>
      </c>
      <c r="CP81" s="510">
        <f ca="1">(CP$78=$B$9)*CP73+((CP$78-CP$70)/(CQ$70-CP$70)*CQ73+(CP$70-CO$78)/(CP$70-CO$70)*CP73)*(CP$78&gt;$B$10)+IF(CP$78=$B$10,SUM($F73:CO73)-SUM($F81:CO81)+CP73+(CP$78-CP$70)/(CQ$70-CP$70)*CQ73,0)</f>
        <v>0</v>
      </c>
      <c r="CQ81" s="510">
        <f ca="1">(CQ$78=$B$9)*CQ73+((CQ$78-CQ$70)/(CR$70-CQ$70)*CR73+(CQ$70-CP$78)/(CQ$70-CP$70)*CQ73)*(CQ$78&gt;$B$10)+IF(CQ$78=$B$10,SUM($F73:CP73)-SUM($F81:CP81)+CQ73+(CQ$78-CQ$70)/(CR$70-CQ$70)*CR73,0)</f>
        <v>0</v>
      </c>
      <c r="CR81" s="510">
        <f ca="1">(CR$78=$B$9)*CR73+((CR$78-CR$70)/(CS$70-CR$70)*CS73+(CR$70-CQ$78)/(CR$70-CQ$70)*CR73)*(CR$78&gt;$B$10)+IF(CR$78=$B$10,SUM($F73:CQ73)-SUM($F81:CQ81)+CR73+(CR$78-CR$70)/(CS$70-CR$70)*CS73,0)</f>
        <v>0</v>
      </c>
      <c r="CS81" s="510">
        <f ca="1">(CS$78=$B$9)*CS73+((CS$78-CS$70)/(CT$70-CS$70)*CT73+(CS$70-CR$78)/(CS$70-CR$70)*CS73)*(CS$78&gt;$B$10)+IF(CS$78=$B$10,SUM($F73:CR73)-SUM($F81:CR81)+CS73+(CS$78-CS$70)/(CT$70-CS$70)*CT73,0)</f>
        <v>0</v>
      </c>
      <c r="CT81" s="510">
        <f ca="1">(CT$78=$B$9)*CT73+((CT$78-CT$70)/(CU$70-CT$70)*CU73+(CT$70-CS$78)/(CT$70-CS$70)*CT73)*(CT$78&gt;$B$10)+IF(CT$78=$B$10,SUM($F73:CS73)-SUM($F81:CS81)+CT73+(CT$78-CT$70)/(CU$70-CT$70)*CU73,0)</f>
        <v>0</v>
      </c>
      <c r="CU81" s="510">
        <f ca="1">(CU$78=$B$9)*CU73+((CU$78-CU$70)/(CV$70-CU$70)*CV73+(CU$70-CT$78)/(CU$70-CT$70)*CU73)*(CU$78&gt;$B$10)+IF(CU$78=$B$10,SUM($F73:CT73)-SUM($F81:CT81)+CU73+(CU$78-CU$70)/(CV$70-CU$70)*CV73,0)</f>
        <v>0</v>
      </c>
      <c r="CV81" s="510">
        <f ca="1">(CV$78=$B$9)*CV73+((CV$78-CV$70)/(CW$70-CV$70)*CW73+(CV$70-CU$78)/(CV$70-CU$70)*CV73)*(CV$78&gt;$B$10)+IF(CV$78=$B$10,SUM($F73:CU73)-SUM($F81:CU81)+CV73+(CV$78-CV$70)/(CW$70-CV$70)*CW73,0)</f>
        <v>0</v>
      </c>
      <c r="CW81" s="510">
        <f ca="1">(CW$78=$B$9)*CW73+((CW$78-CW$70)/(CX$70-CW$70)*CX73+(CW$70-CV$78)/(CW$70-CV$70)*CW73)*(CW$78&gt;$B$10)+IF(CW$78=$B$10,SUM($F73:CV73)-SUM($F81:CV81)+CW73+(CW$78-CW$70)/(CX$70-CW$70)*CX73,0)</f>
        <v>0</v>
      </c>
      <c r="CX81" s="510">
        <f ca="1">(CX$78=$B$9)*CX73+((CX$78-CX$70)/(CY$70-CX$70)*CY73+(CX$70-CW$78)/(CX$70-CW$70)*CX73)*(CX$78&gt;$B$10)+IF(CX$78=$B$10,SUM($F73:CW73)-SUM($F81:CW81)+CX73+(CX$78-CX$70)/(CY$70-CX$70)*CY73,0)</f>
        <v>0</v>
      </c>
      <c r="CY81" s="510">
        <f ca="1">(CY$78=$B$9)*CY73+((CY$78-CY$70)/(CZ$70-CY$70)*CZ73+(CY$70-CX$78)/(CY$70-CX$70)*CY73)*(CY$78&gt;$B$10)+IF(CY$78=$B$10,SUM($F73:CX73)-SUM($F81:CX81)+CY73+(CY$78-CY$70)/(CZ$70-CY$70)*CZ73,0)</f>
        <v>0</v>
      </c>
      <c r="CZ81" s="510">
        <f ca="1">(CZ$78=$B$9)*CZ73+((CZ$78-CZ$70)/(DA$70-CZ$70)*DA73+(CZ$70-CY$78)/(CZ$70-CY$70)*CZ73)*(CZ$78&gt;$B$10)+IF(CZ$78=$B$10,SUM($F73:CY73)-SUM($F81:CY81)+CZ73+(CZ$78-CZ$70)/(DA$70-CZ$70)*DA73,0)</f>
        <v>0</v>
      </c>
      <c r="DA81" s="510">
        <f ca="1">(DA$78=$B$9)*DA73+((DA$78-DA$70)/(DB$70-DA$70)*DB73+(DA$70-CZ$78)/(DA$70-CZ$70)*DA73)*(DA$78&gt;$B$10)+IF(DA$78=$B$10,SUM($F73:CZ73)-SUM($F81:CZ81)+DA73+(DA$78-DA$70)/(DB$70-DA$70)*DB73,0)</f>
        <v>0</v>
      </c>
      <c r="DB81" s="510">
        <f ca="1">(DB$78=$B$9)*DB73+((DB$78-DB$70)/(DC$70-DB$70)*DC73+(DB$70-DA$78)/(DB$70-DA$70)*DB73)*(DB$78&gt;$B$10)+IF(DB$78=$B$10,SUM($F73:DA73)-SUM($F81:DA81)+DB73+(DB$78-DB$70)/(DC$70-DB$70)*DC73,0)</f>
        <v>0</v>
      </c>
      <c r="DC81" s="510">
        <f ca="1">(DC$78=$B$9)*DC73+((DC$78-DC$70)/(DD$70-DC$70)*DD73+(DC$70-DB$78)/(DC$70-DB$70)*DC73)*(DC$78&gt;$B$10)+IF(DC$78=$B$10,SUM($F73:DB73)-SUM($F81:DB81)+DC73+(DC$78-DC$70)/(DD$70-DC$70)*DD73,0)</f>
        <v>0</v>
      </c>
      <c r="DD81" s="510">
        <f ca="1">(DD$78=$B$9)*DD73+((DD$78-DD$70)/(DE$70-DD$70)*DE73+(DD$70-DC$78)/(DD$70-DC$70)*DD73)*(DD$78&gt;$B$10)+IF(DD$78=$B$10,SUM($F73:DC73)-SUM($F81:DC81)+DD73+(DD$78-DD$70)/(DE$70-DD$70)*DE73,0)</f>
        <v>0</v>
      </c>
      <c r="DE81" s="510">
        <f ca="1">(DE$78=$B$9)*DE73+((DE$78-DE$70)/(DF$70-DE$70)*DF73+(DE$70-DD$78)/(DE$70-DD$70)*DE73)*(DE$78&gt;$B$10)+IF(DE$78=$B$10,SUM($F73:DD73)-SUM($F81:DD81)+DE73+(DE$78-DE$70)/(DF$70-DE$70)*DF73,0)</f>
        <v>0</v>
      </c>
      <c r="DF81" s="510">
        <f ca="1">(DF$78=$B$9)*DF73+((DF$78-DF$70)/(DG$70-DF$70)*DG73+(DF$70-DE$78)/(DF$70-DE$70)*DF73)*(DF$78&gt;$B$10)+IF(DF$78=$B$10,SUM($F73:DE73)-SUM($F81:DE81)+DF73+(DF$78-DF$70)/(DG$70-DF$70)*DG73,0)</f>
        <v>0</v>
      </c>
      <c r="DG81" s="510">
        <f ca="1">(DG$78=$B$9)*DG73+((DG$78-DG$70)/(DH$70-DG$70)*DH73+(DG$70-DF$78)/(DG$70-DF$70)*DG73)*(DG$78&gt;$B$10)+IF(DG$78=$B$10,SUM($F73:DF73)-SUM($F81:DF81)+DG73+(DG$78-DG$70)/(DH$70-DG$70)*DH73,0)</f>
        <v>0</v>
      </c>
      <c r="DH81" s="510">
        <f ca="1">(DH$78=$B$9)*DH73+((DH$78-DH$70)/(DI$70-DH$70)*DI73+(DH$70-DG$78)/(DH$70-DG$70)*DH73)*(DH$78&gt;$B$10)+IF(DH$78=$B$10,SUM($F73:DG73)-SUM($F81:DG81)+DH73+(DH$78-DH$70)/(DI$70-DH$70)*DI73,0)</f>
        <v>0</v>
      </c>
      <c r="DI81" s="510">
        <f ca="1">(DI$78=$B$9)*DI73+((DI$78-DI$70)/(DJ$70-DI$70)*DJ73+(DI$70-DH$78)/(DI$70-DH$70)*DI73)*(DI$78&gt;$B$10)+IF(DI$78=$B$10,SUM($F73:DH73)-SUM($F81:DH81)+DI73+(DI$78-DI$70)/(DJ$70-DI$70)*DJ73,0)</f>
        <v>0</v>
      </c>
      <c r="DJ81" s="510">
        <f ca="1">(DJ$78=$B$9)*DJ73+((DJ$78-DJ$70)/(DK$70-DJ$70)*DK73+(DJ$70-DI$78)/(DJ$70-DI$70)*DJ73)*(DJ$78&gt;$B$10)+IF(DJ$78=$B$10,SUM($F73:DI73)-SUM($F81:DI81)+DJ73+(DJ$78-DJ$70)/(DK$70-DJ$70)*DK73,0)</f>
        <v>0</v>
      </c>
      <c r="DK81" s="510">
        <f ca="1">(DK$78=$B$9)*DK73+((DK$78-DK$70)/(DL$70-DK$70)*DL73+(DK$70-DJ$78)/(DK$70-DJ$70)*DK73)*(DK$78&gt;$B$10)+IF(DK$78=$B$10,SUM($F73:DJ73)-SUM($F81:DJ81)+DK73+(DK$78-DK$70)/(DL$70-DK$70)*DL73,0)</f>
        <v>0</v>
      </c>
      <c r="DL81" s="510">
        <f ca="1">(DL$78=$B$9)*DL73+((DL$78-DL$70)/(DM$70-DL$70)*DM73+(DL$70-DK$78)/(DL$70-DK$70)*DL73)*(DL$78&gt;$B$10)+IF(DL$78=$B$10,SUM($F73:DK73)-SUM($F81:DK81)+DL73+(DL$78-DL$70)/(DM$70-DL$70)*DM73,0)</f>
        <v>0</v>
      </c>
      <c r="DM81" s="510">
        <f ca="1">(DM$78=$B$9)*DM73+((DM$78-DM$70)/(DN$70-DM$70)*DN73+(DM$70-DL$78)/(DM$70-DL$70)*DM73)*(DM$78&gt;$B$10)+IF(DM$78=$B$10,SUM($F73:DL73)-SUM($F81:DL81)+DM73+(DM$78-DM$70)/(DN$70-DM$70)*DN73,0)</f>
        <v>0</v>
      </c>
      <c r="DN81" s="510">
        <f ca="1">(DN$78=$B$9)*DN73+((DN$78-DN$70)/(DO$70-DN$70)*DO73+(DN$70-DM$78)/(DN$70-DM$70)*DN73)*(DN$78&gt;$B$10)+IF(DN$78=$B$10,SUM($F73:DM73)-SUM($F81:DM81)+DN73+(DN$78-DN$70)/(DO$70-DN$70)*DO73,0)</f>
        <v>0</v>
      </c>
      <c r="DO81" s="510">
        <f ca="1">(DO$78=$B$9)*DO73+((DO$78-DO$70)/(DP$70-DO$70)*DP73+(DO$70-DN$78)/(DO$70-DN$70)*DO73)*(DO$78&gt;$B$10)+IF(DO$78=$B$10,SUM($F73:DN73)-SUM($F81:DN81)+DO73+(DO$78-DO$70)/(DP$70-DO$70)*DP73,0)</f>
        <v>0</v>
      </c>
      <c r="DP81" s="510">
        <f ca="1">(DP$78=$B$9)*DP73+((DP$78-DP$70)/(DQ$70-DP$70)*DQ73+(DP$70-DO$78)/(DP$70-DO$70)*DP73)*(DP$78&gt;$B$10)+IF(DP$78=$B$10,SUM($F73:DO73)-SUM($F81:DO81)+DP73+(DP$78-DP$70)/(DQ$70-DP$70)*DQ73,0)</f>
        <v>0</v>
      </c>
      <c r="DQ81" s="510">
        <f ca="1">(DQ$78=$B$9)*DQ73+((DQ$78-DQ$70)/(DR$70-DQ$70)*DR73+(DQ$70-DP$78)/(DQ$70-DP$70)*DQ73)*(DQ$78&gt;$B$10)+IF(DQ$78=$B$10,SUM($F73:DP73)-SUM($F81:DP81)+DQ73+(DQ$78-DQ$70)/(DR$70-DQ$70)*DR73,0)</f>
        <v>0</v>
      </c>
      <c r="DR81" s="510">
        <f ca="1">(DR$78=$B$9)*DR73+((DR$78-DR$70)/(DS$70-DR$70)*DS73+(DR$70-DQ$78)/(DR$70-DQ$70)*DR73)*(DR$78&gt;$B$10)+IF(DR$78=$B$10,SUM($F73:DQ73)-SUM($F81:DQ81)+DR73+(DR$78-DR$70)/(DS$70-DR$70)*DS73,0)</f>
        <v>0</v>
      </c>
      <c r="DS81" s="510">
        <f ca="1">(DS$78=$B$9)*DS73+((DS$78-DS$70)/(DT$70-DS$70)*DT73+(DS$70-DR$78)/(DS$70-DR$70)*DS73)*(DS$78&gt;$B$10)+IF(DS$78=$B$10,SUM($F73:DR73)-SUM($F81:DR81)+DS73+(DS$78-DS$70)/(DT$70-DS$70)*DT73,0)</f>
        <v>0</v>
      </c>
      <c r="DT81" s="510">
        <f ca="1">(DT$78=$B$9)*DT73+((DT$78-DT$70)/(DU$70-DT$70)*DU73+(DT$70-DS$78)/(DT$70-DS$70)*DT73)*(DT$78&gt;$B$10)+IF(DT$78=$B$10,SUM($F73:DS73)-SUM($F81:DS81)+DT73+(DT$78-DT$70)/(DU$70-DT$70)*DU73,0)</f>
        <v>0</v>
      </c>
      <c r="DU81" s="510">
        <f ca="1">(DU$78=$B$9)*DU73+((DU$78-DU$70)/(DV$70-DU$70)*DV73+(DU$70-DT$78)/(DU$70-DT$70)*DU73)*(DU$78&gt;$B$10)+IF(DU$78=$B$10,SUM($F73:DT73)-SUM($F81:DT81)+DU73+(DU$78-DU$70)/(DV$70-DU$70)*DV73,0)</f>
        <v>0</v>
      </c>
      <c r="DV81" s="510">
        <f ca="1">(DV$78=$B$9)*DV73+((DV$78-DV$70)/(DW$70-DV$70)*DW73+(DV$70-DU$78)/(DV$70-DU$70)*DV73)*(DV$78&gt;$B$10)+IF(DV$78=$B$10,SUM($F73:DU73)-SUM($F81:DU81)+DV73+(DV$78-DV$70)/(DW$70-DV$70)*DW73,0)</f>
        <v>0</v>
      </c>
      <c r="DW81" s="510">
        <f ca="1">(DW$78=$B$9)*DW73+((DW$78-DW$70)/(DX$70-DW$70)*DX73+(DW$70-DV$78)/(DW$70-DV$70)*DW73)*(DW$78&gt;$B$10)+IF(DW$78=$B$10,SUM($F73:DV73)-SUM($F81:DV81)+DW73+(DW$78-DW$70)/(DX$70-DW$70)*DX73,0)</f>
        <v>0</v>
      </c>
    </row>
    <row r="82" spans="1:127">
      <c r="A82" s="1019" t="str">
        <f>A74</f>
        <v>Gross Dividends</v>
      </c>
      <c r="B82" s="971"/>
      <c r="C82" s="971"/>
      <c r="D82" s="471"/>
      <c r="E82" s="471"/>
      <c r="F82" s="518"/>
      <c r="G82" s="510">
        <f ca="1">(G$78=$B$9)*G74+((G$78-G$70)/(H$70-G$70)*H74+(G$70-F$78)/(G$70-F$70)*G74)*(G$78&gt;$B$10)+IF(G$78=$B$10,SUM($F74:F74)-SUM($F82:F82)+G74+(G$78-G$70)/(H$70-G$70)*H74,0)</f>
        <v>-500</v>
      </c>
      <c r="H82" s="510">
        <f ca="1">(H$78=$B$9)*H74+((H$78-H$70)/(I$70-H$70)*I74+(H$70-G$78)/(H$70-G$70)*H74)*(H$78&gt;$B$10)+IF(H$78=$B$10,SUM($F74:G74)-SUM($F82:G82)+H74+(H$78-H$70)/(I$70-H$70)*I74,0)</f>
        <v>0</v>
      </c>
      <c r="I82" s="510">
        <f ca="1">(I$78=$B$9)*I74+((I$78-I$70)/(J$70-I$70)*J74+(I$70-H$78)/(I$70-H$70)*I74)*(I$78&gt;$B$10)+IF(I$78=$B$10,SUM($F74:H74)-SUM($F82:H82)+I74+(I$78-I$70)/(J$70-I$70)*J74,0)</f>
        <v>0</v>
      </c>
      <c r="J82" s="510">
        <f ca="1">(J$78=$B$9)*J74+((J$78-J$70)/(K$70-J$70)*K74+(J$70-I$78)/(J$70-I$70)*J74)*(J$78&gt;$B$10)+IF(J$78=$B$10,SUM($F74:I74)-SUM($F82:I82)+J74+(J$78-J$70)/(K$70-J$70)*K74,0)</f>
        <v>0</v>
      </c>
      <c r="K82" s="510">
        <f ca="1">(K$78=$B$9)*K74+((K$78-K$70)/(L$70-K$70)*L74+(K$70-J$78)/(K$70-J$70)*K74)*(K$78&gt;$B$10)+IF(K$78=$B$10,SUM($F74:J74)-SUM($F82:J82)+K74+(K$78-K$70)/(L$70-K$70)*L74,0)</f>
        <v>0</v>
      </c>
      <c r="L82" s="510">
        <f ca="1">(L$78=$B$9)*L74+((L$78-L$70)/(M$70-L$70)*M74+(L$70-K$78)/(L$70-K$70)*L74)*(L$78&gt;$B$10)+IF(L$78=$B$10,SUM($F74:K74)-SUM($F82:K82)+L74+(L$78-L$70)/(M$70-L$70)*M74,0)</f>
        <v>0</v>
      </c>
      <c r="M82" s="510">
        <f ca="1">(M$78=$B$9)*M74+((M$78-M$70)/(N$70-M$70)*N74+(M$70-L$78)/(M$70-L$70)*M74)*(M$78&gt;$B$10)+IF(M$78=$B$10,SUM($F74:L74)-SUM($F82:L82)+M74+(M$78-M$70)/(N$70-M$70)*N74,0)</f>
        <v>0</v>
      </c>
      <c r="N82" s="510">
        <f ca="1">(N$78=$B$9)*N74+((N$78-N$70)/(O$70-N$70)*O74+(N$70-M$78)/(N$70-M$70)*N74)*(N$78&gt;$B$10)+IF(N$78=$B$10,SUM($F74:M74)-SUM($F82:M82)+N74+(N$78-N$70)/(O$70-N$70)*O74,0)</f>
        <v>0</v>
      </c>
      <c r="O82" s="510">
        <f ca="1">(O$78=$B$9)*O74+((O$78-O$70)/(P$70-O$70)*P74+(O$70-N$78)/(O$70-N$70)*O74)*(O$78&gt;$B$10)+IF(O$78=$B$10,SUM($F74:N74)-SUM($F82:N82)+O74+(O$78-O$70)/(P$70-O$70)*P74,0)</f>
        <v>0</v>
      </c>
      <c r="P82" s="510">
        <f ca="1">(P$78=$B$9)*P74+((P$78-P$70)/(Q$70-P$70)*Q74+(P$70-O$78)/(P$70-O$70)*P74)*(P$78&gt;$B$10)+IF(P$78=$B$10,SUM($F74:O74)-SUM($F82:O82)+P74+(P$78-P$70)/(Q$70-P$70)*Q74,0)</f>
        <v>0</v>
      </c>
      <c r="Q82" s="510">
        <f ca="1">(Q$78=$B$9)*Q74+((Q$78-Q$70)/(R$70-Q$70)*R74+(Q$70-P$78)/(Q$70-P$70)*Q74)*(Q$78&gt;$B$10)+IF(Q$78=$B$10,SUM($F74:P74)-SUM($F82:P82)+Q74+(Q$78-Q$70)/(R$70-Q$70)*R74,0)</f>
        <v>0</v>
      </c>
      <c r="R82" s="510">
        <f ca="1">(R$78=$B$9)*R74+((R$78-R$70)/(S$70-R$70)*S74+(R$70-Q$78)/(R$70-Q$70)*R74)*(R$78&gt;$B$10)+IF(R$78=$B$10,SUM($F74:Q74)-SUM($F82:Q82)+R74+(R$78-R$70)/(S$70-R$70)*S74,0)</f>
        <v>0</v>
      </c>
      <c r="S82" s="510">
        <f ca="1">(S$78=$B$9)*S74+((S$78-S$70)/(T$70-S$70)*T74+(S$70-R$78)/(S$70-R$70)*S74)*(S$78&gt;$B$10)+IF(S$78=$B$10,SUM($F74:R74)-SUM($F82:R82)+S74+(S$78-S$70)/(T$70-S$70)*T74,0)</f>
        <v>0</v>
      </c>
      <c r="T82" s="510">
        <f ca="1">(T$78=$B$9)*T74+((T$78-T$70)/(U$70-T$70)*U74+(T$70-S$78)/(T$70-S$70)*T74)*(T$78&gt;$B$10)+IF(T$78=$B$10,SUM($F74:S74)-SUM($F82:S82)+T74+(T$78-T$70)/(U$70-T$70)*U74,0)</f>
        <v>0</v>
      </c>
      <c r="U82" s="510">
        <f ca="1">(U$78=$B$9)*U74+((U$78-U$70)/(V$70-U$70)*V74+(U$70-T$78)/(U$70-T$70)*U74)*(U$78&gt;$B$10)+IF(U$78=$B$10,SUM($F74:T74)-SUM($F82:T82)+U74+(U$78-U$70)/(V$70-U$70)*V74,0)</f>
        <v>0</v>
      </c>
      <c r="V82" s="510">
        <f ca="1">(V$78=$B$9)*V74+((V$78-V$70)/(W$70-V$70)*W74+(V$70-U$78)/(V$70-U$70)*V74)*(V$78&gt;$B$10)+IF(V$78=$B$10,SUM($F74:U74)-SUM($F82:U82)+V74+(V$78-V$70)/(W$70-V$70)*W74,0)</f>
        <v>0</v>
      </c>
      <c r="W82" s="510">
        <f ca="1">(W$78=$B$9)*W74+((W$78-W$70)/(X$70-W$70)*X74+(W$70-V$78)/(W$70-V$70)*W74)*(W$78&gt;$B$10)+IF(W$78=$B$10,SUM($F74:V74)-SUM($F82:V82)+W74+(W$78-W$70)/(X$70-W$70)*X74,0)</f>
        <v>0</v>
      </c>
      <c r="X82" s="510">
        <f ca="1">(X$78=$B$9)*X74+((X$78-X$70)/(Y$70-X$70)*Y74+(X$70-W$78)/(X$70-W$70)*X74)*(X$78&gt;$B$10)+IF(X$78=$B$10,SUM($F74:W74)-SUM($F82:W82)+X74+(X$78-X$70)/(Y$70-X$70)*Y74,0)</f>
        <v>0</v>
      </c>
      <c r="Y82" s="510">
        <f ca="1">(Y$78=$B$9)*Y74+((Y$78-Y$70)/(Z$70-Y$70)*Z74+(Y$70-X$78)/(Y$70-X$70)*Y74)*(Y$78&gt;$B$10)+IF(Y$78=$B$10,SUM($F74:X74)-SUM($F82:X82)+Y74+(Y$78-Y$70)/(Z$70-Y$70)*Z74,0)</f>
        <v>0</v>
      </c>
      <c r="Z82" s="510">
        <f ca="1">(Z$78=$B$9)*Z74+((Z$78-Z$70)/(AA$70-Z$70)*AA74+(Z$70-Y$78)/(Z$70-Y$70)*Z74)*(Z$78&gt;$B$10)+IF(Z$78=$B$10,SUM($F74:Y74)-SUM($F82:Y82)+Z74+(Z$78-Z$70)/(AA$70-Z$70)*AA74,0)</f>
        <v>0</v>
      </c>
      <c r="AA82" s="510">
        <f ca="1">(AA$78=$B$9)*AA74+((AA$78-AA$70)/(AB$70-AA$70)*AB74+(AA$70-Z$78)/(AA$70-Z$70)*AA74)*(AA$78&gt;$B$10)+IF(AA$78=$B$10,SUM($F74:Z74)-SUM($F82:Z82)+AA74+(AA$78-AA$70)/(AB$70-AA$70)*AB74,0)</f>
        <v>0</v>
      </c>
      <c r="AB82" s="510">
        <f ca="1">(AB$78=$B$9)*AB74+((AB$78-AB$70)/(AC$70-AB$70)*AC74+(AB$70-AA$78)/(AB$70-AA$70)*AB74)*(AB$78&gt;$B$10)+IF(AB$78=$B$10,SUM($F74:AA74)-SUM($F82:AA82)+AB74+(AB$78-AB$70)/(AC$70-AB$70)*AC74,0)</f>
        <v>0</v>
      </c>
      <c r="AC82" s="510">
        <f ca="1">(AC$78=$B$9)*AC74+((AC$78-AC$70)/(AD$70-AC$70)*AD74+(AC$70-AB$78)/(AC$70-AB$70)*AC74)*(AC$78&gt;$B$10)+IF(AC$78=$B$10,SUM($F74:AB74)-SUM($F82:AB82)+AC74+(AC$78-AC$70)/(AD$70-AC$70)*AD74,0)</f>
        <v>0</v>
      </c>
      <c r="AD82" s="510">
        <f ca="1">(AD$78=$B$9)*AD74+((AD$78-AD$70)/(AE$70-AD$70)*AE74+(AD$70-AC$78)/(AD$70-AC$70)*AD74)*(AD$78&gt;$B$10)+IF(AD$78=$B$10,SUM($F74:AC74)-SUM($F82:AC82)+AD74+(AD$78-AD$70)/(AE$70-AD$70)*AE74,0)</f>
        <v>0</v>
      </c>
      <c r="AE82" s="510">
        <f ca="1">(AE$78=$B$9)*AE74+((AE$78-AE$70)/(AF$70-AE$70)*AF74+(AE$70-AD$78)/(AE$70-AD$70)*AE74)*(AE$78&gt;$B$10)+IF(AE$78=$B$10,SUM($F74:AD74)-SUM($F82:AD82)+AE74+(AE$78-AE$70)/(AF$70-AE$70)*AF74,0)</f>
        <v>0</v>
      </c>
      <c r="AF82" s="510">
        <f ca="1">(AF$78=$B$9)*AF74+((AF$78-AF$70)/(AG$70-AF$70)*AG74+(AF$70-AE$78)/(AF$70-AE$70)*AF74)*(AF$78&gt;$B$10)+IF(AF$78=$B$10,SUM($F74:AE74)-SUM($F82:AE82)+AF74+(AF$78-AF$70)/(AG$70-AF$70)*AG74,0)</f>
        <v>0</v>
      </c>
      <c r="AG82" s="510">
        <f ca="1">(AG$78=$B$9)*AG74+((AG$78-AG$70)/(AH$70-AG$70)*AH74+(AG$70-AF$78)/(AG$70-AF$70)*AG74)*(AG$78&gt;$B$10)+IF(AG$78=$B$10,SUM($F74:AF74)-SUM($F82:AF82)+AG74+(AG$78-AG$70)/(AH$70-AG$70)*AH74,0)</f>
        <v>0</v>
      </c>
      <c r="AH82" s="510">
        <f ca="1">(AH$78=$B$9)*AH74+((AH$78-AH$70)/(AI$70-AH$70)*AI74+(AH$70-AG$78)/(AH$70-AG$70)*AH74)*(AH$78&gt;$B$10)+IF(AH$78=$B$10,SUM($F74:AG74)-SUM($F82:AG82)+AH74+(AH$78-AH$70)/(AI$70-AH$70)*AI74,0)</f>
        <v>0</v>
      </c>
      <c r="AI82" s="510">
        <f ca="1">(AI$78=$B$9)*AI74+((AI$78-AI$70)/(AJ$70-AI$70)*AJ74+(AI$70-AH$78)/(AI$70-AH$70)*AI74)*(AI$78&gt;$B$10)+IF(AI$78=$B$10,SUM($F74:AH74)-SUM($F82:AH82)+AI74+(AI$78-AI$70)/(AJ$70-AI$70)*AJ74,0)</f>
        <v>0</v>
      </c>
      <c r="AJ82" s="510">
        <f ca="1">(AJ$78=$B$9)*AJ74+((AJ$78-AJ$70)/(AK$70-AJ$70)*AK74+(AJ$70-AI$78)/(AJ$70-AI$70)*AJ74)*(AJ$78&gt;$B$10)+IF(AJ$78=$B$10,SUM($F74:AI74)-SUM($F82:AI82)+AJ74+(AJ$78-AJ$70)/(AK$70-AJ$70)*AK74,0)</f>
        <v>0</v>
      </c>
      <c r="AK82" s="510">
        <f ca="1">(AK$78=$B$9)*AK74+((AK$78-AK$70)/(AL$70-AK$70)*AL74+(AK$70-AJ$78)/(AK$70-AJ$70)*AK74)*(AK$78&gt;$B$10)+IF(AK$78=$B$10,SUM($F74:AJ74)-SUM($F82:AJ82)+AK74+(AK$78-AK$70)/(AL$70-AK$70)*AL74,0)</f>
        <v>0</v>
      </c>
      <c r="AL82" s="510">
        <f ca="1">(AL$78=$B$9)*AL74+((AL$78-AL$70)/(AM$70-AL$70)*AM74+(AL$70-AK$78)/(AL$70-AK$70)*AL74)*(AL$78&gt;$B$10)+IF(AL$78=$B$10,SUM($F74:AK74)-SUM($F82:AK82)+AL74+(AL$78-AL$70)/(AM$70-AL$70)*AM74,0)</f>
        <v>0</v>
      </c>
      <c r="AM82" s="510">
        <f ca="1">(AM$78=$B$9)*AM74+((AM$78-AM$70)/(AN$70-AM$70)*AN74+(AM$70-AL$78)/(AM$70-AL$70)*AM74)*(AM$78&gt;$B$10)+IF(AM$78=$B$10,SUM($F74:AL74)-SUM($F82:AL82)+AM74+(AM$78-AM$70)/(AN$70-AM$70)*AN74,0)</f>
        <v>0</v>
      </c>
      <c r="AN82" s="510">
        <f ca="1">(AN$78=$B$9)*AN74+((AN$78-AN$70)/(AO$70-AN$70)*AO74+(AN$70-AM$78)/(AN$70-AM$70)*AN74)*(AN$78&gt;$B$10)+IF(AN$78=$B$10,SUM($F74:AM74)-SUM($F82:AM82)+AN74+(AN$78-AN$70)/(AO$70-AN$70)*AO74,0)</f>
        <v>0</v>
      </c>
      <c r="AO82" s="510">
        <f ca="1">(AO$78=$B$9)*AO74+((AO$78-AO$70)/(AP$70-AO$70)*AP74+(AO$70-AN$78)/(AO$70-AN$70)*AO74)*(AO$78&gt;$B$10)+IF(AO$78=$B$10,SUM($F74:AN74)-SUM($F82:AN82)+AO74+(AO$78-AO$70)/(AP$70-AO$70)*AP74,0)</f>
        <v>0</v>
      </c>
      <c r="AP82" s="510">
        <f ca="1">(AP$78=$B$9)*AP74+((AP$78-AP$70)/(AQ$70-AP$70)*AQ74+(AP$70-AO$78)/(AP$70-AO$70)*AP74)*(AP$78&gt;$B$10)+IF(AP$78=$B$10,SUM($F74:AO74)-SUM($F82:AO82)+AP74+(AP$78-AP$70)/(AQ$70-AP$70)*AQ74,0)</f>
        <v>0</v>
      </c>
      <c r="AQ82" s="510">
        <f ca="1">(AQ$78=$B$9)*AQ74+((AQ$78-AQ$70)/(AR$70-AQ$70)*AR74+(AQ$70-AP$78)/(AQ$70-AP$70)*AQ74)*(AQ$78&gt;$B$10)+IF(AQ$78=$B$10,SUM($F74:AP74)-SUM($F82:AP82)+AQ74+(AQ$78-AQ$70)/(AR$70-AQ$70)*AR74,0)</f>
        <v>0</v>
      </c>
      <c r="AR82" s="510">
        <f ca="1">(AR$78=$B$9)*AR74+((AR$78-AR$70)/(AS$70-AR$70)*AS74+(AR$70-AQ$78)/(AR$70-AQ$70)*AR74)*(AR$78&gt;$B$10)+IF(AR$78=$B$10,SUM($F74:AQ74)-SUM($F82:AQ82)+AR74+(AR$78-AR$70)/(AS$70-AR$70)*AS74,0)</f>
        <v>0</v>
      </c>
      <c r="AS82" s="510">
        <f ca="1">(AS$78=$B$9)*AS74+((AS$78-AS$70)/(AT$70-AS$70)*AT74+(AS$70-AR$78)/(AS$70-AR$70)*AS74)*(AS$78&gt;$B$10)+IF(AS$78=$B$10,SUM($F74:AR74)-SUM($F82:AR82)+AS74+(AS$78-AS$70)/(AT$70-AS$70)*AT74,0)</f>
        <v>0</v>
      </c>
      <c r="AT82" s="510">
        <f ca="1">(AT$78=$B$9)*AT74+((AT$78-AT$70)/(AU$70-AT$70)*AU74+(AT$70-AS$78)/(AT$70-AS$70)*AT74)*(AT$78&gt;$B$10)+IF(AT$78=$B$10,SUM($F74:AS74)-SUM($F82:AS82)+AT74+(AT$78-AT$70)/(AU$70-AT$70)*AU74,0)</f>
        <v>0.21905884111306753</v>
      </c>
      <c r="AU82" s="510">
        <f ca="1">(AU$78=$B$9)*AU74+((AU$78-AU$70)/(AV$70-AU$70)*AV74+(AU$70-AT$78)/(AU$70-AT$70)*AU74)*(AU$78&gt;$B$10)+IF(AU$78=$B$10,SUM($F74:AT74)-SUM($F82:AT82)+AU74+(AU$78-AU$70)/(AV$70-AU$70)*AV74,0)</f>
        <v>56.515990334017133</v>
      </c>
      <c r="AV82" s="510">
        <f ca="1">(AV$78=$B$9)*AV74+((AV$78-AV$70)/(AW$70-AV$70)*AW74+(AV$70-AU$78)/(AV$70-AU$70)*AV74)*(AV$78&gt;$B$10)+IF(AV$78=$B$10,SUM($F74:AU74)-SUM($F82:AU82)+AV74+(AV$78-AV$70)/(AW$70-AV$70)*AW74,0)</f>
        <v>3140.8078083117462</v>
      </c>
      <c r="AW82" s="510">
        <f ca="1">(AW$78=$B$9)*AW74+((AW$78-AW$70)/(AX$70-AW$70)*AX74+(AW$70-AV$78)/(AW$70-AV$70)*AW74)*(AW$78&gt;$B$10)+IF(AW$78=$B$10,SUM($F74:AV74)-SUM($F82:AV82)+AW74+(AW$78-AW$70)/(AX$70-AW$70)*AX74,0)</f>
        <v>2569.8246290142756</v>
      </c>
      <c r="AX82" s="510">
        <f ca="1">(AX$78=$B$9)*AX74+((AX$78-AX$70)/(AY$70-AX$70)*AY74+(AX$70-AW$78)/(AX$70-AW$70)*AX74)*(AX$78&gt;$B$10)+IF(AX$78=$B$10,SUM($F74:AW74)-SUM($F82:AW82)+AX74+(AX$78-AX$70)/(AY$70-AX$70)*AY74,0)</f>
        <v>3209.5494455699763</v>
      </c>
      <c r="AY82" s="510">
        <f ca="1">(AY$78=$B$9)*AY74+((AY$78-AY$70)/(AZ$70-AY$70)*AZ74+(AY$70-AX$78)/(AY$70-AX$70)*AY74)*(AY$78&gt;$B$10)+IF(AY$78=$B$10,SUM($F74:AX74)-SUM($F82:AX82)+AY74+(AY$78-AY$70)/(AZ$70-AY$70)*AZ74,0)</f>
        <v>2618.4048774821822</v>
      </c>
      <c r="AZ82" s="510">
        <f ca="1">(AZ$78=$B$9)*AZ74+((AZ$78-AZ$70)/(BA$70-AZ$70)*BA74+(AZ$70-AY$78)/(AZ$70-AY$70)*AZ74)*(AZ$78&gt;$B$10)+IF(AZ$78=$B$10,SUM($F74:AY74)-SUM($F82:AY82)+AZ74+(AZ$78-AZ$70)/(BA$70-AZ$70)*BA74,0)</f>
        <v>3270.9954817506259</v>
      </c>
      <c r="BA82" s="510">
        <f ca="1">(BA$78=$B$9)*BA74+((BA$78-BA$70)/(BB$70-BA$70)*BB74+(BA$70-AZ$78)/(BA$70-AZ$70)*BA74)*(BA$78&gt;$B$10)+IF(BA$78=$B$10,SUM($F74:AZ74)-SUM($F82:AZ82)+BA74+(BA$78-BA$70)/(BB$70-BA$70)*BB74,0)</f>
        <v>2650.0084441187973</v>
      </c>
      <c r="BB82" s="510">
        <f ca="1">(BB$78=$B$9)*BB74+((BB$78-BB$70)/(BC$70-BB$70)*BC74+(BB$70-BA$78)/(BB$70-BA$70)*BB74)*(BB$78&gt;$B$10)+IF(BB$78=$B$10,SUM($F74:BA74)-SUM($F82:BA82)+BB74+(BB$78-BB$70)/(BC$70-BB$70)*BC74,0)</f>
        <v>3322.2892303657081</v>
      </c>
      <c r="BC82" s="510">
        <f ca="1">(BC$78=$B$9)*BC74+((BC$78-BC$70)/(BD$70-BC$70)*BD74+(BC$70-BB$78)/(BC$70-BB$70)*BC74)*(BC$78&gt;$B$10)+IF(BC$78=$B$10,SUM($F74:BB74)-SUM($F82:BB82)+BC74+(BC$78-BC$70)/(BD$70-BC$70)*BD74,0)</f>
        <v>2713.4720714304526</v>
      </c>
      <c r="BD82" s="510">
        <f ca="1">(BD$78=$B$9)*BD74+((BD$78-BD$70)/(BE$70-BD$70)*BE74+(BD$70-BC$78)/(BD$70-BC$70)*BD74)*(BD$78&gt;$B$10)+IF(BD$78=$B$10,SUM($F74:BC74)-SUM($F82:BC82)+BD74+(BD$78-BD$70)/(BE$70-BD$70)*BE74,0)</f>
        <v>3398.7783086937811</v>
      </c>
      <c r="BE82" s="510">
        <f ca="1">(BE$78=$B$9)*BE74+((BE$78-BE$70)/(BF$70-BE$70)*BF74+(BE$70-BD$78)/(BE$70-BD$70)*BE74)*(BE$78&gt;$B$10)+IF(BE$78=$B$10,SUM($F74:BD74)-SUM($F82:BD82)+BE74+(BE$78-BE$70)/(BF$70-BE$70)*BF74,0)</f>
        <v>2750.5791618578064</v>
      </c>
      <c r="BF82" s="510">
        <f ca="1">(BF$78=$B$9)*BF74+((BF$78-BF$70)/(BG$70-BF$70)*BG74+(BF$70-BE$78)/(BF$70-BE$70)*BF74)*(BF$78&gt;$B$10)+IF(BF$78=$B$10,SUM($F74:BE74)-SUM($F82:BE82)+BF74+(BF$78-BF$70)/(BG$70-BF$70)*BG74,0)</f>
        <v>3439.2043330511383</v>
      </c>
      <c r="BG82" s="510">
        <f ca="1">(BG$78=$B$9)*BG74+((BG$78-BG$70)/(BH$70-BG$70)*BH74+(BG$70-BF$78)/(BG$70-BF$70)*BG74)*(BG$78&gt;$B$10)+IF(BG$78=$B$10,SUM($F74:BF74)-SUM($F82:BF82)+BG74+(BG$78-BG$70)/(BH$70-BG$70)*BH74,0)</f>
        <v>2786.2901464602119</v>
      </c>
      <c r="BH82" s="510">
        <f ca="1">(BH$78=$B$9)*BH74+((BH$78-BH$70)/(BI$70-BH$70)*BI74+(BH$70-BG$78)/(BH$70-BG$70)*BH74)*(BH$78&gt;$B$10)+IF(BH$78=$B$10,SUM($F74:BG74)-SUM($F82:BG82)+BH74+(BH$78-BH$70)/(BI$70-BH$70)*BI74,0)</f>
        <v>3483.0161490883906</v>
      </c>
      <c r="BI82" s="510">
        <f ca="1">(BI$78=$B$9)*BI74+((BI$78-BI$70)/(BJ$70-BI$70)*BJ74+(BI$70-BH$78)/(BI$70-BH$70)*BI74)*(BI$78&gt;$B$10)+IF(BI$78=$B$10,SUM($F74:BH74)-SUM($F82:BH82)+BI74+(BI$78-BI$70)/(BJ$70-BI$70)*BJ74,0)</f>
        <v>2801.4505661302614</v>
      </c>
      <c r="BJ82" s="510">
        <f ca="1">(BJ$78=$B$9)*BJ74+((BJ$78-BJ$70)/(BK$70-BJ$70)*BK74+(BJ$70-BI$78)/(BJ$70-BI$70)*BJ74)*(BJ$78&gt;$B$10)+IF(BJ$78=$B$10,SUM($F74:BI74)-SUM($F82:BI82)+BJ74+(BJ$78-BJ$70)/(BK$70-BJ$70)*BK74,0)</f>
        <v>3514.1860157916722</v>
      </c>
      <c r="BK82" s="510">
        <f ca="1">(BK$78=$B$9)*BK74+((BK$78-BK$70)/(BL$70-BK$70)*BL74+(BK$70-BJ$78)/(BK$70-BJ$70)*BK74)*(BK$78&gt;$B$10)+IF(BK$78=$B$10,SUM($F74:BJ74)-SUM($F82:BJ82)+BK74+(BK$78-BK$70)/(BL$70-BK$70)*BL74,0)</f>
        <v>2803.9278864916596</v>
      </c>
      <c r="BL82" s="510">
        <f ca="1">(BL$78=$B$9)*BL74+((BL$78-BL$70)/(BM$70-BL$70)*BM74+(BL$70-BK$78)/(BL$70-BK$70)*BL74)*(BL$78&gt;$B$10)+IF(BL$78=$B$10,SUM($F74:BK74)-SUM($F82:BK82)+BL74+(BL$78-BL$70)/(BM$70-BL$70)*BM74,0)</f>
        <v>3520.162296753615</v>
      </c>
      <c r="BM82" s="510">
        <f ca="1">(BM$78=$B$9)*BM74+((BM$78-BM$70)/(BN$70-BM$70)*BN74+(BM$70-BL$78)/(BM$70-BL$70)*BM74)*(BM$78&gt;$B$10)+IF(BM$78=$B$10,SUM($F74:BL74)-SUM($F82:BL82)+BM74+(BM$78-BM$70)/(BN$70-BM$70)*BN74,0)</f>
        <v>2827.9565008984036</v>
      </c>
      <c r="BN82" s="510">
        <f ca="1">(BN$78=$B$9)*BN74+((BN$78-BN$70)/(BO$70-BN$70)*BO74+(BN$70-BM$78)/(BN$70-BM$70)*BN74)*(BN$78&gt;$B$10)+IF(BN$78=$B$10,SUM($F74:BM74)-SUM($F82:BM82)+BN74+(BN$78-BN$70)/(BO$70-BN$70)*BO74,0)</f>
        <v>3537.7595408568186</v>
      </c>
      <c r="BO82" s="510">
        <f ca="1">(BO$78=$B$9)*BO74+((BO$78-BO$70)/(BP$70-BO$70)*BP74+(BO$70-BN$78)/(BO$70-BN$70)*BO74)*(BO$78&gt;$B$10)+IF(BO$78=$B$10,SUM($F74:BN74)-SUM($F82:BN82)+BO74+(BO$78-BO$70)/(BP$70-BO$70)*BP74,0)</f>
        <v>2839.4422479011218</v>
      </c>
      <c r="BP82" s="510">
        <f ca="1">(BP$78=$B$9)*BP74+((BP$78-BP$70)/(BQ$70-BP$70)*BQ74+(BP$70-BO$78)/(BP$70-BO$70)*BP74)*(BP$78&gt;$B$10)+IF(BP$78=$B$10,SUM($F74:BO74)-SUM($F82:BO82)+BP74+(BP$78-BP$70)/(BQ$70-BP$70)*BQ74,0)</f>
        <v>0</v>
      </c>
      <c r="BQ82" s="510">
        <f ca="1">(BQ$78=$B$9)*BQ74+((BQ$78-BQ$70)/(BR$70-BQ$70)*BR74+(BQ$70-BP$78)/(BQ$70-BP$70)*BQ74)*(BQ$78&gt;$B$10)+IF(BQ$78=$B$10,SUM($F74:BP74)-SUM($F82:BP82)+BQ74+(BQ$78-BQ$70)/(BR$70-BQ$70)*BR74,0)</f>
        <v>0</v>
      </c>
      <c r="BR82" s="510">
        <f ca="1">(BR$78=$B$9)*BR74+((BR$78-BR$70)/(BS$70-BR$70)*BS74+(BR$70-BQ$78)/(BR$70-BQ$70)*BR74)*(BR$78&gt;$B$10)+IF(BR$78=$B$10,SUM($F74:BQ74)-SUM($F82:BQ82)+BR74+(BR$78-BR$70)/(BS$70-BR$70)*BS74,0)</f>
        <v>0</v>
      </c>
      <c r="BS82" s="510">
        <f ca="1">(BS$78=$B$9)*BS74+((BS$78-BS$70)/(BT$70-BS$70)*BT74+(BS$70-BR$78)/(BS$70-BR$70)*BS74)*(BS$78&gt;$B$10)+IF(BS$78=$B$10,SUM($F74:BR74)-SUM($F82:BR82)+BS74+(BS$78-BS$70)/(BT$70-BS$70)*BT74,0)</f>
        <v>0</v>
      </c>
      <c r="BT82" s="510">
        <f ca="1">(BT$78=$B$9)*BT74+((BT$78-BT$70)/(BU$70-BT$70)*BU74+(BT$70-BS$78)/(BT$70-BS$70)*BT74)*(BT$78&gt;$B$10)+IF(BT$78=$B$10,SUM($F74:BS74)-SUM($F82:BS82)+BT74+(BT$78-BT$70)/(BU$70-BT$70)*BU74,0)</f>
        <v>0</v>
      </c>
      <c r="BU82" s="510">
        <f ca="1">(BU$78=$B$9)*BU74+((BU$78-BU$70)/(BV$70-BU$70)*BV74+(BU$70-BT$78)/(BU$70-BT$70)*BU74)*(BU$78&gt;$B$10)+IF(BU$78=$B$10,SUM($F74:BT74)-SUM($F82:BT82)+BU74+(BU$78-BU$70)/(BV$70-BU$70)*BV74,0)</f>
        <v>0</v>
      </c>
      <c r="BV82" s="510">
        <f ca="1">(BV$78=$B$9)*BV74+((BV$78-BV$70)/(BW$70-BV$70)*BW74+(BV$70-BU$78)/(BV$70-BU$70)*BV74)*(BV$78&gt;$B$10)+IF(BV$78=$B$10,SUM($F74:BU74)-SUM($F82:BU82)+BV74+(BV$78-BV$70)/(BW$70-BV$70)*BW74,0)</f>
        <v>0</v>
      </c>
      <c r="BW82" s="510">
        <f ca="1">(BW$78=$B$9)*BW74+((BW$78-BW$70)/(BX$70-BW$70)*BX74+(BW$70-BV$78)/(BW$70-BV$70)*BW74)*(BW$78&gt;$B$10)+IF(BW$78=$B$10,SUM($F74:BV74)-SUM($F82:BV82)+BW74+(BW$78-BW$70)/(BX$70-BW$70)*BX74,0)</f>
        <v>0</v>
      </c>
      <c r="BX82" s="510">
        <f ca="1">(BX$78=$B$9)*BX74+((BX$78-BX$70)/(BY$70-BX$70)*BY74+(BX$70-BW$78)/(BX$70-BW$70)*BX74)*(BX$78&gt;$B$10)+IF(BX$78=$B$10,SUM($F74:BW74)-SUM($F82:BW82)+BX74+(BX$78-BX$70)/(BY$70-BX$70)*BY74,0)</f>
        <v>0</v>
      </c>
      <c r="BY82" s="510">
        <f ca="1">(BY$78=$B$9)*BY74+((BY$78-BY$70)/(BZ$70-BY$70)*BZ74+(BY$70-BX$78)/(BY$70-BX$70)*BY74)*(BY$78&gt;$B$10)+IF(BY$78=$B$10,SUM($F74:BX74)-SUM($F82:BX82)+BY74+(BY$78-BY$70)/(BZ$70-BY$70)*BZ74,0)</f>
        <v>0</v>
      </c>
      <c r="BZ82" s="510">
        <f ca="1">(BZ$78=$B$9)*BZ74+((BZ$78-BZ$70)/(CA$70-BZ$70)*CA74+(BZ$70-BY$78)/(BZ$70-BY$70)*BZ74)*(BZ$78&gt;$B$10)+IF(BZ$78=$B$10,SUM($F74:BY74)-SUM($F82:BY82)+BZ74+(BZ$78-BZ$70)/(CA$70-BZ$70)*CA74,0)</f>
        <v>0</v>
      </c>
      <c r="CA82" s="510">
        <f ca="1">(CA$78=$B$9)*CA74+((CA$78-CA$70)/(CB$70-CA$70)*CB74+(CA$70-BZ$78)/(CA$70-BZ$70)*CA74)*(CA$78&gt;$B$10)+IF(CA$78=$B$10,SUM($F74:BZ74)-SUM($F82:BZ82)+CA74+(CA$78-CA$70)/(CB$70-CA$70)*CB74,0)</f>
        <v>0</v>
      </c>
      <c r="CB82" s="510">
        <f ca="1">(CB$78=$B$9)*CB74+((CB$78-CB$70)/(CC$70-CB$70)*CC74+(CB$70-CA$78)/(CB$70-CA$70)*CB74)*(CB$78&gt;$B$10)+IF(CB$78=$B$10,SUM($F74:CA74)-SUM($F82:CA82)+CB74+(CB$78-CB$70)/(CC$70-CB$70)*CC74,0)</f>
        <v>0</v>
      </c>
      <c r="CC82" s="510">
        <f ca="1">(CC$78=$B$9)*CC74+((CC$78-CC$70)/(CD$70-CC$70)*CD74+(CC$70-CB$78)/(CC$70-CB$70)*CC74)*(CC$78&gt;$B$10)+IF(CC$78=$B$10,SUM($F74:CB74)-SUM($F82:CB82)+CC74+(CC$78-CC$70)/(CD$70-CC$70)*CD74,0)</f>
        <v>0</v>
      </c>
      <c r="CD82" s="510">
        <f ca="1">(CD$78=$B$9)*CD74+((CD$78-CD$70)/(CE$70-CD$70)*CE74+(CD$70-CC$78)/(CD$70-CC$70)*CD74)*(CD$78&gt;$B$10)+IF(CD$78=$B$10,SUM($F74:CC74)-SUM($F82:CC82)+CD74+(CD$78-CD$70)/(CE$70-CD$70)*CE74,0)</f>
        <v>0</v>
      </c>
      <c r="CE82" s="510">
        <f ca="1">(CE$78=$B$9)*CE74+((CE$78-CE$70)/(CF$70-CE$70)*CF74+(CE$70-CD$78)/(CE$70-CD$70)*CE74)*(CE$78&gt;$B$10)+IF(CE$78=$B$10,SUM($F74:CD74)-SUM($F82:CD82)+CE74+(CE$78-CE$70)/(CF$70-CE$70)*CF74,0)</f>
        <v>0</v>
      </c>
      <c r="CF82" s="510">
        <f ca="1">(CF$78=$B$9)*CF74+((CF$78-CF$70)/(CG$70-CF$70)*CG74+(CF$70-CE$78)/(CF$70-CE$70)*CF74)*(CF$78&gt;$B$10)+IF(CF$78=$B$10,SUM($F74:CE74)-SUM($F82:CE82)+CF74+(CF$78-CF$70)/(CG$70-CF$70)*CG74,0)</f>
        <v>0</v>
      </c>
      <c r="CG82" s="510">
        <f ca="1">(CG$78=$B$9)*CG74+((CG$78-CG$70)/(CH$70-CG$70)*CH74+(CG$70-CF$78)/(CG$70-CF$70)*CG74)*(CG$78&gt;$B$10)+IF(CG$78=$B$10,SUM($F74:CF74)-SUM($F82:CF82)+CG74+(CG$78-CG$70)/(CH$70-CG$70)*CH74,0)</f>
        <v>0</v>
      </c>
      <c r="CH82" s="510">
        <f ca="1">(CH$78=$B$9)*CH74+((CH$78-CH$70)/(CI$70-CH$70)*CI74+(CH$70-CG$78)/(CH$70-CG$70)*CH74)*(CH$78&gt;$B$10)+IF(CH$78=$B$10,SUM($F74:CG74)-SUM($F82:CG82)+CH74+(CH$78-CH$70)/(CI$70-CH$70)*CI74,0)</f>
        <v>0</v>
      </c>
      <c r="CI82" s="510">
        <f ca="1">(CI$78=$B$9)*CI74+((CI$78-CI$70)/(CJ$70-CI$70)*CJ74+(CI$70-CH$78)/(CI$70-CH$70)*CI74)*(CI$78&gt;$B$10)+IF(CI$78=$B$10,SUM($F74:CH74)-SUM($F82:CH82)+CI74+(CI$78-CI$70)/(CJ$70-CI$70)*CJ74,0)</f>
        <v>0</v>
      </c>
      <c r="CJ82" s="510">
        <f ca="1">(CJ$78=$B$9)*CJ74+((CJ$78-CJ$70)/(CK$70-CJ$70)*CK74+(CJ$70-CI$78)/(CJ$70-CI$70)*CJ74)*(CJ$78&gt;$B$10)+IF(CJ$78=$B$10,SUM($F74:CI74)-SUM($F82:CI82)+CJ74+(CJ$78-CJ$70)/(CK$70-CJ$70)*CK74,0)</f>
        <v>0</v>
      </c>
      <c r="CK82" s="510">
        <f ca="1">(CK$78=$B$9)*CK74+((CK$78-CK$70)/(CL$70-CK$70)*CL74+(CK$70-CJ$78)/(CK$70-CJ$70)*CK74)*(CK$78&gt;$B$10)+IF(CK$78=$B$10,SUM($F74:CJ74)-SUM($F82:CJ82)+CK74+(CK$78-CK$70)/(CL$70-CK$70)*CL74,0)</f>
        <v>0</v>
      </c>
      <c r="CL82" s="510">
        <f ca="1">(CL$78=$B$9)*CL74+((CL$78-CL$70)/(CM$70-CL$70)*CM74+(CL$70-CK$78)/(CL$70-CK$70)*CL74)*(CL$78&gt;$B$10)+IF(CL$78=$B$10,SUM($F74:CK74)-SUM($F82:CK82)+CL74+(CL$78-CL$70)/(CM$70-CL$70)*CM74,0)</f>
        <v>0</v>
      </c>
      <c r="CM82" s="510">
        <f ca="1">(CM$78=$B$9)*CM74+((CM$78-CM$70)/(CN$70-CM$70)*CN74+(CM$70-CL$78)/(CM$70-CL$70)*CM74)*(CM$78&gt;$B$10)+IF(CM$78=$B$10,SUM($F74:CL74)-SUM($F82:CL82)+CM74+(CM$78-CM$70)/(CN$70-CM$70)*CN74,0)</f>
        <v>0</v>
      </c>
      <c r="CN82" s="510">
        <f ca="1">(CN$78=$B$9)*CN74+((CN$78-CN$70)/(CO$70-CN$70)*CO74+(CN$70-CM$78)/(CN$70-CM$70)*CN74)*(CN$78&gt;$B$10)+IF(CN$78=$B$10,SUM($F74:CM74)-SUM($F82:CM82)+CN74+(CN$78-CN$70)/(CO$70-CN$70)*CO74,0)</f>
        <v>0</v>
      </c>
      <c r="CO82" s="510">
        <f ca="1">(CO$78=$B$9)*CO74+((CO$78-CO$70)/(CP$70-CO$70)*CP74+(CO$70-CN$78)/(CO$70-CN$70)*CO74)*(CO$78&gt;$B$10)+IF(CO$78=$B$10,SUM($F74:CN74)-SUM($F82:CN82)+CO74+(CO$78-CO$70)/(CP$70-CO$70)*CP74,0)</f>
        <v>0</v>
      </c>
      <c r="CP82" s="510">
        <f ca="1">(CP$78=$B$9)*CP74+((CP$78-CP$70)/(CQ$70-CP$70)*CQ74+(CP$70-CO$78)/(CP$70-CO$70)*CP74)*(CP$78&gt;$B$10)+IF(CP$78=$B$10,SUM($F74:CO74)-SUM($F82:CO82)+CP74+(CP$78-CP$70)/(CQ$70-CP$70)*CQ74,0)</f>
        <v>0</v>
      </c>
      <c r="CQ82" s="510">
        <f ca="1">(CQ$78=$B$9)*CQ74+((CQ$78-CQ$70)/(CR$70-CQ$70)*CR74+(CQ$70-CP$78)/(CQ$70-CP$70)*CQ74)*(CQ$78&gt;$B$10)+IF(CQ$78=$B$10,SUM($F74:CP74)-SUM($F82:CP82)+CQ74+(CQ$78-CQ$70)/(CR$70-CQ$70)*CR74,0)</f>
        <v>0</v>
      </c>
      <c r="CR82" s="510">
        <f ca="1">(CR$78=$B$9)*CR74+((CR$78-CR$70)/(CS$70-CR$70)*CS74+(CR$70-CQ$78)/(CR$70-CQ$70)*CR74)*(CR$78&gt;$B$10)+IF(CR$78=$B$10,SUM($F74:CQ74)-SUM($F82:CQ82)+CR74+(CR$78-CR$70)/(CS$70-CR$70)*CS74,0)</f>
        <v>0</v>
      </c>
      <c r="CS82" s="510">
        <f ca="1">(CS$78=$B$9)*CS74+((CS$78-CS$70)/(CT$70-CS$70)*CT74+(CS$70-CR$78)/(CS$70-CR$70)*CS74)*(CS$78&gt;$B$10)+IF(CS$78=$B$10,SUM($F74:CR74)-SUM($F82:CR82)+CS74+(CS$78-CS$70)/(CT$70-CS$70)*CT74,0)</f>
        <v>0</v>
      </c>
      <c r="CT82" s="510">
        <f ca="1">(CT$78=$B$9)*CT74+((CT$78-CT$70)/(CU$70-CT$70)*CU74+(CT$70-CS$78)/(CT$70-CS$70)*CT74)*(CT$78&gt;$B$10)+IF(CT$78=$B$10,SUM($F74:CS74)-SUM($F82:CS82)+CT74+(CT$78-CT$70)/(CU$70-CT$70)*CU74,0)</f>
        <v>0</v>
      </c>
      <c r="CU82" s="510">
        <f ca="1">(CU$78=$B$9)*CU74+((CU$78-CU$70)/(CV$70-CU$70)*CV74+(CU$70-CT$78)/(CU$70-CT$70)*CU74)*(CU$78&gt;$B$10)+IF(CU$78=$B$10,SUM($F74:CT74)-SUM($F82:CT82)+CU74+(CU$78-CU$70)/(CV$70-CU$70)*CV74,0)</f>
        <v>0</v>
      </c>
      <c r="CV82" s="510">
        <f ca="1">(CV$78=$B$9)*CV74+((CV$78-CV$70)/(CW$70-CV$70)*CW74+(CV$70-CU$78)/(CV$70-CU$70)*CV74)*(CV$78&gt;$B$10)+IF(CV$78=$B$10,SUM($F74:CU74)-SUM($F82:CU82)+CV74+(CV$78-CV$70)/(CW$70-CV$70)*CW74,0)</f>
        <v>0</v>
      </c>
      <c r="CW82" s="510">
        <f ca="1">(CW$78=$B$9)*CW74+((CW$78-CW$70)/(CX$70-CW$70)*CX74+(CW$70-CV$78)/(CW$70-CV$70)*CW74)*(CW$78&gt;$B$10)+IF(CW$78=$B$10,SUM($F74:CV74)-SUM($F82:CV82)+CW74+(CW$78-CW$70)/(CX$70-CW$70)*CX74,0)</f>
        <v>0</v>
      </c>
      <c r="CX82" s="510">
        <f ca="1">(CX$78=$B$9)*CX74+((CX$78-CX$70)/(CY$70-CX$70)*CY74+(CX$70-CW$78)/(CX$70-CW$70)*CX74)*(CX$78&gt;$B$10)+IF(CX$78=$B$10,SUM($F74:CW74)-SUM($F82:CW82)+CX74+(CX$78-CX$70)/(CY$70-CX$70)*CY74,0)</f>
        <v>0</v>
      </c>
      <c r="CY82" s="510">
        <f ca="1">(CY$78=$B$9)*CY74+((CY$78-CY$70)/(CZ$70-CY$70)*CZ74+(CY$70-CX$78)/(CY$70-CX$70)*CY74)*(CY$78&gt;$B$10)+IF(CY$78=$B$10,SUM($F74:CX74)-SUM($F82:CX82)+CY74+(CY$78-CY$70)/(CZ$70-CY$70)*CZ74,0)</f>
        <v>0</v>
      </c>
      <c r="CZ82" s="510">
        <f ca="1">(CZ$78=$B$9)*CZ74+((CZ$78-CZ$70)/(DA$70-CZ$70)*DA74+(CZ$70-CY$78)/(CZ$70-CY$70)*CZ74)*(CZ$78&gt;$B$10)+IF(CZ$78=$B$10,SUM($F74:CY74)-SUM($F82:CY82)+CZ74+(CZ$78-CZ$70)/(DA$70-CZ$70)*DA74,0)</f>
        <v>0</v>
      </c>
      <c r="DA82" s="510">
        <f ca="1">(DA$78=$B$9)*DA74+((DA$78-DA$70)/(DB$70-DA$70)*DB74+(DA$70-CZ$78)/(DA$70-CZ$70)*DA74)*(DA$78&gt;$B$10)+IF(DA$78=$B$10,SUM($F74:CZ74)-SUM($F82:CZ82)+DA74+(DA$78-DA$70)/(DB$70-DA$70)*DB74,0)</f>
        <v>0</v>
      </c>
      <c r="DB82" s="510">
        <f ca="1">(DB$78=$B$9)*DB74+((DB$78-DB$70)/(DC$70-DB$70)*DC74+(DB$70-DA$78)/(DB$70-DA$70)*DB74)*(DB$78&gt;$B$10)+IF(DB$78=$B$10,SUM($F74:DA74)-SUM($F82:DA82)+DB74+(DB$78-DB$70)/(DC$70-DB$70)*DC74,0)</f>
        <v>0</v>
      </c>
      <c r="DC82" s="510">
        <f ca="1">(DC$78=$B$9)*DC74+((DC$78-DC$70)/(DD$70-DC$70)*DD74+(DC$70-DB$78)/(DC$70-DB$70)*DC74)*(DC$78&gt;$B$10)+IF(DC$78=$B$10,SUM($F74:DB74)-SUM($F82:DB82)+DC74+(DC$78-DC$70)/(DD$70-DC$70)*DD74,0)</f>
        <v>0</v>
      </c>
      <c r="DD82" s="510">
        <f ca="1">(DD$78=$B$9)*DD74+((DD$78-DD$70)/(DE$70-DD$70)*DE74+(DD$70-DC$78)/(DD$70-DC$70)*DD74)*(DD$78&gt;$B$10)+IF(DD$78=$B$10,SUM($F74:DC74)-SUM($F82:DC82)+DD74+(DD$78-DD$70)/(DE$70-DD$70)*DE74,0)</f>
        <v>0</v>
      </c>
      <c r="DE82" s="510">
        <f ca="1">(DE$78=$B$9)*DE74+((DE$78-DE$70)/(DF$70-DE$70)*DF74+(DE$70-DD$78)/(DE$70-DD$70)*DE74)*(DE$78&gt;$B$10)+IF(DE$78=$B$10,SUM($F74:DD74)-SUM($F82:DD82)+DE74+(DE$78-DE$70)/(DF$70-DE$70)*DF74,0)</f>
        <v>0</v>
      </c>
      <c r="DF82" s="510">
        <f ca="1">(DF$78=$B$9)*DF74+((DF$78-DF$70)/(DG$70-DF$70)*DG74+(DF$70-DE$78)/(DF$70-DE$70)*DF74)*(DF$78&gt;$B$10)+IF(DF$78=$B$10,SUM($F74:DE74)-SUM($F82:DE82)+DF74+(DF$78-DF$70)/(DG$70-DF$70)*DG74,0)</f>
        <v>0</v>
      </c>
      <c r="DG82" s="510">
        <f ca="1">(DG$78=$B$9)*DG74+((DG$78-DG$70)/(DH$70-DG$70)*DH74+(DG$70-DF$78)/(DG$70-DF$70)*DG74)*(DG$78&gt;$B$10)+IF(DG$78=$B$10,SUM($F74:DF74)-SUM($F82:DF82)+DG74+(DG$78-DG$70)/(DH$70-DG$70)*DH74,0)</f>
        <v>0</v>
      </c>
      <c r="DH82" s="510">
        <f ca="1">(DH$78=$B$9)*DH74+((DH$78-DH$70)/(DI$70-DH$70)*DI74+(DH$70-DG$78)/(DH$70-DG$70)*DH74)*(DH$78&gt;$B$10)+IF(DH$78=$B$10,SUM($F74:DG74)-SUM($F82:DG82)+DH74+(DH$78-DH$70)/(DI$70-DH$70)*DI74,0)</f>
        <v>0</v>
      </c>
      <c r="DI82" s="510">
        <f ca="1">(DI$78=$B$9)*DI74+((DI$78-DI$70)/(DJ$70-DI$70)*DJ74+(DI$70-DH$78)/(DI$70-DH$70)*DI74)*(DI$78&gt;$B$10)+IF(DI$78=$B$10,SUM($F74:DH74)-SUM($F82:DH82)+DI74+(DI$78-DI$70)/(DJ$70-DI$70)*DJ74,0)</f>
        <v>0</v>
      </c>
      <c r="DJ82" s="510">
        <f ca="1">(DJ$78=$B$9)*DJ74+((DJ$78-DJ$70)/(DK$70-DJ$70)*DK74+(DJ$70-DI$78)/(DJ$70-DI$70)*DJ74)*(DJ$78&gt;$B$10)+IF(DJ$78=$B$10,SUM($F74:DI74)-SUM($F82:DI82)+DJ74+(DJ$78-DJ$70)/(DK$70-DJ$70)*DK74,0)</f>
        <v>0</v>
      </c>
      <c r="DK82" s="510">
        <f ca="1">(DK$78=$B$9)*DK74+((DK$78-DK$70)/(DL$70-DK$70)*DL74+(DK$70-DJ$78)/(DK$70-DJ$70)*DK74)*(DK$78&gt;$B$10)+IF(DK$78=$B$10,SUM($F74:DJ74)-SUM($F82:DJ82)+DK74+(DK$78-DK$70)/(DL$70-DK$70)*DL74,0)</f>
        <v>0</v>
      </c>
      <c r="DL82" s="510">
        <f ca="1">(DL$78=$B$9)*DL74+((DL$78-DL$70)/(DM$70-DL$70)*DM74+(DL$70-DK$78)/(DL$70-DK$70)*DL74)*(DL$78&gt;$B$10)+IF(DL$78=$B$10,SUM($F74:DK74)-SUM($F82:DK82)+DL74+(DL$78-DL$70)/(DM$70-DL$70)*DM74,0)</f>
        <v>0</v>
      </c>
      <c r="DM82" s="510">
        <f ca="1">(DM$78=$B$9)*DM74+((DM$78-DM$70)/(DN$70-DM$70)*DN74+(DM$70-DL$78)/(DM$70-DL$70)*DM74)*(DM$78&gt;$B$10)+IF(DM$78=$B$10,SUM($F74:DL74)-SUM($F82:DL82)+DM74+(DM$78-DM$70)/(DN$70-DM$70)*DN74,0)</f>
        <v>0</v>
      </c>
      <c r="DN82" s="510">
        <f ca="1">(DN$78=$B$9)*DN74+((DN$78-DN$70)/(DO$70-DN$70)*DO74+(DN$70-DM$78)/(DN$70-DM$70)*DN74)*(DN$78&gt;$B$10)+IF(DN$78=$B$10,SUM($F74:DM74)-SUM($F82:DM82)+DN74+(DN$78-DN$70)/(DO$70-DN$70)*DO74,0)</f>
        <v>0</v>
      </c>
      <c r="DO82" s="510">
        <f ca="1">(DO$78=$B$9)*DO74+((DO$78-DO$70)/(DP$70-DO$70)*DP74+(DO$70-DN$78)/(DO$70-DN$70)*DO74)*(DO$78&gt;$B$10)+IF(DO$78=$B$10,SUM($F74:DN74)-SUM($F82:DN82)+DO74+(DO$78-DO$70)/(DP$70-DO$70)*DP74,0)</f>
        <v>0</v>
      </c>
      <c r="DP82" s="510">
        <f ca="1">(DP$78=$B$9)*DP74+((DP$78-DP$70)/(DQ$70-DP$70)*DQ74+(DP$70-DO$78)/(DP$70-DO$70)*DP74)*(DP$78&gt;$B$10)+IF(DP$78=$B$10,SUM($F74:DO74)-SUM($F82:DO82)+DP74+(DP$78-DP$70)/(DQ$70-DP$70)*DQ74,0)</f>
        <v>0</v>
      </c>
      <c r="DQ82" s="510">
        <f ca="1">(DQ$78=$B$9)*DQ74+((DQ$78-DQ$70)/(DR$70-DQ$70)*DR74+(DQ$70-DP$78)/(DQ$70-DP$70)*DQ74)*(DQ$78&gt;$B$10)+IF(DQ$78=$B$10,SUM($F74:DP74)-SUM($F82:DP82)+DQ74+(DQ$78-DQ$70)/(DR$70-DQ$70)*DR74,0)</f>
        <v>0</v>
      </c>
      <c r="DR82" s="510">
        <f ca="1">(DR$78=$B$9)*DR74+((DR$78-DR$70)/(DS$70-DR$70)*DS74+(DR$70-DQ$78)/(DR$70-DQ$70)*DR74)*(DR$78&gt;$B$10)+IF(DR$78=$B$10,SUM($F74:DQ74)-SUM($F82:DQ82)+DR74+(DR$78-DR$70)/(DS$70-DR$70)*DS74,0)</f>
        <v>0</v>
      </c>
      <c r="DS82" s="510">
        <f ca="1">(DS$78=$B$9)*DS74+((DS$78-DS$70)/(DT$70-DS$70)*DT74+(DS$70-DR$78)/(DS$70-DR$70)*DS74)*(DS$78&gt;$B$10)+IF(DS$78=$B$10,SUM($F74:DR74)-SUM($F82:DR82)+DS74+(DS$78-DS$70)/(DT$70-DS$70)*DT74,0)</f>
        <v>0</v>
      </c>
      <c r="DT82" s="510">
        <f ca="1">(DT$78=$B$9)*DT74+((DT$78-DT$70)/(DU$70-DT$70)*DU74+(DT$70-DS$78)/(DT$70-DS$70)*DT74)*(DT$78&gt;$B$10)+IF(DT$78=$B$10,SUM($F74:DS74)-SUM($F82:DS82)+DT74+(DT$78-DT$70)/(DU$70-DT$70)*DU74,0)</f>
        <v>0</v>
      </c>
      <c r="DU82" s="510">
        <f ca="1">(DU$78=$B$9)*DU74+((DU$78-DU$70)/(DV$70-DU$70)*DV74+(DU$70-DT$78)/(DU$70-DT$70)*DU74)*(DU$78&gt;$B$10)+IF(DU$78=$B$10,SUM($F74:DT74)-SUM($F82:DT82)+DU74+(DU$78-DU$70)/(DV$70-DU$70)*DV74,0)</f>
        <v>0</v>
      </c>
      <c r="DV82" s="510">
        <f ca="1">(DV$78=$B$9)*DV74+((DV$78-DV$70)/(DW$70-DV$70)*DW74+(DV$70-DU$78)/(DV$70-DU$70)*DV74)*(DV$78&gt;$B$10)+IF(DV$78=$B$10,SUM($F74:DU74)-SUM($F82:DU82)+DV74+(DV$78-DV$70)/(DW$70-DV$70)*DW74,0)</f>
        <v>0</v>
      </c>
      <c r="DW82" s="510">
        <f ca="1">(DW$78=$B$9)*DW74+((DW$78-DW$70)/(DX$70-DW$70)*DX74+(DW$70-DV$78)/(DW$70-DV$70)*DW74)*(DW$78&gt;$B$10)+IF(DW$78=$B$10,SUM($F74:DV74)-SUM($F82:DV82)+DW74+(DW$78-DW$70)/(DX$70-DW$70)*DX74,0)</f>
        <v>0</v>
      </c>
    </row>
    <row r="83" spans="1:127">
      <c r="A83" s="1020" t="str">
        <f>A75</f>
        <v>Net Dividends</v>
      </c>
      <c r="B83" s="971"/>
      <c r="C83" s="971"/>
      <c r="D83" s="471"/>
      <c r="E83" s="471"/>
      <c r="F83" s="518"/>
      <c r="G83" s="510">
        <f ca="1">(G$78=$B$9)*G75+((G$78-G$70)/(H$70-G$70)*H75+(G$70-F$78)/(G$70-F$70)*G75)*(G$78&gt;$B$10)+IF(G$78=$B$10,SUM($F75:F75)-SUM($F83:F83)+G75+(G$78-G$70)/(H$70-G$70)*H75,0)</f>
        <v>-500</v>
      </c>
      <c r="H83" s="510">
        <f ca="1">(H$78=$B$9)*H75+((H$78-H$70)/(I$70-H$70)*I75+(H$70-G$78)/(H$70-G$70)*H75)*(H$78&gt;$B$10)+IF(H$78=$B$10,SUM($F75:G75)-SUM($F83:G83)+H75+(H$78-H$70)/(I$70-H$70)*I75,0)</f>
        <v>0</v>
      </c>
      <c r="I83" s="510">
        <f ca="1">(I$78=$B$9)*I75+((I$78-I$70)/(J$70-I$70)*J75+(I$70-H$78)/(I$70-H$70)*I75)*(I$78&gt;$B$10)+IF(I$78=$B$10,SUM($F75:H75)-SUM($F83:H83)+I75+(I$78-I$70)/(J$70-I$70)*J75,0)</f>
        <v>0</v>
      </c>
      <c r="J83" s="510">
        <f ca="1">(J$78=$B$9)*J75+((J$78-J$70)/(K$70-J$70)*K75+(J$70-I$78)/(J$70-I$70)*J75)*(J$78&gt;$B$10)+IF(J$78=$B$10,SUM($F75:I75)-SUM($F83:I83)+J75+(J$78-J$70)/(K$70-J$70)*K75,0)</f>
        <v>0</v>
      </c>
      <c r="K83" s="510">
        <f ca="1">(K$78=$B$9)*K75+((K$78-K$70)/(L$70-K$70)*L75+(K$70-J$78)/(K$70-J$70)*K75)*(K$78&gt;$B$10)+IF(K$78=$B$10,SUM($F75:J75)-SUM($F83:J83)+K75+(K$78-K$70)/(L$70-K$70)*L75,0)</f>
        <v>0</v>
      </c>
      <c r="L83" s="510">
        <f ca="1">(L$78=$B$9)*L75+((L$78-L$70)/(M$70-L$70)*M75+(L$70-K$78)/(L$70-K$70)*L75)*(L$78&gt;$B$10)+IF(L$78=$B$10,SUM($F75:K75)-SUM($F83:K83)+L75+(L$78-L$70)/(M$70-L$70)*M75,0)</f>
        <v>0</v>
      </c>
      <c r="M83" s="510">
        <f ca="1">(M$78=$B$9)*M75+((M$78-M$70)/(N$70-M$70)*N75+(M$70-L$78)/(M$70-L$70)*M75)*(M$78&gt;$B$10)+IF(M$78=$B$10,SUM($F75:L75)-SUM($F83:L83)+M75+(M$78-M$70)/(N$70-M$70)*N75,0)</f>
        <v>0</v>
      </c>
      <c r="N83" s="510">
        <f ca="1">(N$78=$B$9)*N75+((N$78-N$70)/(O$70-N$70)*O75+(N$70-M$78)/(N$70-M$70)*N75)*(N$78&gt;$B$10)+IF(N$78=$B$10,SUM($F75:M75)-SUM($F83:M83)+N75+(N$78-N$70)/(O$70-N$70)*O75,0)</f>
        <v>0</v>
      </c>
      <c r="O83" s="510">
        <f ca="1">(O$78=$B$9)*O75+((O$78-O$70)/(P$70-O$70)*P75+(O$70-N$78)/(O$70-N$70)*O75)*(O$78&gt;$B$10)+IF(O$78=$B$10,SUM($F75:N75)-SUM($F83:N83)+O75+(O$78-O$70)/(P$70-O$70)*P75,0)</f>
        <v>0</v>
      </c>
      <c r="P83" s="510">
        <f ca="1">(P$78=$B$9)*P75+((P$78-P$70)/(Q$70-P$70)*Q75+(P$70-O$78)/(P$70-O$70)*P75)*(P$78&gt;$B$10)+IF(P$78=$B$10,SUM($F75:O75)-SUM($F83:O83)+P75+(P$78-P$70)/(Q$70-P$70)*Q75,0)</f>
        <v>0</v>
      </c>
      <c r="Q83" s="510">
        <f ca="1">(Q$78=$B$9)*Q75+((Q$78-Q$70)/(R$70-Q$70)*R75+(Q$70-P$78)/(Q$70-P$70)*Q75)*(Q$78&gt;$B$10)+IF(Q$78=$B$10,SUM($F75:P75)-SUM($F83:P83)+Q75+(Q$78-Q$70)/(R$70-Q$70)*R75,0)</f>
        <v>0</v>
      </c>
      <c r="R83" s="510">
        <f ca="1">(R$78=$B$9)*R75+((R$78-R$70)/(S$70-R$70)*S75+(R$70-Q$78)/(R$70-Q$70)*R75)*(R$78&gt;$B$10)+IF(R$78=$B$10,SUM($F75:Q75)-SUM($F83:Q83)+R75+(R$78-R$70)/(S$70-R$70)*S75,0)</f>
        <v>0</v>
      </c>
      <c r="S83" s="510">
        <f ca="1">(S$78=$B$9)*S75+((S$78-S$70)/(T$70-S$70)*T75+(S$70-R$78)/(S$70-R$70)*S75)*(S$78&gt;$B$10)+IF(S$78=$B$10,SUM($F75:R75)-SUM($F83:R83)+S75+(S$78-S$70)/(T$70-S$70)*T75,0)</f>
        <v>0</v>
      </c>
      <c r="T83" s="510">
        <f ca="1">(T$78=$B$9)*T75+((T$78-T$70)/(U$70-T$70)*U75+(T$70-S$78)/(T$70-S$70)*T75)*(T$78&gt;$B$10)+IF(T$78=$B$10,SUM($F75:S75)-SUM($F83:S83)+T75+(T$78-T$70)/(U$70-T$70)*U75,0)</f>
        <v>0</v>
      </c>
      <c r="U83" s="510">
        <f ca="1">(U$78=$B$9)*U75+((U$78-U$70)/(V$70-U$70)*V75+(U$70-T$78)/(U$70-T$70)*U75)*(U$78&gt;$B$10)+IF(U$78=$B$10,SUM($F75:T75)-SUM($F83:T83)+U75+(U$78-U$70)/(V$70-U$70)*V75,0)</f>
        <v>0</v>
      </c>
      <c r="V83" s="510">
        <f ca="1">(V$78=$B$9)*V75+((V$78-V$70)/(W$70-V$70)*W75+(V$70-U$78)/(V$70-U$70)*V75)*(V$78&gt;$B$10)+IF(V$78=$B$10,SUM($F75:U75)-SUM($F83:U83)+V75+(V$78-V$70)/(W$70-V$70)*W75,0)</f>
        <v>0</v>
      </c>
      <c r="W83" s="510">
        <f ca="1">(W$78=$B$9)*W75+((W$78-W$70)/(X$70-W$70)*X75+(W$70-V$78)/(W$70-V$70)*W75)*(W$78&gt;$B$10)+IF(W$78=$B$10,SUM($F75:V75)-SUM($F83:V83)+W75+(W$78-W$70)/(X$70-W$70)*X75,0)</f>
        <v>0</v>
      </c>
      <c r="X83" s="510">
        <f ca="1">(X$78=$B$9)*X75+((X$78-X$70)/(Y$70-X$70)*Y75+(X$70-W$78)/(X$70-W$70)*X75)*(X$78&gt;$B$10)+IF(X$78=$B$10,SUM($F75:W75)-SUM($F83:W83)+X75+(X$78-X$70)/(Y$70-X$70)*Y75,0)</f>
        <v>0</v>
      </c>
      <c r="Y83" s="510">
        <f ca="1">(Y$78=$B$9)*Y75+((Y$78-Y$70)/(Z$70-Y$70)*Z75+(Y$70-X$78)/(Y$70-X$70)*Y75)*(Y$78&gt;$B$10)+IF(Y$78=$B$10,SUM($F75:X75)-SUM($F83:X83)+Y75+(Y$78-Y$70)/(Z$70-Y$70)*Z75,0)</f>
        <v>0</v>
      </c>
      <c r="Z83" s="510">
        <f ca="1">(Z$78=$B$9)*Z75+((Z$78-Z$70)/(AA$70-Z$70)*AA75+(Z$70-Y$78)/(Z$70-Y$70)*Z75)*(Z$78&gt;$B$10)+IF(Z$78=$B$10,SUM($F75:Y75)-SUM($F83:Y83)+Z75+(Z$78-Z$70)/(AA$70-Z$70)*AA75,0)</f>
        <v>0</v>
      </c>
      <c r="AA83" s="510">
        <f ca="1">(AA$78=$B$9)*AA75+((AA$78-AA$70)/(AB$70-AA$70)*AB75+(AA$70-Z$78)/(AA$70-Z$70)*AA75)*(AA$78&gt;$B$10)+IF(AA$78=$B$10,SUM($F75:Z75)-SUM($F83:Z83)+AA75+(AA$78-AA$70)/(AB$70-AA$70)*AB75,0)</f>
        <v>0</v>
      </c>
      <c r="AB83" s="510">
        <f ca="1">(AB$78=$B$9)*AB75+((AB$78-AB$70)/(AC$70-AB$70)*AC75+(AB$70-AA$78)/(AB$70-AA$70)*AB75)*(AB$78&gt;$B$10)+IF(AB$78=$B$10,SUM($F75:AA75)-SUM($F83:AA83)+AB75+(AB$78-AB$70)/(AC$70-AB$70)*AC75,0)</f>
        <v>0</v>
      </c>
      <c r="AC83" s="510">
        <f ca="1">(AC$78=$B$9)*AC75+((AC$78-AC$70)/(AD$70-AC$70)*AD75+(AC$70-AB$78)/(AC$70-AB$70)*AC75)*(AC$78&gt;$B$10)+IF(AC$78=$B$10,SUM($F75:AB75)-SUM($F83:AB83)+AC75+(AC$78-AC$70)/(AD$70-AC$70)*AD75,0)</f>
        <v>0</v>
      </c>
      <c r="AD83" s="510">
        <f ca="1">(AD$78=$B$9)*AD75+((AD$78-AD$70)/(AE$70-AD$70)*AE75+(AD$70-AC$78)/(AD$70-AC$70)*AD75)*(AD$78&gt;$B$10)+IF(AD$78=$B$10,SUM($F75:AC75)-SUM($F83:AC83)+AD75+(AD$78-AD$70)/(AE$70-AD$70)*AE75,0)</f>
        <v>0</v>
      </c>
      <c r="AE83" s="510">
        <f ca="1">(AE$78=$B$9)*AE75+((AE$78-AE$70)/(AF$70-AE$70)*AF75+(AE$70-AD$78)/(AE$70-AD$70)*AE75)*(AE$78&gt;$B$10)+IF(AE$78=$B$10,SUM($F75:AD75)-SUM($F83:AD83)+AE75+(AE$78-AE$70)/(AF$70-AE$70)*AF75,0)</f>
        <v>0</v>
      </c>
      <c r="AF83" s="510">
        <f ca="1">(AF$78=$B$9)*AF75+((AF$78-AF$70)/(AG$70-AF$70)*AG75+(AF$70-AE$78)/(AF$70-AE$70)*AF75)*(AF$78&gt;$B$10)+IF(AF$78=$B$10,SUM($F75:AE75)-SUM($F83:AE83)+AF75+(AF$78-AF$70)/(AG$70-AF$70)*AG75,0)</f>
        <v>0</v>
      </c>
      <c r="AG83" s="510">
        <f ca="1">(AG$78=$B$9)*AG75+((AG$78-AG$70)/(AH$70-AG$70)*AH75+(AG$70-AF$78)/(AG$70-AF$70)*AG75)*(AG$78&gt;$B$10)+IF(AG$78=$B$10,SUM($F75:AF75)-SUM($F83:AF83)+AG75+(AG$78-AG$70)/(AH$70-AG$70)*AH75,0)</f>
        <v>0</v>
      </c>
      <c r="AH83" s="510">
        <f ca="1">(AH$78=$B$9)*AH75+((AH$78-AH$70)/(AI$70-AH$70)*AI75+(AH$70-AG$78)/(AH$70-AG$70)*AH75)*(AH$78&gt;$B$10)+IF(AH$78=$B$10,SUM($F75:AG75)-SUM($F83:AG83)+AH75+(AH$78-AH$70)/(AI$70-AH$70)*AI75,0)</f>
        <v>0</v>
      </c>
      <c r="AI83" s="510">
        <f ca="1">(AI$78=$B$9)*AI75+((AI$78-AI$70)/(AJ$70-AI$70)*AJ75+(AI$70-AH$78)/(AI$70-AH$70)*AI75)*(AI$78&gt;$B$10)+IF(AI$78=$B$10,SUM($F75:AH75)-SUM($F83:AH83)+AI75+(AI$78-AI$70)/(AJ$70-AI$70)*AJ75,0)</f>
        <v>0</v>
      </c>
      <c r="AJ83" s="510">
        <f ca="1">(AJ$78=$B$9)*AJ75+((AJ$78-AJ$70)/(AK$70-AJ$70)*AK75+(AJ$70-AI$78)/(AJ$70-AI$70)*AJ75)*(AJ$78&gt;$B$10)+IF(AJ$78=$B$10,SUM($F75:AI75)-SUM($F83:AI83)+AJ75+(AJ$78-AJ$70)/(AK$70-AJ$70)*AK75,0)</f>
        <v>0</v>
      </c>
      <c r="AK83" s="510">
        <f ca="1">(AK$78=$B$9)*AK75+((AK$78-AK$70)/(AL$70-AK$70)*AL75+(AK$70-AJ$78)/(AK$70-AJ$70)*AK75)*(AK$78&gt;$B$10)+IF(AK$78=$B$10,SUM($F75:AJ75)-SUM($F83:AJ83)+AK75+(AK$78-AK$70)/(AL$70-AK$70)*AL75,0)</f>
        <v>0</v>
      </c>
      <c r="AL83" s="510">
        <f ca="1">(AL$78=$B$9)*AL75+((AL$78-AL$70)/(AM$70-AL$70)*AM75+(AL$70-AK$78)/(AL$70-AK$70)*AL75)*(AL$78&gt;$B$10)+IF(AL$78=$B$10,SUM($F75:AK75)-SUM($F83:AK83)+AL75+(AL$78-AL$70)/(AM$70-AL$70)*AM75,0)</f>
        <v>0</v>
      </c>
      <c r="AM83" s="510">
        <f ca="1">(AM$78=$B$9)*AM75+((AM$78-AM$70)/(AN$70-AM$70)*AN75+(AM$70-AL$78)/(AM$70-AL$70)*AM75)*(AM$78&gt;$B$10)+IF(AM$78=$B$10,SUM($F75:AL75)-SUM($F83:AL83)+AM75+(AM$78-AM$70)/(AN$70-AM$70)*AN75,0)</f>
        <v>0</v>
      </c>
      <c r="AN83" s="510">
        <f ca="1">(AN$78=$B$9)*AN75+((AN$78-AN$70)/(AO$70-AN$70)*AO75+(AN$70-AM$78)/(AN$70-AM$70)*AN75)*(AN$78&gt;$B$10)+IF(AN$78=$B$10,SUM($F75:AM75)-SUM($F83:AM83)+AN75+(AN$78-AN$70)/(AO$70-AN$70)*AO75,0)</f>
        <v>0</v>
      </c>
      <c r="AO83" s="510">
        <f ca="1">(AO$78=$B$9)*AO75+((AO$78-AO$70)/(AP$70-AO$70)*AP75+(AO$70-AN$78)/(AO$70-AN$70)*AO75)*(AO$78&gt;$B$10)+IF(AO$78=$B$10,SUM($F75:AN75)-SUM($F83:AN83)+AO75+(AO$78-AO$70)/(AP$70-AO$70)*AP75,0)</f>
        <v>0</v>
      </c>
      <c r="AP83" s="510">
        <f ca="1">(AP$78=$B$9)*AP75+((AP$78-AP$70)/(AQ$70-AP$70)*AQ75+(AP$70-AO$78)/(AP$70-AO$70)*AP75)*(AP$78&gt;$B$10)+IF(AP$78=$B$10,SUM($F75:AO75)-SUM($F83:AO83)+AP75+(AP$78-AP$70)/(AQ$70-AP$70)*AQ75,0)</f>
        <v>0</v>
      </c>
      <c r="AQ83" s="510">
        <f ca="1">(AQ$78=$B$9)*AQ75+((AQ$78-AQ$70)/(AR$70-AQ$70)*AR75+(AQ$70-AP$78)/(AQ$70-AP$70)*AQ75)*(AQ$78&gt;$B$10)+IF(AQ$78=$B$10,SUM($F75:AP75)-SUM($F83:AP83)+AQ75+(AQ$78-AQ$70)/(AR$70-AQ$70)*AR75,0)</f>
        <v>0</v>
      </c>
      <c r="AR83" s="510">
        <f ca="1">(AR$78=$B$9)*AR75+((AR$78-AR$70)/(AS$70-AR$70)*AS75+(AR$70-AQ$78)/(AR$70-AQ$70)*AR75)*(AR$78&gt;$B$10)+IF(AR$78=$B$10,SUM($F75:AQ75)-SUM($F83:AQ83)+AR75+(AR$78-AR$70)/(AS$70-AR$70)*AS75,0)</f>
        <v>0</v>
      </c>
      <c r="AS83" s="510">
        <f ca="1">(AS$78=$B$9)*AS75+((AS$78-AS$70)/(AT$70-AS$70)*AT75+(AS$70-AR$78)/(AS$70-AR$70)*AS75)*(AS$78&gt;$B$10)+IF(AS$78=$B$10,SUM($F75:AR75)-SUM($F83:AR83)+AS75+(AS$78-AS$70)/(AT$70-AS$70)*AT75,0)</f>
        <v>0</v>
      </c>
      <c r="AT83" s="510">
        <f ca="1">(AT$78=$B$9)*AT75+((AT$78-AT$70)/(AU$70-AT$70)*AU75+(AT$70-AS$78)/(AT$70-AS$70)*AT75)*(AT$78&gt;$B$10)+IF(AT$78=$B$10,SUM($F75:AS75)-SUM($F83:AS83)+AT75+(AT$78-AT$70)/(AU$70-AT$70)*AU75,0)</f>
        <v>0.20810589905741414</v>
      </c>
      <c r="AU83" s="510">
        <f ca="1">(AU$78=$B$9)*AU75+((AU$78-AU$70)/(AV$70-AU$70)*AV75+(AU$70-AT$78)/(AU$70-AT$70)*AU75)*(AU$78&gt;$B$10)+IF(AU$78=$B$10,SUM($F75:AT75)-SUM($F83:AT83)+AU75+(AU$78-AU$70)/(AV$70-AU$70)*AV75,0)</f>
        <v>53.690190817316278</v>
      </c>
      <c r="AV83" s="510">
        <f ca="1">(AV$78=$B$9)*AV75+((AV$78-AV$70)/(AW$70-AV$70)*AW75+(AV$70-AU$78)/(AV$70-AU$70)*AV75)*(AV$78&gt;$B$10)+IF(AV$78=$B$10,SUM($F75:AU75)-SUM($F83:AU83)+AV75+(AV$78-AV$70)/(AW$70-AV$70)*AW75,0)</f>
        <v>2983.7674178961593</v>
      </c>
      <c r="AW83" s="510">
        <f ca="1">(AW$78=$B$9)*AW75+((AW$78-AW$70)/(AX$70-AW$70)*AX75+(AW$70-AV$78)/(AW$70-AV$70)*AW75)*(AW$78&gt;$B$10)+IF(AW$78=$B$10,SUM($F75:AV75)-SUM($F83:AV83)+AW75+(AW$78-AW$70)/(AX$70-AW$70)*AX75,0)</f>
        <v>2441.3333975635614</v>
      </c>
      <c r="AX83" s="510">
        <f ca="1">(AX$78=$B$9)*AX75+((AX$78-AX$70)/(AY$70-AX$70)*AY75+(AX$70-AW$78)/(AX$70-AW$70)*AX75)*(AX$78&gt;$B$10)+IF(AX$78=$B$10,SUM($F75:AW75)-SUM($F83:AW83)+AX75+(AX$78-AX$70)/(AY$70-AX$70)*AY75,0)</f>
        <v>3049.0719732914772</v>
      </c>
      <c r="AY83" s="510">
        <f ca="1">(AY$78=$B$9)*AY75+((AY$78-AY$70)/(AZ$70-AY$70)*AZ75+(AY$70-AX$78)/(AY$70-AX$70)*AY75)*(AY$78&gt;$B$10)+IF(AY$78=$B$10,SUM($F75:AX75)-SUM($F83:AX83)+AY75+(AY$78-AY$70)/(AZ$70-AY$70)*AZ75,0)</f>
        <v>2487.4846336080727</v>
      </c>
      <c r="AZ83" s="510">
        <f ca="1">(AZ$78=$B$9)*AZ75+((AZ$78-AZ$70)/(BA$70-AZ$70)*BA75+(AZ$70-AY$78)/(AZ$70-AY$70)*AZ75)*(AZ$78&gt;$B$10)+IF(AZ$78=$B$10,SUM($F75:AY75)-SUM($F83:AY83)+AZ75+(AZ$78-AZ$70)/(BA$70-AZ$70)*BA75,0)</f>
        <v>3107.4457076630943</v>
      </c>
      <c r="BA83" s="510">
        <f ca="1">(BA$78=$B$9)*BA75+((BA$78-BA$70)/(BB$70-BA$70)*BB75+(BA$70-AZ$78)/(BA$70-AZ$70)*BA75)*(BA$78&gt;$B$10)+IF(BA$78=$B$10,SUM($F75:AZ75)-SUM($F83:AZ83)+BA75+(BA$78-BA$70)/(BB$70-BA$70)*BB75,0)</f>
        <v>2517.5080219128567</v>
      </c>
      <c r="BB83" s="510">
        <f ca="1">(BB$78=$B$9)*BB75+((BB$78-BB$70)/(BC$70-BB$70)*BC75+(BB$70-BA$78)/(BB$70-BA$70)*BB75)*(BB$78&gt;$B$10)+IF(BB$78=$B$10,SUM($F75:BA75)-SUM($F83:BA83)+BB75+(BB$78-BB$70)/(BC$70-BB$70)*BC75,0)</f>
        <v>3156.1747688474229</v>
      </c>
      <c r="BC83" s="510">
        <f ca="1">(BC$78=$B$9)*BC75+((BC$78-BC$70)/(BD$70-BC$70)*BD75+(BC$70-BB$78)/(BC$70-BB$70)*BC75)*(BC$78&gt;$B$10)+IF(BC$78=$B$10,SUM($F75:BB75)-SUM($F83:BB83)+BC75+(BC$78-BC$70)/(BD$70-BC$70)*BD75,0)</f>
        <v>2577.7984678589301</v>
      </c>
      <c r="BD83" s="510">
        <f ca="1">(BD$78=$B$9)*BD75+((BD$78-BD$70)/(BE$70-BD$70)*BE75+(BD$70-BC$78)/(BD$70-BC$70)*BD75)*(BD$78&gt;$B$10)+IF(BD$78=$B$10,SUM($F75:BC75)-SUM($F83:BC83)+BD75+(BD$78-BD$70)/(BE$70-BD$70)*BE75,0)</f>
        <v>3228.839393259092</v>
      </c>
      <c r="BE83" s="510">
        <f ca="1">(BE$78=$B$9)*BE75+((BE$78-BE$70)/(BF$70-BE$70)*BF75+(BE$70-BD$78)/(BE$70-BD$70)*BE75)*(BE$78&gt;$B$10)+IF(BE$78=$B$10,SUM($F75:BD75)-SUM($F83:BD83)+BE75+(BE$78-BE$70)/(BF$70-BE$70)*BF75,0)</f>
        <v>2613.0502037649162</v>
      </c>
      <c r="BF83" s="510">
        <f ca="1">(BF$78=$B$9)*BF75+((BF$78-BF$70)/(BG$70-BF$70)*BG75+(BF$70-BE$78)/(BF$70-BE$70)*BF75)*(BF$78&gt;$B$10)+IF(BF$78=$B$10,SUM($F75:BE75)-SUM($F83:BE83)+BF75+(BF$78-BF$70)/(BG$70-BF$70)*BG75,0)</f>
        <v>3267.2441163985809</v>
      </c>
      <c r="BG83" s="510">
        <f ca="1">(BG$78=$B$9)*BG75+((BG$78-BG$70)/(BH$70-BG$70)*BH75+(BG$70-BF$78)/(BG$70-BF$70)*BG75)*(BG$78&gt;$B$10)+IF(BG$78=$B$10,SUM($F75:BF75)-SUM($F83:BF83)+BG75+(BG$78-BG$70)/(BH$70-BG$70)*BH75,0)</f>
        <v>2646.9756391372011</v>
      </c>
      <c r="BH83" s="510">
        <f ca="1">(BH$78=$B$9)*BH75+((BH$78-BH$70)/(BI$70-BH$70)*BI75+(BH$70-BG$78)/(BH$70-BG$70)*BH75)*(BH$78&gt;$B$10)+IF(BH$78=$B$10,SUM($F75:BG75)-SUM($F83:BG83)+BH75+(BH$78-BH$70)/(BI$70-BH$70)*BI75,0)</f>
        <v>3308.8653416339707</v>
      </c>
      <c r="BI83" s="510">
        <f ca="1">(BI$78=$B$9)*BI75+((BI$78-BI$70)/(BJ$70-BI$70)*BJ75+(BI$70-BH$78)/(BI$70-BH$70)*BI75)*(BI$78&gt;$B$10)+IF(BI$78=$B$10,SUM($F75:BH75)-SUM($F83:BH83)+BI75+(BI$78-BI$70)/(BJ$70-BI$70)*BJ75,0)</f>
        <v>2661.3780378237479</v>
      </c>
      <c r="BJ83" s="510">
        <f ca="1">(BJ$78=$B$9)*BJ75+((BJ$78-BJ$70)/(BK$70-BJ$70)*BK75+(BJ$70-BI$78)/(BJ$70-BI$70)*BJ75)*(BJ$78&gt;$B$10)+IF(BJ$78=$B$10,SUM($F75:BI75)-SUM($F83:BI83)+BJ75+(BJ$78-BJ$70)/(BK$70-BJ$70)*BK75,0)</f>
        <v>3338.4767150020889</v>
      </c>
      <c r="BK83" s="510">
        <f ca="1">(BK$78=$B$9)*BK75+((BK$78-BK$70)/(BL$70-BK$70)*BL75+(BK$70-BJ$78)/(BK$70-BJ$70)*BK75)*(BK$78&gt;$B$10)+IF(BK$78=$B$10,SUM($F75:BJ75)-SUM($F83:BJ83)+BK75+(BK$78-BK$70)/(BL$70-BK$70)*BL75,0)</f>
        <v>2663.7314921670763</v>
      </c>
      <c r="BL83" s="510">
        <f ca="1">(BL$78=$B$9)*BL75+((BL$78-BL$70)/(BM$70-BL$70)*BM75+(BL$70-BK$78)/(BL$70-BK$70)*BL75)*(BL$78&gt;$B$10)+IF(BL$78=$B$10,SUM($F75:BK75)-SUM($F83:BK83)+BL75+(BL$78-BL$70)/(BM$70-BL$70)*BM75,0)</f>
        <v>3344.1541819159343</v>
      </c>
      <c r="BM83" s="510">
        <f ca="1">(BM$78=$B$9)*BM75+((BM$78-BM$70)/(BN$70-BM$70)*BN75+(BM$70-BL$78)/(BM$70-BL$70)*BM75)*(BM$78&gt;$B$10)+IF(BM$78=$B$10,SUM($F75:BL75)-SUM($F83:BL83)+BM75+(BM$78-BM$70)/(BN$70-BM$70)*BN75,0)</f>
        <v>2686.5586758534837</v>
      </c>
      <c r="BN83" s="510">
        <f ca="1">(BN$78=$B$9)*BN75+((BN$78-BN$70)/(BO$70-BN$70)*BO75+(BN$70-BM$78)/(BN$70-BM$70)*BN75)*(BN$78&gt;$B$10)+IF(BN$78=$B$10,SUM($F75:BM75)-SUM($F83:BM83)+BN75+(BN$78-BN$70)/(BO$70-BN$70)*BO75,0)</f>
        <v>3360.8715638139779</v>
      </c>
      <c r="BO83" s="510">
        <f ca="1">(BO$78=$B$9)*BO75+((BO$78-BO$70)/(BP$70-BO$70)*BP75+(BO$70-BN$78)/(BO$70-BN$70)*BO75)*(BO$78&gt;$B$10)+IF(BO$78=$B$10,SUM($F75:BN75)-SUM($F83:BN83)+BO75+(BO$78-BO$70)/(BP$70-BO$70)*BP75,0)</f>
        <v>2697.4701355060656</v>
      </c>
      <c r="BP83" s="510">
        <f ca="1">(BP$78=$B$9)*BP75+((BP$78-BP$70)/(BQ$70-BP$70)*BQ75+(BP$70-BO$78)/(BP$70-BO$70)*BP75)*(BP$78&gt;$B$10)+IF(BP$78=$B$10,SUM($F75:BO75)-SUM($F83:BO83)+BP75+(BP$78-BP$70)/(BQ$70-BP$70)*BQ75,0)</f>
        <v>0</v>
      </c>
      <c r="BQ83" s="510">
        <f ca="1">(BQ$78=$B$9)*BQ75+((BQ$78-BQ$70)/(BR$70-BQ$70)*BR75+(BQ$70-BP$78)/(BQ$70-BP$70)*BQ75)*(BQ$78&gt;$B$10)+IF(BQ$78=$B$10,SUM($F75:BP75)-SUM($F83:BP83)+BQ75+(BQ$78-BQ$70)/(BR$70-BQ$70)*BR75,0)</f>
        <v>0</v>
      </c>
      <c r="BR83" s="510">
        <f ca="1">(BR$78=$B$9)*BR75+((BR$78-BR$70)/(BS$70-BR$70)*BS75+(BR$70-BQ$78)/(BR$70-BQ$70)*BR75)*(BR$78&gt;$B$10)+IF(BR$78=$B$10,SUM($F75:BQ75)-SUM($F83:BQ83)+BR75+(BR$78-BR$70)/(BS$70-BR$70)*BS75,0)</f>
        <v>0</v>
      </c>
      <c r="BS83" s="510">
        <f ca="1">(BS$78=$B$9)*BS75+((BS$78-BS$70)/(BT$70-BS$70)*BT75+(BS$70-BR$78)/(BS$70-BR$70)*BS75)*(BS$78&gt;$B$10)+IF(BS$78=$B$10,SUM($F75:BR75)-SUM($F83:BR83)+BS75+(BS$78-BS$70)/(BT$70-BS$70)*BT75,0)</f>
        <v>0</v>
      </c>
      <c r="BT83" s="510">
        <f ca="1">(BT$78=$B$9)*BT75+((BT$78-BT$70)/(BU$70-BT$70)*BU75+(BT$70-BS$78)/(BT$70-BS$70)*BT75)*(BT$78&gt;$B$10)+IF(BT$78=$B$10,SUM($F75:BS75)-SUM($F83:BS83)+BT75+(BT$78-BT$70)/(BU$70-BT$70)*BU75,0)</f>
        <v>0</v>
      </c>
      <c r="BU83" s="510">
        <f ca="1">(BU$78=$B$9)*BU75+((BU$78-BU$70)/(BV$70-BU$70)*BV75+(BU$70-BT$78)/(BU$70-BT$70)*BU75)*(BU$78&gt;$B$10)+IF(BU$78=$B$10,SUM($F75:BT75)-SUM($F83:BT83)+BU75+(BU$78-BU$70)/(BV$70-BU$70)*BV75,0)</f>
        <v>0</v>
      </c>
      <c r="BV83" s="510">
        <f ca="1">(BV$78=$B$9)*BV75+((BV$78-BV$70)/(BW$70-BV$70)*BW75+(BV$70-BU$78)/(BV$70-BU$70)*BV75)*(BV$78&gt;$B$10)+IF(BV$78=$B$10,SUM($F75:BU75)-SUM($F83:BU83)+BV75+(BV$78-BV$70)/(BW$70-BV$70)*BW75,0)</f>
        <v>0</v>
      </c>
      <c r="BW83" s="510">
        <f ca="1">(BW$78=$B$9)*BW75+((BW$78-BW$70)/(BX$70-BW$70)*BX75+(BW$70-BV$78)/(BW$70-BV$70)*BW75)*(BW$78&gt;$B$10)+IF(BW$78=$B$10,SUM($F75:BV75)-SUM($F83:BV83)+BW75+(BW$78-BW$70)/(BX$70-BW$70)*BX75,0)</f>
        <v>0</v>
      </c>
      <c r="BX83" s="510">
        <f ca="1">(BX$78=$B$9)*BX75+((BX$78-BX$70)/(BY$70-BX$70)*BY75+(BX$70-BW$78)/(BX$70-BW$70)*BX75)*(BX$78&gt;$B$10)+IF(BX$78=$B$10,SUM($F75:BW75)-SUM($F83:BW83)+BX75+(BX$78-BX$70)/(BY$70-BX$70)*BY75,0)</f>
        <v>0</v>
      </c>
      <c r="BY83" s="510">
        <f ca="1">(BY$78=$B$9)*BY75+((BY$78-BY$70)/(BZ$70-BY$70)*BZ75+(BY$70-BX$78)/(BY$70-BX$70)*BY75)*(BY$78&gt;$B$10)+IF(BY$78=$B$10,SUM($F75:BX75)-SUM($F83:BX83)+BY75+(BY$78-BY$70)/(BZ$70-BY$70)*BZ75,0)</f>
        <v>0</v>
      </c>
      <c r="BZ83" s="510">
        <f ca="1">(BZ$78=$B$9)*BZ75+((BZ$78-BZ$70)/(CA$70-BZ$70)*CA75+(BZ$70-BY$78)/(BZ$70-BY$70)*BZ75)*(BZ$78&gt;$B$10)+IF(BZ$78=$B$10,SUM($F75:BY75)-SUM($F83:BY83)+BZ75+(BZ$78-BZ$70)/(CA$70-BZ$70)*CA75,0)</f>
        <v>0</v>
      </c>
      <c r="CA83" s="510">
        <f ca="1">(CA$78=$B$9)*CA75+((CA$78-CA$70)/(CB$70-CA$70)*CB75+(CA$70-BZ$78)/(CA$70-BZ$70)*CA75)*(CA$78&gt;$B$10)+IF(CA$78=$B$10,SUM($F75:BZ75)-SUM($F83:BZ83)+CA75+(CA$78-CA$70)/(CB$70-CA$70)*CB75,0)</f>
        <v>0</v>
      </c>
      <c r="CB83" s="510">
        <f ca="1">(CB$78=$B$9)*CB75+((CB$78-CB$70)/(CC$70-CB$70)*CC75+(CB$70-CA$78)/(CB$70-CA$70)*CB75)*(CB$78&gt;$B$10)+IF(CB$78=$B$10,SUM($F75:CA75)-SUM($F83:CA83)+CB75+(CB$78-CB$70)/(CC$70-CB$70)*CC75,0)</f>
        <v>0</v>
      </c>
      <c r="CC83" s="510">
        <f ca="1">(CC$78=$B$9)*CC75+((CC$78-CC$70)/(CD$70-CC$70)*CD75+(CC$70-CB$78)/(CC$70-CB$70)*CC75)*(CC$78&gt;$B$10)+IF(CC$78=$B$10,SUM($F75:CB75)-SUM($F83:CB83)+CC75+(CC$78-CC$70)/(CD$70-CC$70)*CD75,0)</f>
        <v>0</v>
      </c>
      <c r="CD83" s="510">
        <f ca="1">(CD$78=$B$9)*CD75+((CD$78-CD$70)/(CE$70-CD$70)*CE75+(CD$70-CC$78)/(CD$70-CC$70)*CD75)*(CD$78&gt;$B$10)+IF(CD$78=$B$10,SUM($F75:CC75)-SUM($F83:CC83)+CD75+(CD$78-CD$70)/(CE$70-CD$70)*CE75,0)</f>
        <v>0</v>
      </c>
      <c r="CE83" s="510">
        <f ca="1">(CE$78=$B$9)*CE75+((CE$78-CE$70)/(CF$70-CE$70)*CF75+(CE$70-CD$78)/(CE$70-CD$70)*CE75)*(CE$78&gt;$B$10)+IF(CE$78=$B$10,SUM($F75:CD75)-SUM($F83:CD83)+CE75+(CE$78-CE$70)/(CF$70-CE$70)*CF75,0)</f>
        <v>0</v>
      </c>
      <c r="CF83" s="510">
        <f ca="1">(CF$78=$B$9)*CF75+((CF$78-CF$70)/(CG$70-CF$70)*CG75+(CF$70-CE$78)/(CF$70-CE$70)*CF75)*(CF$78&gt;$B$10)+IF(CF$78=$B$10,SUM($F75:CE75)-SUM($F83:CE83)+CF75+(CF$78-CF$70)/(CG$70-CF$70)*CG75,0)</f>
        <v>0</v>
      </c>
      <c r="CG83" s="510">
        <f ca="1">(CG$78=$B$9)*CG75+((CG$78-CG$70)/(CH$70-CG$70)*CH75+(CG$70-CF$78)/(CG$70-CF$70)*CG75)*(CG$78&gt;$B$10)+IF(CG$78=$B$10,SUM($F75:CF75)-SUM($F83:CF83)+CG75+(CG$78-CG$70)/(CH$70-CG$70)*CH75,0)</f>
        <v>0</v>
      </c>
      <c r="CH83" s="510">
        <f ca="1">(CH$78=$B$9)*CH75+((CH$78-CH$70)/(CI$70-CH$70)*CI75+(CH$70-CG$78)/(CH$70-CG$70)*CH75)*(CH$78&gt;$B$10)+IF(CH$78=$B$10,SUM($F75:CG75)-SUM($F83:CG83)+CH75+(CH$78-CH$70)/(CI$70-CH$70)*CI75,0)</f>
        <v>0</v>
      </c>
      <c r="CI83" s="510">
        <f ca="1">(CI$78=$B$9)*CI75+((CI$78-CI$70)/(CJ$70-CI$70)*CJ75+(CI$70-CH$78)/(CI$70-CH$70)*CI75)*(CI$78&gt;$B$10)+IF(CI$78=$B$10,SUM($F75:CH75)-SUM($F83:CH83)+CI75+(CI$78-CI$70)/(CJ$70-CI$70)*CJ75,0)</f>
        <v>0</v>
      </c>
      <c r="CJ83" s="510">
        <f ca="1">(CJ$78=$B$9)*CJ75+((CJ$78-CJ$70)/(CK$70-CJ$70)*CK75+(CJ$70-CI$78)/(CJ$70-CI$70)*CJ75)*(CJ$78&gt;$B$10)+IF(CJ$78=$B$10,SUM($F75:CI75)-SUM($F83:CI83)+CJ75+(CJ$78-CJ$70)/(CK$70-CJ$70)*CK75,0)</f>
        <v>0</v>
      </c>
      <c r="CK83" s="510">
        <f ca="1">(CK$78=$B$9)*CK75+((CK$78-CK$70)/(CL$70-CK$70)*CL75+(CK$70-CJ$78)/(CK$70-CJ$70)*CK75)*(CK$78&gt;$B$10)+IF(CK$78=$B$10,SUM($F75:CJ75)-SUM($F83:CJ83)+CK75+(CK$78-CK$70)/(CL$70-CK$70)*CL75,0)</f>
        <v>0</v>
      </c>
      <c r="CL83" s="510">
        <f ca="1">(CL$78=$B$9)*CL75+((CL$78-CL$70)/(CM$70-CL$70)*CM75+(CL$70-CK$78)/(CL$70-CK$70)*CL75)*(CL$78&gt;$B$10)+IF(CL$78=$B$10,SUM($F75:CK75)-SUM($F83:CK83)+CL75+(CL$78-CL$70)/(CM$70-CL$70)*CM75,0)</f>
        <v>0</v>
      </c>
      <c r="CM83" s="510">
        <f ca="1">(CM$78=$B$9)*CM75+((CM$78-CM$70)/(CN$70-CM$70)*CN75+(CM$70-CL$78)/(CM$70-CL$70)*CM75)*(CM$78&gt;$B$10)+IF(CM$78=$B$10,SUM($F75:CL75)-SUM($F83:CL83)+CM75+(CM$78-CM$70)/(CN$70-CM$70)*CN75,0)</f>
        <v>0</v>
      </c>
      <c r="CN83" s="510">
        <f ca="1">(CN$78=$B$9)*CN75+((CN$78-CN$70)/(CO$70-CN$70)*CO75+(CN$70-CM$78)/(CN$70-CM$70)*CN75)*(CN$78&gt;$B$10)+IF(CN$78=$B$10,SUM($F75:CM75)-SUM($F83:CM83)+CN75+(CN$78-CN$70)/(CO$70-CN$70)*CO75,0)</f>
        <v>0</v>
      </c>
      <c r="CO83" s="510">
        <f ca="1">(CO$78=$B$9)*CO75+((CO$78-CO$70)/(CP$70-CO$70)*CP75+(CO$70-CN$78)/(CO$70-CN$70)*CO75)*(CO$78&gt;$B$10)+IF(CO$78=$B$10,SUM($F75:CN75)-SUM($F83:CN83)+CO75+(CO$78-CO$70)/(CP$70-CO$70)*CP75,0)</f>
        <v>0</v>
      </c>
      <c r="CP83" s="510">
        <f ca="1">(CP$78=$B$9)*CP75+((CP$78-CP$70)/(CQ$70-CP$70)*CQ75+(CP$70-CO$78)/(CP$70-CO$70)*CP75)*(CP$78&gt;$B$10)+IF(CP$78=$B$10,SUM($F75:CO75)-SUM($F83:CO83)+CP75+(CP$78-CP$70)/(CQ$70-CP$70)*CQ75,0)</f>
        <v>0</v>
      </c>
      <c r="CQ83" s="510">
        <f ca="1">(CQ$78=$B$9)*CQ75+((CQ$78-CQ$70)/(CR$70-CQ$70)*CR75+(CQ$70-CP$78)/(CQ$70-CP$70)*CQ75)*(CQ$78&gt;$B$10)+IF(CQ$78=$B$10,SUM($F75:CP75)-SUM($F83:CP83)+CQ75+(CQ$78-CQ$70)/(CR$70-CQ$70)*CR75,0)</f>
        <v>0</v>
      </c>
      <c r="CR83" s="510">
        <f ca="1">(CR$78=$B$9)*CR75+((CR$78-CR$70)/(CS$70-CR$70)*CS75+(CR$70-CQ$78)/(CR$70-CQ$70)*CR75)*(CR$78&gt;$B$10)+IF(CR$78=$B$10,SUM($F75:CQ75)-SUM($F83:CQ83)+CR75+(CR$78-CR$70)/(CS$70-CR$70)*CS75,0)</f>
        <v>0</v>
      </c>
      <c r="CS83" s="510">
        <f ca="1">(CS$78=$B$9)*CS75+((CS$78-CS$70)/(CT$70-CS$70)*CT75+(CS$70-CR$78)/(CS$70-CR$70)*CS75)*(CS$78&gt;$B$10)+IF(CS$78=$B$10,SUM($F75:CR75)-SUM($F83:CR83)+CS75+(CS$78-CS$70)/(CT$70-CS$70)*CT75,0)</f>
        <v>0</v>
      </c>
      <c r="CT83" s="510">
        <f ca="1">(CT$78=$B$9)*CT75+((CT$78-CT$70)/(CU$70-CT$70)*CU75+(CT$70-CS$78)/(CT$70-CS$70)*CT75)*(CT$78&gt;$B$10)+IF(CT$78=$B$10,SUM($F75:CS75)-SUM($F83:CS83)+CT75+(CT$78-CT$70)/(CU$70-CT$70)*CU75,0)</f>
        <v>0</v>
      </c>
      <c r="CU83" s="510">
        <f ca="1">(CU$78=$B$9)*CU75+((CU$78-CU$70)/(CV$70-CU$70)*CV75+(CU$70-CT$78)/(CU$70-CT$70)*CU75)*(CU$78&gt;$B$10)+IF(CU$78=$B$10,SUM($F75:CT75)-SUM($F83:CT83)+CU75+(CU$78-CU$70)/(CV$70-CU$70)*CV75,0)</f>
        <v>0</v>
      </c>
      <c r="CV83" s="510">
        <f ca="1">(CV$78=$B$9)*CV75+((CV$78-CV$70)/(CW$70-CV$70)*CW75+(CV$70-CU$78)/(CV$70-CU$70)*CV75)*(CV$78&gt;$B$10)+IF(CV$78=$B$10,SUM($F75:CU75)-SUM($F83:CU83)+CV75+(CV$78-CV$70)/(CW$70-CV$70)*CW75,0)</f>
        <v>0</v>
      </c>
      <c r="CW83" s="510">
        <f ca="1">(CW$78=$B$9)*CW75+((CW$78-CW$70)/(CX$70-CW$70)*CX75+(CW$70-CV$78)/(CW$70-CV$70)*CW75)*(CW$78&gt;$B$10)+IF(CW$78=$B$10,SUM($F75:CV75)-SUM($F83:CV83)+CW75+(CW$78-CW$70)/(CX$70-CW$70)*CX75,0)</f>
        <v>0</v>
      </c>
      <c r="CX83" s="510">
        <f ca="1">(CX$78=$B$9)*CX75+((CX$78-CX$70)/(CY$70-CX$70)*CY75+(CX$70-CW$78)/(CX$70-CW$70)*CX75)*(CX$78&gt;$B$10)+IF(CX$78=$B$10,SUM($F75:CW75)-SUM($F83:CW83)+CX75+(CX$78-CX$70)/(CY$70-CX$70)*CY75,0)</f>
        <v>0</v>
      </c>
      <c r="CY83" s="510">
        <f ca="1">(CY$78=$B$9)*CY75+((CY$78-CY$70)/(CZ$70-CY$70)*CZ75+(CY$70-CX$78)/(CY$70-CX$70)*CY75)*(CY$78&gt;$B$10)+IF(CY$78=$B$10,SUM($F75:CX75)-SUM($F83:CX83)+CY75+(CY$78-CY$70)/(CZ$70-CY$70)*CZ75,0)</f>
        <v>0</v>
      </c>
      <c r="CZ83" s="510">
        <f ca="1">(CZ$78=$B$9)*CZ75+((CZ$78-CZ$70)/(DA$70-CZ$70)*DA75+(CZ$70-CY$78)/(CZ$70-CY$70)*CZ75)*(CZ$78&gt;$B$10)+IF(CZ$78=$B$10,SUM($F75:CY75)-SUM($F83:CY83)+CZ75+(CZ$78-CZ$70)/(DA$70-CZ$70)*DA75,0)</f>
        <v>0</v>
      </c>
      <c r="DA83" s="510">
        <f ca="1">(DA$78=$B$9)*DA75+((DA$78-DA$70)/(DB$70-DA$70)*DB75+(DA$70-CZ$78)/(DA$70-CZ$70)*DA75)*(DA$78&gt;$B$10)+IF(DA$78=$B$10,SUM($F75:CZ75)-SUM($F83:CZ83)+DA75+(DA$78-DA$70)/(DB$70-DA$70)*DB75,0)</f>
        <v>0</v>
      </c>
      <c r="DB83" s="510">
        <f ca="1">(DB$78=$B$9)*DB75+((DB$78-DB$70)/(DC$70-DB$70)*DC75+(DB$70-DA$78)/(DB$70-DA$70)*DB75)*(DB$78&gt;$B$10)+IF(DB$78=$B$10,SUM($F75:DA75)-SUM($F83:DA83)+DB75+(DB$78-DB$70)/(DC$70-DB$70)*DC75,0)</f>
        <v>0</v>
      </c>
      <c r="DC83" s="510">
        <f ca="1">(DC$78=$B$9)*DC75+((DC$78-DC$70)/(DD$70-DC$70)*DD75+(DC$70-DB$78)/(DC$70-DB$70)*DC75)*(DC$78&gt;$B$10)+IF(DC$78=$B$10,SUM($F75:DB75)-SUM($F83:DB83)+DC75+(DC$78-DC$70)/(DD$70-DC$70)*DD75,0)</f>
        <v>0</v>
      </c>
      <c r="DD83" s="510">
        <f ca="1">(DD$78=$B$9)*DD75+((DD$78-DD$70)/(DE$70-DD$70)*DE75+(DD$70-DC$78)/(DD$70-DC$70)*DD75)*(DD$78&gt;$B$10)+IF(DD$78=$B$10,SUM($F75:DC75)-SUM($F83:DC83)+DD75+(DD$78-DD$70)/(DE$70-DD$70)*DE75,0)</f>
        <v>0</v>
      </c>
      <c r="DE83" s="510">
        <f ca="1">(DE$78=$B$9)*DE75+((DE$78-DE$70)/(DF$70-DE$70)*DF75+(DE$70-DD$78)/(DE$70-DD$70)*DE75)*(DE$78&gt;$B$10)+IF(DE$78=$B$10,SUM($F75:DD75)-SUM($F83:DD83)+DE75+(DE$78-DE$70)/(DF$70-DE$70)*DF75,0)</f>
        <v>0</v>
      </c>
      <c r="DF83" s="510">
        <f ca="1">(DF$78=$B$9)*DF75+((DF$78-DF$70)/(DG$70-DF$70)*DG75+(DF$70-DE$78)/(DF$70-DE$70)*DF75)*(DF$78&gt;$B$10)+IF(DF$78=$B$10,SUM($F75:DE75)-SUM($F83:DE83)+DF75+(DF$78-DF$70)/(DG$70-DF$70)*DG75,0)</f>
        <v>0</v>
      </c>
      <c r="DG83" s="510">
        <f ca="1">(DG$78=$B$9)*DG75+((DG$78-DG$70)/(DH$70-DG$70)*DH75+(DG$70-DF$78)/(DG$70-DF$70)*DG75)*(DG$78&gt;$B$10)+IF(DG$78=$B$10,SUM($F75:DF75)-SUM($F83:DF83)+DG75+(DG$78-DG$70)/(DH$70-DG$70)*DH75,0)</f>
        <v>0</v>
      </c>
      <c r="DH83" s="510">
        <f ca="1">(DH$78=$B$9)*DH75+((DH$78-DH$70)/(DI$70-DH$70)*DI75+(DH$70-DG$78)/(DH$70-DG$70)*DH75)*(DH$78&gt;$B$10)+IF(DH$78=$B$10,SUM($F75:DG75)-SUM($F83:DG83)+DH75+(DH$78-DH$70)/(DI$70-DH$70)*DI75,0)</f>
        <v>0</v>
      </c>
      <c r="DI83" s="510">
        <f ca="1">(DI$78=$B$9)*DI75+((DI$78-DI$70)/(DJ$70-DI$70)*DJ75+(DI$70-DH$78)/(DI$70-DH$70)*DI75)*(DI$78&gt;$B$10)+IF(DI$78=$B$10,SUM($F75:DH75)-SUM($F83:DH83)+DI75+(DI$78-DI$70)/(DJ$70-DI$70)*DJ75,0)</f>
        <v>0</v>
      </c>
      <c r="DJ83" s="510">
        <f ca="1">(DJ$78=$B$9)*DJ75+((DJ$78-DJ$70)/(DK$70-DJ$70)*DK75+(DJ$70-DI$78)/(DJ$70-DI$70)*DJ75)*(DJ$78&gt;$B$10)+IF(DJ$78=$B$10,SUM($F75:DI75)-SUM($F83:DI83)+DJ75+(DJ$78-DJ$70)/(DK$70-DJ$70)*DK75,0)</f>
        <v>0</v>
      </c>
      <c r="DK83" s="510">
        <f ca="1">(DK$78=$B$9)*DK75+((DK$78-DK$70)/(DL$70-DK$70)*DL75+(DK$70-DJ$78)/(DK$70-DJ$70)*DK75)*(DK$78&gt;$B$10)+IF(DK$78=$B$10,SUM($F75:DJ75)-SUM($F83:DJ83)+DK75+(DK$78-DK$70)/(DL$70-DK$70)*DL75,0)</f>
        <v>0</v>
      </c>
      <c r="DL83" s="510">
        <f ca="1">(DL$78=$B$9)*DL75+((DL$78-DL$70)/(DM$70-DL$70)*DM75+(DL$70-DK$78)/(DL$70-DK$70)*DL75)*(DL$78&gt;$B$10)+IF(DL$78=$B$10,SUM($F75:DK75)-SUM($F83:DK83)+DL75+(DL$78-DL$70)/(DM$70-DL$70)*DM75,0)</f>
        <v>0</v>
      </c>
      <c r="DM83" s="510">
        <f ca="1">(DM$78=$B$9)*DM75+((DM$78-DM$70)/(DN$70-DM$70)*DN75+(DM$70-DL$78)/(DM$70-DL$70)*DM75)*(DM$78&gt;$B$10)+IF(DM$78=$B$10,SUM($F75:DL75)-SUM($F83:DL83)+DM75+(DM$78-DM$70)/(DN$70-DM$70)*DN75,0)</f>
        <v>0</v>
      </c>
      <c r="DN83" s="510">
        <f ca="1">(DN$78=$B$9)*DN75+((DN$78-DN$70)/(DO$70-DN$70)*DO75+(DN$70-DM$78)/(DN$70-DM$70)*DN75)*(DN$78&gt;$B$10)+IF(DN$78=$B$10,SUM($F75:DM75)-SUM($F83:DM83)+DN75+(DN$78-DN$70)/(DO$70-DN$70)*DO75,0)</f>
        <v>0</v>
      </c>
      <c r="DO83" s="510">
        <f ca="1">(DO$78=$B$9)*DO75+((DO$78-DO$70)/(DP$70-DO$70)*DP75+(DO$70-DN$78)/(DO$70-DN$70)*DO75)*(DO$78&gt;$B$10)+IF(DO$78=$B$10,SUM($F75:DN75)-SUM($F83:DN83)+DO75+(DO$78-DO$70)/(DP$70-DO$70)*DP75,0)</f>
        <v>0</v>
      </c>
      <c r="DP83" s="510">
        <f ca="1">(DP$78=$B$9)*DP75+((DP$78-DP$70)/(DQ$70-DP$70)*DQ75+(DP$70-DO$78)/(DP$70-DO$70)*DP75)*(DP$78&gt;$B$10)+IF(DP$78=$B$10,SUM($F75:DO75)-SUM($F83:DO83)+DP75+(DP$78-DP$70)/(DQ$70-DP$70)*DQ75,0)</f>
        <v>0</v>
      </c>
      <c r="DQ83" s="510">
        <f ca="1">(DQ$78=$B$9)*DQ75+((DQ$78-DQ$70)/(DR$70-DQ$70)*DR75+(DQ$70-DP$78)/(DQ$70-DP$70)*DQ75)*(DQ$78&gt;$B$10)+IF(DQ$78=$B$10,SUM($F75:DP75)-SUM($F83:DP83)+DQ75+(DQ$78-DQ$70)/(DR$70-DQ$70)*DR75,0)</f>
        <v>0</v>
      </c>
      <c r="DR83" s="510">
        <f ca="1">(DR$78=$B$9)*DR75+((DR$78-DR$70)/(DS$70-DR$70)*DS75+(DR$70-DQ$78)/(DR$70-DQ$70)*DR75)*(DR$78&gt;$B$10)+IF(DR$78=$B$10,SUM($F75:DQ75)-SUM($F83:DQ83)+DR75+(DR$78-DR$70)/(DS$70-DR$70)*DS75,0)</f>
        <v>0</v>
      </c>
      <c r="DS83" s="510">
        <f ca="1">(DS$78=$B$9)*DS75+((DS$78-DS$70)/(DT$70-DS$70)*DT75+(DS$70-DR$78)/(DS$70-DR$70)*DS75)*(DS$78&gt;$B$10)+IF(DS$78=$B$10,SUM($F75:DR75)-SUM($F83:DR83)+DS75+(DS$78-DS$70)/(DT$70-DS$70)*DT75,0)</f>
        <v>0</v>
      </c>
      <c r="DT83" s="510">
        <f ca="1">(DT$78=$B$9)*DT75+((DT$78-DT$70)/(DU$70-DT$70)*DU75+(DT$70-DS$78)/(DT$70-DS$70)*DT75)*(DT$78&gt;$B$10)+IF(DT$78=$B$10,SUM($F75:DS75)-SUM($F83:DS83)+DT75+(DT$78-DT$70)/(DU$70-DT$70)*DU75,0)</f>
        <v>0</v>
      </c>
      <c r="DU83" s="510">
        <f ca="1">(DU$78=$B$9)*DU75+((DU$78-DU$70)/(DV$70-DU$70)*DV75+(DU$70-DT$78)/(DU$70-DT$70)*DU75)*(DU$78&gt;$B$10)+IF(DU$78=$B$10,SUM($F75:DT75)-SUM($F83:DT83)+DU75+(DU$78-DU$70)/(DV$70-DU$70)*DV75,0)</f>
        <v>0</v>
      </c>
      <c r="DV83" s="510">
        <f ca="1">(DV$78=$B$9)*DV75+((DV$78-DV$70)/(DW$70-DV$70)*DW75+(DV$70-DU$78)/(DV$70-DU$70)*DV75)*(DV$78&gt;$B$10)+IF(DV$78=$B$10,SUM($F75:DU75)-SUM($F83:DU83)+DV75+(DV$78-DV$70)/(DW$70-DV$70)*DW75,0)</f>
        <v>0</v>
      </c>
      <c r="DW83" s="510">
        <f ca="1">(DW$78=$B$9)*DW75+((DW$78-DW$70)/(DX$70-DW$70)*DX75+(DW$70-DV$78)/(DW$70-DV$70)*DW75)*(DW$78&gt;$B$10)+IF(DW$78=$B$10,SUM($F75:DV75)-SUM($F83:DV83)+DW75+(DW$78-DW$70)/(DX$70-DW$70)*DX75,0)</f>
        <v>0</v>
      </c>
    </row>
    <row r="84" spans="1:127">
      <c r="A84" s="344" t="str">
        <f>"Gross Total "&amp;Inputs!$A$315</f>
        <v>Gross Total Sponsor</v>
      </c>
      <c r="B84" s="971"/>
      <c r="C84" s="971"/>
      <c r="E84" s="476"/>
      <c r="F84" s="518"/>
      <c r="G84" s="513">
        <f ca="1">G82+G80+G79</f>
        <v>-15120.773894815633</v>
      </c>
      <c r="H84" s="513">
        <f ca="1">H82+H80+H79</f>
        <v>337.69539242776295</v>
      </c>
      <c r="I84" s="513">
        <f ca="1">I82+I80+I79</f>
        <v>330.39500489049681</v>
      </c>
      <c r="J84" s="513">
        <f ca="1">J82+J80+J79</f>
        <v>336.12334527386264</v>
      </c>
      <c r="K84" s="513">
        <f t="shared" ref="K84:BV84" ca="1" si="58">K82+K80+K79</f>
        <v>340.54030952662924</v>
      </c>
      <c r="L84" s="513">
        <f t="shared" ca="1" si="58"/>
        <v>344.09345138506251</v>
      </c>
      <c r="M84" s="513">
        <f t="shared" ca="1" si="58"/>
        <v>345.50012950182622</v>
      </c>
      <c r="N84" s="513">
        <f t="shared" ca="1" si="58"/>
        <v>349.25622236812552</v>
      </c>
      <c r="O84" s="513">
        <f t="shared" ca="1" si="58"/>
        <v>347.81409238970855</v>
      </c>
      <c r="P84" s="513">
        <f t="shared" ca="1" si="58"/>
        <v>354.49596564466589</v>
      </c>
      <c r="Q84" s="513">
        <f t="shared" ca="1" si="58"/>
        <v>350.11224247122021</v>
      </c>
      <c r="R84" s="513">
        <f t="shared" ca="1" si="58"/>
        <v>358.83088122706903</v>
      </c>
      <c r="S84" s="513">
        <f t="shared" ca="1" si="58"/>
        <v>353.42924069042391</v>
      </c>
      <c r="T84" s="513">
        <f t="shared" ca="1" si="58"/>
        <v>365.20972055957083</v>
      </c>
      <c r="U84" s="513">
        <f t="shared" ca="1" si="58"/>
        <v>354.49685383667685</v>
      </c>
      <c r="V84" s="513">
        <f t="shared" ca="1" si="58"/>
        <v>370.68564309001664</v>
      </c>
      <c r="W84" s="513">
        <f t="shared" ca="1" si="58"/>
        <v>356.50987783337104</v>
      </c>
      <c r="X84" s="513">
        <f t="shared" ca="1" si="58"/>
        <v>376.24234675006556</v>
      </c>
      <c r="Y84" s="513">
        <f t="shared" ca="1" si="58"/>
        <v>358.3788557966999</v>
      </c>
      <c r="Z84" s="513">
        <f t="shared" ca="1" si="58"/>
        <v>380.83813447114278</v>
      </c>
      <c r="AA84" s="513">
        <f t="shared" ca="1" si="58"/>
        <v>361.08250450303615</v>
      </c>
      <c r="AB84" s="513">
        <f t="shared" ca="1" si="58"/>
        <v>362.13050920316886</v>
      </c>
      <c r="AC84" s="513">
        <f t="shared" ca="1" si="58"/>
        <v>341.69449350399066</v>
      </c>
      <c r="AD84" s="513">
        <f t="shared" ca="1" si="58"/>
        <v>367.93763959282819</v>
      </c>
      <c r="AE84" s="513">
        <f t="shared" ca="1" si="58"/>
        <v>348.38819050725749</v>
      </c>
      <c r="AF84" s="513">
        <f t="shared" ca="1" si="58"/>
        <v>1302.9861856781883</v>
      </c>
      <c r="AG84" s="513">
        <f t="shared" ca="1" si="58"/>
        <v>1137.3225153667865</v>
      </c>
      <c r="AH84" s="513">
        <f t="shared" ca="1" si="58"/>
        <v>1325.1580875243369</v>
      </c>
      <c r="AI84" s="513">
        <f t="shared" ca="1" si="58"/>
        <v>1170.3029206692959</v>
      </c>
      <c r="AJ84" s="513">
        <f t="shared" ca="1" si="58"/>
        <v>2992.3365647068595</v>
      </c>
      <c r="AK84" s="513">
        <f t="shared" ca="1" si="58"/>
        <v>2546.9330518693573</v>
      </c>
      <c r="AL84" s="513">
        <f t="shared" ca="1" si="58"/>
        <v>2865.5319472350611</v>
      </c>
      <c r="AM84" s="513">
        <f t="shared" ca="1" si="58"/>
        <v>2609.8440110761521</v>
      </c>
      <c r="AN84" s="513">
        <f t="shared" ca="1" si="58"/>
        <v>2921.583703095293</v>
      </c>
      <c r="AO84" s="513">
        <f t="shared" ca="1" si="58"/>
        <v>2653.9435673833068</v>
      </c>
      <c r="AP84" s="513">
        <f t="shared" ca="1" si="58"/>
        <v>2968.9643464070805</v>
      </c>
      <c r="AQ84" s="513">
        <f t="shared" ca="1" si="58"/>
        <v>2705.3261553137231</v>
      </c>
      <c r="AR84" s="513">
        <f t="shared" ca="1" si="58"/>
        <v>3031.211114812525</v>
      </c>
      <c r="AS84" s="513">
        <f t="shared" ca="1" si="58"/>
        <v>2740.3073827626567</v>
      </c>
      <c r="AT84" s="513">
        <f t="shared" ca="1" si="58"/>
        <v>3082.5805863221631</v>
      </c>
      <c r="AU84" s="513">
        <f t="shared" ca="1" si="58"/>
        <v>2236.2068650048577</v>
      </c>
      <c r="AV84" s="513">
        <f t="shared" ca="1" si="58"/>
        <v>3140.8078083117462</v>
      </c>
      <c r="AW84" s="513">
        <f t="shared" ca="1" si="58"/>
        <v>2569.8246290142756</v>
      </c>
      <c r="AX84" s="513">
        <f t="shared" ca="1" si="58"/>
        <v>3209.5494455699763</v>
      </c>
      <c r="AY84" s="513">
        <f t="shared" ca="1" si="58"/>
        <v>2618.4048774821822</v>
      </c>
      <c r="AZ84" s="513">
        <f t="shared" ca="1" si="58"/>
        <v>3270.9954817506259</v>
      </c>
      <c r="BA84" s="513">
        <f t="shared" ca="1" si="58"/>
        <v>2650.0084441187973</v>
      </c>
      <c r="BB84" s="513">
        <f t="shared" ca="1" si="58"/>
        <v>3322.2892303657081</v>
      </c>
      <c r="BC84" s="513">
        <f t="shared" ca="1" si="58"/>
        <v>2713.4720714304526</v>
      </c>
      <c r="BD84" s="513">
        <f t="shared" ca="1" si="58"/>
        <v>3398.7783086937811</v>
      </c>
      <c r="BE84" s="513">
        <f t="shared" ca="1" si="58"/>
        <v>2750.5791618578064</v>
      </c>
      <c r="BF84" s="513">
        <f t="shared" ca="1" si="58"/>
        <v>3439.2043330511383</v>
      </c>
      <c r="BG84" s="513">
        <f t="shared" ca="1" si="58"/>
        <v>2786.2901464602119</v>
      </c>
      <c r="BH84" s="513">
        <f t="shared" ca="1" si="58"/>
        <v>3483.0161490883906</v>
      </c>
      <c r="BI84" s="513">
        <f t="shared" ca="1" si="58"/>
        <v>2801.4505661302614</v>
      </c>
      <c r="BJ84" s="513">
        <f t="shared" ca="1" si="58"/>
        <v>3514.1860157916722</v>
      </c>
      <c r="BK84" s="513">
        <f t="shared" ca="1" si="58"/>
        <v>2803.9278864916596</v>
      </c>
      <c r="BL84" s="513">
        <f t="shared" ca="1" si="58"/>
        <v>3520.162296753615</v>
      </c>
      <c r="BM84" s="513">
        <f t="shared" ca="1" si="58"/>
        <v>2827.9565008984036</v>
      </c>
      <c r="BN84" s="513">
        <f t="shared" ca="1" si="58"/>
        <v>3537.7595408568186</v>
      </c>
      <c r="BO84" s="513">
        <f t="shared" ca="1" si="58"/>
        <v>2839.4422479011218</v>
      </c>
      <c r="BP84" s="513">
        <f t="shared" ca="1" si="58"/>
        <v>0</v>
      </c>
      <c r="BQ84" s="513">
        <f t="shared" ca="1" si="58"/>
        <v>0</v>
      </c>
      <c r="BR84" s="513">
        <f t="shared" ca="1" si="58"/>
        <v>0</v>
      </c>
      <c r="BS84" s="513">
        <f t="shared" ca="1" si="58"/>
        <v>0</v>
      </c>
      <c r="BT84" s="513">
        <f t="shared" ca="1" si="58"/>
        <v>0</v>
      </c>
      <c r="BU84" s="513">
        <f t="shared" ca="1" si="58"/>
        <v>0</v>
      </c>
      <c r="BV84" s="513">
        <f t="shared" ca="1" si="58"/>
        <v>0</v>
      </c>
      <c r="BW84" s="513">
        <f t="shared" ref="BW84:DW84" ca="1" si="59">BW82+BW80+BW79</f>
        <v>0</v>
      </c>
      <c r="BX84" s="513">
        <f t="shared" ca="1" si="59"/>
        <v>0</v>
      </c>
      <c r="BY84" s="513">
        <f t="shared" ca="1" si="59"/>
        <v>0</v>
      </c>
      <c r="BZ84" s="513">
        <f t="shared" ca="1" si="59"/>
        <v>0</v>
      </c>
      <c r="CA84" s="513">
        <f t="shared" ca="1" si="59"/>
        <v>0</v>
      </c>
      <c r="CB84" s="513">
        <f t="shared" ca="1" si="59"/>
        <v>0</v>
      </c>
      <c r="CC84" s="513">
        <f t="shared" ca="1" si="59"/>
        <v>0</v>
      </c>
      <c r="CD84" s="513">
        <f t="shared" ca="1" si="59"/>
        <v>0</v>
      </c>
      <c r="CE84" s="513">
        <f t="shared" ca="1" si="59"/>
        <v>0</v>
      </c>
      <c r="CF84" s="513">
        <f t="shared" ca="1" si="59"/>
        <v>0</v>
      </c>
      <c r="CG84" s="513">
        <f t="shared" ca="1" si="59"/>
        <v>0</v>
      </c>
      <c r="CH84" s="513">
        <f t="shared" ca="1" si="59"/>
        <v>0</v>
      </c>
      <c r="CI84" s="513">
        <f t="shared" ca="1" si="59"/>
        <v>0</v>
      </c>
      <c r="CJ84" s="513">
        <f t="shared" ca="1" si="59"/>
        <v>0</v>
      </c>
      <c r="CK84" s="513">
        <f t="shared" ca="1" si="59"/>
        <v>0</v>
      </c>
      <c r="CL84" s="513">
        <f t="shared" ca="1" si="59"/>
        <v>0</v>
      </c>
      <c r="CM84" s="513">
        <f t="shared" ca="1" si="59"/>
        <v>0</v>
      </c>
      <c r="CN84" s="513">
        <f t="shared" ca="1" si="59"/>
        <v>0</v>
      </c>
      <c r="CO84" s="513">
        <f t="shared" ca="1" si="59"/>
        <v>0</v>
      </c>
      <c r="CP84" s="513">
        <f t="shared" ca="1" si="59"/>
        <v>0</v>
      </c>
      <c r="CQ84" s="513">
        <f t="shared" ca="1" si="59"/>
        <v>0</v>
      </c>
      <c r="CR84" s="513">
        <f t="shared" ca="1" si="59"/>
        <v>0</v>
      </c>
      <c r="CS84" s="513">
        <f t="shared" ca="1" si="59"/>
        <v>0</v>
      </c>
      <c r="CT84" s="513">
        <f t="shared" ca="1" si="59"/>
        <v>0</v>
      </c>
      <c r="CU84" s="513">
        <f t="shared" ca="1" si="59"/>
        <v>0</v>
      </c>
      <c r="CV84" s="513">
        <f t="shared" ca="1" si="59"/>
        <v>0</v>
      </c>
      <c r="CW84" s="513">
        <f t="shared" ca="1" si="59"/>
        <v>0</v>
      </c>
      <c r="CX84" s="513">
        <f t="shared" ca="1" si="59"/>
        <v>0</v>
      </c>
      <c r="CY84" s="513">
        <f t="shared" ca="1" si="59"/>
        <v>0</v>
      </c>
      <c r="CZ84" s="513">
        <f t="shared" ca="1" si="59"/>
        <v>0</v>
      </c>
      <c r="DA84" s="513">
        <f t="shared" ca="1" si="59"/>
        <v>0</v>
      </c>
      <c r="DB84" s="513">
        <f t="shared" ca="1" si="59"/>
        <v>0</v>
      </c>
      <c r="DC84" s="513">
        <f t="shared" ca="1" si="59"/>
        <v>0</v>
      </c>
      <c r="DD84" s="513">
        <f t="shared" ca="1" si="59"/>
        <v>0</v>
      </c>
      <c r="DE84" s="513">
        <f t="shared" ca="1" si="59"/>
        <v>0</v>
      </c>
      <c r="DF84" s="513">
        <f t="shared" ca="1" si="59"/>
        <v>0</v>
      </c>
      <c r="DG84" s="513">
        <f t="shared" ca="1" si="59"/>
        <v>0</v>
      </c>
      <c r="DH84" s="513">
        <f t="shared" ca="1" si="59"/>
        <v>0</v>
      </c>
      <c r="DI84" s="513">
        <f t="shared" ca="1" si="59"/>
        <v>0</v>
      </c>
      <c r="DJ84" s="513">
        <f t="shared" ca="1" si="59"/>
        <v>0</v>
      </c>
      <c r="DK84" s="513">
        <f t="shared" ca="1" si="59"/>
        <v>0</v>
      </c>
      <c r="DL84" s="513">
        <f t="shared" ca="1" si="59"/>
        <v>0</v>
      </c>
      <c r="DM84" s="513">
        <f t="shared" ca="1" si="59"/>
        <v>0</v>
      </c>
      <c r="DN84" s="513">
        <f t="shared" ca="1" si="59"/>
        <v>0</v>
      </c>
      <c r="DO84" s="513">
        <f t="shared" ca="1" si="59"/>
        <v>0</v>
      </c>
      <c r="DP84" s="513">
        <f t="shared" ca="1" si="59"/>
        <v>0</v>
      </c>
      <c r="DQ84" s="513">
        <f t="shared" ca="1" si="59"/>
        <v>0</v>
      </c>
      <c r="DR84" s="513">
        <f t="shared" ca="1" si="59"/>
        <v>0</v>
      </c>
      <c r="DS84" s="513">
        <f t="shared" ca="1" si="59"/>
        <v>0</v>
      </c>
      <c r="DT84" s="513">
        <f t="shared" ca="1" si="59"/>
        <v>0</v>
      </c>
      <c r="DU84" s="513">
        <f t="shared" ca="1" si="59"/>
        <v>0</v>
      </c>
      <c r="DV84" s="513">
        <f t="shared" ca="1" si="59"/>
        <v>0</v>
      </c>
      <c r="DW84" s="513">
        <f t="shared" ca="1" si="59"/>
        <v>0</v>
      </c>
    </row>
    <row r="85" spans="1:127">
      <c r="A85" s="344" t="str">
        <f>"Net Total "&amp;Inputs!$A$315</f>
        <v>Net Total Sponsor</v>
      </c>
      <c r="B85" s="971"/>
      <c r="C85" s="971"/>
      <c r="D85" s="476">
        <f ca="1">XIRR(G85:DW85,$G$78:$DW$78)</f>
        <v>0.10600581765174866</v>
      </c>
      <c r="E85" s="476"/>
      <c r="F85" s="518"/>
      <c r="G85" s="513">
        <f ca="1">G79+G81+G83</f>
        <v>-15120.773894815633</v>
      </c>
      <c r="H85" s="513">
        <f ca="1">H79+H81+H83</f>
        <v>337.69539242776295</v>
      </c>
      <c r="I85" s="513">
        <f ca="1">I79+I81+I83</f>
        <v>330.39500489049681</v>
      </c>
      <c r="J85" s="513">
        <f ca="1">J79+J81+J83</f>
        <v>336.12334527386264</v>
      </c>
      <c r="K85" s="513">
        <f t="shared" ref="K85:BV85" ca="1" si="60">K79+K81+K83</f>
        <v>340.54030952662924</v>
      </c>
      <c r="L85" s="513">
        <f t="shared" ca="1" si="60"/>
        <v>344.09345138506251</v>
      </c>
      <c r="M85" s="513">
        <f t="shared" ca="1" si="60"/>
        <v>345.50012950182622</v>
      </c>
      <c r="N85" s="513">
        <f t="shared" ca="1" si="60"/>
        <v>349.25622236812552</v>
      </c>
      <c r="O85" s="513">
        <f t="shared" ca="1" si="60"/>
        <v>347.81409238970855</v>
      </c>
      <c r="P85" s="513">
        <f t="shared" ca="1" si="60"/>
        <v>354.49596564466589</v>
      </c>
      <c r="Q85" s="513">
        <f t="shared" ca="1" si="60"/>
        <v>350.11224247122021</v>
      </c>
      <c r="R85" s="513">
        <f t="shared" ca="1" si="60"/>
        <v>358.83088122706903</v>
      </c>
      <c r="S85" s="513">
        <f t="shared" ca="1" si="60"/>
        <v>353.42924069042391</v>
      </c>
      <c r="T85" s="513">
        <f t="shared" ca="1" si="60"/>
        <v>365.20972055957083</v>
      </c>
      <c r="U85" s="513">
        <f t="shared" ca="1" si="60"/>
        <v>354.49685383667685</v>
      </c>
      <c r="V85" s="513">
        <f t="shared" ca="1" si="60"/>
        <v>370.68564309001664</v>
      </c>
      <c r="W85" s="513">
        <f t="shared" ca="1" si="60"/>
        <v>356.50987783337104</v>
      </c>
      <c r="X85" s="513">
        <f t="shared" ca="1" si="60"/>
        <v>376.24234675006556</v>
      </c>
      <c r="Y85" s="513">
        <f t="shared" ca="1" si="60"/>
        <v>358.3788557966999</v>
      </c>
      <c r="Z85" s="513">
        <f t="shared" ca="1" si="60"/>
        <v>380.83813447114278</v>
      </c>
      <c r="AA85" s="513">
        <f t="shared" ca="1" si="60"/>
        <v>361.08250450303615</v>
      </c>
      <c r="AB85" s="513">
        <f t="shared" ca="1" si="60"/>
        <v>362.13050920316886</v>
      </c>
      <c r="AC85" s="513">
        <f t="shared" ca="1" si="60"/>
        <v>341.69449350399066</v>
      </c>
      <c r="AD85" s="513">
        <f t="shared" ca="1" si="60"/>
        <v>367.93763959282819</v>
      </c>
      <c r="AE85" s="513">
        <f t="shared" ca="1" si="60"/>
        <v>348.38819050725749</v>
      </c>
      <c r="AF85" s="513">
        <f t="shared" ca="1" si="60"/>
        <v>1302.9861856781883</v>
      </c>
      <c r="AG85" s="513">
        <f t="shared" ca="1" si="60"/>
        <v>1137.3225153667865</v>
      </c>
      <c r="AH85" s="513">
        <f t="shared" ca="1" si="60"/>
        <v>1325.1580875243369</v>
      </c>
      <c r="AI85" s="513">
        <f t="shared" ca="1" si="60"/>
        <v>1170.3029206692959</v>
      </c>
      <c r="AJ85" s="513">
        <f t="shared" ca="1" si="60"/>
        <v>2992.3365647068595</v>
      </c>
      <c r="AK85" s="513">
        <f t="shared" ca="1" si="60"/>
        <v>2546.9330518693573</v>
      </c>
      <c r="AL85" s="513">
        <f t="shared" ca="1" si="60"/>
        <v>2865.5319472350611</v>
      </c>
      <c r="AM85" s="513">
        <f t="shared" ca="1" si="60"/>
        <v>2609.8440110761521</v>
      </c>
      <c r="AN85" s="513">
        <f t="shared" ca="1" si="60"/>
        <v>2921.583703095293</v>
      </c>
      <c r="AO85" s="513">
        <f t="shared" ca="1" si="60"/>
        <v>2653.9435673833068</v>
      </c>
      <c r="AP85" s="513">
        <f t="shared" ca="1" si="60"/>
        <v>2968.9643464070805</v>
      </c>
      <c r="AQ85" s="513">
        <f t="shared" ca="1" si="60"/>
        <v>2705.3261553137231</v>
      </c>
      <c r="AR85" s="513">
        <f t="shared" ca="1" si="60"/>
        <v>3031.211114812525</v>
      </c>
      <c r="AS85" s="513">
        <f t="shared" ca="1" si="60"/>
        <v>2740.3073827626567</v>
      </c>
      <c r="AT85" s="513">
        <f t="shared" ca="1" si="60"/>
        <v>3082.5696333801075</v>
      </c>
      <c r="AU85" s="513">
        <f t="shared" ca="1" si="60"/>
        <v>2233.3810654881572</v>
      </c>
      <c r="AV85" s="513">
        <f t="shared" ca="1" si="60"/>
        <v>2983.7674178961593</v>
      </c>
      <c r="AW85" s="513">
        <f t="shared" ca="1" si="60"/>
        <v>2441.3333975635614</v>
      </c>
      <c r="AX85" s="513">
        <f t="shared" ca="1" si="60"/>
        <v>3049.0719732914772</v>
      </c>
      <c r="AY85" s="513">
        <f t="shared" ca="1" si="60"/>
        <v>2487.4846336080727</v>
      </c>
      <c r="AZ85" s="513">
        <f t="shared" ca="1" si="60"/>
        <v>3107.4457076630943</v>
      </c>
      <c r="BA85" s="513">
        <f t="shared" ca="1" si="60"/>
        <v>2517.5080219128567</v>
      </c>
      <c r="BB85" s="513">
        <f t="shared" ca="1" si="60"/>
        <v>3156.1747688474229</v>
      </c>
      <c r="BC85" s="513">
        <f t="shared" ca="1" si="60"/>
        <v>2577.7984678589301</v>
      </c>
      <c r="BD85" s="513">
        <f t="shared" ca="1" si="60"/>
        <v>3228.839393259092</v>
      </c>
      <c r="BE85" s="513">
        <f t="shared" ca="1" si="60"/>
        <v>2613.0502037649162</v>
      </c>
      <c r="BF85" s="513">
        <f t="shared" ca="1" si="60"/>
        <v>3267.2441163985809</v>
      </c>
      <c r="BG85" s="513">
        <f t="shared" ca="1" si="60"/>
        <v>2646.9756391372011</v>
      </c>
      <c r="BH85" s="513">
        <f t="shared" ca="1" si="60"/>
        <v>3308.8653416339707</v>
      </c>
      <c r="BI85" s="513">
        <f t="shared" ca="1" si="60"/>
        <v>2661.3780378237479</v>
      </c>
      <c r="BJ85" s="513">
        <f t="shared" ca="1" si="60"/>
        <v>3338.4767150020889</v>
      </c>
      <c r="BK85" s="513">
        <f t="shared" ca="1" si="60"/>
        <v>2663.7314921670763</v>
      </c>
      <c r="BL85" s="513">
        <f t="shared" ca="1" si="60"/>
        <v>3344.1541819159343</v>
      </c>
      <c r="BM85" s="513">
        <f t="shared" ca="1" si="60"/>
        <v>2686.5586758534837</v>
      </c>
      <c r="BN85" s="513">
        <f t="shared" ca="1" si="60"/>
        <v>3360.8715638139779</v>
      </c>
      <c r="BO85" s="513">
        <f t="shared" ca="1" si="60"/>
        <v>2697.4701355060656</v>
      </c>
      <c r="BP85" s="513">
        <f t="shared" ca="1" si="60"/>
        <v>0</v>
      </c>
      <c r="BQ85" s="513">
        <f t="shared" ca="1" si="60"/>
        <v>0</v>
      </c>
      <c r="BR85" s="513">
        <f t="shared" ca="1" si="60"/>
        <v>0</v>
      </c>
      <c r="BS85" s="513">
        <f t="shared" ca="1" si="60"/>
        <v>0</v>
      </c>
      <c r="BT85" s="513">
        <f t="shared" ca="1" si="60"/>
        <v>0</v>
      </c>
      <c r="BU85" s="513">
        <f t="shared" ca="1" si="60"/>
        <v>0</v>
      </c>
      <c r="BV85" s="513">
        <f t="shared" ca="1" si="60"/>
        <v>0</v>
      </c>
      <c r="BW85" s="513">
        <f t="shared" ref="BW85:DW85" ca="1" si="61">BW79+BW81+BW83</f>
        <v>0</v>
      </c>
      <c r="BX85" s="513">
        <f t="shared" ca="1" si="61"/>
        <v>0</v>
      </c>
      <c r="BY85" s="513">
        <f t="shared" ca="1" si="61"/>
        <v>0</v>
      </c>
      <c r="BZ85" s="513">
        <f t="shared" ca="1" si="61"/>
        <v>0</v>
      </c>
      <c r="CA85" s="513">
        <f t="shared" ca="1" si="61"/>
        <v>0</v>
      </c>
      <c r="CB85" s="513">
        <f t="shared" ca="1" si="61"/>
        <v>0</v>
      </c>
      <c r="CC85" s="513">
        <f t="shared" ca="1" si="61"/>
        <v>0</v>
      </c>
      <c r="CD85" s="513">
        <f t="shared" ca="1" si="61"/>
        <v>0</v>
      </c>
      <c r="CE85" s="513">
        <f t="shared" ca="1" si="61"/>
        <v>0</v>
      </c>
      <c r="CF85" s="513">
        <f t="shared" ca="1" si="61"/>
        <v>0</v>
      </c>
      <c r="CG85" s="513">
        <f t="shared" ca="1" si="61"/>
        <v>0</v>
      </c>
      <c r="CH85" s="513">
        <f t="shared" ca="1" si="61"/>
        <v>0</v>
      </c>
      <c r="CI85" s="513">
        <f t="shared" ca="1" si="61"/>
        <v>0</v>
      </c>
      <c r="CJ85" s="513">
        <f t="shared" ca="1" si="61"/>
        <v>0</v>
      </c>
      <c r="CK85" s="513">
        <f t="shared" ca="1" si="61"/>
        <v>0</v>
      </c>
      <c r="CL85" s="513">
        <f t="shared" ca="1" si="61"/>
        <v>0</v>
      </c>
      <c r="CM85" s="513">
        <f t="shared" ca="1" si="61"/>
        <v>0</v>
      </c>
      <c r="CN85" s="513">
        <f t="shared" ca="1" si="61"/>
        <v>0</v>
      </c>
      <c r="CO85" s="513">
        <f t="shared" ca="1" si="61"/>
        <v>0</v>
      </c>
      <c r="CP85" s="513">
        <f t="shared" ca="1" si="61"/>
        <v>0</v>
      </c>
      <c r="CQ85" s="513">
        <f t="shared" ca="1" si="61"/>
        <v>0</v>
      </c>
      <c r="CR85" s="513">
        <f t="shared" ca="1" si="61"/>
        <v>0</v>
      </c>
      <c r="CS85" s="513">
        <f t="shared" ca="1" si="61"/>
        <v>0</v>
      </c>
      <c r="CT85" s="513">
        <f t="shared" ca="1" si="61"/>
        <v>0</v>
      </c>
      <c r="CU85" s="513">
        <f t="shared" ca="1" si="61"/>
        <v>0</v>
      </c>
      <c r="CV85" s="513">
        <f t="shared" ca="1" si="61"/>
        <v>0</v>
      </c>
      <c r="CW85" s="513">
        <f t="shared" ca="1" si="61"/>
        <v>0</v>
      </c>
      <c r="CX85" s="513">
        <f t="shared" ca="1" si="61"/>
        <v>0</v>
      </c>
      <c r="CY85" s="513">
        <f t="shared" ca="1" si="61"/>
        <v>0</v>
      </c>
      <c r="CZ85" s="513">
        <f t="shared" ca="1" si="61"/>
        <v>0</v>
      </c>
      <c r="DA85" s="513">
        <f t="shared" ca="1" si="61"/>
        <v>0</v>
      </c>
      <c r="DB85" s="513">
        <f t="shared" ca="1" si="61"/>
        <v>0</v>
      </c>
      <c r="DC85" s="513">
        <f t="shared" ca="1" si="61"/>
        <v>0</v>
      </c>
      <c r="DD85" s="513">
        <f t="shared" ca="1" si="61"/>
        <v>0</v>
      </c>
      <c r="DE85" s="513">
        <f t="shared" ca="1" si="61"/>
        <v>0</v>
      </c>
      <c r="DF85" s="513">
        <f t="shared" ca="1" si="61"/>
        <v>0</v>
      </c>
      <c r="DG85" s="513">
        <f t="shared" ca="1" si="61"/>
        <v>0</v>
      </c>
      <c r="DH85" s="513">
        <f t="shared" ca="1" si="61"/>
        <v>0</v>
      </c>
      <c r="DI85" s="513">
        <f t="shared" ca="1" si="61"/>
        <v>0</v>
      </c>
      <c r="DJ85" s="513">
        <f t="shared" ca="1" si="61"/>
        <v>0</v>
      </c>
      <c r="DK85" s="513">
        <f t="shared" ca="1" si="61"/>
        <v>0</v>
      </c>
      <c r="DL85" s="513">
        <f t="shared" ca="1" si="61"/>
        <v>0</v>
      </c>
      <c r="DM85" s="513">
        <f t="shared" ca="1" si="61"/>
        <v>0</v>
      </c>
      <c r="DN85" s="513">
        <f t="shared" ca="1" si="61"/>
        <v>0</v>
      </c>
      <c r="DO85" s="513">
        <f t="shared" ca="1" si="61"/>
        <v>0</v>
      </c>
      <c r="DP85" s="513">
        <f t="shared" ca="1" si="61"/>
        <v>0</v>
      </c>
      <c r="DQ85" s="513">
        <f t="shared" ca="1" si="61"/>
        <v>0</v>
      </c>
      <c r="DR85" s="513">
        <f t="shared" ca="1" si="61"/>
        <v>0</v>
      </c>
      <c r="DS85" s="513">
        <f t="shared" ca="1" si="61"/>
        <v>0</v>
      </c>
      <c r="DT85" s="513">
        <f t="shared" ca="1" si="61"/>
        <v>0</v>
      </c>
      <c r="DU85" s="513">
        <f t="shared" ca="1" si="61"/>
        <v>0</v>
      </c>
      <c r="DV85" s="513">
        <f t="shared" ca="1" si="61"/>
        <v>0</v>
      </c>
      <c r="DW85" s="513">
        <f t="shared" ca="1" si="61"/>
        <v>0</v>
      </c>
    </row>
    <row r="86" spans="1:127">
      <c r="A86" s="344" t="s">
        <v>1266</v>
      </c>
      <c r="B86" s="1644"/>
      <c r="C86" s="970"/>
      <c r="D86" s="513">
        <f ca="1">XNPV(Inputs!D468,G85:DW85,G$78:DW$78)</f>
        <v>2809.8061128591858</v>
      </c>
      <c r="E86" s="513"/>
      <c r="F86" s="518"/>
      <c r="G86" s="513"/>
      <c r="H86" s="513"/>
      <c r="I86" s="513"/>
      <c r="J86" s="513"/>
      <c r="K86" s="513"/>
      <c r="L86" s="513"/>
      <c r="M86" s="513"/>
      <c r="N86" s="513"/>
      <c r="O86" s="513"/>
      <c r="P86" s="513"/>
      <c r="Q86" s="513"/>
      <c r="R86" s="513"/>
      <c r="S86" s="513"/>
      <c r="T86" s="513"/>
      <c r="U86" s="513"/>
      <c r="V86" s="513"/>
      <c r="W86" s="513"/>
      <c r="X86" s="513"/>
      <c r="Y86" s="513"/>
      <c r="Z86" s="513"/>
      <c r="AA86" s="513"/>
      <c r="AB86" s="513"/>
      <c r="AC86" s="513"/>
      <c r="AD86" s="513"/>
      <c r="AE86" s="513"/>
      <c r="AF86" s="513"/>
      <c r="AG86" s="513"/>
      <c r="AH86" s="513"/>
      <c r="AI86" s="513"/>
      <c r="AJ86" s="513"/>
      <c r="AK86" s="513"/>
      <c r="AL86" s="513"/>
      <c r="AM86" s="513"/>
      <c r="AN86" s="513"/>
      <c r="AO86" s="513"/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</row>
    <row r="87" spans="1:127">
      <c r="A87" s="344"/>
      <c r="B87" s="730"/>
      <c r="C87" s="730"/>
      <c r="D87" s="471"/>
      <c r="E87" s="471"/>
      <c r="G87" s="310"/>
      <c r="H87" s="310"/>
      <c r="I87" s="310"/>
      <c r="J87" s="310"/>
      <c r="K87" s="310"/>
      <c r="L87" s="310"/>
      <c r="M87" s="310"/>
    </row>
    <row r="88" spans="1:127">
      <c r="A88" s="1613" t="s">
        <v>1267</v>
      </c>
      <c r="B88" s="1614"/>
      <c r="C88" s="1613"/>
      <c r="D88" s="1613"/>
      <c r="E88" s="1615"/>
      <c r="F88" s="1615"/>
      <c r="G88" s="1616">
        <f t="shared" ref="G88:AL88" si="62">IF(G4&lt;1,G1,G2)</f>
        <v>47298</v>
      </c>
      <c r="H88" s="1616">
        <f t="shared" si="62"/>
        <v>47848</v>
      </c>
      <c r="I88" s="1616">
        <f t="shared" si="62"/>
        <v>48029</v>
      </c>
      <c r="J88" s="1616">
        <f t="shared" si="62"/>
        <v>48213</v>
      </c>
      <c r="K88" s="1616">
        <f t="shared" si="62"/>
        <v>48395</v>
      </c>
      <c r="L88" s="1616">
        <f t="shared" si="62"/>
        <v>48579</v>
      </c>
      <c r="M88" s="1616">
        <f t="shared" si="62"/>
        <v>48760</v>
      </c>
      <c r="N88" s="1616">
        <f t="shared" si="62"/>
        <v>48944</v>
      </c>
      <c r="O88" s="1616">
        <f t="shared" si="62"/>
        <v>49125</v>
      </c>
      <c r="P88" s="1616">
        <f t="shared" si="62"/>
        <v>49309</v>
      </c>
      <c r="Q88" s="1616">
        <f t="shared" si="62"/>
        <v>49490</v>
      </c>
      <c r="R88" s="1616">
        <f t="shared" si="62"/>
        <v>49674</v>
      </c>
      <c r="S88" s="1616">
        <f t="shared" si="62"/>
        <v>49856</v>
      </c>
      <c r="T88" s="1616">
        <f t="shared" si="62"/>
        <v>50040</v>
      </c>
      <c r="U88" s="1616">
        <f t="shared" si="62"/>
        <v>50221</v>
      </c>
      <c r="V88" s="1616">
        <f t="shared" si="62"/>
        <v>50405</v>
      </c>
      <c r="W88" s="1616">
        <f t="shared" si="62"/>
        <v>50586</v>
      </c>
      <c r="X88" s="1616">
        <f t="shared" si="62"/>
        <v>50770</v>
      </c>
      <c r="Y88" s="1616">
        <f t="shared" si="62"/>
        <v>50951</v>
      </c>
      <c r="Z88" s="1616">
        <f t="shared" si="62"/>
        <v>51135</v>
      </c>
      <c r="AA88" s="1616">
        <f t="shared" si="62"/>
        <v>51317</v>
      </c>
      <c r="AB88" s="1616">
        <f t="shared" si="62"/>
        <v>51501</v>
      </c>
      <c r="AC88" s="1616">
        <f t="shared" si="62"/>
        <v>51682</v>
      </c>
      <c r="AD88" s="1616">
        <f t="shared" si="62"/>
        <v>51866</v>
      </c>
      <c r="AE88" s="1616">
        <f t="shared" si="62"/>
        <v>52047</v>
      </c>
      <c r="AF88" s="1616">
        <f t="shared" si="62"/>
        <v>52231</v>
      </c>
      <c r="AG88" s="1616">
        <f t="shared" si="62"/>
        <v>52412</v>
      </c>
      <c r="AH88" s="1616">
        <f t="shared" si="62"/>
        <v>52596</v>
      </c>
      <c r="AI88" s="1616">
        <f t="shared" si="62"/>
        <v>52778</v>
      </c>
      <c r="AJ88" s="1616">
        <f t="shared" si="62"/>
        <v>52962</v>
      </c>
      <c r="AK88" s="1616">
        <f t="shared" si="62"/>
        <v>53143</v>
      </c>
      <c r="AL88" s="1616">
        <f t="shared" si="62"/>
        <v>53327</v>
      </c>
      <c r="AM88" s="1616">
        <f t="shared" ref="AM88:BR88" si="63">IF(AM4&lt;1,AM1,AM2)</f>
        <v>53508</v>
      </c>
      <c r="AN88" s="1616">
        <f t="shared" si="63"/>
        <v>53692</v>
      </c>
      <c r="AO88" s="1616">
        <f t="shared" si="63"/>
        <v>53873</v>
      </c>
      <c r="AP88" s="1616">
        <f t="shared" si="63"/>
        <v>54057</v>
      </c>
      <c r="AQ88" s="1616">
        <f t="shared" si="63"/>
        <v>54239</v>
      </c>
      <c r="AR88" s="1616">
        <f t="shared" si="63"/>
        <v>54423</v>
      </c>
      <c r="AS88" s="1616">
        <f t="shared" si="63"/>
        <v>54604</v>
      </c>
      <c r="AT88" s="1616">
        <f t="shared" si="63"/>
        <v>54788</v>
      </c>
      <c r="AU88" s="1616">
        <f t="shared" si="63"/>
        <v>54969</v>
      </c>
      <c r="AV88" s="1616">
        <f t="shared" si="63"/>
        <v>55153</v>
      </c>
      <c r="AW88" s="1616">
        <f t="shared" si="63"/>
        <v>55334</v>
      </c>
      <c r="AX88" s="1616">
        <f t="shared" si="63"/>
        <v>55518</v>
      </c>
      <c r="AY88" s="1616">
        <f t="shared" si="63"/>
        <v>55700</v>
      </c>
      <c r="AZ88" s="1616">
        <f t="shared" si="63"/>
        <v>55884</v>
      </c>
      <c r="BA88" s="1616">
        <f t="shared" si="63"/>
        <v>56065</v>
      </c>
      <c r="BB88" s="1616">
        <f t="shared" si="63"/>
        <v>56249</v>
      </c>
      <c r="BC88" s="1616">
        <f t="shared" si="63"/>
        <v>56430</v>
      </c>
      <c r="BD88" s="1616">
        <f t="shared" si="63"/>
        <v>56614</v>
      </c>
      <c r="BE88" s="1616">
        <f t="shared" si="63"/>
        <v>56795</v>
      </c>
      <c r="BF88" s="1616">
        <f t="shared" si="63"/>
        <v>56979</v>
      </c>
      <c r="BG88" s="1616">
        <f t="shared" si="63"/>
        <v>57161</v>
      </c>
      <c r="BH88" s="1616">
        <f t="shared" si="63"/>
        <v>57345</v>
      </c>
      <c r="BI88" s="1616">
        <f t="shared" si="63"/>
        <v>57526</v>
      </c>
      <c r="BJ88" s="1616">
        <f t="shared" si="63"/>
        <v>57710</v>
      </c>
      <c r="BK88" s="1616">
        <f t="shared" si="63"/>
        <v>57891</v>
      </c>
      <c r="BL88" s="1616">
        <f t="shared" si="63"/>
        <v>58075</v>
      </c>
      <c r="BM88" s="1616">
        <f t="shared" si="63"/>
        <v>58256</v>
      </c>
      <c r="BN88" s="1616">
        <f t="shared" si="63"/>
        <v>58440</v>
      </c>
      <c r="BO88" s="1616">
        <f t="shared" si="63"/>
        <v>58622</v>
      </c>
      <c r="BP88" s="1616">
        <f t="shared" si="63"/>
        <v>58806</v>
      </c>
      <c r="BQ88" s="1616">
        <f t="shared" si="63"/>
        <v>58987</v>
      </c>
      <c r="BR88" s="1616">
        <f t="shared" si="63"/>
        <v>59171</v>
      </c>
      <c r="BS88" s="1616">
        <f t="shared" ref="BS88:CX88" si="64">IF(BS4&lt;1,BS1,BS2)</f>
        <v>59352</v>
      </c>
      <c r="BT88" s="1616">
        <f t="shared" si="64"/>
        <v>59536</v>
      </c>
      <c r="BU88" s="1616">
        <f t="shared" si="64"/>
        <v>59717</v>
      </c>
      <c r="BV88" s="1616">
        <f t="shared" si="64"/>
        <v>59901</v>
      </c>
      <c r="BW88" s="1616">
        <f t="shared" si="64"/>
        <v>60083</v>
      </c>
      <c r="BX88" s="1616">
        <f t="shared" si="64"/>
        <v>60267</v>
      </c>
      <c r="BY88" s="1616">
        <f t="shared" si="64"/>
        <v>60448</v>
      </c>
      <c r="BZ88" s="1616">
        <f t="shared" si="64"/>
        <v>60632</v>
      </c>
      <c r="CA88" s="1616">
        <f t="shared" si="64"/>
        <v>60813</v>
      </c>
      <c r="CB88" s="1616">
        <f t="shared" si="64"/>
        <v>60997</v>
      </c>
      <c r="CC88" s="1616">
        <f t="shared" si="64"/>
        <v>61178</v>
      </c>
      <c r="CD88" s="1616">
        <f t="shared" si="64"/>
        <v>61362</v>
      </c>
      <c r="CE88" s="1616">
        <f t="shared" si="64"/>
        <v>61544</v>
      </c>
      <c r="CF88" s="1616">
        <f t="shared" si="64"/>
        <v>61728</v>
      </c>
      <c r="CG88" s="1616">
        <f t="shared" si="64"/>
        <v>61909</v>
      </c>
      <c r="CH88" s="1616">
        <f t="shared" si="64"/>
        <v>62093</v>
      </c>
      <c r="CI88" s="1616">
        <f t="shared" si="64"/>
        <v>62274</v>
      </c>
      <c r="CJ88" s="1616">
        <f t="shared" si="64"/>
        <v>62458</v>
      </c>
      <c r="CK88" s="1616">
        <f t="shared" si="64"/>
        <v>62639</v>
      </c>
      <c r="CL88" s="1616">
        <f t="shared" si="64"/>
        <v>62823</v>
      </c>
      <c r="CM88" s="1616">
        <f t="shared" si="64"/>
        <v>63005</v>
      </c>
      <c r="CN88" s="1616">
        <f t="shared" si="64"/>
        <v>63189</v>
      </c>
      <c r="CO88" s="1616">
        <f t="shared" si="64"/>
        <v>63370</v>
      </c>
      <c r="CP88" s="1616">
        <f t="shared" si="64"/>
        <v>63554</v>
      </c>
      <c r="CQ88" s="1616">
        <f t="shared" si="64"/>
        <v>63735</v>
      </c>
      <c r="CR88" s="1616">
        <f t="shared" si="64"/>
        <v>63919</v>
      </c>
      <c r="CS88" s="1616">
        <f t="shared" si="64"/>
        <v>64100</v>
      </c>
      <c r="CT88" s="1616">
        <f t="shared" si="64"/>
        <v>64284</v>
      </c>
      <c r="CU88" s="1616">
        <f t="shared" si="64"/>
        <v>64466</v>
      </c>
      <c r="CV88" s="1616">
        <f t="shared" si="64"/>
        <v>64650</v>
      </c>
      <c r="CW88" s="1616">
        <f t="shared" si="64"/>
        <v>64831</v>
      </c>
      <c r="CX88" s="1616">
        <f t="shared" si="64"/>
        <v>65015</v>
      </c>
      <c r="CY88" s="1616">
        <f t="shared" ref="CY88:DW88" si="65">IF(CY4&lt;1,CY1,CY2)</f>
        <v>65196</v>
      </c>
      <c r="CZ88" s="1616">
        <f t="shared" si="65"/>
        <v>65380</v>
      </c>
      <c r="DA88" s="1616">
        <f t="shared" si="65"/>
        <v>65561</v>
      </c>
      <c r="DB88" s="1616">
        <f t="shared" si="65"/>
        <v>65745</v>
      </c>
      <c r="DC88" s="1616">
        <f t="shared" si="65"/>
        <v>65927</v>
      </c>
      <c r="DD88" s="1616">
        <f t="shared" si="65"/>
        <v>66111</v>
      </c>
      <c r="DE88" s="1616">
        <f t="shared" si="65"/>
        <v>66292</v>
      </c>
      <c r="DF88" s="1616">
        <f t="shared" si="65"/>
        <v>66476</v>
      </c>
      <c r="DG88" s="1616">
        <f t="shared" si="65"/>
        <v>66657</v>
      </c>
      <c r="DH88" s="1616">
        <f t="shared" si="65"/>
        <v>66841</v>
      </c>
      <c r="DI88" s="1616">
        <f t="shared" si="65"/>
        <v>67022</v>
      </c>
      <c r="DJ88" s="1616">
        <f t="shared" si="65"/>
        <v>67206</v>
      </c>
      <c r="DK88" s="1616">
        <f t="shared" si="65"/>
        <v>67388</v>
      </c>
      <c r="DL88" s="1616">
        <f t="shared" si="65"/>
        <v>67572</v>
      </c>
      <c r="DM88" s="1616">
        <f t="shared" si="65"/>
        <v>67753</v>
      </c>
      <c r="DN88" s="1616">
        <f t="shared" si="65"/>
        <v>67937</v>
      </c>
      <c r="DO88" s="1616">
        <f t="shared" si="65"/>
        <v>68118</v>
      </c>
      <c r="DP88" s="1616">
        <f t="shared" si="65"/>
        <v>68302</v>
      </c>
      <c r="DQ88" s="1616">
        <f t="shared" si="65"/>
        <v>68483</v>
      </c>
      <c r="DR88" s="1616">
        <f t="shared" si="65"/>
        <v>68667</v>
      </c>
      <c r="DS88" s="1616">
        <f t="shared" si="65"/>
        <v>68849</v>
      </c>
      <c r="DT88" s="1616">
        <f t="shared" si="65"/>
        <v>69033</v>
      </c>
      <c r="DU88" s="1616">
        <f t="shared" si="65"/>
        <v>69214</v>
      </c>
      <c r="DV88" s="1616">
        <f t="shared" si="65"/>
        <v>69398</v>
      </c>
      <c r="DW88" s="1616">
        <f t="shared" si="65"/>
        <v>69579</v>
      </c>
    </row>
    <row r="89" spans="1:127" ht="13.5">
      <c r="B89" s="1617" t="s">
        <v>1268</v>
      </c>
      <c r="C89" s="1617" t="s">
        <v>1269</v>
      </c>
      <c r="D89" s="1617" t="s">
        <v>1270</v>
      </c>
    </row>
    <row r="90" spans="1:127">
      <c r="A90" s="304" t="s">
        <v>1271</v>
      </c>
      <c r="B90" s="866">
        <f>-D90</f>
        <v>-514.5</v>
      </c>
      <c r="C90" s="1618" t="s">
        <v>1272</v>
      </c>
      <c r="D90" s="1619">
        <v>514.5</v>
      </c>
      <c r="E90" s="510" t="s">
        <v>147</v>
      </c>
      <c r="F90" s="510"/>
      <c r="G90" s="510">
        <f t="shared" ref="G90:AL90" si="66">IF(G$3=0,$B$90,0)</f>
        <v>-514.5</v>
      </c>
      <c r="H90" s="510">
        <f t="shared" si="66"/>
        <v>0</v>
      </c>
      <c r="I90" s="510">
        <f t="shared" si="66"/>
        <v>0</v>
      </c>
      <c r="J90" s="510">
        <f t="shared" si="66"/>
        <v>0</v>
      </c>
      <c r="K90" s="510">
        <f t="shared" si="66"/>
        <v>0</v>
      </c>
      <c r="L90" s="510">
        <f t="shared" si="66"/>
        <v>0</v>
      </c>
      <c r="M90" s="510">
        <f t="shared" si="66"/>
        <v>0</v>
      </c>
      <c r="N90" s="510">
        <f t="shared" si="66"/>
        <v>0</v>
      </c>
      <c r="O90" s="510">
        <f t="shared" si="66"/>
        <v>0</v>
      </c>
      <c r="P90" s="510">
        <f t="shared" si="66"/>
        <v>0</v>
      </c>
      <c r="Q90" s="510">
        <f t="shared" si="66"/>
        <v>0</v>
      </c>
      <c r="R90" s="510">
        <f t="shared" si="66"/>
        <v>0</v>
      </c>
      <c r="S90" s="510">
        <f t="shared" si="66"/>
        <v>0</v>
      </c>
      <c r="T90" s="510">
        <f t="shared" si="66"/>
        <v>0</v>
      </c>
      <c r="U90" s="510">
        <f t="shared" si="66"/>
        <v>0</v>
      </c>
      <c r="V90" s="510">
        <f t="shared" si="66"/>
        <v>0</v>
      </c>
      <c r="W90" s="510">
        <f t="shared" si="66"/>
        <v>0</v>
      </c>
      <c r="X90" s="510">
        <f t="shared" si="66"/>
        <v>0</v>
      </c>
      <c r="Y90" s="510">
        <f t="shared" si="66"/>
        <v>0</v>
      </c>
      <c r="Z90" s="510">
        <f t="shared" si="66"/>
        <v>0</v>
      </c>
      <c r="AA90" s="510">
        <f t="shared" si="66"/>
        <v>0</v>
      </c>
      <c r="AB90" s="510">
        <f t="shared" si="66"/>
        <v>0</v>
      </c>
      <c r="AC90" s="510">
        <f t="shared" si="66"/>
        <v>0</v>
      </c>
      <c r="AD90" s="510">
        <f t="shared" si="66"/>
        <v>0</v>
      </c>
      <c r="AE90" s="510">
        <f t="shared" si="66"/>
        <v>0</v>
      </c>
      <c r="AF90" s="510">
        <f t="shared" si="66"/>
        <v>0</v>
      </c>
      <c r="AG90" s="510">
        <f t="shared" si="66"/>
        <v>0</v>
      </c>
      <c r="AH90" s="510">
        <f t="shared" si="66"/>
        <v>0</v>
      </c>
      <c r="AI90" s="510">
        <f t="shared" si="66"/>
        <v>0</v>
      </c>
      <c r="AJ90" s="510">
        <f t="shared" si="66"/>
        <v>0</v>
      </c>
      <c r="AK90" s="510">
        <f t="shared" si="66"/>
        <v>0</v>
      </c>
      <c r="AL90" s="510">
        <f t="shared" si="66"/>
        <v>0</v>
      </c>
      <c r="AM90" s="510">
        <f t="shared" ref="AM90:BR90" si="67">IF(AM$3=0,$B$90,0)</f>
        <v>0</v>
      </c>
      <c r="AN90" s="510">
        <f t="shared" si="67"/>
        <v>0</v>
      </c>
      <c r="AO90" s="510">
        <f t="shared" si="67"/>
        <v>0</v>
      </c>
      <c r="AP90" s="510">
        <f t="shared" si="67"/>
        <v>0</v>
      </c>
      <c r="AQ90" s="510">
        <f t="shared" si="67"/>
        <v>0</v>
      </c>
      <c r="AR90" s="510">
        <f t="shared" si="67"/>
        <v>0</v>
      </c>
      <c r="AS90" s="510">
        <f t="shared" si="67"/>
        <v>0</v>
      </c>
      <c r="AT90" s="510">
        <f t="shared" si="67"/>
        <v>0</v>
      </c>
      <c r="AU90" s="510">
        <f t="shared" si="67"/>
        <v>0</v>
      </c>
      <c r="AV90" s="510">
        <f t="shared" si="67"/>
        <v>0</v>
      </c>
      <c r="AW90" s="510">
        <f t="shared" si="67"/>
        <v>0</v>
      </c>
      <c r="AX90" s="510">
        <f t="shared" si="67"/>
        <v>0</v>
      </c>
      <c r="AY90" s="510">
        <f t="shared" si="67"/>
        <v>0</v>
      </c>
      <c r="AZ90" s="510">
        <f t="shared" si="67"/>
        <v>0</v>
      </c>
      <c r="BA90" s="510">
        <f t="shared" si="67"/>
        <v>0</v>
      </c>
      <c r="BB90" s="510">
        <f t="shared" si="67"/>
        <v>0</v>
      </c>
      <c r="BC90" s="510">
        <f t="shared" si="67"/>
        <v>0</v>
      </c>
      <c r="BD90" s="510">
        <f t="shared" si="67"/>
        <v>0</v>
      </c>
      <c r="BE90" s="510">
        <f t="shared" si="67"/>
        <v>0</v>
      </c>
      <c r="BF90" s="510">
        <f t="shared" si="67"/>
        <v>0</v>
      </c>
      <c r="BG90" s="510">
        <f t="shared" si="67"/>
        <v>0</v>
      </c>
      <c r="BH90" s="510">
        <f t="shared" si="67"/>
        <v>0</v>
      </c>
      <c r="BI90" s="510">
        <f t="shared" si="67"/>
        <v>0</v>
      </c>
      <c r="BJ90" s="510">
        <f t="shared" si="67"/>
        <v>0</v>
      </c>
      <c r="BK90" s="510">
        <f t="shared" si="67"/>
        <v>0</v>
      </c>
      <c r="BL90" s="510">
        <f t="shared" si="67"/>
        <v>0</v>
      </c>
      <c r="BM90" s="510">
        <f t="shared" si="67"/>
        <v>0</v>
      </c>
      <c r="BN90" s="510">
        <f t="shared" si="67"/>
        <v>0</v>
      </c>
      <c r="BO90" s="510">
        <f t="shared" si="67"/>
        <v>0</v>
      </c>
      <c r="BP90" s="510">
        <f t="shared" si="67"/>
        <v>0</v>
      </c>
      <c r="BQ90" s="510">
        <f t="shared" si="67"/>
        <v>0</v>
      </c>
      <c r="BR90" s="510">
        <f t="shared" si="67"/>
        <v>0</v>
      </c>
      <c r="BS90" s="510">
        <f t="shared" ref="BS90:CX90" si="68">IF(BS$3=0,$B$90,0)</f>
        <v>0</v>
      </c>
      <c r="BT90" s="510">
        <f t="shared" si="68"/>
        <v>0</v>
      </c>
      <c r="BU90" s="510">
        <f t="shared" si="68"/>
        <v>0</v>
      </c>
      <c r="BV90" s="510">
        <f t="shared" si="68"/>
        <v>0</v>
      </c>
      <c r="BW90" s="510">
        <f t="shared" si="68"/>
        <v>0</v>
      </c>
      <c r="BX90" s="510">
        <f t="shared" si="68"/>
        <v>0</v>
      </c>
      <c r="BY90" s="510">
        <f t="shared" si="68"/>
        <v>0</v>
      </c>
      <c r="BZ90" s="510">
        <f t="shared" si="68"/>
        <v>0</v>
      </c>
      <c r="CA90" s="510">
        <f t="shared" si="68"/>
        <v>0</v>
      </c>
      <c r="CB90" s="510">
        <f t="shared" si="68"/>
        <v>0</v>
      </c>
      <c r="CC90" s="510">
        <f t="shared" si="68"/>
        <v>0</v>
      </c>
      <c r="CD90" s="510">
        <f t="shared" si="68"/>
        <v>0</v>
      </c>
      <c r="CE90" s="510">
        <f t="shared" si="68"/>
        <v>0</v>
      </c>
      <c r="CF90" s="510">
        <f t="shared" si="68"/>
        <v>0</v>
      </c>
      <c r="CG90" s="510">
        <f t="shared" si="68"/>
        <v>0</v>
      </c>
      <c r="CH90" s="510">
        <f t="shared" si="68"/>
        <v>0</v>
      </c>
      <c r="CI90" s="510">
        <f t="shared" si="68"/>
        <v>0</v>
      </c>
      <c r="CJ90" s="510">
        <f t="shared" si="68"/>
        <v>0</v>
      </c>
      <c r="CK90" s="510">
        <f t="shared" si="68"/>
        <v>0</v>
      </c>
      <c r="CL90" s="510">
        <f t="shared" si="68"/>
        <v>0</v>
      </c>
      <c r="CM90" s="510">
        <f t="shared" si="68"/>
        <v>0</v>
      </c>
      <c r="CN90" s="510">
        <f t="shared" si="68"/>
        <v>0</v>
      </c>
      <c r="CO90" s="510">
        <f t="shared" si="68"/>
        <v>0</v>
      </c>
      <c r="CP90" s="510">
        <f t="shared" si="68"/>
        <v>0</v>
      </c>
      <c r="CQ90" s="510">
        <f t="shared" si="68"/>
        <v>0</v>
      </c>
      <c r="CR90" s="510">
        <f t="shared" si="68"/>
        <v>0</v>
      </c>
      <c r="CS90" s="510">
        <f t="shared" si="68"/>
        <v>0</v>
      </c>
      <c r="CT90" s="510">
        <f t="shared" si="68"/>
        <v>0</v>
      </c>
      <c r="CU90" s="510">
        <f t="shared" si="68"/>
        <v>0</v>
      </c>
      <c r="CV90" s="510">
        <f t="shared" si="68"/>
        <v>0</v>
      </c>
      <c r="CW90" s="510">
        <f t="shared" si="68"/>
        <v>0</v>
      </c>
      <c r="CX90" s="510">
        <f t="shared" si="68"/>
        <v>0</v>
      </c>
      <c r="CY90" s="510">
        <f t="shared" ref="CY90:DW90" si="69">IF(CY$3=0,$B$90,0)</f>
        <v>0</v>
      </c>
      <c r="CZ90" s="510">
        <f t="shared" si="69"/>
        <v>0</v>
      </c>
      <c r="DA90" s="510">
        <f t="shared" si="69"/>
        <v>0</v>
      </c>
      <c r="DB90" s="510">
        <f t="shared" si="69"/>
        <v>0</v>
      </c>
      <c r="DC90" s="510">
        <f t="shared" si="69"/>
        <v>0</v>
      </c>
      <c r="DD90" s="510">
        <f t="shared" si="69"/>
        <v>0</v>
      </c>
      <c r="DE90" s="510">
        <f t="shared" si="69"/>
        <v>0</v>
      </c>
      <c r="DF90" s="510">
        <f t="shared" si="69"/>
        <v>0</v>
      </c>
      <c r="DG90" s="510">
        <f t="shared" si="69"/>
        <v>0</v>
      </c>
      <c r="DH90" s="510">
        <f t="shared" si="69"/>
        <v>0</v>
      </c>
      <c r="DI90" s="510">
        <f t="shared" si="69"/>
        <v>0</v>
      </c>
      <c r="DJ90" s="510">
        <f t="shared" si="69"/>
        <v>0</v>
      </c>
      <c r="DK90" s="510">
        <f t="shared" si="69"/>
        <v>0</v>
      </c>
      <c r="DL90" s="510">
        <f t="shared" si="69"/>
        <v>0</v>
      </c>
      <c r="DM90" s="510">
        <f t="shared" si="69"/>
        <v>0</v>
      </c>
      <c r="DN90" s="510">
        <f t="shared" si="69"/>
        <v>0</v>
      </c>
      <c r="DO90" s="510">
        <f t="shared" si="69"/>
        <v>0</v>
      </c>
      <c r="DP90" s="510">
        <f t="shared" si="69"/>
        <v>0</v>
      </c>
      <c r="DQ90" s="510">
        <f t="shared" si="69"/>
        <v>0</v>
      </c>
      <c r="DR90" s="510">
        <f t="shared" si="69"/>
        <v>0</v>
      </c>
      <c r="DS90" s="510">
        <f t="shared" si="69"/>
        <v>0</v>
      </c>
      <c r="DT90" s="510">
        <f t="shared" si="69"/>
        <v>0</v>
      </c>
      <c r="DU90" s="510">
        <f t="shared" si="69"/>
        <v>0</v>
      </c>
      <c r="DV90" s="510">
        <f t="shared" si="69"/>
        <v>0</v>
      </c>
      <c r="DW90" s="510">
        <f t="shared" si="69"/>
        <v>0</v>
      </c>
    </row>
    <row r="91" spans="1:127">
      <c r="A91" s="304" t="s">
        <v>1273</v>
      </c>
      <c r="B91" s="866">
        <f>-D91*B99</f>
        <v>-910.46389999999997</v>
      </c>
      <c r="C91" s="1618" t="s">
        <v>1274</v>
      </c>
      <c r="D91" s="1620">
        <v>0.85</v>
      </c>
      <c r="E91" s="510" t="s">
        <v>145</v>
      </c>
      <c r="F91" s="510"/>
      <c r="G91" s="510">
        <f t="shared" ref="G91:AL91" si="70">IF(OR(G$4=0,G$4=1),50%*$B$91,0)</f>
        <v>-455.23194999999998</v>
      </c>
      <c r="H91" s="510">
        <f t="shared" si="70"/>
        <v>-455.23194999999998</v>
      </c>
      <c r="I91" s="510">
        <f t="shared" si="70"/>
        <v>0</v>
      </c>
      <c r="J91" s="510">
        <f t="shared" si="70"/>
        <v>0</v>
      </c>
      <c r="K91" s="510">
        <f t="shared" si="70"/>
        <v>0</v>
      </c>
      <c r="L91" s="510">
        <f t="shared" si="70"/>
        <v>0</v>
      </c>
      <c r="M91" s="510">
        <f t="shared" si="70"/>
        <v>0</v>
      </c>
      <c r="N91" s="510">
        <f t="shared" si="70"/>
        <v>0</v>
      </c>
      <c r="O91" s="510">
        <f t="shared" si="70"/>
        <v>0</v>
      </c>
      <c r="P91" s="510">
        <f t="shared" si="70"/>
        <v>0</v>
      </c>
      <c r="Q91" s="510">
        <f t="shared" si="70"/>
        <v>0</v>
      </c>
      <c r="R91" s="510">
        <f t="shared" si="70"/>
        <v>0</v>
      </c>
      <c r="S91" s="510">
        <f t="shared" si="70"/>
        <v>0</v>
      </c>
      <c r="T91" s="510">
        <f t="shared" si="70"/>
        <v>0</v>
      </c>
      <c r="U91" s="510">
        <f t="shared" si="70"/>
        <v>0</v>
      </c>
      <c r="V91" s="510">
        <f t="shared" si="70"/>
        <v>0</v>
      </c>
      <c r="W91" s="510">
        <f t="shared" si="70"/>
        <v>0</v>
      </c>
      <c r="X91" s="510">
        <f t="shared" si="70"/>
        <v>0</v>
      </c>
      <c r="Y91" s="510">
        <f t="shared" si="70"/>
        <v>0</v>
      </c>
      <c r="Z91" s="510">
        <f t="shared" si="70"/>
        <v>0</v>
      </c>
      <c r="AA91" s="510">
        <f t="shared" si="70"/>
        <v>0</v>
      </c>
      <c r="AB91" s="510">
        <f t="shared" si="70"/>
        <v>0</v>
      </c>
      <c r="AC91" s="510">
        <f t="shared" si="70"/>
        <v>0</v>
      </c>
      <c r="AD91" s="510">
        <f t="shared" si="70"/>
        <v>0</v>
      </c>
      <c r="AE91" s="510">
        <f t="shared" si="70"/>
        <v>0</v>
      </c>
      <c r="AF91" s="510">
        <f t="shared" si="70"/>
        <v>0</v>
      </c>
      <c r="AG91" s="510">
        <f t="shared" si="70"/>
        <v>0</v>
      </c>
      <c r="AH91" s="510">
        <f t="shared" si="70"/>
        <v>0</v>
      </c>
      <c r="AI91" s="510">
        <f t="shared" si="70"/>
        <v>0</v>
      </c>
      <c r="AJ91" s="510">
        <f t="shared" si="70"/>
        <v>0</v>
      </c>
      <c r="AK91" s="510">
        <f t="shared" si="70"/>
        <v>0</v>
      </c>
      <c r="AL91" s="510">
        <f t="shared" si="70"/>
        <v>0</v>
      </c>
      <c r="AM91" s="510">
        <f t="shared" ref="AM91:BR91" si="71">IF(OR(AM$4=0,AM$4=1),50%*$B$91,0)</f>
        <v>0</v>
      </c>
      <c r="AN91" s="510">
        <f t="shared" si="71"/>
        <v>0</v>
      </c>
      <c r="AO91" s="510">
        <f t="shared" si="71"/>
        <v>0</v>
      </c>
      <c r="AP91" s="510">
        <f t="shared" si="71"/>
        <v>0</v>
      </c>
      <c r="AQ91" s="510">
        <f t="shared" si="71"/>
        <v>0</v>
      </c>
      <c r="AR91" s="510">
        <f t="shared" si="71"/>
        <v>0</v>
      </c>
      <c r="AS91" s="510">
        <f t="shared" si="71"/>
        <v>0</v>
      </c>
      <c r="AT91" s="510">
        <f t="shared" si="71"/>
        <v>0</v>
      </c>
      <c r="AU91" s="510">
        <f t="shared" si="71"/>
        <v>0</v>
      </c>
      <c r="AV91" s="510">
        <f t="shared" si="71"/>
        <v>0</v>
      </c>
      <c r="AW91" s="510">
        <f t="shared" si="71"/>
        <v>0</v>
      </c>
      <c r="AX91" s="510">
        <f t="shared" si="71"/>
        <v>0</v>
      </c>
      <c r="AY91" s="510">
        <f t="shared" si="71"/>
        <v>0</v>
      </c>
      <c r="AZ91" s="510">
        <f t="shared" si="71"/>
        <v>0</v>
      </c>
      <c r="BA91" s="510">
        <f t="shared" si="71"/>
        <v>0</v>
      </c>
      <c r="BB91" s="510">
        <f t="shared" si="71"/>
        <v>0</v>
      </c>
      <c r="BC91" s="510">
        <f t="shared" si="71"/>
        <v>0</v>
      </c>
      <c r="BD91" s="510">
        <f t="shared" si="71"/>
        <v>0</v>
      </c>
      <c r="BE91" s="510">
        <f t="shared" si="71"/>
        <v>0</v>
      </c>
      <c r="BF91" s="510">
        <f t="shared" si="71"/>
        <v>0</v>
      </c>
      <c r="BG91" s="510">
        <f t="shared" si="71"/>
        <v>0</v>
      </c>
      <c r="BH91" s="510">
        <f t="shared" si="71"/>
        <v>0</v>
      </c>
      <c r="BI91" s="510">
        <f t="shared" si="71"/>
        <v>0</v>
      </c>
      <c r="BJ91" s="510">
        <f t="shared" si="71"/>
        <v>0</v>
      </c>
      <c r="BK91" s="510">
        <f t="shared" si="71"/>
        <v>0</v>
      </c>
      <c r="BL91" s="510">
        <f t="shared" si="71"/>
        <v>0</v>
      </c>
      <c r="BM91" s="510">
        <f t="shared" si="71"/>
        <v>0</v>
      </c>
      <c r="BN91" s="510">
        <f t="shared" si="71"/>
        <v>0</v>
      </c>
      <c r="BO91" s="510">
        <f t="shared" si="71"/>
        <v>0</v>
      </c>
      <c r="BP91" s="510">
        <f t="shared" si="71"/>
        <v>0</v>
      </c>
      <c r="BQ91" s="510">
        <f t="shared" si="71"/>
        <v>0</v>
      </c>
      <c r="BR91" s="510">
        <f t="shared" si="71"/>
        <v>0</v>
      </c>
      <c r="BS91" s="510">
        <f t="shared" ref="BS91:CX91" si="72">IF(OR(BS$4=0,BS$4=1),50%*$B$91,0)</f>
        <v>0</v>
      </c>
      <c r="BT91" s="510">
        <f t="shared" si="72"/>
        <v>0</v>
      </c>
      <c r="BU91" s="510">
        <f t="shared" si="72"/>
        <v>0</v>
      </c>
      <c r="BV91" s="510">
        <f t="shared" si="72"/>
        <v>0</v>
      </c>
      <c r="BW91" s="510">
        <f t="shared" si="72"/>
        <v>0</v>
      </c>
      <c r="BX91" s="510">
        <f t="shared" si="72"/>
        <v>0</v>
      </c>
      <c r="BY91" s="510">
        <f t="shared" si="72"/>
        <v>0</v>
      </c>
      <c r="BZ91" s="510">
        <f t="shared" si="72"/>
        <v>0</v>
      </c>
      <c r="CA91" s="510">
        <f t="shared" si="72"/>
        <v>0</v>
      </c>
      <c r="CB91" s="510">
        <f t="shared" si="72"/>
        <v>0</v>
      </c>
      <c r="CC91" s="510">
        <f t="shared" si="72"/>
        <v>0</v>
      </c>
      <c r="CD91" s="510">
        <f t="shared" si="72"/>
        <v>0</v>
      </c>
      <c r="CE91" s="510">
        <f t="shared" si="72"/>
        <v>0</v>
      </c>
      <c r="CF91" s="510">
        <f t="shared" si="72"/>
        <v>0</v>
      </c>
      <c r="CG91" s="510">
        <f t="shared" si="72"/>
        <v>0</v>
      </c>
      <c r="CH91" s="510">
        <f t="shared" si="72"/>
        <v>0</v>
      </c>
      <c r="CI91" s="510">
        <f t="shared" si="72"/>
        <v>0</v>
      </c>
      <c r="CJ91" s="510">
        <f t="shared" si="72"/>
        <v>0</v>
      </c>
      <c r="CK91" s="510">
        <f t="shared" si="72"/>
        <v>0</v>
      </c>
      <c r="CL91" s="510">
        <f t="shared" si="72"/>
        <v>0</v>
      </c>
      <c r="CM91" s="510">
        <f t="shared" si="72"/>
        <v>0</v>
      </c>
      <c r="CN91" s="510">
        <f t="shared" si="72"/>
        <v>0</v>
      </c>
      <c r="CO91" s="510">
        <f t="shared" si="72"/>
        <v>0</v>
      </c>
      <c r="CP91" s="510">
        <f t="shared" si="72"/>
        <v>0</v>
      </c>
      <c r="CQ91" s="510">
        <f t="shared" si="72"/>
        <v>0</v>
      </c>
      <c r="CR91" s="510">
        <f t="shared" si="72"/>
        <v>0</v>
      </c>
      <c r="CS91" s="510">
        <f t="shared" si="72"/>
        <v>0</v>
      </c>
      <c r="CT91" s="510">
        <f t="shared" si="72"/>
        <v>0</v>
      </c>
      <c r="CU91" s="510">
        <f t="shared" si="72"/>
        <v>0</v>
      </c>
      <c r="CV91" s="510">
        <f t="shared" si="72"/>
        <v>0</v>
      </c>
      <c r="CW91" s="510">
        <f t="shared" si="72"/>
        <v>0</v>
      </c>
      <c r="CX91" s="510">
        <f t="shared" si="72"/>
        <v>0</v>
      </c>
      <c r="CY91" s="510">
        <f t="shared" ref="CY91:DW91" si="73">IF(OR(CY$4=0,CY$4=1),50%*$B$91,0)</f>
        <v>0</v>
      </c>
      <c r="CZ91" s="510">
        <f t="shared" si="73"/>
        <v>0</v>
      </c>
      <c r="DA91" s="510">
        <f t="shared" si="73"/>
        <v>0</v>
      </c>
      <c r="DB91" s="510">
        <f t="shared" si="73"/>
        <v>0</v>
      </c>
      <c r="DC91" s="510">
        <f t="shared" si="73"/>
        <v>0</v>
      </c>
      <c r="DD91" s="510">
        <f t="shared" si="73"/>
        <v>0</v>
      </c>
      <c r="DE91" s="510">
        <f t="shared" si="73"/>
        <v>0</v>
      </c>
      <c r="DF91" s="510">
        <f t="shared" si="73"/>
        <v>0</v>
      </c>
      <c r="DG91" s="510">
        <f t="shared" si="73"/>
        <v>0</v>
      </c>
      <c r="DH91" s="510">
        <f t="shared" si="73"/>
        <v>0</v>
      </c>
      <c r="DI91" s="510">
        <f t="shared" si="73"/>
        <v>0</v>
      </c>
      <c r="DJ91" s="510">
        <f t="shared" si="73"/>
        <v>0</v>
      </c>
      <c r="DK91" s="510">
        <f t="shared" si="73"/>
        <v>0</v>
      </c>
      <c r="DL91" s="510">
        <f t="shared" si="73"/>
        <v>0</v>
      </c>
      <c r="DM91" s="510">
        <f t="shared" si="73"/>
        <v>0</v>
      </c>
      <c r="DN91" s="510">
        <f t="shared" si="73"/>
        <v>0</v>
      </c>
      <c r="DO91" s="510">
        <f t="shared" si="73"/>
        <v>0</v>
      </c>
      <c r="DP91" s="510">
        <f t="shared" si="73"/>
        <v>0</v>
      </c>
      <c r="DQ91" s="510">
        <f t="shared" si="73"/>
        <v>0</v>
      </c>
      <c r="DR91" s="510">
        <f t="shared" si="73"/>
        <v>0</v>
      </c>
      <c r="DS91" s="510">
        <f t="shared" si="73"/>
        <v>0</v>
      </c>
      <c r="DT91" s="510">
        <f t="shared" si="73"/>
        <v>0</v>
      </c>
      <c r="DU91" s="510">
        <f t="shared" si="73"/>
        <v>0</v>
      </c>
      <c r="DV91" s="510">
        <f t="shared" si="73"/>
        <v>0</v>
      </c>
      <c r="DW91" s="510">
        <f t="shared" si="73"/>
        <v>0</v>
      </c>
    </row>
    <row r="92" spans="1:127">
      <c r="A92" s="304" t="s">
        <v>1275</v>
      </c>
      <c r="B92" s="866">
        <f t="shared" ref="B92:B94" si="74">-D92*B100</f>
        <v>0</v>
      </c>
      <c r="C92" s="1618" t="s">
        <v>1276</v>
      </c>
      <c r="D92" s="1620">
        <v>0.85</v>
      </c>
      <c r="E92" s="510" t="s">
        <v>145</v>
      </c>
      <c r="F92" s="510"/>
      <c r="G92" s="510">
        <f t="shared" ref="G92:AL92" si="75">IF(G$3=0,$B$92,0)</f>
        <v>0</v>
      </c>
      <c r="H92" s="510">
        <f t="shared" si="75"/>
        <v>0</v>
      </c>
      <c r="I92" s="510">
        <f t="shared" si="75"/>
        <v>0</v>
      </c>
      <c r="J92" s="510">
        <f t="shared" si="75"/>
        <v>0</v>
      </c>
      <c r="K92" s="510">
        <f t="shared" si="75"/>
        <v>0</v>
      </c>
      <c r="L92" s="510">
        <f t="shared" si="75"/>
        <v>0</v>
      </c>
      <c r="M92" s="510">
        <f t="shared" si="75"/>
        <v>0</v>
      </c>
      <c r="N92" s="510">
        <f t="shared" si="75"/>
        <v>0</v>
      </c>
      <c r="O92" s="510">
        <f t="shared" si="75"/>
        <v>0</v>
      </c>
      <c r="P92" s="510">
        <f t="shared" si="75"/>
        <v>0</v>
      </c>
      <c r="Q92" s="510">
        <f t="shared" si="75"/>
        <v>0</v>
      </c>
      <c r="R92" s="510">
        <f t="shared" si="75"/>
        <v>0</v>
      </c>
      <c r="S92" s="510">
        <f t="shared" si="75"/>
        <v>0</v>
      </c>
      <c r="T92" s="510">
        <f t="shared" si="75"/>
        <v>0</v>
      </c>
      <c r="U92" s="510">
        <f t="shared" si="75"/>
        <v>0</v>
      </c>
      <c r="V92" s="510">
        <f t="shared" si="75"/>
        <v>0</v>
      </c>
      <c r="W92" s="510">
        <f t="shared" si="75"/>
        <v>0</v>
      </c>
      <c r="X92" s="510">
        <f t="shared" si="75"/>
        <v>0</v>
      </c>
      <c r="Y92" s="510">
        <f t="shared" si="75"/>
        <v>0</v>
      </c>
      <c r="Z92" s="510">
        <f t="shared" si="75"/>
        <v>0</v>
      </c>
      <c r="AA92" s="510">
        <f t="shared" si="75"/>
        <v>0</v>
      </c>
      <c r="AB92" s="510">
        <f t="shared" si="75"/>
        <v>0</v>
      </c>
      <c r="AC92" s="510">
        <f t="shared" si="75"/>
        <v>0</v>
      </c>
      <c r="AD92" s="510">
        <f t="shared" si="75"/>
        <v>0</v>
      </c>
      <c r="AE92" s="510">
        <f t="shared" si="75"/>
        <v>0</v>
      </c>
      <c r="AF92" s="510">
        <f t="shared" si="75"/>
        <v>0</v>
      </c>
      <c r="AG92" s="510">
        <f t="shared" si="75"/>
        <v>0</v>
      </c>
      <c r="AH92" s="510">
        <f t="shared" si="75"/>
        <v>0</v>
      </c>
      <c r="AI92" s="510">
        <f t="shared" si="75"/>
        <v>0</v>
      </c>
      <c r="AJ92" s="510">
        <f t="shared" si="75"/>
        <v>0</v>
      </c>
      <c r="AK92" s="510">
        <f t="shared" si="75"/>
        <v>0</v>
      </c>
      <c r="AL92" s="510">
        <f t="shared" si="75"/>
        <v>0</v>
      </c>
      <c r="AM92" s="510">
        <f t="shared" ref="AM92:BR92" si="76">IF(AM$3=0,$B$92,0)</f>
        <v>0</v>
      </c>
      <c r="AN92" s="510">
        <f t="shared" si="76"/>
        <v>0</v>
      </c>
      <c r="AO92" s="510">
        <f t="shared" si="76"/>
        <v>0</v>
      </c>
      <c r="AP92" s="510">
        <f t="shared" si="76"/>
        <v>0</v>
      </c>
      <c r="AQ92" s="510">
        <f t="shared" si="76"/>
        <v>0</v>
      </c>
      <c r="AR92" s="510">
        <f t="shared" si="76"/>
        <v>0</v>
      </c>
      <c r="AS92" s="510">
        <f t="shared" si="76"/>
        <v>0</v>
      </c>
      <c r="AT92" s="510">
        <f t="shared" si="76"/>
        <v>0</v>
      </c>
      <c r="AU92" s="510">
        <f t="shared" si="76"/>
        <v>0</v>
      </c>
      <c r="AV92" s="510">
        <f t="shared" si="76"/>
        <v>0</v>
      </c>
      <c r="AW92" s="510">
        <f t="shared" si="76"/>
        <v>0</v>
      </c>
      <c r="AX92" s="510">
        <f t="shared" si="76"/>
        <v>0</v>
      </c>
      <c r="AY92" s="510">
        <f t="shared" si="76"/>
        <v>0</v>
      </c>
      <c r="AZ92" s="510">
        <f t="shared" si="76"/>
        <v>0</v>
      </c>
      <c r="BA92" s="510">
        <f t="shared" si="76"/>
        <v>0</v>
      </c>
      <c r="BB92" s="510">
        <f t="shared" si="76"/>
        <v>0</v>
      </c>
      <c r="BC92" s="510">
        <f t="shared" si="76"/>
        <v>0</v>
      </c>
      <c r="BD92" s="510">
        <f t="shared" si="76"/>
        <v>0</v>
      </c>
      <c r="BE92" s="510">
        <f t="shared" si="76"/>
        <v>0</v>
      </c>
      <c r="BF92" s="510">
        <f t="shared" si="76"/>
        <v>0</v>
      </c>
      <c r="BG92" s="510">
        <f t="shared" si="76"/>
        <v>0</v>
      </c>
      <c r="BH92" s="510">
        <f t="shared" si="76"/>
        <v>0</v>
      </c>
      <c r="BI92" s="510">
        <f t="shared" si="76"/>
        <v>0</v>
      </c>
      <c r="BJ92" s="510">
        <f t="shared" si="76"/>
        <v>0</v>
      </c>
      <c r="BK92" s="510">
        <f t="shared" si="76"/>
        <v>0</v>
      </c>
      <c r="BL92" s="510">
        <f t="shared" si="76"/>
        <v>0</v>
      </c>
      <c r="BM92" s="510">
        <f t="shared" si="76"/>
        <v>0</v>
      </c>
      <c r="BN92" s="510">
        <f t="shared" si="76"/>
        <v>0</v>
      </c>
      <c r="BO92" s="510">
        <f t="shared" si="76"/>
        <v>0</v>
      </c>
      <c r="BP92" s="510">
        <f t="shared" si="76"/>
        <v>0</v>
      </c>
      <c r="BQ92" s="510">
        <f t="shared" si="76"/>
        <v>0</v>
      </c>
      <c r="BR92" s="510">
        <f t="shared" si="76"/>
        <v>0</v>
      </c>
      <c r="BS92" s="510">
        <f t="shared" ref="BS92:CX92" si="77">IF(BS$3=0,$B$92,0)</f>
        <v>0</v>
      </c>
      <c r="BT92" s="510">
        <f t="shared" si="77"/>
        <v>0</v>
      </c>
      <c r="BU92" s="510">
        <f t="shared" si="77"/>
        <v>0</v>
      </c>
      <c r="BV92" s="510">
        <f t="shared" si="77"/>
        <v>0</v>
      </c>
      <c r="BW92" s="510">
        <f t="shared" si="77"/>
        <v>0</v>
      </c>
      <c r="BX92" s="510">
        <f t="shared" si="77"/>
        <v>0</v>
      </c>
      <c r="BY92" s="510">
        <f t="shared" si="77"/>
        <v>0</v>
      </c>
      <c r="BZ92" s="510">
        <f t="shared" si="77"/>
        <v>0</v>
      </c>
      <c r="CA92" s="510">
        <f t="shared" si="77"/>
        <v>0</v>
      </c>
      <c r="CB92" s="510">
        <f t="shared" si="77"/>
        <v>0</v>
      </c>
      <c r="CC92" s="510">
        <f t="shared" si="77"/>
        <v>0</v>
      </c>
      <c r="CD92" s="510">
        <f t="shared" si="77"/>
        <v>0</v>
      </c>
      <c r="CE92" s="510">
        <f t="shared" si="77"/>
        <v>0</v>
      </c>
      <c r="CF92" s="510">
        <f t="shared" si="77"/>
        <v>0</v>
      </c>
      <c r="CG92" s="510">
        <f t="shared" si="77"/>
        <v>0</v>
      </c>
      <c r="CH92" s="510">
        <f t="shared" si="77"/>
        <v>0</v>
      </c>
      <c r="CI92" s="510">
        <f t="shared" si="77"/>
        <v>0</v>
      </c>
      <c r="CJ92" s="510">
        <f t="shared" si="77"/>
        <v>0</v>
      </c>
      <c r="CK92" s="510">
        <f t="shared" si="77"/>
        <v>0</v>
      </c>
      <c r="CL92" s="510">
        <f t="shared" si="77"/>
        <v>0</v>
      </c>
      <c r="CM92" s="510">
        <f t="shared" si="77"/>
        <v>0</v>
      </c>
      <c r="CN92" s="510">
        <f t="shared" si="77"/>
        <v>0</v>
      </c>
      <c r="CO92" s="510">
        <f t="shared" si="77"/>
        <v>0</v>
      </c>
      <c r="CP92" s="510">
        <f t="shared" si="77"/>
        <v>0</v>
      </c>
      <c r="CQ92" s="510">
        <f t="shared" si="77"/>
        <v>0</v>
      </c>
      <c r="CR92" s="510">
        <f t="shared" si="77"/>
        <v>0</v>
      </c>
      <c r="CS92" s="510">
        <f t="shared" si="77"/>
        <v>0</v>
      </c>
      <c r="CT92" s="510">
        <f t="shared" si="77"/>
        <v>0</v>
      </c>
      <c r="CU92" s="510">
        <f t="shared" si="77"/>
        <v>0</v>
      </c>
      <c r="CV92" s="510">
        <f t="shared" si="77"/>
        <v>0</v>
      </c>
      <c r="CW92" s="510">
        <f t="shared" si="77"/>
        <v>0</v>
      </c>
      <c r="CX92" s="510">
        <f t="shared" si="77"/>
        <v>0</v>
      </c>
      <c r="CY92" s="510">
        <f t="shared" ref="CY92:DW92" si="78">IF(CY$3=0,$B$92,0)</f>
        <v>0</v>
      </c>
      <c r="CZ92" s="510">
        <f t="shared" si="78"/>
        <v>0</v>
      </c>
      <c r="DA92" s="510">
        <f t="shared" si="78"/>
        <v>0</v>
      </c>
      <c r="DB92" s="510">
        <f t="shared" si="78"/>
        <v>0</v>
      </c>
      <c r="DC92" s="510">
        <f t="shared" si="78"/>
        <v>0</v>
      </c>
      <c r="DD92" s="510">
        <f t="shared" si="78"/>
        <v>0</v>
      </c>
      <c r="DE92" s="510">
        <f t="shared" si="78"/>
        <v>0</v>
      </c>
      <c r="DF92" s="510">
        <f t="shared" si="78"/>
        <v>0</v>
      </c>
      <c r="DG92" s="510">
        <f t="shared" si="78"/>
        <v>0</v>
      </c>
      <c r="DH92" s="510">
        <f t="shared" si="78"/>
        <v>0</v>
      </c>
      <c r="DI92" s="510">
        <f t="shared" si="78"/>
        <v>0</v>
      </c>
      <c r="DJ92" s="510">
        <f t="shared" si="78"/>
        <v>0</v>
      </c>
      <c r="DK92" s="510">
        <f t="shared" si="78"/>
        <v>0</v>
      </c>
      <c r="DL92" s="510">
        <f t="shared" si="78"/>
        <v>0</v>
      </c>
      <c r="DM92" s="510">
        <f t="shared" si="78"/>
        <v>0</v>
      </c>
      <c r="DN92" s="510">
        <f t="shared" si="78"/>
        <v>0</v>
      </c>
      <c r="DO92" s="510">
        <f t="shared" si="78"/>
        <v>0</v>
      </c>
      <c r="DP92" s="510">
        <f t="shared" si="78"/>
        <v>0</v>
      </c>
      <c r="DQ92" s="510">
        <f t="shared" si="78"/>
        <v>0</v>
      </c>
      <c r="DR92" s="510">
        <f t="shared" si="78"/>
        <v>0</v>
      </c>
      <c r="DS92" s="510">
        <f t="shared" si="78"/>
        <v>0</v>
      </c>
      <c r="DT92" s="510">
        <f t="shared" si="78"/>
        <v>0</v>
      </c>
      <c r="DU92" s="510">
        <f t="shared" si="78"/>
        <v>0</v>
      </c>
      <c r="DV92" s="510">
        <f t="shared" si="78"/>
        <v>0</v>
      </c>
      <c r="DW92" s="510">
        <f t="shared" si="78"/>
        <v>0</v>
      </c>
    </row>
    <row r="93" spans="1:127">
      <c r="A93" s="304" t="s">
        <v>1277</v>
      </c>
      <c r="B93" s="866">
        <f>-D93*B101</f>
        <v>-272.81750000000005</v>
      </c>
      <c r="C93" s="1618" t="s">
        <v>1274</v>
      </c>
      <c r="D93" s="1620">
        <v>2.5000000000000001E-2</v>
      </c>
      <c r="E93" s="510" t="s">
        <v>145</v>
      </c>
      <c r="F93" s="510"/>
      <c r="G93" s="510">
        <f t="shared" ref="G93:AL93" si="79">IF(G$3=0,$B$93,0)</f>
        <v>-272.81750000000005</v>
      </c>
      <c r="H93" s="510">
        <f t="shared" si="79"/>
        <v>0</v>
      </c>
      <c r="I93" s="510">
        <f t="shared" si="79"/>
        <v>0</v>
      </c>
      <c r="J93" s="510">
        <f t="shared" si="79"/>
        <v>0</v>
      </c>
      <c r="K93" s="510">
        <f t="shared" si="79"/>
        <v>0</v>
      </c>
      <c r="L93" s="510">
        <f t="shared" si="79"/>
        <v>0</v>
      </c>
      <c r="M93" s="510">
        <f t="shared" si="79"/>
        <v>0</v>
      </c>
      <c r="N93" s="510">
        <f t="shared" si="79"/>
        <v>0</v>
      </c>
      <c r="O93" s="510">
        <f t="shared" si="79"/>
        <v>0</v>
      </c>
      <c r="P93" s="510">
        <f t="shared" si="79"/>
        <v>0</v>
      </c>
      <c r="Q93" s="510">
        <f t="shared" si="79"/>
        <v>0</v>
      </c>
      <c r="R93" s="510">
        <f t="shared" si="79"/>
        <v>0</v>
      </c>
      <c r="S93" s="510">
        <f t="shared" si="79"/>
        <v>0</v>
      </c>
      <c r="T93" s="510">
        <f t="shared" si="79"/>
        <v>0</v>
      </c>
      <c r="U93" s="510">
        <f t="shared" si="79"/>
        <v>0</v>
      </c>
      <c r="V93" s="510">
        <f t="shared" si="79"/>
        <v>0</v>
      </c>
      <c r="W93" s="510">
        <f t="shared" si="79"/>
        <v>0</v>
      </c>
      <c r="X93" s="510">
        <f t="shared" si="79"/>
        <v>0</v>
      </c>
      <c r="Y93" s="510">
        <f t="shared" si="79"/>
        <v>0</v>
      </c>
      <c r="Z93" s="510">
        <f t="shared" si="79"/>
        <v>0</v>
      </c>
      <c r="AA93" s="510">
        <f t="shared" si="79"/>
        <v>0</v>
      </c>
      <c r="AB93" s="510">
        <f t="shared" si="79"/>
        <v>0</v>
      </c>
      <c r="AC93" s="510">
        <f t="shared" si="79"/>
        <v>0</v>
      </c>
      <c r="AD93" s="510">
        <f t="shared" si="79"/>
        <v>0</v>
      </c>
      <c r="AE93" s="510">
        <f t="shared" si="79"/>
        <v>0</v>
      </c>
      <c r="AF93" s="510">
        <f t="shared" si="79"/>
        <v>0</v>
      </c>
      <c r="AG93" s="510">
        <f t="shared" si="79"/>
        <v>0</v>
      </c>
      <c r="AH93" s="510">
        <f t="shared" si="79"/>
        <v>0</v>
      </c>
      <c r="AI93" s="510">
        <f t="shared" si="79"/>
        <v>0</v>
      </c>
      <c r="AJ93" s="510">
        <f t="shared" si="79"/>
        <v>0</v>
      </c>
      <c r="AK93" s="510">
        <f t="shared" si="79"/>
        <v>0</v>
      </c>
      <c r="AL93" s="510">
        <f t="shared" si="79"/>
        <v>0</v>
      </c>
      <c r="AM93" s="510">
        <f t="shared" ref="AM93:BR93" si="80">IF(AM$3=0,$B$93,0)</f>
        <v>0</v>
      </c>
      <c r="AN93" s="510">
        <f t="shared" si="80"/>
        <v>0</v>
      </c>
      <c r="AO93" s="510">
        <f t="shared" si="80"/>
        <v>0</v>
      </c>
      <c r="AP93" s="510">
        <f t="shared" si="80"/>
        <v>0</v>
      </c>
      <c r="AQ93" s="510">
        <f t="shared" si="80"/>
        <v>0</v>
      </c>
      <c r="AR93" s="510">
        <f t="shared" si="80"/>
        <v>0</v>
      </c>
      <c r="AS93" s="510">
        <f t="shared" si="80"/>
        <v>0</v>
      </c>
      <c r="AT93" s="510">
        <f t="shared" si="80"/>
        <v>0</v>
      </c>
      <c r="AU93" s="510">
        <f t="shared" si="80"/>
        <v>0</v>
      </c>
      <c r="AV93" s="510">
        <f t="shared" si="80"/>
        <v>0</v>
      </c>
      <c r="AW93" s="510">
        <f t="shared" si="80"/>
        <v>0</v>
      </c>
      <c r="AX93" s="510">
        <f t="shared" si="80"/>
        <v>0</v>
      </c>
      <c r="AY93" s="510">
        <f t="shared" si="80"/>
        <v>0</v>
      </c>
      <c r="AZ93" s="510">
        <f t="shared" si="80"/>
        <v>0</v>
      </c>
      <c r="BA93" s="510">
        <f t="shared" si="80"/>
        <v>0</v>
      </c>
      <c r="BB93" s="510">
        <f t="shared" si="80"/>
        <v>0</v>
      </c>
      <c r="BC93" s="510">
        <f t="shared" si="80"/>
        <v>0</v>
      </c>
      <c r="BD93" s="510">
        <f t="shared" si="80"/>
        <v>0</v>
      </c>
      <c r="BE93" s="510">
        <f t="shared" si="80"/>
        <v>0</v>
      </c>
      <c r="BF93" s="510">
        <f t="shared" si="80"/>
        <v>0</v>
      </c>
      <c r="BG93" s="510">
        <f t="shared" si="80"/>
        <v>0</v>
      </c>
      <c r="BH93" s="510">
        <f t="shared" si="80"/>
        <v>0</v>
      </c>
      <c r="BI93" s="510">
        <f t="shared" si="80"/>
        <v>0</v>
      </c>
      <c r="BJ93" s="510">
        <f t="shared" si="80"/>
        <v>0</v>
      </c>
      <c r="BK93" s="510">
        <f t="shared" si="80"/>
        <v>0</v>
      </c>
      <c r="BL93" s="510">
        <f t="shared" si="80"/>
        <v>0</v>
      </c>
      <c r="BM93" s="510">
        <f t="shared" si="80"/>
        <v>0</v>
      </c>
      <c r="BN93" s="510">
        <f t="shared" si="80"/>
        <v>0</v>
      </c>
      <c r="BO93" s="510">
        <f t="shared" si="80"/>
        <v>0</v>
      </c>
      <c r="BP93" s="510">
        <f t="shared" si="80"/>
        <v>0</v>
      </c>
      <c r="BQ93" s="510">
        <f t="shared" si="80"/>
        <v>0</v>
      </c>
      <c r="BR93" s="510">
        <f t="shared" si="80"/>
        <v>0</v>
      </c>
      <c r="BS93" s="510">
        <f t="shared" ref="BS93:CX93" si="81">IF(BS$3=0,$B$93,0)</f>
        <v>0</v>
      </c>
      <c r="BT93" s="510">
        <f t="shared" si="81"/>
        <v>0</v>
      </c>
      <c r="BU93" s="510">
        <f t="shared" si="81"/>
        <v>0</v>
      </c>
      <c r="BV93" s="510">
        <f t="shared" si="81"/>
        <v>0</v>
      </c>
      <c r="BW93" s="510">
        <f t="shared" si="81"/>
        <v>0</v>
      </c>
      <c r="BX93" s="510">
        <f t="shared" si="81"/>
        <v>0</v>
      </c>
      <c r="BY93" s="510">
        <f t="shared" si="81"/>
        <v>0</v>
      </c>
      <c r="BZ93" s="510">
        <f t="shared" si="81"/>
        <v>0</v>
      </c>
      <c r="CA93" s="510">
        <f t="shared" si="81"/>
        <v>0</v>
      </c>
      <c r="CB93" s="510">
        <f t="shared" si="81"/>
        <v>0</v>
      </c>
      <c r="CC93" s="510">
        <f t="shared" si="81"/>
        <v>0</v>
      </c>
      <c r="CD93" s="510">
        <f t="shared" si="81"/>
        <v>0</v>
      </c>
      <c r="CE93" s="510">
        <f t="shared" si="81"/>
        <v>0</v>
      </c>
      <c r="CF93" s="510">
        <f t="shared" si="81"/>
        <v>0</v>
      </c>
      <c r="CG93" s="510">
        <f t="shared" si="81"/>
        <v>0</v>
      </c>
      <c r="CH93" s="510">
        <f t="shared" si="81"/>
        <v>0</v>
      </c>
      <c r="CI93" s="510">
        <f t="shared" si="81"/>
        <v>0</v>
      </c>
      <c r="CJ93" s="510">
        <f t="shared" si="81"/>
        <v>0</v>
      </c>
      <c r="CK93" s="510">
        <f t="shared" si="81"/>
        <v>0</v>
      </c>
      <c r="CL93" s="510">
        <f t="shared" si="81"/>
        <v>0</v>
      </c>
      <c r="CM93" s="510">
        <f t="shared" si="81"/>
        <v>0</v>
      </c>
      <c r="CN93" s="510">
        <f t="shared" si="81"/>
        <v>0</v>
      </c>
      <c r="CO93" s="510">
        <f t="shared" si="81"/>
        <v>0</v>
      </c>
      <c r="CP93" s="510">
        <f t="shared" si="81"/>
        <v>0</v>
      </c>
      <c r="CQ93" s="510">
        <f t="shared" si="81"/>
        <v>0</v>
      </c>
      <c r="CR93" s="510">
        <f t="shared" si="81"/>
        <v>0</v>
      </c>
      <c r="CS93" s="510">
        <f t="shared" si="81"/>
        <v>0</v>
      </c>
      <c r="CT93" s="510">
        <f t="shared" si="81"/>
        <v>0</v>
      </c>
      <c r="CU93" s="510">
        <f t="shared" si="81"/>
        <v>0</v>
      </c>
      <c r="CV93" s="510">
        <f t="shared" si="81"/>
        <v>0</v>
      </c>
      <c r="CW93" s="510">
        <f t="shared" si="81"/>
        <v>0</v>
      </c>
      <c r="CX93" s="510">
        <f t="shared" si="81"/>
        <v>0</v>
      </c>
      <c r="CY93" s="510">
        <f t="shared" ref="CY93:DW93" si="82">IF(CY$3=0,$B$93,0)</f>
        <v>0</v>
      </c>
      <c r="CZ93" s="510">
        <f t="shared" si="82"/>
        <v>0</v>
      </c>
      <c r="DA93" s="510">
        <f t="shared" si="82"/>
        <v>0</v>
      </c>
      <c r="DB93" s="510">
        <f t="shared" si="82"/>
        <v>0</v>
      </c>
      <c r="DC93" s="510">
        <f t="shared" si="82"/>
        <v>0</v>
      </c>
      <c r="DD93" s="510">
        <f t="shared" si="82"/>
        <v>0</v>
      </c>
      <c r="DE93" s="510">
        <f t="shared" si="82"/>
        <v>0</v>
      </c>
      <c r="DF93" s="510">
        <f t="shared" si="82"/>
        <v>0</v>
      </c>
      <c r="DG93" s="510">
        <f t="shared" si="82"/>
        <v>0</v>
      </c>
      <c r="DH93" s="510">
        <f t="shared" si="82"/>
        <v>0</v>
      </c>
      <c r="DI93" s="510">
        <f t="shared" si="82"/>
        <v>0</v>
      </c>
      <c r="DJ93" s="510">
        <f t="shared" si="82"/>
        <v>0</v>
      </c>
      <c r="DK93" s="510">
        <f t="shared" si="82"/>
        <v>0</v>
      </c>
      <c r="DL93" s="510">
        <f t="shared" si="82"/>
        <v>0</v>
      </c>
      <c r="DM93" s="510">
        <f t="shared" si="82"/>
        <v>0</v>
      </c>
      <c r="DN93" s="510">
        <f t="shared" si="82"/>
        <v>0</v>
      </c>
      <c r="DO93" s="510">
        <f t="shared" si="82"/>
        <v>0</v>
      </c>
      <c r="DP93" s="510">
        <f t="shared" si="82"/>
        <v>0</v>
      </c>
      <c r="DQ93" s="510">
        <f t="shared" si="82"/>
        <v>0</v>
      </c>
      <c r="DR93" s="510">
        <f t="shared" si="82"/>
        <v>0</v>
      </c>
      <c r="DS93" s="510">
        <f t="shared" si="82"/>
        <v>0</v>
      </c>
      <c r="DT93" s="510">
        <f t="shared" si="82"/>
        <v>0</v>
      </c>
      <c r="DU93" s="510">
        <f t="shared" si="82"/>
        <v>0</v>
      </c>
      <c r="DV93" s="510">
        <f t="shared" si="82"/>
        <v>0</v>
      </c>
      <c r="DW93" s="510">
        <f t="shared" si="82"/>
        <v>0</v>
      </c>
    </row>
    <row r="94" spans="1:127">
      <c r="A94" s="304" t="s">
        <v>1278</v>
      </c>
      <c r="B94" s="866">
        <f t="shared" si="74"/>
        <v>0</v>
      </c>
      <c r="C94" s="1618" t="s">
        <v>1274</v>
      </c>
      <c r="D94" s="1620">
        <v>0</v>
      </c>
      <c r="E94" s="510" t="s">
        <v>145</v>
      </c>
      <c r="F94" s="510"/>
      <c r="G94" s="510">
        <f t="shared" ref="G94:AL94" si="83">IF(G$3=0,$B$94,0)</f>
        <v>0</v>
      </c>
      <c r="H94" s="510">
        <f t="shared" si="83"/>
        <v>0</v>
      </c>
      <c r="I94" s="510">
        <f t="shared" si="83"/>
        <v>0</v>
      </c>
      <c r="J94" s="510">
        <f t="shared" si="83"/>
        <v>0</v>
      </c>
      <c r="K94" s="510">
        <f t="shared" si="83"/>
        <v>0</v>
      </c>
      <c r="L94" s="510">
        <f t="shared" si="83"/>
        <v>0</v>
      </c>
      <c r="M94" s="510">
        <f t="shared" si="83"/>
        <v>0</v>
      </c>
      <c r="N94" s="510">
        <f t="shared" si="83"/>
        <v>0</v>
      </c>
      <c r="O94" s="510">
        <f t="shared" si="83"/>
        <v>0</v>
      </c>
      <c r="P94" s="510">
        <f t="shared" si="83"/>
        <v>0</v>
      </c>
      <c r="Q94" s="510">
        <f t="shared" si="83"/>
        <v>0</v>
      </c>
      <c r="R94" s="510">
        <f t="shared" si="83"/>
        <v>0</v>
      </c>
      <c r="S94" s="510">
        <f t="shared" si="83"/>
        <v>0</v>
      </c>
      <c r="T94" s="510">
        <f t="shared" si="83"/>
        <v>0</v>
      </c>
      <c r="U94" s="510">
        <f t="shared" si="83"/>
        <v>0</v>
      </c>
      <c r="V94" s="510">
        <f t="shared" si="83"/>
        <v>0</v>
      </c>
      <c r="W94" s="510">
        <f t="shared" si="83"/>
        <v>0</v>
      </c>
      <c r="X94" s="510">
        <f t="shared" si="83"/>
        <v>0</v>
      </c>
      <c r="Y94" s="510">
        <f t="shared" si="83"/>
        <v>0</v>
      </c>
      <c r="Z94" s="510">
        <f t="shared" si="83"/>
        <v>0</v>
      </c>
      <c r="AA94" s="510">
        <f t="shared" si="83"/>
        <v>0</v>
      </c>
      <c r="AB94" s="510">
        <f t="shared" si="83"/>
        <v>0</v>
      </c>
      <c r="AC94" s="510">
        <f t="shared" si="83"/>
        <v>0</v>
      </c>
      <c r="AD94" s="510">
        <f t="shared" si="83"/>
        <v>0</v>
      </c>
      <c r="AE94" s="510">
        <f t="shared" si="83"/>
        <v>0</v>
      </c>
      <c r="AF94" s="510">
        <f t="shared" si="83"/>
        <v>0</v>
      </c>
      <c r="AG94" s="510">
        <f t="shared" si="83"/>
        <v>0</v>
      </c>
      <c r="AH94" s="510">
        <f t="shared" si="83"/>
        <v>0</v>
      </c>
      <c r="AI94" s="510">
        <f t="shared" si="83"/>
        <v>0</v>
      </c>
      <c r="AJ94" s="510">
        <f t="shared" si="83"/>
        <v>0</v>
      </c>
      <c r="AK94" s="510">
        <f t="shared" si="83"/>
        <v>0</v>
      </c>
      <c r="AL94" s="510">
        <f t="shared" si="83"/>
        <v>0</v>
      </c>
      <c r="AM94" s="510">
        <f t="shared" ref="AM94:BR94" si="84">IF(AM$3=0,$B$94,0)</f>
        <v>0</v>
      </c>
      <c r="AN94" s="510">
        <f t="shared" si="84"/>
        <v>0</v>
      </c>
      <c r="AO94" s="510">
        <f t="shared" si="84"/>
        <v>0</v>
      </c>
      <c r="AP94" s="510">
        <f t="shared" si="84"/>
        <v>0</v>
      </c>
      <c r="AQ94" s="510">
        <f t="shared" si="84"/>
        <v>0</v>
      </c>
      <c r="AR94" s="510">
        <f t="shared" si="84"/>
        <v>0</v>
      </c>
      <c r="AS94" s="510">
        <f t="shared" si="84"/>
        <v>0</v>
      </c>
      <c r="AT94" s="510">
        <f t="shared" si="84"/>
        <v>0</v>
      </c>
      <c r="AU94" s="510">
        <f t="shared" si="84"/>
        <v>0</v>
      </c>
      <c r="AV94" s="510">
        <f t="shared" si="84"/>
        <v>0</v>
      </c>
      <c r="AW94" s="510">
        <f t="shared" si="84"/>
        <v>0</v>
      </c>
      <c r="AX94" s="510">
        <f t="shared" si="84"/>
        <v>0</v>
      </c>
      <c r="AY94" s="510">
        <f t="shared" si="84"/>
        <v>0</v>
      </c>
      <c r="AZ94" s="510">
        <f t="shared" si="84"/>
        <v>0</v>
      </c>
      <c r="BA94" s="510">
        <f t="shared" si="84"/>
        <v>0</v>
      </c>
      <c r="BB94" s="510">
        <f t="shared" si="84"/>
        <v>0</v>
      </c>
      <c r="BC94" s="510">
        <f t="shared" si="84"/>
        <v>0</v>
      </c>
      <c r="BD94" s="510">
        <f t="shared" si="84"/>
        <v>0</v>
      </c>
      <c r="BE94" s="510">
        <f t="shared" si="84"/>
        <v>0</v>
      </c>
      <c r="BF94" s="510">
        <f t="shared" si="84"/>
        <v>0</v>
      </c>
      <c r="BG94" s="510">
        <f t="shared" si="84"/>
        <v>0</v>
      </c>
      <c r="BH94" s="510">
        <f t="shared" si="84"/>
        <v>0</v>
      </c>
      <c r="BI94" s="510">
        <f t="shared" si="84"/>
        <v>0</v>
      </c>
      <c r="BJ94" s="510">
        <f t="shared" si="84"/>
        <v>0</v>
      </c>
      <c r="BK94" s="510">
        <f t="shared" si="84"/>
        <v>0</v>
      </c>
      <c r="BL94" s="510">
        <f t="shared" si="84"/>
        <v>0</v>
      </c>
      <c r="BM94" s="510">
        <f t="shared" si="84"/>
        <v>0</v>
      </c>
      <c r="BN94" s="510">
        <f t="shared" si="84"/>
        <v>0</v>
      </c>
      <c r="BO94" s="510">
        <f t="shared" si="84"/>
        <v>0</v>
      </c>
      <c r="BP94" s="510">
        <f t="shared" si="84"/>
        <v>0</v>
      </c>
      <c r="BQ94" s="510">
        <f t="shared" si="84"/>
        <v>0</v>
      </c>
      <c r="BR94" s="510">
        <f t="shared" si="84"/>
        <v>0</v>
      </c>
      <c r="BS94" s="510">
        <f t="shared" ref="BS94:CX94" si="85">IF(BS$3=0,$B$94,0)</f>
        <v>0</v>
      </c>
      <c r="BT94" s="510">
        <f t="shared" si="85"/>
        <v>0</v>
      </c>
      <c r="BU94" s="510">
        <f t="shared" si="85"/>
        <v>0</v>
      </c>
      <c r="BV94" s="510">
        <f t="shared" si="85"/>
        <v>0</v>
      </c>
      <c r="BW94" s="510">
        <f t="shared" si="85"/>
        <v>0</v>
      </c>
      <c r="BX94" s="510">
        <f t="shared" si="85"/>
        <v>0</v>
      </c>
      <c r="BY94" s="510">
        <f t="shared" si="85"/>
        <v>0</v>
      </c>
      <c r="BZ94" s="510">
        <f t="shared" si="85"/>
        <v>0</v>
      </c>
      <c r="CA94" s="510">
        <f t="shared" si="85"/>
        <v>0</v>
      </c>
      <c r="CB94" s="510">
        <f t="shared" si="85"/>
        <v>0</v>
      </c>
      <c r="CC94" s="510">
        <f t="shared" si="85"/>
        <v>0</v>
      </c>
      <c r="CD94" s="510">
        <f t="shared" si="85"/>
        <v>0</v>
      </c>
      <c r="CE94" s="510">
        <f t="shared" si="85"/>
        <v>0</v>
      </c>
      <c r="CF94" s="510">
        <f t="shared" si="85"/>
        <v>0</v>
      </c>
      <c r="CG94" s="510">
        <f t="shared" si="85"/>
        <v>0</v>
      </c>
      <c r="CH94" s="510">
        <f t="shared" si="85"/>
        <v>0</v>
      </c>
      <c r="CI94" s="510">
        <f t="shared" si="85"/>
        <v>0</v>
      </c>
      <c r="CJ94" s="510">
        <f t="shared" si="85"/>
        <v>0</v>
      </c>
      <c r="CK94" s="510">
        <f t="shared" si="85"/>
        <v>0</v>
      </c>
      <c r="CL94" s="510">
        <f t="shared" si="85"/>
        <v>0</v>
      </c>
      <c r="CM94" s="510">
        <f t="shared" si="85"/>
        <v>0</v>
      </c>
      <c r="CN94" s="510">
        <f t="shared" si="85"/>
        <v>0</v>
      </c>
      <c r="CO94" s="510">
        <f t="shared" si="85"/>
        <v>0</v>
      </c>
      <c r="CP94" s="510">
        <f t="shared" si="85"/>
        <v>0</v>
      </c>
      <c r="CQ94" s="510">
        <f t="shared" si="85"/>
        <v>0</v>
      </c>
      <c r="CR94" s="510">
        <f t="shared" si="85"/>
        <v>0</v>
      </c>
      <c r="CS94" s="510">
        <f t="shared" si="85"/>
        <v>0</v>
      </c>
      <c r="CT94" s="510">
        <f t="shared" si="85"/>
        <v>0</v>
      </c>
      <c r="CU94" s="510">
        <f t="shared" si="85"/>
        <v>0</v>
      </c>
      <c r="CV94" s="510">
        <f t="shared" si="85"/>
        <v>0</v>
      </c>
      <c r="CW94" s="510">
        <f t="shared" si="85"/>
        <v>0</v>
      </c>
      <c r="CX94" s="510">
        <f t="shared" si="85"/>
        <v>0</v>
      </c>
      <c r="CY94" s="510">
        <f t="shared" ref="CY94:DW94" si="86">IF(CY$3=0,$B$94,0)</f>
        <v>0</v>
      </c>
      <c r="CZ94" s="510">
        <f t="shared" si="86"/>
        <v>0</v>
      </c>
      <c r="DA94" s="510">
        <f t="shared" si="86"/>
        <v>0</v>
      </c>
      <c r="DB94" s="510">
        <f t="shared" si="86"/>
        <v>0</v>
      </c>
      <c r="DC94" s="510">
        <f t="shared" si="86"/>
        <v>0</v>
      </c>
      <c r="DD94" s="510">
        <f t="shared" si="86"/>
        <v>0</v>
      </c>
      <c r="DE94" s="510">
        <f t="shared" si="86"/>
        <v>0</v>
      </c>
      <c r="DF94" s="510">
        <f t="shared" si="86"/>
        <v>0</v>
      </c>
      <c r="DG94" s="510">
        <f t="shared" si="86"/>
        <v>0</v>
      </c>
      <c r="DH94" s="510">
        <f t="shared" si="86"/>
        <v>0</v>
      </c>
      <c r="DI94" s="510">
        <f t="shared" si="86"/>
        <v>0</v>
      </c>
      <c r="DJ94" s="510">
        <f t="shared" si="86"/>
        <v>0</v>
      </c>
      <c r="DK94" s="510">
        <f t="shared" si="86"/>
        <v>0</v>
      </c>
      <c r="DL94" s="510">
        <f t="shared" si="86"/>
        <v>0</v>
      </c>
      <c r="DM94" s="510">
        <f t="shared" si="86"/>
        <v>0</v>
      </c>
      <c r="DN94" s="510">
        <f t="shared" si="86"/>
        <v>0</v>
      </c>
      <c r="DO94" s="510">
        <f t="shared" si="86"/>
        <v>0</v>
      </c>
      <c r="DP94" s="510">
        <f t="shared" si="86"/>
        <v>0</v>
      </c>
      <c r="DQ94" s="510">
        <f t="shared" si="86"/>
        <v>0</v>
      </c>
      <c r="DR94" s="510">
        <f t="shared" si="86"/>
        <v>0</v>
      </c>
      <c r="DS94" s="510">
        <f t="shared" si="86"/>
        <v>0</v>
      </c>
      <c r="DT94" s="510">
        <f t="shared" si="86"/>
        <v>0</v>
      </c>
      <c r="DU94" s="510">
        <f t="shared" si="86"/>
        <v>0</v>
      </c>
      <c r="DV94" s="510">
        <f t="shared" si="86"/>
        <v>0</v>
      </c>
      <c r="DW94" s="510">
        <f t="shared" si="86"/>
        <v>0</v>
      </c>
    </row>
    <row r="95" spans="1:127">
      <c r="A95" s="304" t="s">
        <v>1279</v>
      </c>
      <c r="B95" s="866">
        <f>-D95</f>
        <v>-91.8</v>
      </c>
      <c r="C95" s="1618" t="s">
        <v>1280</v>
      </c>
      <c r="D95" s="1619">
        <v>91.8</v>
      </c>
      <c r="E95" s="510" t="s">
        <v>147</v>
      </c>
      <c r="F95" s="510"/>
      <c r="G95" s="510">
        <f>$B95*(1+Inputs!$D$451)^(G$3-1)*G$6*(G$3&gt;0)</f>
        <v>0</v>
      </c>
      <c r="H95" s="510">
        <f>$B95*(1+Inputs!$D$451)^(H$3-1)*H$6*(H$3&gt;0)</f>
        <v>-46.277260273972608</v>
      </c>
      <c r="I95" s="510">
        <f>$B95*(1+Inputs!$D$451)^(I$3-1)*I$6*(I$3&gt;0)</f>
        <v>-45.522739726027396</v>
      </c>
      <c r="J95" s="510">
        <f>$B95*(1+Inputs!$D$451)^(J$3-1)*J$6*(J$3&gt;0)</f>
        <v>-47.073836065573765</v>
      </c>
      <c r="K95" s="510">
        <f>$B95*(1+Inputs!$D$451)^(K$3-1)*K$6*(K$3&gt;0)</f>
        <v>-46.562163934426231</v>
      </c>
      <c r="L95" s="510">
        <f>$B95*(1+Inputs!$D$451)^(L$3-1)*L$6*(L$3&gt;0)</f>
        <v>-48.146861589041094</v>
      </c>
      <c r="M95" s="510">
        <f>$B95*(1+Inputs!$D$451)^(M$3-1)*M$6*(M$3&gt;0)</f>
        <v>-47.361858410958902</v>
      </c>
      <c r="N95" s="510">
        <f>$B95*(1+Inputs!$D$451)^(N$3-1)*N$6*(N$3&gt;0)</f>
        <v>-49.109798820821915</v>
      </c>
      <c r="O95" s="510">
        <f>$B95*(1+Inputs!$D$451)^(O$3-1)*O$6*(O$3&gt;0)</f>
        <v>-48.309095579178077</v>
      </c>
      <c r="P95" s="510">
        <f>$B95*(1+Inputs!$D$451)^(P$3-1)*P$6*(P$3&gt;0)</f>
        <v>-50.091994797238357</v>
      </c>
      <c r="Q95" s="510">
        <f>$B95*(1+Inputs!$D$451)^(Q$3-1)*Q$6*(Q$3&gt;0)</f>
        <v>-49.275277490761646</v>
      </c>
      <c r="R95" s="510">
        <f>$B95*(1+Inputs!$D$451)^(R$3-1)*R$6*(R$3&gt;0)</f>
        <v>-50.954234051944916</v>
      </c>
      <c r="S95" s="510">
        <f>$B95*(1+Inputs!$D$451)^(S$3-1)*S$6*(S$3&gt;0)</f>
        <v>-50.400383681815079</v>
      </c>
      <c r="T95" s="510">
        <f>$B95*(1+Inputs!$D$451)^(T$3-1)*T$6*(T$3&gt;0)</f>
        <v>-52.115711387046787</v>
      </c>
      <c r="U95" s="510">
        <f>$B95*(1+Inputs!$D$451)^(U$3-1)*U$6*(U$3&gt;0)</f>
        <v>-51.265998701388412</v>
      </c>
      <c r="V95" s="510">
        <f>$B95*(1+Inputs!$D$451)^(V$3-1)*V$6*(V$3&gt;0)</f>
        <v>-53.158025614787718</v>
      </c>
      <c r="W95" s="510">
        <f>$B95*(1+Inputs!$D$451)^(W$3-1)*W$6*(W$3&gt;0)</f>
        <v>-52.291318675416171</v>
      </c>
      <c r="X95" s="510">
        <f>$B95*(1+Inputs!$D$451)^(X$3-1)*X$6*(X$3&gt;0)</f>
        <v>-54.22118612708347</v>
      </c>
      <c r="Y95" s="510">
        <f>$B95*(1+Inputs!$D$451)^(Y$3-1)*Y$6*(Y$3&gt;0)</f>
        <v>-53.337145048924498</v>
      </c>
      <c r="Z95" s="510">
        <f>$B95*(1+Inputs!$D$451)^(Z$3-1)*Z$6*(Z$3&gt;0)</f>
        <v>-55.154501625992289</v>
      </c>
      <c r="AA95" s="510">
        <f>$B95*(1+Inputs!$D$451)^(AA$3-1)*AA$6*(AA$3&gt;0)</f>
        <v>-54.554996173535848</v>
      </c>
      <c r="AB95" s="510">
        <f>$B95*(1+Inputs!$D$451)^(AB$3-1)*AB$6*(AB$3&gt;0)</f>
        <v>-56.411722046617655</v>
      </c>
      <c r="AC95" s="510">
        <f>$B95*(1+Inputs!$D$451)^(AC$3-1)*AC$6*(AC$3&gt;0)</f>
        <v>-55.491965708901056</v>
      </c>
      <c r="AD95" s="510">
        <f>$B95*(1+Inputs!$D$451)^(AD$3-1)*AD$6*(AD$3&gt;0)</f>
        <v>-57.539956487549993</v>
      </c>
      <c r="AE95" s="510">
        <f>$B95*(1+Inputs!$D$451)^(AE$3-1)*AE$6*(AE$3&gt;0)</f>
        <v>-56.601805023079066</v>
      </c>
      <c r="AF95" s="510">
        <f>$B95*(1+Inputs!$D$451)^(AF$3-1)*AF$6*(AF$3&gt;0)</f>
        <v>-58.690755617301001</v>
      </c>
      <c r="AG95" s="510">
        <f>$B95*(1+Inputs!$D$451)^(AG$3-1)*AG$6*(AG$3&gt;0)</f>
        <v>-57.733841123540657</v>
      </c>
      <c r="AH95" s="510">
        <f>$B95*(1+Inputs!$D$451)^(AH$3-1)*AH$6*(AH$3&gt;0)</f>
        <v>-59.701006328746338</v>
      </c>
      <c r="AI95" s="510">
        <f>$B95*(1+Inputs!$D$451)^(AI$3-1)*AI$6*(AI$3&gt;0)</f>
        <v>-59.052082346912137</v>
      </c>
      <c r="AJ95" s="510">
        <f>$B95*(1+Inputs!$D$451)^(AJ$3-1)*AJ$6*(AJ$3&gt;0)</f>
        <v>-61.06186214423996</v>
      </c>
      <c r="AK95" s="510">
        <f>$B95*(1+Inputs!$D$451)^(AK$3-1)*AK$6*(AK$3&gt;0)</f>
        <v>-60.066288304931703</v>
      </c>
      <c r="AL95" s="510">
        <f>$B95*(1+Inputs!$D$451)^(AL$3-1)*AL$6*(AL$3&gt;0)</f>
        <v>-62.28309938712475</v>
      </c>
      <c r="AM95" s="510">
        <f>$B95*(1+Inputs!$D$451)^(AM$3-1)*AM$6*(AM$3&gt;0)</f>
        <v>-61.267614071030316</v>
      </c>
      <c r="AN95" s="510">
        <f>$B95*(1+Inputs!$D$451)^(AN$3-1)*AN$6*(AN$3&gt;0)</f>
        <v>-63.528761374867251</v>
      </c>
      <c r="AO95" s="510">
        <f>$B95*(1+Inputs!$D$451)^(AO$3-1)*AO$6*(AO$3&gt;0)</f>
        <v>-62.492966352450935</v>
      </c>
      <c r="AP95" s="510">
        <f>$B95*(1+Inputs!$D$451)^(AP$3-1)*AP$6*(AP$3&gt;0)</f>
        <v>-64.622289234598583</v>
      </c>
      <c r="AQ95" s="510">
        <f>$B95*(1+Inputs!$D$451)^(AQ$3-1)*AQ$6*(AQ$3&gt;0)</f>
        <v>-63.919873047265988</v>
      </c>
      <c r="AR95" s="510">
        <f>$B95*(1+Inputs!$D$451)^(AR$3-1)*AR$6*(AR$3&gt;0)</f>
        <v>-66.095323334411887</v>
      </c>
      <c r="AS95" s="510">
        <f>$B95*(1+Inputs!$D$451)^(AS$3-1)*AS$6*(AS$3&gt;0)</f>
        <v>-65.017682193089954</v>
      </c>
      <c r="AT95" s="510">
        <f>$B95*(1+Inputs!$D$451)^(AT$3-1)*AT$6*(AT$3&gt;0)</f>
        <v>-67.41722980110012</v>
      </c>
      <c r="AU95" s="510">
        <f>$B95*(1+Inputs!$D$451)^(AU$3-1)*AU$6*(AU$3&gt;0)</f>
        <v>-66.318035836951751</v>
      </c>
      <c r="AV95" s="510">
        <f>$B95*(1+Inputs!$D$451)^(AV$3-1)*AV$6*(AV$3&gt;0)</f>
        <v>-68.765574397122137</v>
      </c>
      <c r="AW95" s="510">
        <f>$B95*(1+Inputs!$D$451)^(AW$3-1)*AW$6*(AW$3&gt;0)</f>
        <v>-67.644396553690797</v>
      </c>
      <c r="AX95" s="510">
        <f>$B95*(1+Inputs!$D$451)^(AX$3-1)*AX$6*(AX$3&gt;0)</f>
        <v>-69.949244120351281</v>
      </c>
      <c r="AY95" s="510">
        <f>$B95*(1+Inputs!$D$451)^(AY$3-1)*AY$6*(AY$3&gt;0)</f>
        <v>-69.188926249477888</v>
      </c>
      <c r="AZ95" s="510">
        <f>$B95*(1+Inputs!$D$451)^(AZ$3-1)*AZ$6*(AZ$3&gt;0)</f>
        <v>-71.543703602765859</v>
      </c>
      <c r="BA95" s="510">
        <f>$B95*(1+Inputs!$D$451)^(BA$3-1)*BA$6*(BA$3&gt;0)</f>
        <v>-70.377230174459896</v>
      </c>
      <c r="BB95" s="510">
        <f>$B95*(1+Inputs!$D$451)^(BB$3-1)*BB$6*(BB$3&gt;0)</f>
        <v>-72.974577674821163</v>
      </c>
      <c r="BC95" s="510">
        <f>$B95*(1+Inputs!$D$451)^(BC$3-1)*BC$6*(BC$3&gt;0)</f>
        <v>-71.784774777949082</v>
      </c>
      <c r="BD95" s="510">
        <f>$B95*(1+Inputs!$D$451)^(BD$3-1)*BD$6*(BD$3&gt;0)</f>
        <v>-74.434069228317597</v>
      </c>
      <c r="BE95" s="510">
        <f>$B95*(1+Inputs!$D$451)^(BE$3-1)*BE$6*(BE$3&gt;0)</f>
        <v>-73.22047027350807</v>
      </c>
      <c r="BF95" s="510">
        <f>$B95*(1+Inputs!$D$451)^(BF$3-1)*BF$6*(BF$3&gt;0)</f>
        <v>-75.715311403559127</v>
      </c>
      <c r="BG95" s="510">
        <f>$B95*(1+Inputs!$D$451)^(BG$3-1)*BG$6*(BG$3&gt;0)</f>
        <v>-74.892318888303038</v>
      </c>
      <c r="BH95" s="510">
        <f>$B95*(1+Inputs!$D$451)^(BH$3-1)*BH$6*(BH$3&gt;0)</f>
        <v>-77.441205625141635</v>
      </c>
      <c r="BI95" s="510">
        <f>$B95*(1+Inputs!$D$451)^(BI$3-1)*BI$6*(BI$3&gt;0)</f>
        <v>-76.178577272557803</v>
      </c>
      <c r="BJ95" s="510">
        <f>$B95*(1+Inputs!$D$451)^(BJ$3-1)*BJ$6*(BJ$3&gt;0)</f>
        <v>-78.990029737644448</v>
      </c>
      <c r="BK95" s="510">
        <f>$B95*(1+Inputs!$D$451)^(BK$3-1)*BK$6*(BK$3&gt;0)</f>
        <v>-77.702148818008936</v>
      </c>
      <c r="BL95" s="510">
        <f>$B95*(1+Inputs!$D$451)^(BL$3-1)*BL$6*(BL$3&gt;0)</f>
        <v>-80.569830332397359</v>
      </c>
      <c r="BM95" s="510">
        <f>$B95*(1+Inputs!$D$451)^(BM$3-1)*BM$6*(BM$3&gt;0)</f>
        <v>-79.25619179436913</v>
      </c>
      <c r="BN95" s="510">
        <f>$B95*(1+Inputs!$D$451)^(BN$3-1)*BN$6*(BN$3&gt;0)</f>
        <v>-81.956688067627141</v>
      </c>
      <c r="BO95" s="510">
        <f>$B95*(1+Inputs!$D$451)^(BO$3-1)*BO$6*(BO$3&gt;0)</f>
        <v>-81.065854501674664</v>
      </c>
      <c r="BP95" s="510">
        <f>$B95*(1+Inputs!$D$451)^(BP$3-1)*BP$6*(BP$3&gt;0)</f>
        <v>0</v>
      </c>
      <c r="BQ95" s="510">
        <f>$B95*(1+Inputs!$D$451)^(BQ$3-1)*BQ$6*(BQ$3&gt;0)</f>
        <v>0</v>
      </c>
      <c r="BR95" s="510">
        <f>$B95*(1+Inputs!$D$451)^(BR$3-1)*BR$6*(BR$3&gt;0)</f>
        <v>0</v>
      </c>
      <c r="BS95" s="510">
        <f>$B95*(1+Inputs!$D$451)^(BS$3-1)*BS$6*(BS$3&gt;0)</f>
        <v>0</v>
      </c>
      <c r="BT95" s="510">
        <f>$B95*(1+Inputs!$D$451)^(BT$3-1)*BT$6*(BT$3&gt;0)</f>
        <v>0</v>
      </c>
      <c r="BU95" s="510">
        <f>$B95*(1+Inputs!$D$451)^(BU$3-1)*BU$6*(BU$3&gt;0)</f>
        <v>0</v>
      </c>
      <c r="BV95" s="510">
        <f>$B95*(1+Inputs!$D$451)^(BV$3-1)*BV$6*(BV$3&gt;0)</f>
        <v>0</v>
      </c>
      <c r="BW95" s="510">
        <f>$B95*(1+Inputs!$D$451)^(BW$3-1)*BW$6*(BW$3&gt;0)</f>
        <v>0</v>
      </c>
      <c r="BX95" s="510">
        <f>$B95*(1+Inputs!$D$451)^(BX$3-1)*BX$6*(BX$3&gt;0)</f>
        <v>0</v>
      </c>
      <c r="BY95" s="510">
        <f>$B95*(1+Inputs!$D$451)^(BY$3-1)*BY$6*(BY$3&gt;0)</f>
        <v>0</v>
      </c>
      <c r="BZ95" s="510">
        <f>$B95*(1+Inputs!$D$451)^(BZ$3-1)*BZ$6*(BZ$3&gt;0)</f>
        <v>0</v>
      </c>
      <c r="CA95" s="510">
        <f>$B95*(1+Inputs!$D$451)^(CA$3-1)*CA$6*(CA$3&gt;0)</f>
        <v>0</v>
      </c>
      <c r="CB95" s="510">
        <f>$B95*(1+Inputs!$D$451)^(CB$3-1)*CB$6*(CB$3&gt;0)</f>
        <v>0</v>
      </c>
      <c r="CC95" s="510">
        <f>$B95*(1+Inputs!$D$451)^(CC$3-1)*CC$6*(CC$3&gt;0)</f>
        <v>0</v>
      </c>
      <c r="CD95" s="510">
        <f>$B95*(1+Inputs!$D$451)^(CD$3-1)*CD$6*(CD$3&gt;0)</f>
        <v>0</v>
      </c>
      <c r="CE95" s="510">
        <f>$B95*(1+Inputs!$D$451)^(CE$3-1)*CE$6*(CE$3&gt;0)</f>
        <v>0</v>
      </c>
      <c r="CF95" s="510">
        <f>$B95*(1+Inputs!$D$451)^(CF$3-1)*CF$6*(CF$3&gt;0)</f>
        <v>0</v>
      </c>
      <c r="CG95" s="510">
        <f>$B95*(1+Inputs!$D$451)^(CG$3-1)*CG$6*(CG$3&gt;0)</f>
        <v>0</v>
      </c>
      <c r="CH95" s="510">
        <f>$B95*(1+Inputs!$D$451)^(CH$3-1)*CH$6*(CH$3&gt;0)</f>
        <v>0</v>
      </c>
      <c r="CI95" s="510">
        <f>$B95*(1+Inputs!$D$451)^(CI$3-1)*CI$6*(CI$3&gt;0)</f>
        <v>0</v>
      </c>
      <c r="CJ95" s="510">
        <f>$B95*(1+Inputs!$D$451)^(CJ$3-1)*CJ$6*(CJ$3&gt;0)</f>
        <v>0</v>
      </c>
      <c r="CK95" s="510">
        <f>$B95*(1+Inputs!$D$451)^(CK$3-1)*CK$6*(CK$3&gt;0)</f>
        <v>0</v>
      </c>
      <c r="CL95" s="510">
        <f>$B95*(1+Inputs!$D$451)^(CL$3-1)*CL$6*(CL$3&gt;0)</f>
        <v>0</v>
      </c>
      <c r="CM95" s="510">
        <f>$B95*(1+Inputs!$D$451)^(CM$3-1)*CM$6*(CM$3&gt;0)</f>
        <v>0</v>
      </c>
      <c r="CN95" s="510">
        <f>$B95*(1+Inputs!$D$451)^(CN$3-1)*CN$6*(CN$3&gt;0)</f>
        <v>0</v>
      </c>
      <c r="CO95" s="510">
        <f>$B95*(1+Inputs!$D$451)^(CO$3-1)*CO$6*(CO$3&gt;0)</f>
        <v>0</v>
      </c>
      <c r="CP95" s="510">
        <f>$B95*(1+Inputs!$D$451)^(CP$3-1)*CP$6*(CP$3&gt;0)</f>
        <v>0</v>
      </c>
      <c r="CQ95" s="510">
        <f>$B95*(1+Inputs!$D$451)^(CQ$3-1)*CQ$6*(CQ$3&gt;0)</f>
        <v>0</v>
      </c>
      <c r="CR95" s="510">
        <f>$B95*(1+Inputs!$D$451)^(CR$3-1)*CR$6*(CR$3&gt;0)</f>
        <v>0</v>
      </c>
      <c r="CS95" s="510">
        <f>$B95*(1+Inputs!$D$451)^(CS$3-1)*CS$6*(CS$3&gt;0)</f>
        <v>0</v>
      </c>
      <c r="CT95" s="510">
        <f>$B95*(1+Inputs!$D$451)^(CT$3-1)*CT$6*(CT$3&gt;0)</f>
        <v>0</v>
      </c>
      <c r="CU95" s="510">
        <f>$B95*(1+Inputs!$D$451)^(CU$3-1)*CU$6*(CU$3&gt;0)</f>
        <v>0</v>
      </c>
      <c r="CV95" s="510">
        <f>$B95*(1+Inputs!$D$451)^(CV$3-1)*CV$6*(CV$3&gt;0)</f>
        <v>0</v>
      </c>
      <c r="CW95" s="510">
        <f>$B95*(1+Inputs!$D$451)^(CW$3-1)*CW$6*(CW$3&gt;0)</f>
        <v>0</v>
      </c>
      <c r="CX95" s="510">
        <f>$B95*(1+Inputs!$D$451)^(CX$3-1)*CX$6*(CX$3&gt;0)</f>
        <v>0</v>
      </c>
      <c r="CY95" s="510">
        <f>$B95*(1+Inputs!$D$451)^(CY$3-1)*CY$6*(CY$3&gt;0)</f>
        <v>0</v>
      </c>
      <c r="CZ95" s="510">
        <f>$B95*(1+Inputs!$D$451)^(CZ$3-1)*CZ$6*(CZ$3&gt;0)</f>
        <v>0</v>
      </c>
      <c r="DA95" s="510">
        <f>$B95*(1+Inputs!$D$451)^(DA$3-1)*DA$6*(DA$3&gt;0)</f>
        <v>0</v>
      </c>
      <c r="DB95" s="510">
        <f>$B95*(1+Inputs!$D$451)^(DB$3-1)*DB$6*(DB$3&gt;0)</f>
        <v>0</v>
      </c>
      <c r="DC95" s="510">
        <f>$B95*(1+Inputs!$D$451)^(DC$3-1)*DC$6*(DC$3&gt;0)</f>
        <v>0</v>
      </c>
      <c r="DD95" s="510">
        <f>$B95*(1+Inputs!$D$451)^(DD$3-1)*DD$6*(DD$3&gt;0)</f>
        <v>0</v>
      </c>
      <c r="DE95" s="510">
        <f>$B95*(1+Inputs!$D$451)^(DE$3-1)*DE$6*(DE$3&gt;0)</f>
        <v>0</v>
      </c>
      <c r="DF95" s="510">
        <f>$B95*(1+Inputs!$D$451)^(DF$3-1)*DF$6*(DF$3&gt;0)</f>
        <v>0</v>
      </c>
      <c r="DG95" s="510">
        <f>$B95*(1+Inputs!$D$451)^(DG$3-1)*DG$6*(DG$3&gt;0)</f>
        <v>0</v>
      </c>
      <c r="DH95" s="510">
        <f>$B95*(1+Inputs!$D$451)^(DH$3-1)*DH$6*(DH$3&gt;0)</f>
        <v>0</v>
      </c>
      <c r="DI95" s="510">
        <f>$B95*(1+Inputs!$D$451)^(DI$3-1)*DI$6*(DI$3&gt;0)</f>
        <v>0</v>
      </c>
      <c r="DJ95" s="510">
        <f>$B95*(1+Inputs!$D$451)^(DJ$3-1)*DJ$6*(DJ$3&gt;0)</f>
        <v>0</v>
      </c>
      <c r="DK95" s="510">
        <f>$B95*(1+Inputs!$D$451)^(DK$3-1)*DK$6*(DK$3&gt;0)</f>
        <v>0</v>
      </c>
      <c r="DL95" s="510">
        <f>$B95*(1+Inputs!$D$451)^(DL$3-1)*DL$6*(DL$3&gt;0)</f>
        <v>0</v>
      </c>
      <c r="DM95" s="510">
        <f>$B95*(1+Inputs!$D$451)^(DM$3-1)*DM$6*(DM$3&gt;0)</f>
        <v>0</v>
      </c>
      <c r="DN95" s="510">
        <f>$B95*(1+Inputs!$D$451)^(DN$3-1)*DN$6*(DN$3&gt;0)</f>
        <v>0</v>
      </c>
      <c r="DO95" s="510">
        <f>$B95*(1+Inputs!$D$451)^(DO$3-1)*DO$6*(DO$3&gt;0)</f>
        <v>0</v>
      </c>
      <c r="DP95" s="510">
        <f>$B95*(1+Inputs!$D$451)^(DP$3-1)*DP$6*(DP$3&gt;0)</f>
        <v>0</v>
      </c>
      <c r="DQ95" s="510">
        <f>$B95*(1+Inputs!$D$451)^(DQ$3-1)*DQ$6*(DQ$3&gt;0)</f>
        <v>0</v>
      </c>
      <c r="DR95" s="510">
        <f>$B95*(1+Inputs!$D$451)^(DR$3-1)*DR$6*(DR$3&gt;0)</f>
        <v>0</v>
      </c>
      <c r="DS95" s="510">
        <f>$B95*(1+Inputs!$D$451)^(DS$3-1)*DS$6*(DS$3&gt;0)</f>
        <v>0</v>
      </c>
      <c r="DT95" s="510">
        <f>$B95*(1+Inputs!$D$451)^(DT$3-1)*DT$6*(DT$3&gt;0)</f>
        <v>0</v>
      </c>
      <c r="DU95" s="510">
        <f>$B95*(1+Inputs!$D$451)^(DU$3-1)*DU$6*(DU$3&gt;0)</f>
        <v>0</v>
      </c>
      <c r="DV95" s="510">
        <f>$B95*(1+Inputs!$D$451)^(DV$3-1)*DV$6*(DV$3&gt;0)</f>
        <v>0</v>
      </c>
      <c r="DW95" s="510">
        <f>$B95*(1+Inputs!$D$451)^(DW$3-1)*DW$6*(DW$3&gt;0)</f>
        <v>0</v>
      </c>
    </row>
    <row r="96" spans="1:127">
      <c r="A96" s="304" t="s">
        <v>1281</v>
      </c>
      <c r="B96" s="866">
        <f t="shared" ref="B96:B97" si="87">-D96</f>
        <v>-162</v>
      </c>
      <c r="C96" s="1618" t="s">
        <v>1280</v>
      </c>
      <c r="D96" s="1619">
        <v>162</v>
      </c>
      <c r="E96" s="510" t="s">
        <v>147</v>
      </c>
      <c r="F96" s="510"/>
      <c r="G96" s="510">
        <f>$B96*(1+Inputs!$D$451)^(G$3-1)*G$6*(G$3&gt;0)</f>
        <v>0</v>
      </c>
      <c r="H96" s="510">
        <f>$B96*(1+Inputs!$D$451)^(H$3-1)*H$6*(H$3&gt;0)</f>
        <v>-81.665753424657538</v>
      </c>
      <c r="I96" s="510">
        <f>$B96*(1+Inputs!$D$451)^(I$3-1)*I$6*(I$3&gt;0)</f>
        <v>-80.334246575342462</v>
      </c>
      <c r="J96" s="510">
        <f>$B96*(1+Inputs!$D$451)^(J$3-1)*J$6*(J$3&gt;0)</f>
        <v>-83.071475409836069</v>
      </c>
      <c r="K96" s="510">
        <f>$B96*(1+Inputs!$D$451)^(K$3-1)*K$6*(K$3&gt;0)</f>
        <v>-82.168524590163941</v>
      </c>
      <c r="L96" s="510">
        <f>$B96*(1+Inputs!$D$451)^(L$3-1)*L$6*(L$3&gt;0)</f>
        <v>-84.965049863013704</v>
      </c>
      <c r="M96" s="510">
        <f>$B96*(1+Inputs!$D$451)^(M$3-1)*M$6*(M$3&gt;0)</f>
        <v>-83.579750136986306</v>
      </c>
      <c r="N96" s="510">
        <f>$B96*(1+Inputs!$D$451)^(N$3-1)*N$6*(N$3&gt;0)</f>
        <v>-86.664350860273984</v>
      </c>
      <c r="O96" s="510">
        <f>$B96*(1+Inputs!$D$451)^(O$3-1)*O$6*(O$3&gt;0)</f>
        <v>-85.251345139726027</v>
      </c>
      <c r="P96" s="510">
        <f>$B96*(1+Inputs!$D$451)^(P$3-1)*P$6*(P$3&gt;0)</f>
        <v>-88.397637877479468</v>
      </c>
      <c r="Q96" s="510">
        <f>$B96*(1+Inputs!$D$451)^(Q$3-1)*Q$6*(Q$3&gt;0)</f>
        <v>-86.956372042520556</v>
      </c>
      <c r="R96" s="510">
        <f>$B96*(1+Inputs!$D$451)^(R$3-1)*R$6*(R$3&gt;0)</f>
        <v>-89.919236562255733</v>
      </c>
      <c r="S96" s="510">
        <f>$B96*(1+Inputs!$D$451)^(S$3-1)*S$6*(S$3&gt;0)</f>
        <v>-88.941853556144267</v>
      </c>
      <c r="T96" s="510">
        <f>$B96*(1+Inputs!$D$451)^(T$3-1)*T$6*(T$3&gt;0)</f>
        <v>-91.968902447729633</v>
      </c>
      <c r="U96" s="510">
        <f>$B96*(1+Inputs!$D$451)^(U$3-1)*U$6*(U$3&gt;0)</f>
        <v>-90.469409473038382</v>
      </c>
      <c r="V96" s="510">
        <f>$B96*(1+Inputs!$D$451)^(V$3-1)*V$6*(V$3&gt;0)</f>
        <v>-93.808280496684205</v>
      </c>
      <c r="W96" s="510">
        <f>$B96*(1+Inputs!$D$451)^(W$3-1)*W$6*(W$3&gt;0)</f>
        <v>-92.27879766249913</v>
      </c>
      <c r="X96" s="510">
        <f>$B96*(1+Inputs!$D$451)^(X$3-1)*X$6*(X$3&gt;0)</f>
        <v>-95.684446106617898</v>
      </c>
      <c r="Y96" s="510">
        <f>$B96*(1+Inputs!$D$451)^(Y$3-1)*Y$6*(Y$3&gt;0)</f>
        <v>-94.124373615749121</v>
      </c>
      <c r="Z96" s="510">
        <f>$B96*(1+Inputs!$D$451)^(Z$3-1)*Z$6*(Z$3&gt;0)</f>
        <v>-97.33147345763345</v>
      </c>
      <c r="AA96" s="510">
        <f>$B96*(1+Inputs!$D$451)^(AA$3-1)*AA$6*(AA$3&gt;0)</f>
        <v>-96.273522659180912</v>
      </c>
      <c r="AB96" s="510">
        <f>$B96*(1+Inputs!$D$451)^(AB$3-1)*AB$6*(AB$3&gt;0)</f>
        <v>-99.550097729325259</v>
      </c>
      <c r="AC96" s="510">
        <f>$B96*(1+Inputs!$D$451)^(AC$3-1)*AC$6*(AC$3&gt;0)</f>
        <v>-97.926998309825393</v>
      </c>
      <c r="AD96" s="510">
        <f>$B96*(1+Inputs!$D$451)^(AD$3-1)*AD$6*(AD$3&gt;0)</f>
        <v>-101.54109968391175</v>
      </c>
      <c r="AE96" s="510">
        <f>$B96*(1+Inputs!$D$451)^(AE$3-1)*AE$6*(AE$3&gt;0)</f>
        <v>-99.88553827602189</v>
      </c>
      <c r="AF96" s="510">
        <f>$B96*(1+Inputs!$D$451)^(AF$3-1)*AF$6*(AF$3&gt;0)</f>
        <v>-103.57192167759</v>
      </c>
      <c r="AG96" s="510">
        <f>$B96*(1+Inputs!$D$451)^(AG$3-1)*AG$6*(AG$3&gt;0)</f>
        <v>-101.88324904154233</v>
      </c>
      <c r="AH96" s="510">
        <f>$B96*(1+Inputs!$D$451)^(AH$3-1)*AH$6*(AH$3&gt;0)</f>
        <v>-105.35471705072884</v>
      </c>
      <c r="AI96" s="510">
        <f>$B96*(1+Inputs!$D$451)^(AI$3-1)*AI$6*(AI$3&gt;0)</f>
        <v>-104.20955708278613</v>
      </c>
      <c r="AJ96" s="510">
        <f>$B96*(1+Inputs!$D$451)^(AJ$3-1)*AJ$6*(AJ$3&gt;0)</f>
        <v>-107.75622731336465</v>
      </c>
      <c r="AK96" s="510">
        <f>$B96*(1+Inputs!$D$451)^(AK$3-1)*AK$6*(AK$3&gt;0)</f>
        <v>-105.99933230282065</v>
      </c>
      <c r="AL96" s="510">
        <f>$B96*(1+Inputs!$D$451)^(AL$3-1)*AL$6*(AL$3&gt;0)</f>
        <v>-109.91135185963192</v>
      </c>
      <c r="AM96" s="510">
        <f>$B96*(1+Inputs!$D$451)^(AM$3-1)*AM$6*(AM$3&gt;0)</f>
        <v>-108.11931894887704</v>
      </c>
      <c r="AN96" s="510">
        <f>$B96*(1+Inputs!$D$451)^(AN$3-1)*AN$6*(AN$3&gt;0)</f>
        <v>-112.10957889682456</v>
      </c>
      <c r="AO96" s="510">
        <f>$B96*(1+Inputs!$D$451)^(AO$3-1)*AO$6*(AO$3&gt;0)</f>
        <v>-110.2817053278546</v>
      </c>
      <c r="AP96" s="510">
        <f>$B96*(1+Inputs!$D$451)^(AP$3-1)*AP$6*(AP$3&gt;0)</f>
        <v>-114.03933394340925</v>
      </c>
      <c r="AQ96" s="510">
        <f>$B96*(1+Inputs!$D$451)^(AQ$3-1)*AQ$6*(AQ$3&gt;0)</f>
        <v>-112.7997759657635</v>
      </c>
      <c r="AR96" s="510">
        <f>$B96*(1+Inputs!$D$451)^(AR$3-1)*AR$6*(AR$3&gt;0)</f>
        <v>-116.63880588425627</v>
      </c>
      <c r="AS96" s="510">
        <f>$B96*(1+Inputs!$D$451)^(AS$3-1)*AS$6*(AS$3&gt;0)</f>
        <v>-114.73708622309992</v>
      </c>
      <c r="AT96" s="510">
        <f>$B96*(1+Inputs!$D$451)^(AT$3-1)*AT$6*(AT$3&gt;0)</f>
        <v>-118.9715820019414</v>
      </c>
      <c r="AU96" s="510">
        <f>$B96*(1+Inputs!$D$451)^(AU$3-1)*AU$6*(AU$3&gt;0)</f>
        <v>-117.03182794756191</v>
      </c>
      <c r="AV96" s="510">
        <f>$B96*(1+Inputs!$D$451)^(AV$3-1)*AV$6*(AV$3&gt;0)</f>
        <v>-121.35101364198024</v>
      </c>
      <c r="AW96" s="510">
        <f>$B96*(1+Inputs!$D$451)^(AW$3-1)*AW$6*(AW$3&gt;0)</f>
        <v>-119.37246450651317</v>
      </c>
      <c r="AX96" s="510">
        <f>$B96*(1+Inputs!$D$451)^(AX$3-1)*AX$6*(AX$3&gt;0)</f>
        <v>-123.43984256532578</v>
      </c>
      <c r="AY96" s="510">
        <f>$B96*(1+Inputs!$D$451)^(AY$3-1)*AY$6*(AY$3&gt;0)</f>
        <v>-122.09810514613746</v>
      </c>
      <c r="AZ96" s="510">
        <f>$B96*(1+Inputs!$D$451)^(AZ$3-1)*AZ$6*(AZ$3&gt;0)</f>
        <v>-126.25359459311625</v>
      </c>
      <c r="BA96" s="510">
        <f>$B96*(1+Inputs!$D$451)^(BA$3-1)*BA$6*(BA$3&gt;0)</f>
        <v>-124.19511207257629</v>
      </c>
      <c r="BB96" s="510">
        <f>$B96*(1+Inputs!$D$451)^(BB$3-1)*BB$6*(BB$3&gt;0)</f>
        <v>-128.77866648497854</v>
      </c>
      <c r="BC96" s="510">
        <f>$B96*(1+Inputs!$D$451)^(BC$3-1)*BC$6*(BC$3&gt;0)</f>
        <v>-126.6790143140278</v>
      </c>
      <c r="BD96" s="510">
        <f>$B96*(1+Inputs!$D$451)^(BD$3-1)*BD$6*(BD$3&gt;0)</f>
        <v>-131.3542398146781</v>
      </c>
      <c r="BE96" s="510">
        <f>$B96*(1+Inputs!$D$451)^(BE$3-1)*BE$6*(BE$3&gt;0)</f>
        <v>-129.21259460030834</v>
      </c>
      <c r="BF96" s="510">
        <f>$B96*(1+Inputs!$D$451)^(BF$3-1)*BF$6*(BF$3&gt;0)</f>
        <v>-133.61525541804551</v>
      </c>
      <c r="BG96" s="510">
        <f>$B96*(1+Inputs!$D$451)^(BG$3-1)*BG$6*(BG$3&gt;0)</f>
        <v>-132.16291568524068</v>
      </c>
      <c r="BH96" s="510">
        <f>$B96*(1+Inputs!$D$451)^(BH$3-1)*BH$6*(BH$3&gt;0)</f>
        <v>-136.66095110319111</v>
      </c>
      <c r="BI96" s="510">
        <f>$B96*(1+Inputs!$D$451)^(BI$3-1)*BI$6*(BI$3&gt;0)</f>
        <v>-134.43278342216081</v>
      </c>
      <c r="BJ96" s="510">
        <f>$B96*(1+Inputs!$D$451)^(BJ$3-1)*BJ$6*(BJ$3&gt;0)</f>
        <v>-139.39417012525493</v>
      </c>
      <c r="BK96" s="510">
        <f>$B96*(1+Inputs!$D$451)^(BK$3-1)*BK$6*(BK$3&gt;0)</f>
        <v>-137.12143909060404</v>
      </c>
      <c r="BL96" s="510">
        <f>$B96*(1+Inputs!$D$451)^(BL$3-1)*BL$6*(BL$3&gt;0)</f>
        <v>-142.18205352776005</v>
      </c>
      <c r="BM96" s="510">
        <f>$B96*(1+Inputs!$D$451)^(BM$3-1)*BM$6*(BM$3&gt;0)</f>
        <v>-139.86386787241614</v>
      </c>
      <c r="BN96" s="510">
        <f>$B96*(1+Inputs!$D$451)^(BN$3-1)*BN$6*(BN$3&gt;0)</f>
        <v>-144.6294495311067</v>
      </c>
      <c r="BO96" s="510">
        <f>$B96*(1+Inputs!$D$451)^(BO$3-1)*BO$6*(BO$3&gt;0)</f>
        <v>-143.05739029707294</v>
      </c>
      <c r="BP96" s="510">
        <f>$B96*(1+Inputs!$D$451)^(BP$3-1)*BP$6*(BP$3&gt;0)</f>
        <v>0</v>
      </c>
      <c r="BQ96" s="510">
        <f>$B96*(1+Inputs!$D$451)^(BQ$3-1)*BQ$6*(BQ$3&gt;0)</f>
        <v>0</v>
      </c>
      <c r="BR96" s="510">
        <f>$B96*(1+Inputs!$D$451)^(BR$3-1)*BR$6*(BR$3&gt;0)</f>
        <v>0</v>
      </c>
      <c r="BS96" s="510">
        <f>$B96*(1+Inputs!$D$451)^(BS$3-1)*BS$6*(BS$3&gt;0)</f>
        <v>0</v>
      </c>
      <c r="BT96" s="510">
        <f>$B96*(1+Inputs!$D$451)^(BT$3-1)*BT$6*(BT$3&gt;0)</f>
        <v>0</v>
      </c>
      <c r="BU96" s="510">
        <f>$B96*(1+Inputs!$D$451)^(BU$3-1)*BU$6*(BU$3&gt;0)</f>
        <v>0</v>
      </c>
      <c r="BV96" s="510">
        <f>$B96*(1+Inputs!$D$451)^(BV$3-1)*BV$6*(BV$3&gt;0)</f>
        <v>0</v>
      </c>
      <c r="BW96" s="510">
        <f>$B96*(1+Inputs!$D$451)^(BW$3-1)*BW$6*(BW$3&gt;0)</f>
        <v>0</v>
      </c>
      <c r="BX96" s="510">
        <f>$B96*(1+Inputs!$D$451)^(BX$3-1)*BX$6*(BX$3&gt;0)</f>
        <v>0</v>
      </c>
      <c r="BY96" s="510">
        <f>$B96*(1+Inputs!$D$451)^(BY$3-1)*BY$6*(BY$3&gt;0)</f>
        <v>0</v>
      </c>
      <c r="BZ96" s="510">
        <f>$B96*(1+Inputs!$D$451)^(BZ$3-1)*BZ$6*(BZ$3&gt;0)</f>
        <v>0</v>
      </c>
      <c r="CA96" s="510">
        <f>$B96*(1+Inputs!$D$451)^(CA$3-1)*CA$6*(CA$3&gt;0)</f>
        <v>0</v>
      </c>
      <c r="CB96" s="510">
        <f>$B96*(1+Inputs!$D$451)^(CB$3-1)*CB$6*(CB$3&gt;0)</f>
        <v>0</v>
      </c>
      <c r="CC96" s="510">
        <f>$B96*(1+Inputs!$D$451)^(CC$3-1)*CC$6*(CC$3&gt;0)</f>
        <v>0</v>
      </c>
      <c r="CD96" s="510">
        <f>$B96*(1+Inputs!$D$451)^(CD$3-1)*CD$6*(CD$3&gt;0)</f>
        <v>0</v>
      </c>
      <c r="CE96" s="510">
        <f>$B96*(1+Inputs!$D$451)^(CE$3-1)*CE$6*(CE$3&gt;0)</f>
        <v>0</v>
      </c>
      <c r="CF96" s="510">
        <f>$B96*(1+Inputs!$D$451)^(CF$3-1)*CF$6*(CF$3&gt;0)</f>
        <v>0</v>
      </c>
      <c r="CG96" s="510">
        <f>$B96*(1+Inputs!$D$451)^(CG$3-1)*CG$6*(CG$3&gt;0)</f>
        <v>0</v>
      </c>
      <c r="CH96" s="510">
        <f>$B96*(1+Inputs!$D$451)^(CH$3-1)*CH$6*(CH$3&gt;0)</f>
        <v>0</v>
      </c>
      <c r="CI96" s="510">
        <f>$B96*(1+Inputs!$D$451)^(CI$3-1)*CI$6*(CI$3&gt;0)</f>
        <v>0</v>
      </c>
      <c r="CJ96" s="510">
        <f>$B96*(1+Inputs!$D$451)^(CJ$3-1)*CJ$6*(CJ$3&gt;0)</f>
        <v>0</v>
      </c>
      <c r="CK96" s="510">
        <f>$B96*(1+Inputs!$D$451)^(CK$3-1)*CK$6*(CK$3&gt;0)</f>
        <v>0</v>
      </c>
      <c r="CL96" s="510">
        <f>$B96*(1+Inputs!$D$451)^(CL$3-1)*CL$6*(CL$3&gt;0)</f>
        <v>0</v>
      </c>
      <c r="CM96" s="510">
        <f>$B96*(1+Inputs!$D$451)^(CM$3-1)*CM$6*(CM$3&gt;0)</f>
        <v>0</v>
      </c>
      <c r="CN96" s="510">
        <f>$B96*(1+Inputs!$D$451)^(CN$3-1)*CN$6*(CN$3&gt;0)</f>
        <v>0</v>
      </c>
      <c r="CO96" s="510">
        <f>$B96*(1+Inputs!$D$451)^(CO$3-1)*CO$6*(CO$3&gt;0)</f>
        <v>0</v>
      </c>
      <c r="CP96" s="510">
        <f>$B96*(1+Inputs!$D$451)^(CP$3-1)*CP$6*(CP$3&gt;0)</f>
        <v>0</v>
      </c>
      <c r="CQ96" s="510">
        <f>$B96*(1+Inputs!$D$451)^(CQ$3-1)*CQ$6*(CQ$3&gt;0)</f>
        <v>0</v>
      </c>
      <c r="CR96" s="510">
        <f>$B96*(1+Inputs!$D$451)^(CR$3-1)*CR$6*(CR$3&gt;0)</f>
        <v>0</v>
      </c>
      <c r="CS96" s="510">
        <f>$B96*(1+Inputs!$D$451)^(CS$3-1)*CS$6*(CS$3&gt;0)</f>
        <v>0</v>
      </c>
      <c r="CT96" s="510">
        <f>$B96*(1+Inputs!$D$451)^(CT$3-1)*CT$6*(CT$3&gt;0)</f>
        <v>0</v>
      </c>
      <c r="CU96" s="510">
        <f>$B96*(1+Inputs!$D$451)^(CU$3-1)*CU$6*(CU$3&gt;0)</f>
        <v>0</v>
      </c>
      <c r="CV96" s="510">
        <f>$B96*(1+Inputs!$D$451)^(CV$3-1)*CV$6*(CV$3&gt;0)</f>
        <v>0</v>
      </c>
      <c r="CW96" s="510">
        <f>$B96*(1+Inputs!$D$451)^(CW$3-1)*CW$6*(CW$3&gt;0)</f>
        <v>0</v>
      </c>
      <c r="CX96" s="510">
        <f>$B96*(1+Inputs!$D$451)^(CX$3-1)*CX$6*(CX$3&gt;0)</f>
        <v>0</v>
      </c>
      <c r="CY96" s="510">
        <f>$B96*(1+Inputs!$D$451)^(CY$3-1)*CY$6*(CY$3&gt;0)</f>
        <v>0</v>
      </c>
      <c r="CZ96" s="510">
        <f>$B96*(1+Inputs!$D$451)^(CZ$3-1)*CZ$6*(CZ$3&gt;0)</f>
        <v>0</v>
      </c>
      <c r="DA96" s="510">
        <f>$B96*(1+Inputs!$D$451)^(DA$3-1)*DA$6*(DA$3&gt;0)</f>
        <v>0</v>
      </c>
      <c r="DB96" s="510">
        <f>$B96*(1+Inputs!$D$451)^(DB$3-1)*DB$6*(DB$3&gt;0)</f>
        <v>0</v>
      </c>
      <c r="DC96" s="510">
        <f>$B96*(1+Inputs!$D$451)^(DC$3-1)*DC$6*(DC$3&gt;0)</f>
        <v>0</v>
      </c>
      <c r="DD96" s="510">
        <f>$B96*(1+Inputs!$D$451)^(DD$3-1)*DD$6*(DD$3&gt;0)</f>
        <v>0</v>
      </c>
      <c r="DE96" s="510">
        <f>$B96*(1+Inputs!$D$451)^(DE$3-1)*DE$6*(DE$3&gt;0)</f>
        <v>0</v>
      </c>
      <c r="DF96" s="510">
        <f>$B96*(1+Inputs!$D$451)^(DF$3-1)*DF$6*(DF$3&gt;0)</f>
        <v>0</v>
      </c>
      <c r="DG96" s="510">
        <f>$B96*(1+Inputs!$D$451)^(DG$3-1)*DG$6*(DG$3&gt;0)</f>
        <v>0</v>
      </c>
      <c r="DH96" s="510">
        <f>$B96*(1+Inputs!$D$451)^(DH$3-1)*DH$6*(DH$3&gt;0)</f>
        <v>0</v>
      </c>
      <c r="DI96" s="510">
        <f>$B96*(1+Inputs!$D$451)^(DI$3-1)*DI$6*(DI$3&gt;0)</f>
        <v>0</v>
      </c>
      <c r="DJ96" s="510">
        <f>$B96*(1+Inputs!$D$451)^(DJ$3-1)*DJ$6*(DJ$3&gt;0)</f>
        <v>0</v>
      </c>
      <c r="DK96" s="510">
        <f>$B96*(1+Inputs!$D$451)^(DK$3-1)*DK$6*(DK$3&gt;0)</f>
        <v>0</v>
      </c>
      <c r="DL96" s="510">
        <f>$B96*(1+Inputs!$D$451)^(DL$3-1)*DL$6*(DL$3&gt;0)</f>
        <v>0</v>
      </c>
      <c r="DM96" s="510">
        <f>$B96*(1+Inputs!$D$451)^(DM$3-1)*DM$6*(DM$3&gt;0)</f>
        <v>0</v>
      </c>
      <c r="DN96" s="510">
        <f>$B96*(1+Inputs!$D$451)^(DN$3-1)*DN$6*(DN$3&gt;0)</f>
        <v>0</v>
      </c>
      <c r="DO96" s="510">
        <f>$B96*(1+Inputs!$D$451)^(DO$3-1)*DO$6*(DO$3&gt;0)</f>
        <v>0</v>
      </c>
      <c r="DP96" s="510">
        <f>$B96*(1+Inputs!$D$451)^(DP$3-1)*DP$6*(DP$3&gt;0)</f>
        <v>0</v>
      </c>
      <c r="DQ96" s="510">
        <f>$B96*(1+Inputs!$D$451)^(DQ$3-1)*DQ$6*(DQ$3&gt;0)</f>
        <v>0</v>
      </c>
      <c r="DR96" s="510">
        <f>$B96*(1+Inputs!$D$451)^(DR$3-1)*DR$6*(DR$3&gt;0)</f>
        <v>0</v>
      </c>
      <c r="DS96" s="510">
        <f>$B96*(1+Inputs!$D$451)^(DS$3-1)*DS$6*(DS$3&gt;0)</f>
        <v>0</v>
      </c>
      <c r="DT96" s="510">
        <f>$B96*(1+Inputs!$D$451)^(DT$3-1)*DT$6*(DT$3&gt;0)</f>
        <v>0</v>
      </c>
      <c r="DU96" s="510">
        <f>$B96*(1+Inputs!$D$451)^(DU$3-1)*DU$6*(DU$3&gt;0)</f>
        <v>0</v>
      </c>
      <c r="DV96" s="510">
        <f>$B96*(1+Inputs!$D$451)^(DV$3-1)*DV$6*(DV$3&gt;0)</f>
        <v>0</v>
      </c>
      <c r="DW96" s="510">
        <f>$B96*(1+Inputs!$D$451)^(DW$3-1)*DW$6*(DW$3&gt;0)</f>
        <v>0</v>
      </c>
    </row>
    <row r="97" spans="1:127">
      <c r="A97" s="304" t="s">
        <v>1282</v>
      </c>
      <c r="B97" s="866">
        <f t="shared" si="87"/>
        <v>0</v>
      </c>
      <c r="C97" s="1618" t="s">
        <v>1280</v>
      </c>
      <c r="D97" s="1619">
        <v>0</v>
      </c>
      <c r="E97" s="510" t="s">
        <v>147</v>
      </c>
      <c r="F97" s="510"/>
      <c r="G97" s="510">
        <f>$B97*(1+Inputs!$D$451)^(G$3-1)*G$6*(G$3&gt;0)</f>
        <v>0</v>
      </c>
      <c r="H97" s="510">
        <f>$B97*(1+Inputs!$D$451)^(H$3-1)*H$6*(H$3&gt;0)</f>
        <v>0</v>
      </c>
      <c r="I97" s="510">
        <f>$B97*(1+Inputs!$D$451)^(I$3-1)*I$6*(I$3&gt;0)</f>
        <v>0</v>
      </c>
      <c r="J97" s="510">
        <f>$B97*(1+Inputs!$D$451)^(J$3-1)*J$6*(J$3&gt;0)</f>
        <v>0</v>
      </c>
      <c r="K97" s="510">
        <f>$B97*(1+Inputs!$D$451)^(K$3-1)*K$6*(K$3&gt;0)</f>
        <v>0</v>
      </c>
      <c r="L97" s="510">
        <f>$B97*(1+Inputs!$D$451)^(L$3-1)*L$6*(L$3&gt;0)</f>
        <v>0</v>
      </c>
      <c r="M97" s="510">
        <f>$B97*(1+Inputs!$D$451)^(M$3-1)*M$6*(M$3&gt;0)</f>
        <v>0</v>
      </c>
      <c r="N97" s="510">
        <f>$B97*(1+Inputs!$D$451)^(N$3-1)*N$6*(N$3&gt;0)</f>
        <v>0</v>
      </c>
      <c r="O97" s="510">
        <f>$B97*(1+Inputs!$D$451)^(O$3-1)*O$6*(O$3&gt;0)</f>
        <v>0</v>
      </c>
      <c r="P97" s="510">
        <f>$B97*(1+Inputs!$D$451)^(P$3-1)*P$6*(P$3&gt;0)</f>
        <v>0</v>
      </c>
      <c r="Q97" s="510">
        <f>$B97*(1+Inputs!$D$451)^(Q$3-1)*Q$6*(Q$3&gt;0)</f>
        <v>0</v>
      </c>
      <c r="R97" s="510">
        <f>$B97*(1+Inputs!$D$451)^(R$3-1)*R$6*(R$3&gt;0)</f>
        <v>0</v>
      </c>
      <c r="S97" s="510">
        <f>$B97*(1+Inputs!$D$451)^(S$3-1)*S$6*(S$3&gt;0)</f>
        <v>0</v>
      </c>
      <c r="T97" s="510">
        <f>$B97*(1+Inputs!$D$451)^(T$3-1)*T$6*(T$3&gt;0)</f>
        <v>0</v>
      </c>
      <c r="U97" s="510">
        <f>$B97*(1+Inputs!$D$451)^(U$3-1)*U$6*(U$3&gt;0)</f>
        <v>0</v>
      </c>
      <c r="V97" s="510">
        <f>$B97*(1+Inputs!$D$451)^(V$3-1)*V$6*(V$3&gt;0)</f>
        <v>0</v>
      </c>
      <c r="W97" s="510">
        <f>$B97*(1+Inputs!$D$451)^(W$3-1)*W$6*(W$3&gt;0)</f>
        <v>0</v>
      </c>
      <c r="X97" s="510">
        <f>$B97*(1+Inputs!$D$451)^(X$3-1)*X$6*(X$3&gt;0)</f>
        <v>0</v>
      </c>
      <c r="Y97" s="510">
        <f>$B97*(1+Inputs!$D$451)^(Y$3-1)*Y$6*(Y$3&gt;0)</f>
        <v>0</v>
      </c>
      <c r="Z97" s="510">
        <f>$B97*(1+Inputs!$D$451)^(Z$3-1)*Z$6*(Z$3&gt;0)</f>
        <v>0</v>
      </c>
      <c r="AA97" s="510">
        <f>$B97*(1+Inputs!$D$451)^(AA$3-1)*AA$6*(AA$3&gt;0)</f>
        <v>0</v>
      </c>
      <c r="AB97" s="510">
        <f>$B97*(1+Inputs!$D$451)^(AB$3-1)*AB$6*(AB$3&gt;0)</f>
        <v>0</v>
      </c>
      <c r="AC97" s="510">
        <f>$B97*(1+Inputs!$D$451)^(AC$3-1)*AC$6*(AC$3&gt;0)</f>
        <v>0</v>
      </c>
      <c r="AD97" s="510">
        <f>$B97*(1+Inputs!$D$451)^(AD$3-1)*AD$6*(AD$3&gt;0)</f>
        <v>0</v>
      </c>
      <c r="AE97" s="510">
        <f>$B97*(1+Inputs!$D$451)^(AE$3-1)*AE$6*(AE$3&gt;0)</f>
        <v>0</v>
      </c>
      <c r="AF97" s="510">
        <f>$B97*(1+Inputs!$D$451)^(AF$3-1)*AF$6*(AF$3&gt;0)</f>
        <v>0</v>
      </c>
      <c r="AG97" s="510">
        <f>$B97*(1+Inputs!$D$451)^(AG$3-1)*AG$6*(AG$3&gt;0)</f>
        <v>0</v>
      </c>
      <c r="AH97" s="510">
        <f>$B97*(1+Inputs!$D$451)^(AH$3-1)*AH$6*(AH$3&gt;0)</f>
        <v>0</v>
      </c>
      <c r="AI97" s="510">
        <f>$B97*(1+Inputs!$D$451)^(AI$3-1)*AI$6*(AI$3&gt;0)</f>
        <v>0</v>
      </c>
      <c r="AJ97" s="510">
        <f>$B97*(1+Inputs!$D$451)^(AJ$3-1)*AJ$6*(AJ$3&gt;0)</f>
        <v>0</v>
      </c>
      <c r="AK97" s="510">
        <f>$B97*(1+Inputs!$D$451)^(AK$3-1)*AK$6*(AK$3&gt;0)</f>
        <v>0</v>
      </c>
      <c r="AL97" s="510">
        <f>$B97*(1+Inputs!$D$451)^(AL$3-1)*AL$6*(AL$3&gt;0)</f>
        <v>0</v>
      </c>
      <c r="AM97" s="510">
        <f>$B97*(1+Inputs!$D$451)^(AM$3-1)*AM$6*(AM$3&gt;0)</f>
        <v>0</v>
      </c>
      <c r="AN97" s="510">
        <f>$B97*(1+Inputs!$D$451)^(AN$3-1)*AN$6*(AN$3&gt;0)</f>
        <v>0</v>
      </c>
      <c r="AO97" s="510">
        <f>$B97*(1+Inputs!$D$451)^(AO$3-1)*AO$6*(AO$3&gt;0)</f>
        <v>0</v>
      </c>
      <c r="AP97" s="510">
        <f>$B97*(1+Inputs!$D$451)^(AP$3-1)*AP$6*(AP$3&gt;0)</f>
        <v>0</v>
      </c>
      <c r="AQ97" s="510">
        <f>$B97*(1+Inputs!$D$451)^(AQ$3-1)*AQ$6*(AQ$3&gt;0)</f>
        <v>0</v>
      </c>
      <c r="AR97" s="510">
        <f>$B97*(1+Inputs!$D$451)^(AR$3-1)*AR$6*(AR$3&gt;0)</f>
        <v>0</v>
      </c>
      <c r="AS97" s="510">
        <f>$B97*(1+Inputs!$D$451)^(AS$3-1)*AS$6*(AS$3&gt;0)</f>
        <v>0</v>
      </c>
      <c r="AT97" s="510">
        <f>$B97*(1+Inputs!$D$451)^(AT$3-1)*AT$6*(AT$3&gt;0)</f>
        <v>0</v>
      </c>
      <c r="AU97" s="510">
        <f>$B97*(1+Inputs!$D$451)^(AU$3-1)*AU$6*(AU$3&gt;0)</f>
        <v>0</v>
      </c>
      <c r="AV97" s="510">
        <f>$B97*(1+Inputs!$D$451)^(AV$3-1)*AV$6*(AV$3&gt;0)</f>
        <v>0</v>
      </c>
      <c r="AW97" s="510">
        <f>$B97*(1+Inputs!$D$451)^(AW$3-1)*AW$6*(AW$3&gt;0)</f>
        <v>0</v>
      </c>
      <c r="AX97" s="510">
        <f>$B97*(1+Inputs!$D$451)^(AX$3-1)*AX$6*(AX$3&gt;0)</f>
        <v>0</v>
      </c>
      <c r="AY97" s="510">
        <f>$B97*(1+Inputs!$D$451)^(AY$3-1)*AY$6*(AY$3&gt;0)</f>
        <v>0</v>
      </c>
      <c r="AZ97" s="510">
        <f>$B97*(1+Inputs!$D$451)^(AZ$3-1)*AZ$6*(AZ$3&gt;0)</f>
        <v>0</v>
      </c>
      <c r="BA97" s="510">
        <f>$B97*(1+Inputs!$D$451)^(BA$3-1)*BA$6*(BA$3&gt;0)</f>
        <v>0</v>
      </c>
      <c r="BB97" s="510">
        <f>$B97*(1+Inputs!$D$451)^(BB$3-1)*BB$6*(BB$3&gt;0)</f>
        <v>0</v>
      </c>
      <c r="BC97" s="510">
        <f>$B97*(1+Inputs!$D$451)^(BC$3-1)*BC$6*(BC$3&gt;0)</f>
        <v>0</v>
      </c>
      <c r="BD97" s="510">
        <f>$B97*(1+Inputs!$D$451)^(BD$3-1)*BD$6*(BD$3&gt;0)</f>
        <v>0</v>
      </c>
      <c r="BE97" s="510">
        <f>$B97*(1+Inputs!$D$451)^(BE$3-1)*BE$6*(BE$3&gt;0)</f>
        <v>0</v>
      </c>
      <c r="BF97" s="510">
        <f>$B97*(1+Inputs!$D$451)^(BF$3-1)*BF$6*(BF$3&gt;0)</f>
        <v>0</v>
      </c>
      <c r="BG97" s="510">
        <f>$B97*(1+Inputs!$D$451)^(BG$3-1)*BG$6*(BG$3&gt;0)</f>
        <v>0</v>
      </c>
      <c r="BH97" s="510">
        <f>$B97*(1+Inputs!$D$451)^(BH$3-1)*BH$6*(BH$3&gt;0)</f>
        <v>0</v>
      </c>
      <c r="BI97" s="510">
        <f>$B97*(1+Inputs!$D$451)^(BI$3-1)*BI$6*(BI$3&gt;0)</f>
        <v>0</v>
      </c>
      <c r="BJ97" s="510">
        <f>$B97*(1+Inputs!$D$451)^(BJ$3-1)*BJ$6*(BJ$3&gt;0)</f>
        <v>0</v>
      </c>
      <c r="BK97" s="510">
        <f>$B97*(1+Inputs!$D$451)^(BK$3-1)*BK$6*(BK$3&gt;0)</f>
        <v>0</v>
      </c>
      <c r="BL97" s="510">
        <f>$B97*(1+Inputs!$D$451)^(BL$3-1)*BL$6*(BL$3&gt;0)</f>
        <v>0</v>
      </c>
      <c r="BM97" s="510">
        <f>$B97*(1+Inputs!$D$451)^(BM$3-1)*BM$6*(BM$3&gt;0)</f>
        <v>0</v>
      </c>
      <c r="BN97" s="510">
        <f>$B97*(1+Inputs!$D$451)^(BN$3-1)*BN$6*(BN$3&gt;0)</f>
        <v>0</v>
      </c>
      <c r="BO97" s="510">
        <f>$B97*(1+Inputs!$D$451)^(BO$3-1)*BO$6*(BO$3&gt;0)</f>
        <v>0</v>
      </c>
      <c r="BP97" s="510">
        <f>$B97*(1+Inputs!$D$451)^(BP$3-1)*BP$6*(BP$3&gt;0)</f>
        <v>0</v>
      </c>
      <c r="BQ97" s="510">
        <f>$B97*(1+Inputs!$D$451)^(BQ$3-1)*BQ$6*(BQ$3&gt;0)</f>
        <v>0</v>
      </c>
      <c r="BR97" s="510">
        <f>$B97*(1+Inputs!$D$451)^(BR$3-1)*BR$6*(BR$3&gt;0)</f>
        <v>0</v>
      </c>
      <c r="BS97" s="510">
        <f>$B97*(1+Inputs!$D$451)^(BS$3-1)*BS$6*(BS$3&gt;0)</f>
        <v>0</v>
      </c>
      <c r="BT97" s="510">
        <f>$B97*(1+Inputs!$D$451)^(BT$3-1)*BT$6*(BT$3&gt;0)</f>
        <v>0</v>
      </c>
      <c r="BU97" s="510">
        <f>$B97*(1+Inputs!$D$451)^(BU$3-1)*BU$6*(BU$3&gt;0)</f>
        <v>0</v>
      </c>
      <c r="BV97" s="510">
        <f>$B97*(1+Inputs!$D$451)^(BV$3-1)*BV$6*(BV$3&gt;0)</f>
        <v>0</v>
      </c>
      <c r="BW97" s="510">
        <f>$B97*(1+Inputs!$D$451)^(BW$3-1)*BW$6*(BW$3&gt;0)</f>
        <v>0</v>
      </c>
      <c r="BX97" s="510">
        <f>$B97*(1+Inputs!$D$451)^(BX$3-1)*BX$6*(BX$3&gt;0)</f>
        <v>0</v>
      </c>
      <c r="BY97" s="510">
        <f>$B97*(1+Inputs!$D$451)^(BY$3-1)*BY$6*(BY$3&gt;0)</f>
        <v>0</v>
      </c>
      <c r="BZ97" s="510">
        <f>$B97*(1+Inputs!$D$451)^(BZ$3-1)*BZ$6*(BZ$3&gt;0)</f>
        <v>0</v>
      </c>
      <c r="CA97" s="510">
        <f>$B97*(1+Inputs!$D$451)^(CA$3-1)*CA$6*(CA$3&gt;0)</f>
        <v>0</v>
      </c>
      <c r="CB97" s="510">
        <f>$B97*(1+Inputs!$D$451)^(CB$3-1)*CB$6*(CB$3&gt;0)</f>
        <v>0</v>
      </c>
      <c r="CC97" s="510">
        <f>$B97*(1+Inputs!$D$451)^(CC$3-1)*CC$6*(CC$3&gt;0)</f>
        <v>0</v>
      </c>
      <c r="CD97" s="510">
        <f>$B97*(1+Inputs!$D$451)^(CD$3-1)*CD$6*(CD$3&gt;0)</f>
        <v>0</v>
      </c>
      <c r="CE97" s="510">
        <f>$B97*(1+Inputs!$D$451)^(CE$3-1)*CE$6*(CE$3&gt;0)</f>
        <v>0</v>
      </c>
      <c r="CF97" s="510">
        <f>$B97*(1+Inputs!$D$451)^(CF$3-1)*CF$6*(CF$3&gt;0)</f>
        <v>0</v>
      </c>
      <c r="CG97" s="510">
        <f>$B97*(1+Inputs!$D$451)^(CG$3-1)*CG$6*(CG$3&gt;0)</f>
        <v>0</v>
      </c>
      <c r="CH97" s="510">
        <f>$B97*(1+Inputs!$D$451)^(CH$3-1)*CH$6*(CH$3&gt;0)</f>
        <v>0</v>
      </c>
      <c r="CI97" s="510">
        <f>$B97*(1+Inputs!$D$451)^(CI$3-1)*CI$6*(CI$3&gt;0)</f>
        <v>0</v>
      </c>
      <c r="CJ97" s="510">
        <f>$B97*(1+Inputs!$D$451)^(CJ$3-1)*CJ$6*(CJ$3&gt;0)</f>
        <v>0</v>
      </c>
      <c r="CK97" s="510">
        <f>$B97*(1+Inputs!$D$451)^(CK$3-1)*CK$6*(CK$3&gt;0)</f>
        <v>0</v>
      </c>
      <c r="CL97" s="510">
        <f>$B97*(1+Inputs!$D$451)^(CL$3-1)*CL$6*(CL$3&gt;0)</f>
        <v>0</v>
      </c>
      <c r="CM97" s="510">
        <f>$B97*(1+Inputs!$D$451)^(CM$3-1)*CM$6*(CM$3&gt;0)</f>
        <v>0</v>
      </c>
      <c r="CN97" s="510">
        <f>$B97*(1+Inputs!$D$451)^(CN$3-1)*CN$6*(CN$3&gt;0)</f>
        <v>0</v>
      </c>
      <c r="CO97" s="510">
        <f>$B97*(1+Inputs!$D$451)^(CO$3-1)*CO$6*(CO$3&gt;0)</f>
        <v>0</v>
      </c>
      <c r="CP97" s="510">
        <f>$B97*(1+Inputs!$D$451)^(CP$3-1)*CP$6*(CP$3&gt;0)</f>
        <v>0</v>
      </c>
      <c r="CQ97" s="510">
        <f>$B97*(1+Inputs!$D$451)^(CQ$3-1)*CQ$6*(CQ$3&gt;0)</f>
        <v>0</v>
      </c>
      <c r="CR97" s="510">
        <f>$B97*(1+Inputs!$D$451)^(CR$3-1)*CR$6*(CR$3&gt;0)</f>
        <v>0</v>
      </c>
      <c r="CS97" s="510">
        <f>$B97*(1+Inputs!$D$451)^(CS$3-1)*CS$6*(CS$3&gt;0)</f>
        <v>0</v>
      </c>
      <c r="CT97" s="510">
        <f>$B97*(1+Inputs!$D$451)^(CT$3-1)*CT$6*(CT$3&gt;0)</f>
        <v>0</v>
      </c>
      <c r="CU97" s="510">
        <f>$B97*(1+Inputs!$D$451)^(CU$3-1)*CU$6*(CU$3&gt;0)</f>
        <v>0</v>
      </c>
      <c r="CV97" s="510">
        <f>$B97*(1+Inputs!$D$451)^(CV$3-1)*CV$6*(CV$3&gt;0)</f>
        <v>0</v>
      </c>
      <c r="CW97" s="510">
        <f>$B97*(1+Inputs!$D$451)^(CW$3-1)*CW$6*(CW$3&gt;0)</f>
        <v>0</v>
      </c>
      <c r="CX97" s="510">
        <f>$B97*(1+Inputs!$D$451)^(CX$3-1)*CX$6*(CX$3&gt;0)</f>
        <v>0</v>
      </c>
      <c r="CY97" s="510">
        <f>$B97*(1+Inputs!$D$451)^(CY$3-1)*CY$6*(CY$3&gt;0)</f>
        <v>0</v>
      </c>
      <c r="CZ97" s="510">
        <f>$B97*(1+Inputs!$D$451)^(CZ$3-1)*CZ$6*(CZ$3&gt;0)</f>
        <v>0</v>
      </c>
      <c r="DA97" s="510">
        <f>$B97*(1+Inputs!$D$451)^(DA$3-1)*DA$6*(DA$3&gt;0)</f>
        <v>0</v>
      </c>
      <c r="DB97" s="510">
        <f>$B97*(1+Inputs!$D$451)^(DB$3-1)*DB$6*(DB$3&gt;0)</f>
        <v>0</v>
      </c>
      <c r="DC97" s="510">
        <f>$B97*(1+Inputs!$D$451)^(DC$3-1)*DC$6*(DC$3&gt;0)</f>
        <v>0</v>
      </c>
      <c r="DD97" s="510">
        <f>$B97*(1+Inputs!$D$451)^(DD$3-1)*DD$6*(DD$3&gt;0)</f>
        <v>0</v>
      </c>
      <c r="DE97" s="510">
        <f>$B97*(1+Inputs!$D$451)^(DE$3-1)*DE$6*(DE$3&gt;0)</f>
        <v>0</v>
      </c>
      <c r="DF97" s="510">
        <f>$B97*(1+Inputs!$D$451)^(DF$3-1)*DF$6*(DF$3&gt;0)</f>
        <v>0</v>
      </c>
      <c r="DG97" s="510">
        <f>$B97*(1+Inputs!$D$451)^(DG$3-1)*DG$6*(DG$3&gt;0)</f>
        <v>0</v>
      </c>
      <c r="DH97" s="510">
        <f>$B97*(1+Inputs!$D$451)^(DH$3-1)*DH$6*(DH$3&gt;0)</f>
        <v>0</v>
      </c>
      <c r="DI97" s="510">
        <f>$B97*(1+Inputs!$D$451)^(DI$3-1)*DI$6*(DI$3&gt;0)</f>
        <v>0</v>
      </c>
      <c r="DJ97" s="510">
        <f>$B97*(1+Inputs!$D$451)^(DJ$3-1)*DJ$6*(DJ$3&gt;0)</f>
        <v>0</v>
      </c>
      <c r="DK97" s="510">
        <f>$B97*(1+Inputs!$D$451)^(DK$3-1)*DK$6*(DK$3&gt;0)</f>
        <v>0</v>
      </c>
      <c r="DL97" s="510">
        <f>$B97*(1+Inputs!$D$451)^(DL$3-1)*DL$6*(DL$3&gt;0)</f>
        <v>0</v>
      </c>
      <c r="DM97" s="510">
        <f>$B97*(1+Inputs!$D$451)^(DM$3-1)*DM$6*(DM$3&gt;0)</f>
        <v>0</v>
      </c>
      <c r="DN97" s="510">
        <f>$B97*(1+Inputs!$D$451)^(DN$3-1)*DN$6*(DN$3&gt;0)</f>
        <v>0</v>
      </c>
      <c r="DO97" s="510">
        <f>$B97*(1+Inputs!$D$451)^(DO$3-1)*DO$6*(DO$3&gt;0)</f>
        <v>0</v>
      </c>
      <c r="DP97" s="510">
        <f>$B97*(1+Inputs!$D$451)^(DP$3-1)*DP$6*(DP$3&gt;0)</f>
        <v>0</v>
      </c>
      <c r="DQ97" s="510">
        <f>$B97*(1+Inputs!$D$451)^(DQ$3-1)*DQ$6*(DQ$3&gt;0)</f>
        <v>0</v>
      </c>
      <c r="DR97" s="510">
        <f>$B97*(1+Inputs!$D$451)^(DR$3-1)*DR$6*(DR$3&gt;0)</f>
        <v>0</v>
      </c>
      <c r="DS97" s="510">
        <f>$B97*(1+Inputs!$D$451)^(DS$3-1)*DS$6*(DS$3&gt;0)</f>
        <v>0</v>
      </c>
      <c r="DT97" s="510">
        <f>$B97*(1+Inputs!$D$451)^(DT$3-1)*DT$6*(DT$3&gt;0)</f>
        <v>0</v>
      </c>
      <c r="DU97" s="510">
        <f>$B97*(1+Inputs!$D$451)^(DU$3-1)*DU$6*(DU$3&gt;0)</f>
        <v>0</v>
      </c>
      <c r="DV97" s="510">
        <f>$B97*(1+Inputs!$D$451)^(DV$3-1)*DV$6*(DV$3&gt;0)</f>
        <v>0</v>
      </c>
      <c r="DW97" s="510">
        <f>$B97*(1+Inputs!$D$451)^(DW$3-1)*DW$6*(DW$3&gt;0)</f>
        <v>0</v>
      </c>
    </row>
    <row r="98" spans="1:127">
      <c r="A98" s="304" t="s">
        <v>1283</v>
      </c>
      <c r="B98" s="1621">
        <f>CapEx!C113</f>
        <v>2024.4845</v>
      </c>
      <c r="C98" s="1618" t="s">
        <v>1284</v>
      </c>
      <c r="D98" s="1618"/>
      <c r="E98" s="510"/>
      <c r="F98" s="510"/>
      <c r="G98" s="510">
        <f t="shared" ref="G98:AL98" si="88">IF(G$3=0,$B$98,0)</f>
        <v>2024.4845</v>
      </c>
      <c r="H98" s="510">
        <f t="shared" si="88"/>
        <v>0</v>
      </c>
      <c r="I98" s="510">
        <f t="shared" si="88"/>
        <v>0</v>
      </c>
      <c r="J98" s="510">
        <f t="shared" si="88"/>
        <v>0</v>
      </c>
      <c r="K98" s="510">
        <f t="shared" si="88"/>
        <v>0</v>
      </c>
      <c r="L98" s="510">
        <f t="shared" si="88"/>
        <v>0</v>
      </c>
      <c r="M98" s="510">
        <f t="shared" si="88"/>
        <v>0</v>
      </c>
      <c r="N98" s="510">
        <f t="shared" si="88"/>
        <v>0</v>
      </c>
      <c r="O98" s="510">
        <f t="shared" si="88"/>
        <v>0</v>
      </c>
      <c r="P98" s="510">
        <f t="shared" si="88"/>
        <v>0</v>
      </c>
      <c r="Q98" s="510">
        <f t="shared" si="88"/>
        <v>0</v>
      </c>
      <c r="R98" s="510">
        <f t="shared" si="88"/>
        <v>0</v>
      </c>
      <c r="S98" s="510">
        <f t="shared" si="88"/>
        <v>0</v>
      </c>
      <c r="T98" s="510">
        <f t="shared" si="88"/>
        <v>0</v>
      </c>
      <c r="U98" s="510">
        <f t="shared" si="88"/>
        <v>0</v>
      </c>
      <c r="V98" s="510">
        <f t="shared" si="88"/>
        <v>0</v>
      </c>
      <c r="W98" s="510">
        <f t="shared" si="88"/>
        <v>0</v>
      </c>
      <c r="X98" s="510">
        <f t="shared" si="88"/>
        <v>0</v>
      </c>
      <c r="Y98" s="510">
        <f t="shared" si="88"/>
        <v>0</v>
      </c>
      <c r="Z98" s="510">
        <f t="shared" si="88"/>
        <v>0</v>
      </c>
      <c r="AA98" s="510">
        <f t="shared" si="88"/>
        <v>0</v>
      </c>
      <c r="AB98" s="510">
        <f t="shared" si="88"/>
        <v>0</v>
      </c>
      <c r="AC98" s="510">
        <f t="shared" si="88"/>
        <v>0</v>
      </c>
      <c r="AD98" s="510">
        <f t="shared" si="88"/>
        <v>0</v>
      </c>
      <c r="AE98" s="510">
        <f t="shared" si="88"/>
        <v>0</v>
      </c>
      <c r="AF98" s="510">
        <f t="shared" si="88"/>
        <v>0</v>
      </c>
      <c r="AG98" s="510">
        <f t="shared" si="88"/>
        <v>0</v>
      </c>
      <c r="AH98" s="510">
        <f t="shared" si="88"/>
        <v>0</v>
      </c>
      <c r="AI98" s="510">
        <f t="shared" si="88"/>
        <v>0</v>
      </c>
      <c r="AJ98" s="510">
        <f t="shared" si="88"/>
        <v>0</v>
      </c>
      <c r="AK98" s="510">
        <f t="shared" si="88"/>
        <v>0</v>
      </c>
      <c r="AL98" s="510">
        <f t="shared" si="88"/>
        <v>0</v>
      </c>
      <c r="AM98" s="510">
        <f t="shared" ref="AM98:BR98" si="89">IF(AM$3=0,$B$98,0)</f>
        <v>0</v>
      </c>
      <c r="AN98" s="510">
        <f t="shared" si="89"/>
        <v>0</v>
      </c>
      <c r="AO98" s="510">
        <f t="shared" si="89"/>
        <v>0</v>
      </c>
      <c r="AP98" s="510">
        <f t="shared" si="89"/>
        <v>0</v>
      </c>
      <c r="AQ98" s="510">
        <f t="shared" si="89"/>
        <v>0</v>
      </c>
      <c r="AR98" s="510">
        <f t="shared" si="89"/>
        <v>0</v>
      </c>
      <c r="AS98" s="510">
        <f t="shared" si="89"/>
        <v>0</v>
      </c>
      <c r="AT98" s="510">
        <f t="shared" si="89"/>
        <v>0</v>
      </c>
      <c r="AU98" s="510">
        <f t="shared" si="89"/>
        <v>0</v>
      </c>
      <c r="AV98" s="510">
        <f t="shared" si="89"/>
        <v>0</v>
      </c>
      <c r="AW98" s="510">
        <f t="shared" si="89"/>
        <v>0</v>
      </c>
      <c r="AX98" s="510">
        <f t="shared" si="89"/>
        <v>0</v>
      </c>
      <c r="AY98" s="510">
        <f t="shared" si="89"/>
        <v>0</v>
      </c>
      <c r="AZ98" s="510">
        <f t="shared" si="89"/>
        <v>0</v>
      </c>
      <c r="BA98" s="510">
        <f t="shared" si="89"/>
        <v>0</v>
      </c>
      <c r="BB98" s="510">
        <f t="shared" si="89"/>
        <v>0</v>
      </c>
      <c r="BC98" s="510">
        <f t="shared" si="89"/>
        <v>0</v>
      </c>
      <c r="BD98" s="510">
        <f t="shared" si="89"/>
        <v>0</v>
      </c>
      <c r="BE98" s="510">
        <f t="shared" si="89"/>
        <v>0</v>
      </c>
      <c r="BF98" s="510">
        <f t="shared" si="89"/>
        <v>0</v>
      </c>
      <c r="BG98" s="510">
        <f t="shared" si="89"/>
        <v>0</v>
      </c>
      <c r="BH98" s="510">
        <f t="shared" si="89"/>
        <v>0</v>
      </c>
      <c r="BI98" s="510">
        <f t="shared" si="89"/>
        <v>0</v>
      </c>
      <c r="BJ98" s="510">
        <f t="shared" si="89"/>
        <v>0</v>
      </c>
      <c r="BK98" s="510">
        <f t="shared" si="89"/>
        <v>0</v>
      </c>
      <c r="BL98" s="510">
        <f t="shared" si="89"/>
        <v>0</v>
      </c>
      <c r="BM98" s="510">
        <f t="shared" si="89"/>
        <v>0</v>
      </c>
      <c r="BN98" s="510">
        <f t="shared" si="89"/>
        <v>0</v>
      </c>
      <c r="BO98" s="510">
        <f t="shared" si="89"/>
        <v>0</v>
      </c>
      <c r="BP98" s="510">
        <f t="shared" si="89"/>
        <v>0</v>
      </c>
      <c r="BQ98" s="510">
        <f t="shared" si="89"/>
        <v>0</v>
      </c>
      <c r="BR98" s="510">
        <f t="shared" si="89"/>
        <v>0</v>
      </c>
      <c r="BS98" s="510">
        <f t="shared" ref="BS98:CX98" si="90">IF(BS$3=0,$B$98,0)</f>
        <v>0</v>
      </c>
      <c r="BT98" s="510">
        <f t="shared" si="90"/>
        <v>0</v>
      </c>
      <c r="BU98" s="510">
        <f t="shared" si="90"/>
        <v>0</v>
      </c>
      <c r="BV98" s="510">
        <f t="shared" si="90"/>
        <v>0</v>
      </c>
      <c r="BW98" s="510">
        <f t="shared" si="90"/>
        <v>0</v>
      </c>
      <c r="BX98" s="510">
        <f t="shared" si="90"/>
        <v>0</v>
      </c>
      <c r="BY98" s="510">
        <f t="shared" si="90"/>
        <v>0</v>
      </c>
      <c r="BZ98" s="510">
        <f t="shared" si="90"/>
        <v>0</v>
      </c>
      <c r="CA98" s="510">
        <f t="shared" si="90"/>
        <v>0</v>
      </c>
      <c r="CB98" s="510">
        <f t="shared" si="90"/>
        <v>0</v>
      </c>
      <c r="CC98" s="510">
        <f t="shared" si="90"/>
        <v>0</v>
      </c>
      <c r="CD98" s="510">
        <f t="shared" si="90"/>
        <v>0</v>
      </c>
      <c r="CE98" s="510">
        <f t="shared" si="90"/>
        <v>0</v>
      </c>
      <c r="CF98" s="510">
        <f t="shared" si="90"/>
        <v>0</v>
      </c>
      <c r="CG98" s="510">
        <f t="shared" si="90"/>
        <v>0</v>
      </c>
      <c r="CH98" s="510">
        <f t="shared" si="90"/>
        <v>0</v>
      </c>
      <c r="CI98" s="510">
        <f t="shared" si="90"/>
        <v>0</v>
      </c>
      <c r="CJ98" s="510">
        <f t="shared" si="90"/>
        <v>0</v>
      </c>
      <c r="CK98" s="510">
        <f t="shared" si="90"/>
        <v>0</v>
      </c>
      <c r="CL98" s="510">
        <f t="shared" si="90"/>
        <v>0</v>
      </c>
      <c r="CM98" s="510">
        <f t="shared" si="90"/>
        <v>0</v>
      </c>
      <c r="CN98" s="510">
        <f t="shared" si="90"/>
        <v>0</v>
      </c>
      <c r="CO98" s="510">
        <f t="shared" si="90"/>
        <v>0</v>
      </c>
      <c r="CP98" s="510">
        <f t="shared" si="90"/>
        <v>0</v>
      </c>
      <c r="CQ98" s="510">
        <f t="shared" si="90"/>
        <v>0</v>
      </c>
      <c r="CR98" s="510">
        <f t="shared" si="90"/>
        <v>0</v>
      </c>
      <c r="CS98" s="510">
        <f t="shared" si="90"/>
        <v>0</v>
      </c>
      <c r="CT98" s="510">
        <f t="shared" si="90"/>
        <v>0</v>
      </c>
      <c r="CU98" s="510">
        <f t="shared" si="90"/>
        <v>0</v>
      </c>
      <c r="CV98" s="510">
        <f t="shared" si="90"/>
        <v>0</v>
      </c>
      <c r="CW98" s="510">
        <f t="shared" si="90"/>
        <v>0</v>
      </c>
      <c r="CX98" s="510">
        <f t="shared" si="90"/>
        <v>0</v>
      </c>
      <c r="CY98" s="510">
        <f t="shared" ref="CY98:DW98" si="91">IF(CY$3=0,$B$98,0)</f>
        <v>0</v>
      </c>
      <c r="CZ98" s="510">
        <f t="shared" si="91"/>
        <v>0</v>
      </c>
      <c r="DA98" s="510">
        <f t="shared" si="91"/>
        <v>0</v>
      </c>
      <c r="DB98" s="510">
        <f t="shared" si="91"/>
        <v>0</v>
      </c>
      <c r="DC98" s="510">
        <f t="shared" si="91"/>
        <v>0</v>
      </c>
      <c r="DD98" s="510">
        <f t="shared" si="91"/>
        <v>0</v>
      </c>
      <c r="DE98" s="510">
        <f t="shared" si="91"/>
        <v>0</v>
      </c>
      <c r="DF98" s="510">
        <f t="shared" si="91"/>
        <v>0</v>
      </c>
      <c r="DG98" s="510">
        <f t="shared" si="91"/>
        <v>0</v>
      </c>
      <c r="DH98" s="510">
        <f t="shared" si="91"/>
        <v>0</v>
      </c>
      <c r="DI98" s="510">
        <f t="shared" si="91"/>
        <v>0</v>
      </c>
      <c r="DJ98" s="510">
        <f t="shared" si="91"/>
        <v>0</v>
      </c>
      <c r="DK98" s="510">
        <f t="shared" si="91"/>
        <v>0</v>
      </c>
      <c r="DL98" s="510">
        <f t="shared" si="91"/>
        <v>0</v>
      </c>
      <c r="DM98" s="510">
        <f t="shared" si="91"/>
        <v>0</v>
      </c>
      <c r="DN98" s="510">
        <f t="shared" si="91"/>
        <v>0</v>
      </c>
      <c r="DO98" s="510">
        <f t="shared" si="91"/>
        <v>0</v>
      </c>
      <c r="DP98" s="510">
        <f t="shared" si="91"/>
        <v>0</v>
      </c>
      <c r="DQ98" s="510">
        <f t="shared" si="91"/>
        <v>0</v>
      </c>
      <c r="DR98" s="510">
        <f t="shared" si="91"/>
        <v>0</v>
      </c>
      <c r="DS98" s="510">
        <f t="shared" si="91"/>
        <v>0</v>
      </c>
      <c r="DT98" s="510">
        <f t="shared" si="91"/>
        <v>0</v>
      </c>
      <c r="DU98" s="510">
        <f t="shared" si="91"/>
        <v>0</v>
      </c>
      <c r="DV98" s="510">
        <f t="shared" si="91"/>
        <v>0</v>
      </c>
      <c r="DW98" s="510">
        <f t="shared" si="91"/>
        <v>0</v>
      </c>
    </row>
    <row r="99" spans="1:127">
      <c r="A99" s="304" t="s">
        <v>1285</v>
      </c>
      <c r="B99" s="1621">
        <f>CapEx!C98</f>
        <v>1071.134</v>
      </c>
      <c r="C99" s="1618" t="s">
        <v>1284</v>
      </c>
      <c r="D99" s="1618"/>
      <c r="E99" s="510"/>
      <c r="F99" s="510"/>
      <c r="G99" s="510">
        <f t="shared" ref="G99:AL99" si="92">IF(OR(G$4=0,G$4=1),50%*$B$99,0)</f>
        <v>535.56700000000001</v>
      </c>
      <c r="H99" s="510">
        <f t="shared" si="92"/>
        <v>535.56700000000001</v>
      </c>
      <c r="I99" s="510">
        <f t="shared" si="92"/>
        <v>0</v>
      </c>
      <c r="J99" s="510">
        <f t="shared" si="92"/>
        <v>0</v>
      </c>
      <c r="K99" s="510">
        <f t="shared" si="92"/>
        <v>0</v>
      </c>
      <c r="L99" s="510">
        <f t="shared" si="92"/>
        <v>0</v>
      </c>
      <c r="M99" s="510">
        <f t="shared" si="92"/>
        <v>0</v>
      </c>
      <c r="N99" s="510">
        <f t="shared" si="92"/>
        <v>0</v>
      </c>
      <c r="O99" s="510">
        <f t="shared" si="92"/>
        <v>0</v>
      </c>
      <c r="P99" s="510">
        <f t="shared" si="92"/>
        <v>0</v>
      </c>
      <c r="Q99" s="510">
        <f t="shared" si="92"/>
        <v>0</v>
      </c>
      <c r="R99" s="510">
        <f t="shared" si="92"/>
        <v>0</v>
      </c>
      <c r="S99" s="510">
        <f t="shared" si="92"/>
        <v>0</v>
      </c>
      <c r="T99" s="510">
        <f t="shared" si="92"/>
        <v>0</v>
      </c>
      <c r="U99" s="510">
        <f t="shared" si="92"/>
        <v>0</v>
      </c>
      <c r="V99" s="510">
        <f t="shared" si="92"/>
        <v>0</v>
      </c>
      <c r="W99" s="510">
        <f t="shared" si="92"/>
        <v>0</v>
      </c>
      <c r="X99" s="510">
        <f t="shared" si="92"/>
        <v>0</v>
      </c>
      <c r="Y99" s="510">
        <f t="shared" si="92"/>
        <v>0</v>
      </c>
      <c r="Z99" s="510">
        <f t="shared" si="92"/>
        <v>0</v>
      </c>
      <c r="AA99" s="510">
        <f t="shared" si="92"/>
        <v>0</v>
      </c>
      <c r="AB99" s="510">
        <f t="shared" si="92"/>
        <v>0</v>
      </c>
      <c r="AC99" s="510">
        <f t="shared" si="92"/>
        <v>0</v>
      </c>
      <c r="AD99" s="510">
        <f t="shared" si="92"/>
        <v>0</v>
      </c>
      <c r="AE99" s="510">
        <f t="shared" si="92"/>
        <v>0</v>
      </c>
      <c r="AF99" s="510">
        <f t="shared" si="92"/>
        <v>0</v>
      </c>
      <c r="AG99" s="510">
        <f t="shared" si="92"/>
        <v>0</v>
      </c>
      <c r="AH99" s="510">
        <f t="shared" si="92"/>
        <v>0</v>
      </c>
      <c r="AI99" s="510">
        <f t="shared" si="92"/>
        <v>0</v>
      </c>
      <c r="AJ99" s="510">
        <f t="shared" si="92"/>
        <v>0</v>
      </c>
      <c r="AK99" s="510">
        <f t="shared" si="92"/>
        <v>0</v>
      </c>
      <c r="AL99" s="510">
        <f t="shared" si="92"/>
        <v>0</v>
      </c>
      <c r="AM99" s="510">
        <f t="shared" ref="AM99:BR99" si="93">IF(OR(AM$4=0,AM$4=1),50%*$B$99,0)</f>
        <v>0</v>
      </c>
      <c r="AN99" s="510">
        <f t="shared" si="93"/>
        <v>0</v>
      </c>
      <c r="AO99" s="510">
        <f t="shared" si="93"/>
        <v>0</v>
      </c>
      <c r="AP99" s="510">
        <f t="shared" si="93"/>
        <v>0</v>
      </c>
      <c r="AQ99" s="510">
        <f t="shared" si="93"/>
        <v>0</v>
      </c>
      <c r="AR99" s="510">
        <f t="shared" si="93"/>
        <v>0</v>
      </c>
      <c r="AS99" s="510">
        <f t="shared" si="93"/>
        <v>0</v>
      </c>
      <c r="AT99" s="510">
        <f t="shared" si="93"/>
        <v>0</v>
      </c>
      <c r="AU99" s="510">
        <f t="shared" si="93"/>
        <v>0</v>
      </c>
      <c r="AV99" s="510">
        <f t="shared" si="93"/>
        <v>0</v>
      </c>
      <c r="AW99" s="510">
        <f t="shared" si="93"/>
        <v>0</v>
      </c>
      <c r="AX99" s="510">
        <f t="shared" si="93"/>
        <v>0</v>
      </c>
      <c r="AY99" s="510">
        <f t="shared" si="93"/>
        <v>0</v>
      </c>
      <c r="AZ99" s="510">
        <f t="shared" si="93"/>
        <v>0</v>
      </c>
      <c r="BA99" s="510">
        <f t="shared" si="93"/>
        <v>0</v>
      </c>
      <c r="BB99" s="510">
        <f t="shared" si="93"/>
        <v>0</v>
      </c>
      <c r="BC99" s="510">
        <f t="shared" si="93"/>
        <v>0</v>
      </c>
      <c r="BD99" s="510">
        <f t="shared" si="93"/>
        <v>0</v>
      </c>
      <c r="BE99" s="510">
        <f t="shared" si="93"/>
        <v>0</v>
      </c>
      <c r="BF99" s="510">
        <f t="shared" si="93"/>
        <v>0</v>
      </c>
      <c r="BG99" s="510">
        <f t="shared" si="93"/>
        <v>0</v>
      </c>
      <c r="BH99" s="510">
        <f t="shared" si="93"/>
        <v>0</v>
      </c>
      <c r="BI99" s="510">
        <f t="shared" si="93"/>
        <v>0</v>
      </c>
      <c r="BJ99" s="510">
        <f t="shared" si="93"/>
        <v>0</v>
      </c>
      <c r="BK99" s="510">
        <f t="shared" si="93"/>
        <v>0</v>
      </c>
      <c r="BL99" s="510">
        <f t="shared" si="93"/>
        <v>0</v>
      </c>
      <c r="BM99" s="510">
        <f t="shared" si="93"/>
        <v>0</v>
      </c>
      <c r="BN99" s="510">
        <f t="shared" si="93"/>
        <v>0</v>
      </c>
      <c r="BO99" s="510">
        <f t="shared" si="93"/>
        <v>0</v>
      </c>
      <c r="BP99" s="510">
        <f t="shared" si="93"/>
        <v>0</v>
      </c>
      <c r="BQ99" s="510">
        <f t="shared" si="93"/>
        <v>0</v>
      </c>
      <c r="BR99" s="510">
        <f t="shared" si="93"/>
        <v>0</v>
      </c>
      <c r="BS99" s="510">
        <f t="shared" ref="BS99:CX99" si="94">IF(OR(BS$4=0,BS$4=1),50%*$B$99,0)</f>
        <v>0</v>
      </c>
      <c r="BT99" s="510">
        <f t="shared" si="94"/>
        <v>0</v>
      </c>
      <c r="BU99" s="510">
        <f t="shared" si="94"/>
        <v>0</v>
      </c>
      <c r="BV99" s="510">
        <f t="shared" si="94"/>
        <v>0</v>
      </c>
      <c r="BW99" s="510">
        <f t="shared" si="94"/>
        <v>0</v>
      </c>
      <c r="BX99" s="510">
        <f t="shared" si="94"/>
        <v>0</v>
      </c>
      <c r="BY99" s="510">
        <f t="shared" si="94"/>
        <v>0</v>
      </c>
      <c r="BZ99" s="510">
        <f t="shared" si="94"/>
        <v>0</v>
      </c>
      <c r="CA99" s="510">
        <f t="shared" si="94"/>
        <v>0</v>
      </c>
      <c r="CB99" s="510">
        <f t="shared" si="94"/>
        <v>0</v>
      </c>
      <c r="CC99" s="510">
        <f t="shared" si="94"/>
        <v>0</v>
      </c>
      <c r="CD99" s="510">
        <f t="shared" si="94"/>
        <v>0</v>
      </c>
      <c r="CE99" s="510">
        <f t="shared" si="94"/>
        <v>0</v>
      </c>
      <c r="CF99" s="510">
        <f t="shared" si="94"/>
        <v>0</v>
      </c>
      <c r="CG99" s="510">
        <f t="shared" si="94"/>
        <v>0</v>
      </c>
      <c r="CH99" s="510">
        <f t="shared" si="94"/>
        <v>0</v>
      </c>
      <c r="CI99" s="510">
        <f t="shared" si="94"/>
        <v>0</v>
      </c>
      <c r="CJ99" s="510">
        <f t="shared" si="94"/>
        <v>0</v>
      </c>
      <c r="CK99" s="510">
        <f t="shared" si="94"/>
        <v>0</v>
      </c>
      <c r="CL99" s="510">
        <f t="shared" si="94"/>
        <v>0</v>
      </c>
      <c r="CM99" s="510">
        <f t="shared" si="94"/>
        <v>0</v>
      </c>
      <c r="CN99" s="510">
        <f t="shared" si="94"/>
        <v>0</v>
      </c>
      <c r="CO99" s="510">
        <f t="shared" si="94"/>
        <v>0</v>
      </c>
      <c r="CP99" s="510">
        <f t="shared" si="94"/>
        <v>0</v>
      </c>
      <c r="CQ99" s="510">
        <f t="shared" si="94"/>
        <v>0</v>
      </c>
      <c r="CR99" s="510">
        <f t="shared" si="94"/>
        <v>0</v>
      </c>
      <c r="CS99" s="510">
        <f t="shared" si="94"/>
        <v>0</v>
      </c>
      <c r="CT99" s="510">
        <f t="shared" si="94"/>
        <v>0</v>
      </c>
      <c r="CU99" s="510">
        <f t="shared" si="94"/>
        <v>0</v>
      </c>
      <c r="CV99" s="510">
        <f t="shared" si="94"/>
        <v>0</v>
      </c>
      <c r="CW99" s="510">
        <f t="shared" si="94"/>
        <v>0</v>
      </c>
      <c r="CX99" s="510">
        <f t="shared" si="94"/>
        <v>0</v>
      </c>
      <c r="CY99" s="510">
        <f t="shared" ref="CY99:DW99" si="95">IF(OR(CY$4=0,CY$4=1),50%*$B$99,0)</f>
        <v>0</v>
      </c>
      <c r="CZ99" s="510">
        <f t="shared" si="95"/>
        <v>0</v>
      </c>
      <c r="DA99" s="510">
        <f t="shared" si="95"/>
        <v>0</v>
      </c>
      <c r="DB99" s="510">
        <f t="shared" si="95"/>
        <v>0</v>
      </c>
      <c r="DC99" s="510">
        <f t="shared" si="95"/>
        <v>0</v>
      </c>
      <c r="DD99" s="510">
        <f t="shared" si="95"/>
        <v>0</v>
      </c>
      <c r="DE99" s="510">
        <f t="shared" si="95"/>
        <v>0</v>
      </c>
      <c r="DF99" s="510">
        <f t="shared" si="95"/>
        <v>0</v>
      </c>
      <c r="DG99" s="510">
        <f t="shared" si="95"/>
        <v>0</v>
      </c>
      <c r="DH99" s="510">
        <f t="shared" si="95"/>
        <v>0</v>
      </c>
      <c r="DI99" s="510">
        <f t="shared" si="95"/>
        <v>0</v>
      </c>
      <c r="DJ99" s="510">
        <f t="shared" si="95"/>
        <v>0</v>
      </c>
      <c r="DK99" s="510">
        <f t="shared" si="95"/>
        <v>0</v>
      </c>
      <c r="DL99" s="510">
        <f t="shared" si="95"/>
        <v>0</v>
      </c>
      <c r="DM99" s="510">
        <f t="shared" si="95"/>
        <v>0</v>
      </c>
      <c r="DN99" s="510">
        <f t="shared" si="95"/>
        <v>0</v>
      </c>
      <c r="DO99" s="510">
        <f t="shared" si="95"/>
        <v>0</v>
      </c>
      <c r="DP99" s="510">
        <f t="shared" si="95"/>
        <v>0</v>
      </c>
      <c r="DQ99" s="510">
        <f t="shared" si="95"/>
        <v>0</v>
      </c>
      <c r="DR99" s="510">
        <f t="shared" si="95"/>
        <v>0</v>
      </c>
      <c r="DS99" s="510">
        <f t="shared" si="95"/>
        <v>0</v>
      </c>
      <c r="DT99" s="510">
        <f t="shared" si="95"/>
        <v>0</v>
      </c>
      <c r="DU99" s="510">
        <f t="shared" si="95"/>
        <v>0</v>
      </c>
      <c r="DV99" s="510">
        <f t="shared" si="95"/>
        <v>0</v>
      </c>
      <c r="DW99" s="510">
        <f t="shared" si="95"/>
        <v>0</v>
      </c>
    </row>
    <row r="100" spans="1:127">
      <c r="A100" s="304" t="s">
        <v>1286</v>
      </c>
      <c r="B100" s="1621">
        <f>CapEx!C114</f>
        <v>0</v>
      </c>
      <c r="C100" s="1618" t="s">
        <v>1284</v>
      </c>
      <c r="D100" s="1618"/>
      <c r="E100" s="510"/>
      <c r="F100" s="510"/>
      <c r="G100" s="510">
        <f t="shared" ref="G100:AL100" si="96">IF(G$3=0,$B$100,0)</f>
        <v>0</v>
      </c>
      <c r="H100" s="510">
        <f t="shared" si="96"/>
        <v>0</v>
      </c>
      <c r="I100" s="510">
        <f t="shared" si="96"/>
        <v>0</v>
      </c>
      <c r="J100" s="510">
        <f t="shared" si="96"/>
        <v>0</v>
      </c>
      <c r="K100" s="510">
        <f t="shared" si="96"/>
        <v>0</v>
      </c>
      <c r="L100" s="510">
        <f t="shared" si="96"/>
        <v>0</v>
      </c>
      <c r="M100" s="510">
        <f t="shared" si="96"/>
        <v>0</v>
      </c>
      <c r="N100" s="510">
        <f t="shared" si="96"/>
        <v>0</v>
      </c>
      <c r="O100" s="510">
        <f t="shared" si="96"/>
        <v>0</v>
      </c>
      <c r="P100" s="510">
        <f t="shared" si="96"/>
        <v>0</v>
      </c>
      <c r="Q100" s="510">
        <f t="shared" si="96"/>
        <v>0</v>
      </c>
      <c r="R100" s="510">
        <f t="shared" si="96"/>
        <v>0</v>
      </c>
      <c r="S100" s="510">
        <f t="shared" si="96"/>
        <v>0</v>
      </c>
      <c r="T100" s="510">
        <f t="shared" si="96"/>
        <v>0</v>
      </c>
      <c r="U100" s="510">
        <f t="shared" si="96"/>
        <v>0</v>
      </c>
      <c r="V100" s="510">
        <f t="shared" si="96"/>
        <v>0</v>
      </c>
      <c r="W100" s="510">
        <f t="shared" si="96"/>
        <v>0</v>
      </c>
      <c r="X100" s="510">
        <f t="shared" si="96"/>
        <v>0</v>
      </c>
      <c r="Y100" s="510">
        <f t="shared" si="96"/>
        <v>0</v>
      </c>
      <c r="Z100" s="510">
        <f t="shared" si="96"/>
        <v>0</v>
      </c>
      <c r="AA100" s="510">
        <f t="shared" si="96"/>
        <v>0</v>
      </c>
      <c r="AB100" s="510">
        <f t="shared" si="96"/>
        <v>0</v>
      </c>
      <c r="AC100" s="510">
        <f t="shared" si="96"/>
        <v>0</v>
      </c>
      <c r="AD100" s="510">
        <f t="shared" si="96"/>
        <v>0</v>
      </c>
      <c r="AE100" s="510">
        <f t="shared" si="96"/>
        <v>0</v>
      </c>
      <c r="AF100" s="510">
        <f t="shared" si="96"/>
        <v>0</v>
      </c>
      <c r="AG100" s="510">
        <f t="shared" si="96"/>
        <v>0</v>
      </c>
      <c r="AH100" s="510">
        <f t="shared" si="96"/>
        <v>0</v>
      </c>
      <c r="AI100" s="510">
        <f t="shared" si="96"/>
        <v>0</v>
      </c>
      <c r="AJ100" s="510">
        <f t="shared" si="96"/>
        <v>0</v>
      </c>
      <c r="AK100" s="510">
        <f t="shared" si="96"/>
        <v>0</v>
      </c>
      <c r="AL100" s="510">
        <f t="shared" si="96"/>
        <v>0</v>
      </c>
      <c r="AM100" s="510">
        <f t="shared" ref="AM100:BR100" si="97">IF(AM$3=0,$B$100,0)</f>
        <v>0</v>
      </c>
      <c r="AN100" s="510">
        <f t="shared" si="97"/>
        <v>0</v>
      </c>
      <c r="AO100" s="510">
        <f t="shared" si="97"/>
        <v>0</v>
      </c>
      <c r="AP100" s="510">
        <f t="shared" si="97"/>
        <v>0</v>
      </c>
      <c r="AQ100" s="510">
        <f t="shared" si="97"/>
        <v>0</v>
      </c>
      <c r="AR100" s="510">
        <f t="shared" si="97"/>
        <v>0</v>
      </c>
      <c r="AS100" s="510">
        <f t="shared" si="97"/>
        <v>0</v>
      </c>
      <c r="AT100" s="510">
        <f t="shared" si="97"/>
        <v>0</v>
      </c>
      <c r="AU100" s="510">
        <f t="shared" si="97"/>
        <v>0</v>
      </c>
      <c r="AV100" s="510">
        <f t="shared" si="97"/>
        <v>0</v>
      </c>
      <c r="AW100" s="510">
        <f t="shared" si="97"/>
        <v>0</v>
      </c>
      <c r="AX100" s="510">
        <f t="shared" si="97"/>
        <v>0</v>
      </c>
      <c r="AY100" s="510">
        <f t="shared" si="97"/>
        <v>0</v>
      </c>
      <c r="AZ100" s="510">
        <f t="shared" si="97"/>
        <v>0</v>
      </c>
      <c r="BA100" s="510">
        <f t="shared" si="97"/>
        <v>0</v>
      </c>
      <c r="BB100" s="510">
        <f t="shared" si="97"/>
        <v>0</v>
      </c>
      <c r="BC100" s="510">
        <f t="shared" si="97"/>
        <v>0</v>
      </c>
      <c r="BD100" s="510">
        <f t="shared" si="97"/>
        <v>0</v>
      </c>
      <c r="BE100" s="510">
        <f t="shared" si="97"/>
        <v>0</v>
      </c>
      <c r="BF100" s="510">
        <f t="shared" si="97"/>
        <v>0</v>
      </c>
      <c r="BG100" s="510">
        <f t="shared" si="97"/>
        <v>0</v>
      </c>
      <c r="BH100" s="510">
        <f t="shared" si="97"/>
        <v>0</v>
      </c>
      <c r="BI100" s="510">
        <f t="shared" si="97"/>
        <v>0</v>
      </c>
      <c r="BJ100" s="510">
        <f t="shared" si="97"/>
        <v>0</v>
      </c>
      <c r="BK100" s="510">
        <f t="shared" si="97"/>
        <v>0</v>
      </c>
      <c r="BL100" s="510">
        <f t="shared" si="97"/>
        <v>0</v>
      </c>
      <c r="BM100" s="510">
        <f t="shared" si="97"/>
        <v>0</v>
      </c>
      <c r="BN100" s="510">
        <f t="shared" si="97"/>
        <v>0</v>
      </c>
      <c r="BO100" s="510">
        <f t="shared" si="97"/>
        <v>0</v>
      </c>
      <c r="BP100" s="510">
        <f t="shared" si="97"/>
        <v>0</v>
      </c>
      <c r="BQ100" s="510">
        <f t="shared" si="97"/>
        <v>0</v>
      </c>
      <c r="BR100" s="510">
        <f t="shared" si="97"/>
        <v>0</v>
      </c>
      <c r="BS100" s="510">
        <f t="shared" ref="BS100:CX100" si="98">IF(BS$3=0,$B$100,0)</f>
        <v>0</v>
      </c>
      <c r="BT100" s="510">
        <f t="shared" si="98"/>
        <v>0</v>
      </c>
      <c r="BU100" s="510">
        <f t="shared" si="98"/>
        <v>0</v>
      </c>
      <c r="BV100" s="510">
        <f t="shared" si="98"/>
        <v>0</v>
      </c>
      <c r="BW100" s="510">
        <f t="shared" si="98"/>
        <v>0</v>
      </c>
      <c r="BX100" s="510">
        <f t="shared" si="98"/>
        <v>0</v>
      </c>
      <c r="BY100" s="510">
        <f t="shared" si="98"/>
        <v>0</v>
      </c>
      <c r="BZ100" s="510">
        <f t="shared" si="98"/>
        <v>0</v>
      </c>
      <c r="CA100" s="510">
        <f t="shared" si="98"/>
        <v>0</v>
      </c>
      <c r="CB100" s="510">
        <f t="shared" si="98"/>
        <v>0</v>
      </c>
      <c r="CC100" s="510">
        <f t="shared" si="98"/>
        <v>0</v>
      </c>
      <c r="CD100" s="510">
        <f t="shared" si="98"/>
        <v>0</v>
      </c>
      <c r="CE100" s="510">
        <f t="shared" si="98"/>
        <v>0</v>
      </c>
      <c r="CF100" s="510">
        <f t="shared" si="98"/>
        <v>0</v>
      </c>
      <c r="CG100" s="510">
        <f t="shared" si="98"/>
        <v>0</v>
      </c>
      <c r="CH100" s="510">
        <f t="shared" si="98"/>
        <v>0</v>
      </c>
      <c r="CI100" s="510">
        <f t="shared" si="98"/>
        <v>0</v>
      </c>
      <c r="CJ100" s="510">
        <f t="shared" si="98"/>
        <v>0</v>
      </c>
      <c r="CK100" s="510">
        <f t="shared" si="98"/>
        <v>0</v>
      </c>
      <c r="CL100" s="510">
        <f t="shared" si="98"/>
        <v>0</v>
      </c>
      <c r="CM100" s="510">
        <f t="shared" si="98"/>
        <v>0</v>
      </c>
      <c r="CN100" s="510">
        <f t="shared" si="98"/>
        <v>0</v>
      </c>
      <c r="CO100" s="510">
        <f t="shared" si="98"/>
        <v>0</v>
      </c>
      <c r="CP100" s="510">
        <f t="shared" si="98"/>
        <v>0</v>
      </c>
      <c r="CQ100" s="510">
        <f t="shared" si="98"/>
        <v>0</v>
      </c>
      <c r="CR100" s="510">
        <f t="shared" si="98"/>
        <v>0</v>
      </c>
      <c r="CS100" s="510">
        <f t="shared" si="98"/>
        <v>0</v>
      </c>
      <c r="CT100" s="510">
        <f t="shared" si="98"/>
        <v>0</v>
      </c>
      <c r="CU100" s="510">
        <f t="shared" si="98"/>
        <v>0</v>
      </c>
      <c r="CV100" s="510">
        <f t="shared" si="98"/>
        <v>0</v>
      </c>
      <c r="CW100" s="510">
        <f t="shared" si="98"/>
        <v>0</v>
      </c>
      <c r="CX100" s="510">
        <f t="shared" si="98"/>
        <v>0</v>
      </c>
      <c r="CY100" s="510">
        <f t="shared" ref="CY100:DW100" si="99">IF(CY$3=0,$B$100,0)</f>
        <v>0</v>
      </c>
      <c r="CZ100" s="510">
        <f t="shared" si="99"/>
        <v>0</v>
      </c>
      <c r="DA100" s="510">
        <f t="shared" si="99"/>
        <v>0</v>
      </c>
      <c r="DB100" s="510">
        <f t="shared" si="99"/>
        <v>0</v>
      </c>
      <c r="DC100" s="510">
        <f t="shared" si="99"/>
        <v>0</v>
      </c>
      <c r="DD100" s="510">
        <f t="shared" si="99"/>
        <v>0</v>
      </c>
      <c r="DE100" s="510">
        <f t="shared" si="99"/>
        <v>0</v>
      </c>
      <c r="DF100" s="510">
        <f t="shared" si="99"/>
        <v>0</v>
      </c>
      <c r="DG100" s="510">
        <f t="shared" si="99"/>
        <v>0</v>
      </c>
      <c r="DH100" s="510">
        <f t="shared" si="99"/>
        <v>0</v>
      </c>
      <c r="DI100" s="510">
        <f t="shared" si="99"/>
        <v>0</v>
      </c>
      <c r="DJ100" s="510">
        <f t="shared" si="99"/>
        <v>0</v>
      </c>
      <c r="DK100" s="510">
        <f t="shared" si="99"/>
        <v>0</v>
      </c>
      <c r="DL100" s="510">
        <f t="shared" si="99"/>
        <v>0</v>
      </c>
      <c r="DM100" s="510">
        <f t="shared" si="99"/>
        <v>0</v>
      </c>
      <c r="DN100" s="510">
        <f t="shared" si="99"/>
        <v>0</v>
      </c>
      <c r="DO100" s="510">
        <f t="shared" si="99"/>
        <v>0</v>
      </c>
      <c r="DP100" s="510">
        <f t="shared" si="99"/>
        <v>0</v>
      </c>
      <c r="DQ100" s="510">
        <f t="shared" si="99"/>
        <v>0</v>
      </c>
      <c r="DR100" s="510">
        <f t="shared" si="99"/>
        <v>0</v>
      </c>
      <c r="DS100" s="510">
        <f t="shared" si="99"/>
        <v>0</v>
      </c>
      <c r="DT100" s="510">
        <f t="shared" si="99"/>
        <v>0</v>
      </c>
      <c r="DU100" s="510">
        <f t="shared" si="99"/>
        <v>0</v>
      </c>
      <c r="DV100" s="510">
        <f t="shared" si="99"/>
        <v>0</v>
      </c>
      <c r="DW100" s="510">
        <f t="shared" si="99"/>
        <v>0</v>
      </c>
    </row>
    <row r="101" spans="1:127">
      <c r="A101" s="304" t="s">
        <v>1287</v>
      </c>
      <c r="B101" s="1636">
        <f>CapEx!C7</f>
        <v>10912.7</v>
      </c>
      <c r="C101" s="1618" t="s">
        <v>1284</v>
      </c>
      <c r="D101" s="1637">
        <v>0.06</v>
      </c>
      <c r="E101" s="510"/>
      <c r="F101" s="510"/>
      <c r="G101" s="510">
        <f t="shared" ref="G101:AL101" si="100">IF(G$3=0,$B$101*$D$101,0)</f>
        <v>654.76200000000006</v>
      </c>
      <c r="H101" s="510">
        <f t="shared" si="100"/>
        <v>0</v>
      </c>
      <c r="I101" s="510">
        <f t="shared" si="100"/>
        <v>0</v>
      </c>
      <c r="J101" s="510">
        <f t="shared" si="100"/>
        <v>0</v>
      </c>
      <c r="K101" s="510">
        <f t="shared" si="100"/>
        <v>0</v>
      </c>
      <c r="L101" s="510">
        <f t="shared" si="100"/>
        <v>0</v>
      </c>
      <c r="M101" s="510">
        <f t="shared" si="100"/>
        <v>0</v>
      </c>
      <c r="N101" s="510">
        <f t="shared" si="100"/>
        <v>0</v>
      </c>
      <c r="O101" s="510">
        <f t="shared" si="100"/>
        <v>0</v>
      </c>
      <c r="P101" s="510">
        <f t="shared" si="100"/>
        <v>0</v>
      </c>
      <c r="Q101" s="510">
        <f t="shared" si="100"/>
        <v>0</v>
      </c>
      <c r="R101" s="510">
        <f t="shared" si="100"/>
        <v>0</v>
      </c>
      <c r="S101" s="510">
        <f t="shared" si="100"/>
        <v>0</v>
      </c>
      <c r="T101" s="510">
        <f t="shared" si="100"/>
        <v>0</v>
      </c>
      <c r="U101" s="510">
        <f t="shared" si="100"/>
        <v>0</v>
      </c>
      <c r="V101" s="510">
        <f t="shared" si="100"/>
        <v>0</v>
      </c>
      <c r="W101" s="510">
        <f t="shared" si="100"/>
        <v>0</v>
      </c>
      <c r="X101" s="510">
        <f t="shared" si="100"/>
        <v>0</v>
      </c>
      <c r="Y101" s="510">
        <f t="shared" si="100"/>
        <v>0</v>
      </c>
      <c r="Z101" s="510">
        <f t="shared" si="100"/>
        <v>0</v>
      </c>
      <c r="AA101" s="510">
        <f t="shared" si="100"/>
        <v>0</v>
      </c>
      <c r="AB101" s="510">
        <f t="shared" si="100"/>
        <v>0</v>
      </c>
      <c r="AC101" s="510">
        <f t="shared" si="100"/>
        <v>0</v>
      </c>
      <c r="AD101" s="510">
        <f t="shared" si="100"/>
        <v>0</v>
      </c>
      <c r="AE101" s="510">
        <f t="shared" si="100"/>
        <v>0</v>
      </c>
      <c r="AF101" s="510">
        <f t="shared" si="100"/>
        <v>0</v>
      </c>
      <c r="AG101" s="510">
        <f t="shared" si="100"/>
        <v>0</v>
      </c>
      <c r="AH101" s="510">
        <f t="shared" si="100"/>
        <v>0</v>
      </c>
      <c r="AI101" s="510">
        <f t="shared" si="100"/>
        <v>0</v>
      </c>
      <c r="AJ101" s="510">
        <f t="shared" si="100"/>
        <v>0</v>
      </c>
      <c r="AK101" s="510">
        <f t="shared" si="100"/>
        <v>0</v>
      </c>
      <c r="AL101" s="510">
        <f t="shared" si="100"/>
        <v>0</v>
      </c>
      <c r="AM101" s="510">
        <f t="shared" ref="AM101:BR101" si="101">IF(AM$3=0,$B$101*$D$101,0)</f>
        <v>0</v>
      </c>
      <c r="AN101" s="510">
        <f t="shared" si="101"/>
        <v>0</v>
      </c>
      <c r="AO101" s="510">
        <f t="shared" si="101"/>
        <v>0</v>
      </c>
      <c r="AP101" s="510">
        <f t="shared" si="101"/>
        <v>0</v>
      </c>
      <c r="AQ101" s="510">
        <f t="shared" si="101"/>
        <v>0</v>
      </c>
      <c r="AR101" s="510">
        <f t="shared" si="101"/>
        <v>0</v>
      </c>
      <c r="AS101" s="510">
        <f t="shared" si="101"/>
        <v>0</v>
      </c>
      <c r="AT101" s="510">
        <f t="shared" si="101"/>
        <v>0</v>
      </c>
      <c r="AU101" s="510">
        <f t="shared" si="101"/>
        <v>0</v>
      </c>
      <c r="AV101" s="510">
        <f t="shared" si="101"/>
        <v>0</v>
      </c>
      <c r="AW101" s="510">
        <f t="shared" si="101"/>
        <v>0</v>
      </c>
      <c r="AX101" s="510">
        <f t="shared" si="101"/>
        <v>0</v>
      </c>
      <c r="AY101" s="510">
        <f t="shared" si="101"/>
        <v>0</v>
      </c>
      <c r="AZ101" s="510">
        <f t="shared" si="101"/>
        <v>0</v>
      </c>
      <c r="BA101" s="510">
        <f t="shared" si="101"/>
        <v>0</v>
      </c>
      <c r="BB101" s="510">
        <f t="shared" si="101"/>
        <v>0</v>
      </c>
      <c r="BC101" s="510">
        <f t="shared" si="101"/>
        <v>0</v>
      </c>
      <c r="BD101" s="510">
        <f t="shared" si="101"/>
        <v>0</v>
      </c>
      <c r="BE101" s="510">
        <f t="shared" si="101"/>
        <v>0</v>
      </c>
      <c r="BF101" s="510">
        <f t="shared" si="101"/>
        <v>0</v>
      </c>
      <c r="BG101" s="510">
        <f t="shared" si="101"/>
        <v>0</v>
      </c>
      <c r="BH101" s="510">
        <f t="shared" si="101"/>
        <v>0</v>
      </c>
      <c r="BI101" s="510">
        <f t="shared" si="101"/>
        <v>0</v>
      </c>
      <c r="BJ101" s="510">
        <f t="shared" si="101"/>
        <v>0</v>
      </c>
      <c r="BK101" s="510">
        <f t="shared" si="101"/>
        <v>0</v>
      </c>
      <c r="BL101" s="510">
        <f t="shared" si="101"/>
        <v>0</v>
      </c>
      <c r="BM101" s="510">
        <f t="shared" si="101"/>
        <v>0</v>
      </c>
      <c r="BN101" s="510">
        <f t="shared" si="101"/>
        <v>0</v>
      </c>
      <c r="BO101" s="510">
        <f t="shared" si="101"/>
        <v>0</v>
      </c>
      <c r="BP101" s="510">
        <f t="shared" si="101"/>
        <v>0</v>
      </c>
      <c r="BQ101" s="510">
        <f t="shared" si="101"/>
        <v>0</v>
      </c>
      <c r="BR101" s="510">
        <f t="shared" si="101"/>
        <v>0</v>
      </c>
      <c r="BS101" s="510">
        <f t="shared" ref="BS101:CX101" si="102">IF(BS$3=0,$B$101*$D$101,0)</f>
        <v>0</v>
      </c>
      <c r="BT101" s="510">
        <f t="shared" si="102"/>
        <v>0</v>
      </c>
      <c r="BU101" s="510">
        <f t="shared" si="102"/>
        <v>0</v>
      </c>
      <c r="BV101" s="510">
        <f t="shared" si="102"/>
        <v>0</v>
      </c>
      <c r="BW101" s="510">
        <f t="shared" si="102"/>
        <v>0</v>
      </c>
      <c r="BX101" s="510">
        <f t="shared" si="102"/>
        <v>0</v>
      </c>
      <c r="BY101" s="510">
        <f t="shared" si="102"/>
        <v>0</v>
      </c>
      <c r="BZ101" s="510">
        <f t="shared" si="102"/>
        <v>0</v>
      </c>
      <c r="CA101" s="510">
        <f t="shared" si="102"/>
        <v>0</v>
      </c>
      <c r="CB101" s="510">
        <f t="shared" si="102"/>
        <v>0</v>
      </c>
      <c r="CC101" s="510">
        <f t="shared" si="102"/>
        <v>0</v>
      </c>
      <c r="CD101" s="510">
        <f t="shared" si="102"/>
        <v>0</v>
      </c>
      <c r="CE101" s="510">
        <f t="shared" si="102"/>
        <v>0</v>
      </c>
      <c r="CF101" s="510">
        <f t="shared" si="102"/>
        <v>0</v>
      </c>
      <c r="CG101" s="510">
        <f t="shared" si="102"/>
        <v>0</v>
      </c>
      <c r="CH101" s="510">
        <f t="shared" si="102"/>
        <v>0</v>
      </c>
      <c r="CI101" s="510">
        <f t="shared" si="102"/>
        <v>0</v>
      </c>
      <c r="CJ101" s="510">
        <f t="shared" si="102"/>
        <v>0</v>
      </c>
      <c r="CK101" s="510">
        <f t="shared" si="102"/>
        <v>0</v>
      </c>
      <c r="CL101" s="510">
        <f t="shared" si="102"/>
        <v>0</v>
      </c>
      <c r="CM101" s="510">
        <f t="shared" si="102"/>
        <v>0</v>
      </c>
      <c r="CN101" s="510">
        <f t="shared" si="102"/>
        <v>0</v>
      </c>
      <c r="CO101" s="510">
        <f t="shared" si="102"/>
        <v>0</v>
      </c>
      <c r="CP101" s="510">
        <f t="shared" si="102"/>
        <v>0</v>
      </c>
      <c r="CQ101" s="510">
        <f t="shared" si="102"/>
        <v>0</v>
      </c>
      <c r="CR101" s="510">
        <f t="shared" si="102"/>
        <v>0</v>
      </c>
      <c r="CS101" s="510">
        <f t="shared" si="102"/>
        <v>0</v>
      </c>
      <c r="CT101" s="510">
        <f t="shared" si="102"/>
        <v>0</v>
      </c>
      <c r="CU101" s="510">
        <f t="shared" si="102"/>
        <v>0</v>
      </c>
      <c r="CV101" s="510">
        <f t="shared" si="102"/>
        <v>0</v>
      </c>
      <c r="CW101" s="510">
        <f t="shared" si="102"/>
        <v>0</v>
      </c>
      <c r="CX101" s="510">
        <f t="shared" si="102"/>
        <v>0</v>
      </c>
      <c r="CY101" s="510">
        <f t="shared" ref="CY101:DW101" si="103">IF(CY$3=0,$B$101*$D$101,0)</f>
        <v>0</v>
      </c>
      <c r="CZ101" s="510">
        <f t="shared" si="103"/>
        <v>0</v>
      </c>
      <c r="DA101" s="510">
        <f t="shared" si="103"/>
        <v>0</v>
      </c>
      <c r="DB101" s="510">
        <f t="shared" si="103"/>
        <v>0</v>
      </c>
      <c r="DC101" s="510">
        <f t="shared" si="103"/>
        <v>0</v>
      </c>
      <c r="DD101" s="510">
        <f t="shared" si="103"/>
        <v>0</v>
      </c>
      <c r="DE101" s="510">
        <f t="shared" si="103"/>
        <v>0</v>
      </c>
      <c r="DF101" s="510">
        <f t="shared" si="103"/>
        <v>0</v>
      </c>
      <c r="DG101" s="510">
        <f t="shared" si="103"/>
        <v>0</v>
      </c>
      <c r="DH101" s="510">
        <f t="shared" si="103"/>
        <v>0</v>
      </c>
      <c r="DI101" s="510">
        <f t="shared" si="103"/>
        <v>0</v>
      </c>
      <c r="DJ101" s="510">
        <f t="shared" si="103"/>
        <v>0</v>
      </c>
      <c r="DK101" s="510">
        <f t="shared" si="103"/>
        <v>0</v>
      </c>
      <c r="DL101" s="510">
        <f t="shared" si="103"/>
        <v>0</v>
      </c>
      <c r="DM101" s="510">
        <f t="shared" si="103"/>
        <v>0</v>
      </c>
      <c r="DN101" s="510">
        <f t="shared" si="103"/>
        <v>0</v>
      </c>
      <c r="DO101" s="510">
        <f t="shared" si="103"/>
        <v>0</v>
      </c>
      <c r="DP101" s="510">
        <f t="shared" si="103"/>
        <v>0</v>
      </c>
      <c r="DQ101" s="510">
        <f t="shared" si="103"/>
        <v>0</v>
      </c>
      <c r="DR101" s="510">
        <f t="shared" si="103"/>
        <v>0</v>
      </c>
      <c r="DS101" s="510">
        <f t="shared" si="103"/>
        <v>0</v>
      </c>
      <c r="DT101" s="510">
        <f t="shared" si="103"/>
        <v>0</v>
      </c>
      <c r="DU101" s="510">
        <f t="shared" si="103"/>
        <v>0</v>
      </c>
      <c r="DV101" s="510">
        <f t="shared" si="103"/>
        <v>0</v>
      </c>
      <c r="DW101" s="510">
        <f t="shared" si="103"/>
        <v>0</v>
      </c>
    </row>
    <row r="102" spans="1:127">
      <c r="A102" s="304" t="s">
        <v>1288</v>
      </c>
      <c r="B102" s="1621">
        <f>0</f>
        <v>0</v>
      </c>
      <c r="C102" s="1618" t="s">
        <v>1284</v>
      </c>
      <c r="D102" s="1618"/>
      <c r="E102" s="510"/>
      <c r="F102" s="510"/>
      <c r="G102" s="510">
        <f t="shared" ref="G102:AL102" si="104">IF(G$3=0,$B$102,0)</f>
        <v>0</v>
      </c>
      <c r="H102" s="510">
        <f t="shared" si="104"/>
        <v>0</v>
      </c>
      <c r="I102" s="510">
        <f t="shared" si="104"/>
        <v>0</v>
      </c>
      <c r="J102" s="510">
        <f t="shared" si="104"/>
        <v>0</v>
      </c>
      <c r="K102" s="510">
        <f t="shared" si="104"/>
        <v>0</v>
      </c>
      <c r="L102" s="510">
        <f t="shared" si="104"/>
        <v>0</v>
      </c>
      <c r="M102" s="510">
        <f t="shared" si="104"/>
        <v>0</v>
      </c>
      <c r="N102" s="510">
        <f t="shared" si="104"/>
        <v>0</v>
      </c>
      <c r="O102" s="510">
        <f t="shared" si="104"/>
        <v>0</v>
      </c>
      <c r="P102" s="510">
        <f t="shared" si="104"/>
        <v>0</v>
      </c>
      <c r="Q102" s="510">
        <f t="shared" si="104"/>
        <v>0</v>
      </c>
      <c r="R102" s="510">
        <f t="shared" si="104"/>
        <v>0</v>
      </c>
      <c r="S102" s="510">
        <f t="shared" si="104"/>
        <v>0</v>
      </c>
      <c r="T102" s="510">
        <f t="shared" si="104"/>
        <v>0</v>
      </c>
      <c r="U102" s="510">
        <f t="shared" si="104"/>
        <v>0</v>
      </c>
      <c r="V102" s="510">
        <f t="shared" si="104"/>
        <v>0</v>
      </c>
      <c r="W102" s="510">
        <f t="shared" si="104"/>
        <v>0</v>
      </c>
      <c r="X102" s="510">
        <f t="shared" si="104"/>
        <v>0</v>
      </c>
      <c r="Y102" s="510">
        <f t="shared" si="104"/>
        <v>0</v>
      </c>
      <c r="Z102" s="510">
        <f t="shared" si="104"/>
        <v>0</v>
      </c>
      <c r="AA102" s="510">
        <f t="shared" si="104"/>
        <v>0</v>
      </c>
      <c r="AB102" s="510">
        <f t="shared" si="104"/>
        <v>0</v>
      </c>
      <c r="AC102" s="510">
        <f t="shared" si="104"/>
        <v>0</v>
      </c>
      <c r="AD102" s="510">
        <f t="shared" si="104"/>
        <v>0</v>
      </c>
      <c r="AE102" s="510">
        <f t="shared" si="104"/>
        <v>0</v>
      </c>
      <c r="AF102" s="510">
        <f t="shared" si="104"/>
        <v>0</v>
      </c>
      <c r="AG102" s="510">
        <f t="shared" si="104"/>
        <v>0</v>
      </c>
      <c r="AH102" s="510">
        <f t="shared" si="104"/>
        <v>0</v>
      </c>
      <c r="AI102" s="510">
        <f t="shared" si="104"/>
        <v>0</v>
      </c>
      <c r="AJ102" s="510">
        <f t="shared" si="104"/>
        <v>0</v>
      </c>
      <c r="AK102" s="510">
        <f t="shared" si="104"/>
        <v>0</v>
      </c>
      <c r="AL102" s="510">
        <f t="shared" si="104"/>
        <v>0</v>
      </c>
      <c r="AM102" s="510">
        <f t="shared" ref="AM102:BR102" si="105">IF(AM$3=0,$B$102,0)</f>
        <v>0</v>
      </c>
      <c r="AN102" s="510">
        <f t="shared" si="105"/>
        <v>0</v>
      </c>
      <c r="AO102" s="510">
        <f t="shared" si="105"/>
        <v>0</v>
      </c>
      <c r="AP102" s="510">
        <f t="shared" si="105"/>
        <v>0</v>
      </c>
      <c r="AQ102" s="510">
        <f t="shared" si="105"/>
        <v>0</v>
      </c>
      <c r="AR102" s="510">
        <f t="shared" si="105"/>
        <v>0</v>
      </c>
      <c r="AS102" s="510">
        <f t="shared" si="105"/>
        <v>0</v>
      </c>
      <c r="AT102" s="510">
        <f t="shared" si="105"/>
        <v>0</v>
      </c>
      <c r="AU102" s="510">
        <f t="shared" si="105"/>
        <v>0</v>
      </c>
      <c r="AV102" s="510">
        <f t="shared" si="105"/>
        <v>0</v>
      </c>
      <c r="AW102" s="510">
        <f t="shared" si="105"/>
        <v>0</v>
      </c>
      <c r="AX102" s="510">
        <f t="shared" si="105"/>
        <v>0</v>
      </c>
      <c r="AY102" s="510">
        <f t="shared" si="105"/>
        <v>0</v>
      </c>
      <c r="AZ102" s="510">
        <f t="shared" si="105"/>
        <v>0</v>
      </c>
      <c r="BA102" s="510">
        <f t="shared" si="105"/>
        <v>0</v>
      </c>
      <c r="BB102" s="510">
        <f t="shared" si="105"/>
        <v>0</v>
      </c>
      <c r="BC102" s="510">
        <f t="shared" si="105"/>
        <v>0</v>
      </c>
      <c r="BD102" s="510">
        <f t="shared" si="105"/>
        <v>0</v>
      </c>
      <c r="BE102" s="510">
        <f t="shared" si="105"/>
        <v>0</v>
      </c>
      <c r="BF102" s="510">
        <f t="shared" si="105"/>
        <v>0</v>
      </c>
      <c r="BG102" s="510">
        <f t="shared" si="105"/>
        <v>0</v>
      </c>
      <c r="BH102" s="510">
        <f t="shared" si="105"/>
        <v>0</v>
      </c>
      <c r="BI102" s="510">
        <f t="shared" si="105"/>
        <v>0</v>
      </c>
      <c r="BJ102" s="510">
        <f t="shared" si="105"/>
        <v>0</v>
      </c>
      <c r="BK102" s="510">
        <f t="shared" si="105"/>
        <v>0</v>
      </c>
      <c r="BL102" s="510">
        <f t="shared" si="105"/>
        <v>0</v>
      </c>
      <c r="BM102" s="510">
        <f t="shared" si="105"/>
        <v>0</v>
      </c>
      <c r="BN102" s="510">
        <f t="shared" si="105"/>
        <v>0</v>
      </c>
      <c r="BO102" s="510">
        <f t="shared" si="105"/>
        <v>0</v>
      </c>
      <c r="BP102" s="510">
        <f t="shared" si="105"/>
        <v>0</v>
      </c>
      <c r="BQ102" s="510">
        <f t="shared" si="105"/>
        <v>0</v>
      </c>
      <c r="BR102" s="510">
        <f t="shared" si="105"/>
        <v>0</v>
      </c>
      <c r="BS102" s="510">
        <f t="shared" ref="BS102:CX102" si="106">IF(BS$3=0,$B$102,0)</f>
        <v>0</v>
      </c>
      <c r="BT102" s="510">
        <f t="shared" si="106"/>
        <v>0</v>
      </c>
      <c r="BU102" s="510">
        <f t="shared" si="106"/>
        <v>0</v>
      </c>
      <c r="BV102" s="510">
        <f t="shared" si="106"/>
        <v>0</v>
      </c>
      <c r="BW102" s="510">
        <f t="shared" si="106"/>
        <v>0</v>
      </c>
      <c r="BX102" s="510">
        <f t="shared" si="106"/>
        <v>0</v>
      </c>
      <c r="BY102" s="510">
        <f t="shared" si="106"/>
        <v>0</v>
      </c>
      <c r="BZ102" s="510">
        <f t="shared" si="106"/>
        <v>0</v>
      </c>
      <c r="CA102" s="510">
        <f t="shared" si="106"/>
        <v>0</v>
      </c>
      <c r="CB102" s="510">
        <f t="shared" si="106"/>
        <v>0</v>
      </c>
      <c r="CC102" s="510">
        <f t="shared" si="106"/>
        <v>0</v>
      </c>
      <c r="CD102" s="510">
        <f t="shared" si="106"/>
        <v>0</v>
      </c>
      <c r="CE102" s="510">
        <f t="shared" si="106"/>
        <v>0</v>
      </c>
      <c r="CF102" s="510">
        <f t="shared" si="106"/>
        <v>0</v>
      </c>
      <c r="CG102" s="510">
        <f t="shared" si="106"/>
        <v>0</v>
      </c>
      <c r="CH102" s="510">
        <f t="shared" si="106"/>
        <v>0</v>
      </c>
      <c r="CI102" s="510">
        <f t="shared" si="106"/>
        <v>0</v>
      </c>
      <c r="CJ102" s="510">
        <f t="shared" si="106"/>
        <v>0</v>
      </c>
      <c r="CK102" s="510">
        <f t="shared" si="106"/>
        <v>0</v>
      </c>
      <c r="CL102" s="510">
        <f t="shared" si="106"/>
        <v>0</v>
      </c>
      <c r="CM102" s="510">
        <f t="shared" si="106"/>
        <v>0</v>
      </c>
      <c r="CN102" s="510">
        <f t="shared" si="106"/>
        <v>0</v>
      </c>
      <c r="CO102" s="510">
        <f t="shared" si="106"/>
        <v>0</v>
      </c>
      <c r="CP102" s="510">
        <f t="shared" si="106"/>
        <v>0</v>
      </c>
      <c r="CQ102" s="510">
        <f t="shared" si="106"/>
        <v>0</v>
      </c>
      <c r="CR102" s="510">
        <f t="shared" si="106"/>
        <v>0</v>
      </c>
      <c r="CS102" s="510">
        <f t="shared" si="106"/>
        <v>0</v>
      </c>
      <c r="CT102" s="510">
        <f t="shared" si="106"/>
        <v>0</v>
      </c>
      <c r="CU102" s="510">
        <f t="shared" si="106"/>
        <v>0</v>
      </c>
      <c r="CV102" s="510">
        <f t="shared" si="106"/>
        <v>0</v>
      </c>
      <c r="CW102" s="510">
        <f t="shared" si="106"/>
        <v>0</v>
      </c>
      <c r="CX102" s="510">
        <f t="shared" si="106"/>
        <v>0</v>
      </c>
      <c r="CY102" s="510">
        <f t="shared" ref="CY102:DW102" si="107">IF(CY$3=0,$B$102,0)</f>
        <v>0</v>
      </c>
      <c r="CZ102" s="510">
        <f t="shared" si="107"/>
        <v>0</v>
      </c>
      <c r="DA102" s="510">
        <f t="shared" si="107"/>
        <v>0</v>
      </c>
      <c r="DB102" s="510">
        <f t="shared" si="107"/>
        <v>0</v>
      </c>
      <c r="DC102" s="510">
        <f t="shared" si="107"/>
        <v>0</v>
      </c>
      <c r="DD102" s="510">
        <f t="shared" si="107"/>
        <v>0</v>
      </c>
      <c r="DE102" s="510">
        <f t="shared" si="107"/>
        <v>0</v>
      </c>
      <c r="DF102" s="510">
        <f t="shared" si="107"/>
        <v>0</v>
      </c>
      <c r="DG102" s="510">
        <f t="shared" si="107"/>
        <v>0</v>
      </c>
      <c r="DH102" s="510">
        <f t="shared" si="107"/>
        <v>0</v>
      </c>
      <c r="DI102" s="510">
        <f t="shared" si="107"/>
        <v>0</v>
      </c>
      <c r="DJ102" s="510">
        <f t="shared" si="107"/>
        <v>0</v>
      </c>
      <c r="DK102" s="510">
        <f t="shared" si="107"/>
        <v>0</v>
      </c>
      <c r="DL102" s="510">
        <f t="shared" si="107"/>
        <v>0</v>
      </c>
      <c r="DM102" s="510">
        <f t="shared" si="107"/>
        <v>0</v>
      </c>
      <c r="DN102" s="510">
        <f t="shared" si="107"/>
        <v>0</v>
      </c>
      <c r="DO102" s="510">
        <f t="shared" si="107"/>
        <v>0</v>
      </c>
      <c r="DP102" s="510">
        <f t="shared" si="107"/>
        <v>0</v>
      </c>
      <c r="DQ102" s="510">
        <f t="shared" si="107"/>
        <v>0</v>
      </c>
      <c r="DR102" s="510">
        <f t="shared" si="107"/>
        <v>0</v>
      </c>
      <c r="DS102" s="510">
        <f t="shared" si="107"/>
        <v>0</v>
      </c>
      <c r="DT102" s="510">
        <f t="shared" si="107"/>
        <v>0</v>
      </c>
      <c r="DU102" s="510">
        <f t="shared" si="107"/>
        <v>0</v>
      </c>
      <c r="DV102" s="510">
        <f t="shared" si="107"/>
        <v>0</v>
      </c>
      <c r="DW102" s="510">
        <f t="shared" si="107"/>
        <v>0</v>
      </c>
    </row>
    <row r="103" spans="1:127">
      <c r="A103" s="304" t="s">
        <v>1289</v>
      </c>
      <c r="B103" s="1621">
        <f>OpEx!C4</f>
        <v>64</v>
      </c>
      <c r="C103" s="1618" t="s">
        <v>1290</v>
      </c>
      <c r="D103" s="1618"/>
      <c r="E103" s="510"/>
      <c r="F103" s="510"/>
      <c r="G103" s="510">
        <f>$B103*(1+Inputs!$D$451)^(G$3-1)*G$6*(G$3&gt;0)</f>
        <v>0</v>
      </c>
      <c r="H103" s="510">
        <f>$B103*(1+Inputs!$D$451)^(H$3-1)*H$6*(H$3&gt;0)</f>
        <v>32.263013698630139</v>
      </c>
      <c r="I103" s="510">
        <f>$B103*(1+Inputs!$D$451)^(I$3-1)*I$6*(I$3&gt;0)</f>
        <v>31.736986301369864</v>
      </c>
      <c r="J103" s="510">
        <f>$B103*(1+Inputs!$D$451)^(J$3-1)*J$6*(J$3&gt;0)</f>
        <v>32.818360655737706</v>
      </c>
      <c r="K103" s="510">
        <f>$B103*(1+Inputs!$D$451)^(K$3-1)*K$6*(K$3&gt;0)</f>
        <v>32.461639344262295</v>
      </c>
      <c r="L103" s="510">
        <f>$B103*(1+Inputs!$D$451)^(L$3-1)*L$6*(L$3&gt;0)</f>
        <v>33.566439452054794</v>
      </c>
      <c r="M103" s="510">
        <f>$B103*(1+Inputs!$D$451)^(M$3-1)*M$6*(M$3&gt;0)</f>
        <v>33.019160547945205</v>
      </c>
      <c r="N103" s="510">
        <f>$B103*(1+Inputs!$D$451)^(N$3-1)*N$6*(N$3&gt;0)</f>
        <v>34.237768241095893</v>
      </c>
      <c r="O103" s="510">
        <f>$B103*(1+Inputs!$D$451)^(O$3-1)*O$6*(O$3&gt;0)</f>
        <v>33.67954375890411</v>
      </c>
      <c r="P103" s="510">
        <f>$B103*(1+Inputs!$D$451)^(P$3-1)*P$6*(P$3&gt;0)</f>
        <v>34.92252360591781</v>
      </c>
      <c r="Q103" s="510">
        <f>$B103*(1+Inputs!$D$451)^(Q$3-1)*Q$6*(Q$3&gt;0)</f>
        <v>34.353134634082195</v>
      </c>
      <c r="R103" s="510">
        <f>$B103*(1+Inputs!$D$451)^(R$3-1)*R$6*(R$3&gt;0)</f>
        <v>35.52364901224918</v>
      </c>
      <c r="S103" s="510">
        <f>$B103*(1+Inputs!$D$451)^(S$3-1)*S$6*(S$3&gt;0)</f>
        <v>35.137522392550821</v>
      </c>
      <c r="T103" s="510">
        <f>$B103*(1+Inputs!$D$451)^(T$3-1)*T$6*(T$3&gt;0)</f>
        <v>36.333393559596892</v>
      </c>
      <c r="U103" s="510">
        <f>$B103*(1+Inputs!$D$451)^(U$3-1)*U$6*(U$3&gt;0)</f>
        <v>35.741001273299119</v>
      </c>
      <c r="V103" s="510">
        <f>$B103*(1+Inputs!$D$451)^(V$3-1)*V$6*(V$3&gt;0)</f>
        <v>37.060061430788821</v>
      </c>
      <c r="W103" s="510">
        <f>$B103*(1+Inputs!$D$451)^(W$3-1)*W$6*(W$3&gt;0)</f>
        <v>36.455821298765088</v>
      </c>
      <c r="X103" s="510">
        <f>$B103*(1+Inputs!$D$451)^(X$3-1)*X$6*(X$3&gt;0)</f>
        <v>37.8012626594046</v>
      </c>
      <c r="Y103" s="510">
        <f>$B103*(1+Inputs!$D$451)^(Y$3-1)*Y$6*(Y$3&gt;0)</f>
        <v>37.184937724740394</v>
      </c>
      <c r="Z103" s="510">
        <f>$B103*(1+Inputs!$D$451)^(Z$3-1)*Z$6*(Z$3&gt;0)</f>
        <v>38.451940131410744</v>
      </c>
      <c r="AA103" s="510">
        <f>$B103*(1+Inputs!$D$451)^(AA$3-1)*AA$6*(AA$3&gt;0)</f>
        <v>38.033984260417149</v>
      </c>
      <c r="AB103" s="510">
        <f>$B103*(1+Inputs!$D$451)^(AB$3-1)*AB$6*(AB$3&gt;0)</f>
        <v>39.328433670844547</v>
      </c>
      <c r="AC103" s="510">
        <f>$B103*(1+Inputs!$D$451)^(AC$3-1)*AC$6*(AC$3&gt;0)</f>
        <v>38.687209208819908</v>
      </c>
      <c r="AD103" s="510">
        <f>$B103*(1+Inputs!$D$451)^(AD$3-1)*AD$6*(AD$3&gt;0)</f>
        <v>40.115002344261434</v>
      </c>
      <c r="AE103" s="510">
        <f>$B103*(1+Inputs!$D$451)^(AE$3-1)*AE$6*(AE$3&gt;0)</f>
        <v>39.460953392996302</v>
      </c>
      <c r="AF103" s="510">
        <f>$B103*(1+Inputs!$D$451)^(AF$3-1)*AF$6*(AF$3&gt;0)</f>
        <v>40.91730239114667</v>
      </c>
      <c r="AG103" s="510">
        <f>$B103*(1+Inputs!$D$451)^(AG$3-1)*AG$6*(AG$3&gt;0)</f>
        <v>40.250172460856234</v>
      </c>
      <c r="AH103" s="510">
        <f>$B103*(1+Inputs!$D$451)^(AH$3-1)*AH$6*(AH$3&gt;0)</f>
        <v>41.621616612633616</v>
      </c>
      <c r="AI103" s="510">
        <f>$B103*(1+Inputs!$D$451)^(AI$3-1)*AI$6*(AI$3&gt;0)</f>
        <v>41.169207736409334</v>
      </c>
      <c r="AJ103" s="510">
        <f>$B103*(1+Inputs!$D$451)^(AJ$3-1)*AJ$6*(AJ$3&gt;0)</f>
        <v>42.570361407748997</v>
      </c>
      <c r="AK103" s="510">
        <f>$B103*(1+Inputs!$D$451)^(AK$3-1)*AK$6*(AK$3&gt;0)</f>
        <v>41.876279428274827</v>
      </c>
      <c r="AL103" s="510">
        <f>$B103*(1+Inputs!$D$451)^(AL$3-1)*AL$6*(AL$3&gt;0)</f>
        <v>43.421768635903966</v>
      </c>
      <c r="AM103" s="510">
        <f>$B103*(1+Inputs!$D$451)^(AM$3-1)*AM$6*(AM$3&gt;0)</f>
        <v>42.713805016840311</v>
      </c>
      <c r="AN103" s="510">
        <f>$B103*(1+Inputs!$D$451)^(AN$3-1)*AN$6*(AN$3&gt;0)</f>
        <v>44.290204008622048</v>
      </c>
      <c r="AO103" s="510">
        <f>$B103*(1+Inputs!$D$451)^(AO$3-1)*AO$6*(AO$3&gt;0)</f>
        <v>43.568081117177123</v>
      </c>
      <c r="AP103" s="510">
        <f>$B103*(1+Inputs!$D$451)^(AP$3-1)*AP$6*(AP$3&gt;0)</f>
        <v>45.052576372704891</v>
      </c>
      <c r="AQ103" s="510">
        <f>$B103*(1+Inputs!$D$451)^(AQ$3-1)*AQ$6*(AQ$3&gt;0)</f>
        <v>44.56287445561027</v>
      </c>
      <c r="AR103" s="510">
        <f>$B103*(1+Inputs!$D$451)^(AR$3-1)*AR$6*(AR$3&gt;0)</f>
        <v>46.079528250570384</v>
      </c>
      <c r="AS103" s="510">
        <f>$B103*(1+Inputs!$D$451)^(AS$3-1)*AS$6*(AS$3&gt;0)</f>
        <v>45.328231594311077</v>
      </c>
      <c r="AT103" s="510">
        <f>$B103*(1+Inputs!$D$451)^(AT$3-1)*AT$6*(AT$3&gt;0)</f>
        <v>47.001118815581783</v>
      </c>
      <c r="AU103" s="510">
        <f>$B103*(1+Inputs!$D$451)^(AU$3-1)*AU$6*(AU$3&gt;0)</f>
        <v>46.234796226197297</v>
      </c>
      <c r="AV103" s="510">
        <f>$B103*(1+Inputs!$D$451)^(AV$3-1)*AV$6*(AV$3&gt;0)</f>
        <v>47.941141191893429</v>
      </c>
      <c r="AW103" s="510">
        <f>$B103*(1+Inputs!$D$451)^(AW$3-1)*AW$6*(AW$3&gt;0)</f>
        <v>47.159492150721249</v>
      </c>
      <c r="AX103" s="510">
        <f>$B103*(1+Inputs!$D$451)^(AX$3-1)*AX$6*(AX$3&gt;0)</f>
        <v>48.766357556671913</v>
      </c>
      <c r="AY103" s="510">
        <f>$B103*(1+Inputs!$D$451)^(AY$3-1)*AY$6*(AY$3&gt;0)</f>
        <v>48.236288452795044</v>
      </c>
      <c r="AZ103" s="510">
        <f>$B103*(1+Inputs!$D$451)^(AZ$3-1)*AZ$6*(AZ$3&gt;0)</f>
        <v>49.87796329604592</v>
      </c>
      <c r="BA103" s="510">
        <f>$B103*(1+Inputs!$D$451)^(BA$3-1)*BA$6*(BA$3&gt;0)</f>
        <v>49.06473563361039</v>
      </c>
      <c r="BB103" s="510">
        <f>$B103*(1+Inputs!$D$451)^(BB$3-1)*BB$6*(BB$3&gt;0)</f>
        <v>50.875522561966832</v>
      </c>
      <c r="BC103" s="510">
        <f>$B103*(1+Inputs!$D$451)^(BC$3-1)*BC$6*(BC$3&gt;0)</f>
        <v>50.046030346282585</v>
      </c>
      <c r="BD103" s="510">
        <f>$B103*(1+Inputs!$D$451)^(BD$3-1)*BD$6*(BD$3&gt;0)</f>
        <v>51.893033013206171</v>
      </c>
      <c r="BE103" s="510">
        <f>$B103*(1+Inputs!$D$451)^(BE$3-1)*BE$6*(BE$3&gt;0)</f>
        <v>51.046950953208238</v>
      </c>
      <c r="BF103" s="510">
        <f>$B103*(1+Inputs!$D$451)^(BF$3-1)*BF$6*(BF$3&gt;0)</f>
        <v>52.786273745400699</v>
      </c>
      <c r="BG103" s="510">
        <f>$B103*(1+Inputs!$D$451)^(BG$3-1)*BG$6*(BG$3&gt;0)</f>
        <v>52.212509900341992</v>
      </c>
      <c r="BH103" s="510">
        <f>$B103*(1+Inputs!$D$451)^(BH$3-1)*BH$6*(BH$3&gt;0)</f>
        <v>53.989511546939703</v>
      </c>
      <c r="BI103" s="510">
        <f>$B103*(1+Inputs!$D$451)^(BI$3-1)*BI$6*(BI$3&gt;0)</f>
        <v>53.109247771717861</v>
      </c>
      <c r="BJ103" s="510">
        <f>$B103*(1+Inputs!$D$451)^(BJ$3-1)*BJ$6*(BJ$3&gt;0)</f>
        <v>55.069301777878486</v>
      </c>
      <c r="BK103" s="510">
        <f>$B103*(1+Inputs!$D$451)^(BK$3-1)*BK$6*(BK$3&gt;0)</f>
        <v>54.171432727152208</v>
      </c>
      <c r="BL103" s="510">
        <f>$B103*(1+Inputs!$D$451)^(BL$3-1)*BL$6*(BL$3&gt;0)</f>
        <v>56.170687813436068</v>
      </c>
      <c r="BM103" s="510">
        <f>$B103*(1+Inputs!$D$451)^(BM$3-1)*BM$6*(BM$3&gt;0)</f>
        <v>55.254861381695264</v>
      </c>
      <c r="BN103" s="510">
        <f>$B103*(1+Inputs!$D$451)^(BN$3-1)*BN$6*(BN$3&gt;0)</f>
        <v>57.137560308585364</v>
      </c>
      <c r="BO103" s="510">
        <f>$B103*(1+Inputs!$D$451)^(BO$3-1)*BO$6*(BO$3&gt;0)</f>
        <v>56.51649987044857</v>
      </c>
      <c r="BP103" s="510">
        <f>$B103*(1+Inputs!$D$451)^(BP$3-1)*BP$6*(BP$3&gt;0)</f>
        <v>0</v>
      </c>
      <c r="BQ103" s="510">
        <f>$B103*(1+Inputs!$D$451)^(BQ$3-1)*BQ$6*(BQ$3&gt;0)</f>
        <v>0</v>
      </c>
      <c r="BR103" s="510">
        <f>$B103*(1+Inputs!$D$451)^(BR$3-1)*BR$6*(BR$3&gt;0)</f>
        <v>0</v>
      </c>
      <c r="BS103" s="510">
        <f>$B103*(1+Inputs!$D$451)^(BS$3-1)*BS$6*(BS$3&gt;0)</f>
        <v>0</v>
      </c>
      <c r="BT103" s="510">
        <f>$B103*(1+Inputs!$D$451)^(BT$3-1)*BT$6*(BT$3&gt;0)</f>
        <v>0</v>
      </c>
      <c r="BU103" s="510">
        <f>$B103*(1+Inputs!$D$451)^(BU$3-1)*BU$6*(BU$3&gt;0)</f>
        <v>0</v>
      </c>
      <c r="BV103" s="510">
        <f>$B103*(1+Inputs!$D$451)^(BV$3-1)*BV$6*(BV$3&gt;0)</f>
        <v>0</v>
      </c>
      <c r="BW103" s="510">
        <f>$B103*(1+Inputs!$D$451)^(BW$3-1)*BW$6*(BW$3&gt;0)</f>
        <v>0</v>
      </c>
      <c r="BX103" s="510">
        <f>$B103*(1+Inputs!$D$451)^(BX$3-1)*BX$6*(BX$3&gt;0)</f>
        <v>0</v>
      </c>
      <c r="BY103" s="510">
        <f>$B103*(1+Inputs!$D$451)^(BY$3-1)*BY$6*(BY$3&gt;0)</f>
        <v>0</v>
      </c>
      <c r="BZ103" s="510">
        <f>$B103*(1+Inputs!$D$451)^(BZ$3-1)*BZ$6*(BZ$3&gt;0)</f>
        <v>0</v>
      </c>
      <c r="CA103" s="510">
        <f>$B103*(1+Inputs!$D$451)^(CA$3-1)*CA$6*(CA$3&gt;0)</f>
        <v>0</v>
      </c>
      <c r="CB103" s="510">
        <f>$B103*(1+Inputs!$D$451)^(CB$3-1)*CB$6*(CB$3&gt;0)</f>
        <v>0</v>
      </c>
      <c r="CC103" s="510">
        <f>$B103*(1+Inputs!$D$451)^(CC$3-1)*CC$6*(CC$3&gt;0)</f>
        <v>0</v>
      </c>
      <c r="CD103" s="510">
        <f>$B103*(1+Inputs!$D$451)^(CD$3-1)*CD$6*(CD$3&gt;0)</f>
        <v>0</v>
      </c>
      <c r="CE103" s="510">
        <f>$B103*(1+Inputs!$D$451)^(CE$3-1)*CE$6*(CE$3&gt;0)</f>
        <v>0</v>
      </c>
      <c r="CF103" s="510">
        <f>$B103*(1+Inputs!$D$451)^(CF$3-1)*CF$6*(CF$3&gt;0)</f>
        <v>0</v>
      </c>
      <c r="CG103" s="510">
        <f>$B103*(1+Inputs!$D$451)^(CG$3-1)*CG$6*(CG$3&gt;0)</f>
        <v>0</v>
      </c>
      <c r="CH103" s="510">
        <f>$B103*(1+Inputs!$D$451)^(CH$3-1)*CH$6*(CH$3&gt;0)</f>
        <v>0</v>
      </c>
      <c r="CI103" s="510">
        <f>$B103*(1+Inputs!$D$451)^(CI$3-1)*CI$6*(CI$3&gt;0)</f>
        <v>0</v>
      </c>
      <c r="CJ103" s="510">
        <f>$B103*(1+Inputs!$D$451)^(CJ$3-1)*CJ$6*(CJ$3&gt;0)</f>
        <v>0</v>
      </c>
      <c r="CK103" s="510">
        <f>$B103*(1+Inputs!$D$451)^(CK$3-1)*CK$6*(CK$3&gt;0)</f>
        <v>0</v>
      </c>
      <c r="CL103" s="510">
        <f>$B103*(1+Inputs!$D$451)^(CL$3-1)*CL$6*(CL$3&gt;0)</f>
        <v>0</v>
      </c>
      <c r="CM103" s="510">
        <f>$B103*(1+Inputs!$D$451)^(CM$3-1)*CM$6*(CM$3&gt;0)</f>
        <v>0</v>
      </c>
      <c r="CN103" s="510">
        <f>$B103*(1+Inputs!$D$451)^(CN$3-1)*CN$6*(CN$3&gt;0)</f>
        <v>0</v>
      </c>
      <c r="CO103" s="510">
        <f>$B103*(1+Inputs!$D$451)^(CO$3-1)*CO$6*(CO$3&gt;0)</f>
        <v>0</v>
      </c>
      <c r="CP103" s="510">
        <f>$B103*(1+Inputs!$D$451)^(CP$3-1)*CP$6*(CP$3&gt;0)</f>
        <v>0</v>
      </c>
      <c r="CQ103" s="510">
        <f>$B103*(1+Inputs!$D$451)^(CQ$3-1)*CQ$6*(CQ$3&gt;0)</f>
        <v>0</v>
      </c>
      <c r="CR103" s="510">
        <f>$B103*(1+Inputs!$D$451)^(CR$3-1)*CR$6*(CR$3&gt;0)</f>
        <v>0</v>
      </c>
      <c r="CS103" s="510">
        <f>$B103*(1+Inputs!$D$451)^(CS$3-1)*CS$6*(CS$3&gt;0)</f>
        <v>0</v>
      </c>
      <c r="CT103" s="510">
        <f>$B103*(1+Inputs!$D$451)^(CT$3-1)*CT$6*(CT$3&gt;0)</f>
        <v>0</v>
      </c>
      <c r="CU103" s="510">
        <f>$B103*(1+Inputs!$D$451)^(CU$3-1)*CU$6*(CU$3&gt;0)</f>
        <v>0</v>
      </c>
      <c r="CV103" s="510">
        <f>$B103*(1+Inputs!$D$451)^(CV$3-1)*CV$6*(CV$3&gt;0)</f>
        <v>0</v>
      </c>
      <c r="CW103" s="510">
        <f>$B103*(1+Inputs!$D$451)^(CW$3-1)*CW$6*(CW$3&gt;0)</f>
        <v>0</v>
      </c>
      <c r="CX103" s="510">
        <f>$B103*(1+Inputs!$D$451)^(CX$3-1)*CX$6*(CX$3&gt;0)</f>
        <v>0</v>
      </c>
      <c r="CY103" s="510">
        <f>$B103*(1+Inputs!$D$451)^(CY$3-1)*CY$6*(CY$3&gt;0)</f>
        <v>0</v>
      </c>
      <c r="CZ103" s="510">
        <f>$B103*(1+Inputs!$D$451)^(CZ$3-1)*CZ$6*(CZ$3&gt;0)</f>
        <v>0</v>
      </c>
      <c r="DA103" s="510">
        <f>$B103*(1+Inputs!$D$451)^(DA$3-1)*DA$6*(DA$3&gt;0)</f>
        <v>0</v>
      </c>
      <c r="DB103" s="510">
        <f>$B103*(1+Inputs!$D$451)^(DB$3-1)*DB$6*(DB$3&gt;0)</f>
        <v>0</v>
      </c>
      <c r="DC103" s="510">
        <f>$B103*(1+Inputs!$D$451)^(DC$3-1)*DC$6*(DC$3&gt;0)</f>
        <v>0</v>
      </c>
      <c r="DD103" s="510">
        <f>$B103*(1+Inputs!$D$451)^(DD$3-1)*DD$6*(DD$3&gt;0)</f>
        <v>0</v>
      </c>
      <c r="DE103" s="510">
        <f>$B103*(1+Inputs!$D$451)^(DE$3-1)*DE$6*(DE$3&gt;0)</f>
        <v>0</v>
      </c>
      <c r="DF103" s="510">
        <f>$B103*(1+Inputs!$D$451)^(DF$3-1)*DF$6*(DF$3&gt;0)</f>
        <v>0</v>
      </c>
      <c r="DG103" s="510">
        <f>$B103*(1+Inputs!$D$451)^(DG$3-1)*DG$6*(DG$3&gt;0)</f>
        <v>0</v>
      </c>
      <c r="DH103" s="510">
        <f>$B103*(1+Inputs!$D$451)^(DH$3-1)*DH$6*(DH$3&gt;0)</f>
        <v>0</v>
      </c>
      <c r="DI103" s="510">
        <f>$B103*(1+Inputs!$D$451)^(DI$3-1)*DI$6*(DI$3&gt;0)</f>
        <v>0</v>
      </c>
      <c r="DJ103" s="510">
        <f>$B103*(1+Inputs!$D$451)^(DJ$3-1)*DJ$6*(DJ$3&gt;0)</f>
        <v>0</v>
      </c>
      <c r="DK103" s="510">
        <f>$B103*(1+Inputs!$D$451)^(DK$3-1)*DK$6*(DK$3&gt;0)</f>
        <v>0</v>
      </c>
      <c r="DL103" s="510">
        <f>$B103*(1+Inputs!$D$451)^(DL$3-1)*DL$6*(DL$3&gt;0)</f>
        <v>0</v>
      </c>
      <c r="DM103" s="510">
        <f>$B103*(1+Inputs!$D$451)^(DM$3-1)*DM$6*(DM$3&gt;0)</f>
        <v>0</v>
      </c>
      <c r="DN103" s="510">
        <f>$B103*(1+Inputs!$D$451)^(DN$3-1)*DN$6*(DN$3&gt;0)</f>
        <v>0</v>
      </c>
      <c r="DO103" s="510">
        <f>$B103*(1+Inputs!$D$451)^(DO$3-1)*DO$6*(DO$3&gt;0)</f>
        <v>0</v>
      </c>
      <c r="DP103" s="510">
        <f>$B103*(1+Inputs!$D$451)^(DP$3-1)*DP$6*(DP$3&gt;0)</f>
        <v>0</v>
      </c>
      <c r="DQ103" s="510">
        <f>$B103*(1+Inputs!$D$451)^(DQ$3-1)*DQ$6*(DQ$3&gt;0)</f>
        <v>0</v>
      </c>
      <c r="DR103" s="510">
        <f>$B103*(1+Inputs!$D$451)^(DR$3-1)*DR$6*(DR$3&gt;0)</f>
        <v>0</v>
      </c>
      <c r="DS103" s="510">
        <f>$B103*(1+Inputs!$D$451)^(DS$3-1)*DS$6*(DS$3&gt;0)</f>
        <v>0</v>
      </c>
      <c r="DT103" s="510">
        <f>$B103*(1+Inputs!$D$451)^(DT$3-1)*DT$6*(DT$3&gt;0)</f>
        <v>0</v>
      </c>
      <c r="DU103" s="510">
        <f>$B103*(1+Inputs!$D$451)^(DU$3-1)*DU$6*(DU$3&gt;0)</f>
        <v>0</v>
      </c>
      <c r="DV103" s="510">
        <f>$B103*(1+Inputs!$D$451)^(DV$3-1)*DV$6*(DV$3&gt;0)</f>
        <v>0</v>
      </c>
      <c r="DW103" s="510">
        <f>$B103*(1+Inputs!$D$451)^(DW$3-1)*DW$6*(DW$3&gt;0)</f>
        <v>0</v>
      </c>
    </row>
    <row r="104" spans="1:127">
      <c r="A104" s="304" t="s">
        <v>1291</v>
      </c>
      <c r="B104" s="1621">
        <f>0</f>
        <v>0</v>
      </c>
      <c r="C104" s="1618" t="s">
        <v>1290</v>
      </c>
      <c r="D104" s="1618"/>
      <c r="E104" s="510"/>
      <c r="F104" s="510"/>
      <c r="G104" s="510">
        <f>$B104*(1+Inputs!$D$451)^(G$3-1)*G$6*(G$3&gt;0)</f>
        <v>0</v>
      </c>
      <c r="H104" s="510">
        <f>$B104*(1+Inputs!$D$451)^(H$3-1)*H$6*(H$3&gt;0)</f>
        <v>0</v>
      </c>
      <c r="I104" s="510">
        <f>$B104*(1+Inputs!$D$451)^(I$3-1)*I$6*(I$3&gt;0)</f>
        <v>0</v>
      </c>
      <c r="J104" s="510">
        <f>$B104*(1+Inputs!$D$451)^(J$3-1)*J$6*(J$3&gt;0)</f>
        <v>0</v>
      </c>
      <c r="K104" s="510">
        <f>$B104*(1+Inputs!$D$451)^(K$3-1)*K$6*(K$3&gt;0)</f>
        <v>0</v>
      </c>
      <c r="L104" s="510">
        <f>$B104*(1+Inputs!$D$451)^(L$3-1)*L$6*(L$3&gt;0)</f>
        <v>0</v>
      </c>
      <c r="M104" s="510">
        <f>$B104*(1+Inputs!$D$451)^(M$3-1)*M$6*(M$3&gt;0)</f>
        <v>0</v>
      </c>
      <c r="N104" s="510">
        <f>$B104*(1+Inputs!$D$451)^(N$3-1)*N$6*(N$3&gt;0)</f>
        <v>0</v>
      </c>
      <c r="O104" s="510">
        <f>$B104*(1+Inputs!$D$451)^(O$3-1)*O$6*(O$3&gt;0)</f>
        <v>0</v>
      </c>
      <c r="P104" s="510">
        <f>$B104*(1+Inputs!$D$451)^(P$3-1)*P$6*(P$3&gt;0)</f>
        <v>0</v>
      </c>
      <c r="Q104" s="510">
        <f>$B104*(1+Inputs!$D$451)^(Q$3-1)*Q$6*(Q$3&gt;0)</f>
        <v>0</v>
      </c>
      <c r="R104" s="510">
        <f>$B104*(1+Inputs!$D$451)^(R$3-1)*R$6*(R$3&gt;0)</f>
        <v>0</v>
      </c>
      <c r="S104" s="510">
        <f>$B104*(1+Inputs!$D$451)^(S$3-1)*S$6*(S$3&gt;0)</f>
        <v>0</v>
      </c>
      <c r="T104" s="510">
        <f>$B104*(1+Inputs!$D$451)^(T$3-1)*T$6*(T$3&gt;0)</f>
        <v>0</v>
      </c>
      <c r="U104" s="510">
        <f>$B104*(1+Inputs!$D$451)^(U$3-1)*U$6*(U$3&gt;0)</f>
        <v>0</v>
      </c>
      <c r="V104" s="510">
        <f>$B104*(1+Inputs!$D$451)^(V$3-1)*V$6*(V$3&gt;0)</f>
        <v>0</v>
      </c>
      <c r="W104" s="510">
        <f>$B104*(1+Inputs!$D$451)^(W$3-1)*W$6*(W$3&gt;0)</f>
        <v>0</v>
      </c>
      <c r="X104" s="510">
        <f>$B104*(1+Inputs!$D$451)^(X$3-1)*X$6*(X$3&gt;0)</f>
        <v>0</v>
      </c>
      <c r="Y104" s="510">
        <f>$B104*(1+Inputs!$D$451)^(Y$3-1)*Y$6*(Y$3&gt;0)</f>
        <v>0</v>
      </c>
      <c r="Z104" s="510">
        <f>$B104*(1+Inputs!$D$451)^(Z$3-1)*Z$6*(Z$3&gt;0)</f>
        <v>0</v>
      </c>
      <c r="AA104" s="510">
        <f>$B104*(1+Inputs!$D$451)^(AA$3-1)*AA$6*(AA$3&gt;0)</f>
        <v>0</v>
      </c>
      <c r="AB104" s="510">
        <f>$B104*(1+Inputs!$D$451)^(AB$3-1)*AB$6*(AB$3&gt;0)</f>
        <v>0</v>
      </c>
      <c r="AC104" s="510">
        <f>$B104*(1+Inputs!$D$451)^(AC$3-1)*AC$6*(AC$3&gt;0)</f>
        <v>0</v>
      </c>
      <c r="AD104" s="510">
        <f>$B104*(1+Inputs!$D$451)^(AD$3-1)*AD$6*(AD$3&gt;0)</f>
        <v>0</v>
      </c>
      <c r="AE104" s="510">
        <f>$B104*(1+Inputs!$D$451)^(AE$3-1)*AE$6*(AE$3&gt;0)</f>
        <v>0</v>
      </c>
      <c r="AF104" s="510">
        <f>$B104*(1+Inputs!$D$451)^(AF$3-1)*AF$6*(AF$3&gt;0)</f>
        <v>0</v>
      </c>
      <c r="AG104" s="510">
        <f>$B104*(1+Inputs!$D$451)^(AG$3-1)*AG$6*(AG$3&gt;0)</f>
        <v>0</v>
      </c>
      <c r="AH104" s="510">
        <f>$B104*(1+Inputs!$D$451)^(AH$3-1)*AH$6*(AH$3&gt;0)</f>
        <v>0</v>
      </c>
      <c r="AI104" s="510">
        <f>$B104*(1+Inputs!$D$451)^(AI$3-1)*AI$6*(AI$3&gt;0)</f>
        <v>0</v>
      </c>
      <c r="AJ104" s="510">
        <f>$B104*(1+Inputs!$D$451)^(AJ$3-1)*AJ$6*(AJ$3&gt;0)</f>
        <v>0</v>
      </c>
      <c r="AK104" s="510">
        <f>$B104*(1+Inputs!$D$451)^(AK$3-1)*AK$6*(AK$3&gt;0)</f>
        <v>0</v>
      </c>
      <c r="AL104" s="510">
        <f>$B104*(1+Inputs!$D$451)^(AL$3-1)*AL$6*(AL$3&gt;0)</f>
        <v>0</v>
      </c>
      <c r="AM104" s="510">
        <f>$B104*(1+Inputs!$D$451)^(AM$3-1)*AM$6*(AM$3&gt;0)</f>
        <v>0</v>
      </c>
      <c r="AN104" s="510">
        <f>$B104*(1+Inputs!$D$451)^(AN$3-1)*AN$6*(AN$3&gt;0)</f>
        <v>0</v>
      </c>
      <c r="AO104" s="510">
        <f>$B104*(1+Inputs!$D$451)^(AO$3-1)*AO$6*(AO$3&gt;0)</f>
        <v>0</v>
      </c>
      <c r="AP104" s="510">
        <f>$B104*(1+Inputs!$D$451)^(AP$3-1)*AP$6*(AP$3&gt;0)</f>
        <v>0</v>
      </c>
      <c r="AQ104" s="510">
        <f>$B104*(1+Inputs!$D$451)^(AQ$3-1)*AQ$6*(AQ$3&gt;0)</f>
        <v>0</v>
      </c>
      <c r="AR104" s="510">
        <f>$B104*(1+Inputs!$D$451)^(AR$3-1)*AR$6*(AR$3&gt;0)</f>
        <v>0</v>
      </c>
      <c r="AS104" s="510">
        <f>$B104*(1+Inputs!$D$451)^(AS$3-1)*AS$6*(AS$3&gt;0)</f>
        <v>0</v>
      </c>
      <c r="AT104" s="510">
        <f>$B104*(1+Inputs!$D$451)^(AT$3-1)*AT$6*(AT$3&gt;0)</f>
        <v>0</v>
      </c>
      <c r="AU104" s="510">
        <f>$B104*(1+Inputs!$D$451)^(AU$3-1)*AU$6*(AU$3&gt;0)</f>
        <v>0</v>
      </c>
      <c r="AV104" s="510">
        <f>$B104*(1+Inputs!$D$451)^(AV$3-1)*AV$6*(AV$3&gt;0)</f>
        <v>0</v>
      </c>
      <c r="AW104" s="510">
        <f>$B104*(1+Inputs!$D$451)^(AW$3-1)*AW$6*(AW$3&gt;0)</f>
        <v>0</v>
      </c>
      <c r="AX104" s="510">
        <f>$B104*(1+Inputs!$D$451)^(AX$3-1)*AX$6*(AX$3&gt;0)</f>
        <v>0</v>
      </c>
      <c r="AY104" s="510">
        <f>$B104*(1+Inputs!$D$451)^(AY$3-1)*AY$6*(AY$3&gt;0)</f>
        <v>0</v>
      </c>
      <c r="AZ104" s="510">
        <f>$B104*(1+Inputs!$D$451)^(AZ$3-1)*AZ$6*(AZ$3&gt;0)</f>
        <v>0</v>
      </c>
      <c r="BA104" s="510">
        <f>$B104*(1+Inputs!$D$451)^(BA$3-1)*BA$6*(BA$3&gt;0)</f>
        <v>0</v>
      </c>
      <c r="BB104" s="510">
        <f>$B104*(1+Inputs!$D$451)^(BB$3-1)*BB$6*(BB$3&gt;0)</f>
        <v>0</v>
      </c>
      <c r="BC104" s="510">
        <f>$B104*(1+Inputs!$D$451)^(BC$3-1)*BC$6*(BC$3&gt;0)</f>
        <v>0</v>
      </c>
      <c r="BD104" s="510">
        <f>$B104*(1+Inputs!$D$451)^(BD$3-1)*BD$6*(BD$3&gt;0)</f>
        <v>0</v>
      </c>
      <c r="BE104" s="510">
        <f>$B104*(1+Inputs!$D$451)^(BE$3-1)*BE$6*(BE$3&gt;0)</f>
        <v>0</v>
      </c>
      <c r="BF104" s="510">
        <f>$B104*(1+Inputs!$D$451)^(BF$3-1)*BF$6*(BF$3&gt;0)</f>
        <v>0</v>
      </c>
      <c r="BG104" s="510">
        <f>$B104*(1+Inputs!$D$451)^(BG$3-1)*BG$6*(BG$3&gt;0)</f>
        <v>0</v>
      </c>
      <c r="BH104" s="510">
        <f>$B104*(1+Inputs!$D$451)^(BH$3-1)*BH$6*(BH$3&gt;0)</f>
        <v>0</v>
      </c>
      <c r="BI104" s="510">
        <f>$B104*(1+Inputs!$D$451)^(BI$3-1)*BI$6*(BI$3&gt;0)</f>
        <v>0</v>
      </c>
      <c r="BJ104" s="510">
        <f>$B104*(1+Inputs!$D$451)^(BJ$3-1)*BJ$6*(BJ$3&gt;0)</f>
        <v>0</v>
      </c>
      <c r="BK104" s="510">
        <f>$B104*(1+Inputs!$D$451)^(BK$3-1)*BK$6*(BK$3&gt;0)</f>
        <v>0</v>
      </c>
      <c r="BL104" s="510">
        <f>$B104*(1+Inputs!$D$451)^(BL$3-1)*BL$6*(BL$3&gt;0)</f>
        <v>0</v>
      </c>
      <c r="BM104" s="510">
        <f>$B104*(1+Inputs!$D$451)^(BM$3-1)*BM$6*(BM$3&gt;0)</f>
        <v>0</v>
      </c>
      <c r="BN104" s="510">
        <f>$B104*(1+Inputs!$D$451)^(BN$3-1)*BN$6*(BN$3&gt;0)</f>
        <v>0</v>
      </c>
      <c r="BO104" s="510">
        <f>$B104*(1+Inputs!$D$451)^(BO$3-1)*BO$6*(BO$3&gt;0)</f>
        <v>0</v>
      </c>
      <c r="BP104" s="510">
        <f>$B104*(1+Inputs!$D$451)^(BP$3-1)*BP$6*(BP$3&gt;0)</f>
        <v>0</v>
      </c>
      <c r="BQ104" s="510">
        <f>$B104*(1+Inputs!$D$451)^(BQ$3-1)*BQ$6*(BQ$3&gt;0)</f>
        <v>0</v>
      </c>
      <c r="BR104" s="510">
        <f>$B104*(1+Inputs!$D$451)^(BR$3-1)*BR$6*(BR$3&gt;0)</f>
        <v>0</v>
      </c>
      <c r="BS104" s="510">
        <f>$B104*(1+Inputs!$D$451)^(BS$3-1)*BS$6*(BS$3&gt;0)</f>
        <v>0</v>
      </c>
      <c r="BT104" s="510">
        <f>$B104*(1+Inputs!$D$451)^(BT$3-1)*BT$6*(BT$3&gt;0)</f>
        <v>0</v>
      </c>
      <c r="BU104" s="510">
        <f>$B104*(1+Inputs!$D$451)^(BU$3-1)*BU$6*(BU$3&gt;0)</f>
        <v>0</v>
      </c>
      <c r="BV104" s="510">
        <f>$B104*(1+Inputs!$D$451)^(BV$3-1)*BV$6*(BV$3&gt;0)</f>
        <v>0</v>
      </c>
      <c r="BW104" s="510">
        <f>$B104*(1+Inputs!$D$451)^(BW$3-1)*BW$6*(BW$3&gt;0)</f>
        <v>0</v>
      </c>
      <c r="BX104" s="510">
        <f>$B104*(1+Inputs!$D$451)^(BX$3-1)*BX$6*(BX$3&gt;0)</f>
        <v>0</v>
      </c>
      <c r="BY104" s="510">
        <f>$B104*(1+Inputs!$D$451)^(BY$3-1)*BY$6*(BY$3&gt;0)</f>
        <v>0</v>
      </c>
      <c r="BZ104" s="510">
        <f>$B104*(1+Inputs!$D$451)^(BZ$3-1)*BZ$6*(BZ$3&gt;0)</f>
        <v>0</v>
      </c>
      <c r="CA104" s="510">
        <f>$B104*(1+Inputs!$D$451)^(CA$3-1)*CA$6*(CA$3&gt;0)</f>
        <v>0</v>
      </c>
      <c r="CB104" s="510">
        <f>$B104*(1+Inputs!$D$451)^(CB$3-1)*CB$6*(CB$3&gt;0)</f>
        <v>0</v>
      </c>
      <c r="CC104" s="510">
        <f>$B104*(1+Inputs!$D$451)^(CC$3-1)*CC$6*(CC$3&gt;0)</f>
        <v>0</v>
      </c>
      <c r="CD104" s="510">
        <f>$B104*(1+Inputs!$D$451)^(CD$3-1)*CD$6*(CD$3&gt;0)</f>
        <v>0</v>
      </c>
      <c r="CE104" s="510">
        <f>$B104*(1+Inputs!$D$451)^(CE$3-1)*CE$6*(CE$3&gt;0)</f>
        <v>0</v>
      </c>
      <c r="CF104" s="510">
        <f>$B104*(1+Inputs!$D$451)^(CF$3-1)*CF$6*(CF$3&gt;0)</f>
        <v>0</v>
      </c>
      <c r="CG104" s="510">
        <f>$B104*(1+Inputs!$D$451)^(CG$3-1)*CG$6*(CG$3&gt;0)</f>
        <v>0</v>
      </c>
      <c r="CH104" s="510">
        <f>$B104*(1+Inputs!$D$451)^(CH$3-1)*CH$6*(CH$3&gt;0)</f>
        <v>0</v>
      </c>
      <c r="CI104" s="510">
        <f>$B104*(1+Inputs!$D$451)^(CI$3-1)*CI$6*(CI$3&gt;0)</f>
        <v>0</v>
      </c>
      <c r="CJ104" s="510">
        <f>$B104*(1+Inputs!$D$451)^(CJ$3-1)*CJ$6*(CJ$3&gt;0)</f>
        <v>0</v>
      </c>
      <c r="CK104" s="510">
        <f>$B104*(1+Inputs!$D$451)^(CK$3-1)*CK$6*(CK$3&gt;0)</f>
        <v>0</v>
      </c>
      <c r="CL104" s="510">
        <f>$B104*(1+Inputs!$D$451)^(CL$3-1)*CL$6*(CL$3&gt;0)</f>
        <v>0</v>
      </c>
      <c r="CM104" s="510">
        <f>$B104*(1+Inputs!$D$451)^(CM$3-1)*CM$6*(CM$3&gt;0)</f>
        <v>0</v>
      </c>
      <c r="CN104" s="510">
        <f>$B104*(1+Inputs!$D$451)^(CN$3-1)*CN$6*(CN$3&gt;0)</f>
        <v>0</v>
      </c>
      <c r="CO104" s="510">
        <f>$B104*(1+Inputs!$D$451)^(CO$3-1)*CO$6*(CO$3&gt;0)</f>
        <v>0</v>
      </c>
      <c r="CP104" s="510">
        <f>$B104*(1+Inputs!$D$451)^(CP$3-1)*CP$6*(CP$3&gt;0)</f>
        <v>0</v>
      </c>
      <c r="CQ104" s="510">
        <f>$B104*(1+Inputs!$D$451)^(CQ$3-1)*CQ$6*(CQ$3&gt;0)</f>
        <v>0</v>
      </c>
      <c r="CR104" s="510">
        <f>$B104*(1+Inputs!$D$451)^(CR$3-1)*CR$6*(CR$3&gt;0)</f>
        <v>0</v>
      </c>
      <c r="CS104" s="510">
        <f>$B104*(1+Inputs!$D$451)^(CS$3-1)*CS$6*(CS$3&gt;0)</f>
        <v>0</v>
      </c>
      <c r="CT104" s="510">
        <f>$B104*(1+Inputs!$D$451)^(CT$3-1)*CT$6*(CT$3&gt;0)</f>
        <v>0</v>
      </c>
      <c r="CU104" s="510">
        <f>$B104*(1+Inputs!$D$451)^(CU$3-1)*CU$6*(CU$3&gt;0)</f>
        <v>0</v>
      </c>
      <c r="CV104" s="510">
        <f>$B104*(1+Inputs!$D$451)^(CV$3-1)*CV$6*(CV$3&gt;0)</f>
        <v>0</v>
      </c>
      <c r="CW104" s="510">
        <f>$B104*(1+Inputs!$D$451)^(CW$3-1)*CW$6*(CW$3&gt;0)</f>
        <v>0</v>
      </c>
      <c r="CX104" s="510">
        <f>$B104*(1+Inputs!$D$451)^(CX$3-1)*CX$6*(CX$3&gt;0)</f>
        <v>0</v>
      </c>
      <c r="CY104" s="510">
        <f>$B104*(1+Inputs!$D$451)^(CY$3-1)*CY$6*(CY$3&gt;0)</f>
        <v>0</v>
      </c>
      <c r="CZ104" s="510">
        <f>$B104*(1+Inputs!$D$451)^(CZ$3-1)*CZ$6*(CZ$3&gt;0)</f>
        <v>0</v>
      </c>
      <c r="DA104" s="510">
        <f>$B104*(1+Inputs!$D$451)^(DA$3-1)*DA$6*(DA$3&gt;0)</f>
        <v>0</v>
      </c>
      <c r="DB104" s="510">
        <f>$B104*(1+Inputs!$D$451)^(DB$3-1)*DB$6*(DB$3&gt;0)</f>
        <v>0</v>
      </c>
      <c r="DC104" s="510">
        <f>$B104*(1+Inputs!$D$451)^(DC$3-1)*DC$6*(DC$3&gt;0)</f>
        <v>0</v>
      </c>
      <c r="DD104" s="510">
        <f>$B104*(1+Inputs!$D$451)^(DD$3-1)*DD$6*(DD$3&gt;0)</f>
        <v>0</v>
      </c>
      <c r="DE104" s="510">
        <f>$B104*(1+Inputs!$D$451)^(DE$3-1)*DE$6*(DE$3&gt;0)</f>
        <v>0</v>
      </c>
      <c r="DF104" s="510">
        <f>$B104*(1+Inputs!$D$451)^(DF$3-1)*DF$6*(DF$3&gt;0)</f>
        <v>0</v>
      </c>
      <c r="DG104" s="510">
        <f>$B104*(1+Inputs!$D$451)^(DG$3-1)*DG$6*(DG$3&gt;0)</f>
        <v>0</v>
      </c>
      <c r="DH104" s="510">
        <f>$B104*(1+Inputs!$D$451)^(DH$3-1)*DH$6*(DH$3&gt;0)</f>
        <v>0</v>
      </c>
      <c r="DI104" s="510">
        <f>$B104*(1+Inputs!$D$451)^(DI$3-1)*DI$6*(DI$3&gt;0)</f>
        <v>0</v>
      </c>
      <c r="DJ104" s="510">
        <f>$B104*(1+Inputs!$D$451)^(DJ$3-1)*DJ$6*(DJ$3&gt;0)</f>
        <v>0</v>
      </c>
      <c r="DK104" s="510">
        <f>$B104*(1+Inputs!$D$451)^(DK$3-1)*DK$6*(DK$3&gt;0)</f>
        <v>0</v>
      </c>
      <c r="DL104" s="510">
        <f>$B104*(1+Inputs!$D$451)^(DL$3-1)*DL$6*(DL$3&gt;0)</f>
        <v>0</v>
      </c>
      <c r="DM104" s="510">
        <f>$B104*(1+Inputs!$D$451)^(DM$3-1)*DM$6*(DM$3&gt;0)</f>
        <v>0</v>
      </c>
      <c r="DN104" s="510">
        <f>$B104*(1+Inputs!$D$451)^(DN$3-1)*DN$6*(DN$3&gt;0)</f>
        <v>0</v>
      </c>
      <c r="DO104" s="510">
        <f>$B104*(1+Inputs!$D$451)^(DO$3-1)*DO$6*(DO$3&gt;0)</f>
        <v>0</v>
      </c>
      <c r="DP104" s="510">
        <f>$B104*(1+Inputs!$D$451)^(DP$3-1)*DP$6*(DP$3&gt;0)</f>
        <v>0</v>
      </c>
      <c r="DQ104" s="510">
        <f>$B104*(1+Inputs!$D$451)^(DQ$3-1)*DQ$6*(DQ$3&gt;0)</f>
        <v>0</v>
      </c>
      <c r="DR104" s="510">
        <f>$B104*(1+Inputs!$D$451)^(DR$3-1)*DR$6*(DR$3&gt;0)</f>
        <v>0</v>
      </c>
      <c r="DS104" s="510">
        <f>$B104*(1+Inputs!$D$451)^(DS$3-1)*DS$6*(DS$3&gt;0)</f>
        <v>0</v>
      </c>
      <c r="DT104" s="510">
        <f>$B104*(1+Inputs!$D$451)^(DT$3-1)*DT$6*(DT$3&gt;0)</f>
        <v>0</v>
      </c>
      <c r="DU104" s="510">
        <f>$B104*(1+Inputs!$D$451)^(DU$3-1)*DU$6*(DU$3&gt;0)</f>
        <v>0</v>
      </c>
      <c r="DV104" s="510">
        <f>$B104*(1+Inputs!$D$451)^(DV$3-1)*DV$6*(DV$3&gt;0)</f>
        <v>0</v>
      </c>
      <c r="DW104" s="510">
        <f>$B104*(1+Inputs!$D$451)^(DW$3-1)*DW$6*(DW$3&gt;0)</f>
        <v>0</v>
      </c>
    </row>
    <row r="105" spans="1:127">
      <c r="A105" s="304" t="s">
        <v>1292</v>
      </c>
      <c r="B105" s="1621">
        <f>0</f>
        <v>0</v>
      </c>
      <c r="C105" s="1618" t="s">
        <v>1290</v>
      </c>
      <c r="D105" s="1618"/>
      <c r="E105" s="510"/>
      <c r="F105" s="510"/>
      <c r="G105" s="510">
        <f>$B105*(1+Inputs!$D$451)^(G$3-1)*G$6*(G$3&gt;0)</f>
        <v>0</v>
      </c>
      <c r="H105" s="510">
        <f>$B105*(1+Inputs!$D$451)^(H$3-1)*H$6*(H$3&gt;0)</f>
        <v>0</v>
      </c>
      <c r="I105" s="510">
        <f>$B105*(1+Inputs!$D$451)^(I$3-1)*I$6*(I$3&gt;0)</f>
        <v>0</v>
      </c>
      <c r="J105" s="510">
        <f>$B105*(1+Inputs!$D$451)^(J$3-1)*J$6*(J$3&gt;0)</f>
        <v>0</v>
      </c>
      <c r="K105" s="510">
        <f>$B105*(1+Inputs!$D$451)^(K$3-1)*K$6*(K$3&gt;0)</f>
        <v>0</v>
      </c>
      <c r="L105" s="510">
        <f>$B105*(1+Inputs!$D$451)^(L$3-1)*L$6*(L$3&gt;0)</f>
        <v>0</v>
      </c>
      <c r="M105" s="510">
        <f>$B105*(1+Inputs!$D$451)^(M$3-1)*M$6*(M$3&gt;0)</f>
        <v>0</v>
      </c>
      <c r="N105" s="510">
        <f>$B105*(1+Inputs!$D$451)^(N$3-1)*N$6*(N$3&gt;0)</f>
        <v>0</v>
      </c>
      <c r="O105" s="510">
        <f>$B105*(1+Inputs!$D$451)^(O$3-1)*O$6*(O$3&gt;0)</f>
        <v>0</v>
      </c>
      <c r="P105" s="510">
        <f>$B105*(1+Inputs!$D$451)^(P$3-1)*P$6*(P$3&gt;0)</f>
        <v>0</v>
      </c>
      <c r="Q105" s="510">
        <f>$B105*(1+Inputs!$D$451)^(Q$3-1)*Q$6*(Q$3&gt;0)</f>
        <v>0</v>
      </c>
      <c r="R105" s="510">
        <f>$B105*(1+Inputs!$D$451)^(R$3-1)*R$6*(R$3&gt;0)</f>
        <v>0</v>
      </c>
      <c r="S105" s="510">
        <f>$B105*(1+Inputs!$D$451)^(S$3-1)*S$6*(S$3&gt;0)</f>
        <v>0</v>
      </c>
      <c r="T105" s="510">
        <f>$B105*(1+Inputs!$D$451)^(T$3-1)*T$6*(T$3&gt;0)</f>
        <v>0</v>
      </c>
      <c r="U105" s="510">
        <f>$B105*(1+Inputs!$D$451)^(U$3-1)*U$6*(U$3&gt;0)</f>
        <v>0</v>
      </c>
      <c r="V105" s="510">
        <f>$B105*(1+Inputs!$D$451)^(V$3-1)*V$6*(V$3&gt;0)</f>
        <v>0</v>
      </c>
      <c r="W105" s="510">
        <f>$B105*(1+Inputs!$D$451)^(W$3-1)*W$6*(W$3&gt;0)</f>
        <v>0</v>
      </c>
      <c r="X105" s="510">
        <f>$B105*(1+Inputs!$D$451)^(X$3-1)*X$6*(X$3&gt;0)</f>
        <v>0</v>
      </c>
      <c r="Y105" s="510">
        <f>$B105*(1+Inputs!$D$451)^(Y$3-1)*Y$6*(Y$3&gt;0)</f>
        <v>0</v>
      </c>
      <c r="Z105" s="510">
        <f>$B105*(1+Inputs!$D$451)^(Z$3-1)*Z$6*(Z$3&gt;0)</f>
        <v>0</v>
      </c>
      <c r="AA105" s="510">
        <f>$B105*(1+Inputs!$D$451)^(AA$3-1)*AA$6*(AA$3&gt;0)</f>
        <v>0</v>
      </c>
      <c r="AB105" s="510">
        <f>$B105*(1+Inputs!$D$451)^(AB$3-1)*AB$6*(AB$3&gt;0)</f>
        <v>0</v>
      </c>
      <c r="AC105" s="510">
        <f>$B105*(1+Inputs!$D$451)^(AC$3-1)*AC$6*(AC$3&gt;0)</f>
        <v>0</v>
      </c>
      <c r="AD105" s="510">
        <f>$B105*(1+Inputs!$D$451)^(AD$3-1)*AD$6*(AD$3&gt;0)</f>
        <v>0</v>
      </c>
      <c r="AE105" s="510">
        <f>$B105*(1+Inputs!$D$451)^(AE$3-1)*AE$6*(AE$3&gt;0)</f>
        <v>0</v>
      </c>
      <c r="AF105" s="510">
        <f>$B105*(1+Inputs!$D$451)^(AF$3-1)*AF$6*(AF$3&gt;0)</f>
        <v>0</v>
      </c>
      <c r="AG105" s="510">
        <f>$B105*(1+Inputs!$D$451)^(AG$3-1)*AG$6*(AG$3&gt;0)</f>
        <v>0</v>
      </c>
      <c r="AH105" s="510">
        <f>$B105*(1+Inputs!$D$451)^(AH$3-1)*AH$6*(AH$3&gt;0)</f>
        <v>0</v>
      </c>
      <c r="AI105" s="510">
        <f>$B105*(1+Inputs!$D$451)^(AI$3-1)*AI$6*(AI$3&gt;0)</f>
        <v>0</v>
      </c>
      <c r="AJ105" s="510">
        <f>$B105*(1+Inputs!$D$451)^(AJ$3-1)*AJ$6*(AJ$3&gt;0)</f>
        <v>0</v>
      </c>
      <c r="AK105" s="510">
        <f>$B105*(1+Inputs!$D$451)^(AK$3-1)*AK$6*(AK$3&gt;0)</f>
        <v>0</v>
      </c>
      <c r="AL105" s="510">
        <f>$B105*(1+Inputs!$D$451)^(AL$3-1)*AL$6*(AL$3&gt;0)</f>
        <v>0</v>
      </c>
      <c r="AM105" s="510">
        <f>$B105*(1+Inputs!$D$451)^(AM$3-1)*AM$6*(AM$3&gt;0)</f>
        <v>0</v>
      </c>
      <c r="AN105" s="510">
        <f>$B105*(1+Inputs!$D$451)^(AN$3-1)*AN$6*(AN$3&gt;0)</f>
        <v>0</v>
      </c>
      <c r="AO105" s="510">
        <f>$B105*(1+Inputs!$D$451)^(AO$3-1)*AO$6*(AO$3&gt;0)</f>
        <v>0</v>
      </c>
      <c r="AP105" s="510">
        <f>$B105*(1+Inputs!$D$451)^(AP$3-1)*AP$6*(AP$3&gt;0)</f>
        <v>0</v>
      </c>
      <c r="AQ105" s="510">
        <f>$B105*(1+Inputs!$D$451)^(AQ$3-1)*AQ$6*(AQ$3&gt;0)</f>
        <v>0</v>
      </c>
      <c r="AR105" s="510">
        <f>$B105*(1+Inputs!$D$451)^(AR$3-1)*AR$6*(AR$3&gt;0)</f>
        <v>0</v>
      </c>
      <c r="AS105" s="510">
        <f>$B105*(1+Inputs!$D$451)^(AS$3-1)*AS$6*(AS$3&gt;0)</f>
        <v>0</v>
      </c>
      <c r="AT105" s="510">
        <f>$B105*(1+Inputs!$D$451)^(AT$3-1)*AT$6*(AT$3&gt;0)</f>
        <v>0</v>
      </c>
      <c r="AU105" s="510">
        <f>$B105*(1+Inputs!$D$451)^(AU$3-1)*AU$6*(AU$3&gt;0)</f>
        <v>0</v>
      </c>
      <c r="AV105" s="510">
        <f>$B105*(1+Inputs!$D$451)^(AV$3-1)*AV$6*(AV$3&gt;0)</f>
        <v>0</v>
      </c>
      <c r="AW105" s="510">
        <f>$B105*(1+Inputs!$D$451)^(AW$3-1)*AW$6*(AW$3&gt;0)</f>
        <v>0</v>
      </c>
      <c r="AX105" s="510">
        <f>$B105*(1+Inputs!$D$451)^(AX$3-1)*AX$6*(AX$3&gt;0)</f>
        <v>0</v>
      </c>
      <c r="AY105" s="510">
        <f>$B105*(1+Inputs!$D$451)^(AY$3-1)*AY$6*(AY$3&gt;0)</f>
        <v>0</v>
      </c>
      <c r="AZ105" s="510">
        <f>$B105*(1+Inputs!$D$451)^(AZ$3-1)*AZ$6*(AZ$3&gt;0)</f>
        <v>0</v>
      </c>
      <c r="BA105" s="510">
        <f>$B105*(1+Inputs!$D$451)^(BA$3-1)*BA$6*(BA$3&gt;0)</f>
        <v>0</v>
      </c>
      <c r="BB105" s="510">
        <f>$B105*(1+Inputs!$D$451)^(BB$3-1)*BB$6*(BB$3&gt;0)</f>
        <v>0</v>
      </c>
      <c r="BC105" s="510">
        <f>$B105*(1+Inputs!$D$451)^(BC$3-1)*BC$6*(BC$3&gt;0)</f>
        <v>0</v>
      </c>
      <c r="BD105" s="510">
        <f>$B105*(1+Inputs!$D$451)^(BD$3-1)*BD$6*(BD$3&gt;0)</f>
        <v>0</v>
      </c>
      <c r="BE105" s="510">
        <f>$B105*(1+Inputs!$D$451)^(BE$3-1)*BE$6*(BE$3&gt;0)</f>
        <v>0</v>
      </c>
      <c r="BF105" s="510">
        <f>$B105*(1+Inputs!$D$451)^(BF$3-1)*BF$6*(BF$3&gt;0)</f>
        <v>0</v>
      </c>
      <c r="BG105" s="510">
        <f>$B105*(1+Inputs!$D$451)^(BG$3-1)*BG$6*(BG$3&gt;0)</f>
        <v>0</v>
      </c>
      <c r="BH105" s="510">
        <f>$B105*(1+Inputs!$D$451)^(BH$3-1)*BH$6*(BH$3&gt;0)</f>
        <v>0</v>
      </c>
      <c r="BI105" s="510">
        <f>$B105*(1+Inputs!$D$451)^(BI$3-1)*BI$6*(BI$3&gt;0)</f>
        <v>0</v>
      </c>
      <c r="BJ105" s="510">
        <f>$B105*(1+Inputs!$D$451)^(BJ$3-1)*BJ$6*(BJ$3&gt;0)</f>
        <v>0</v>
      </c>
      <c r="BK105" s="510">
        <f>$B105*(1+Inputs!$D$451)^(BK$3-1)*BK$6*(BK$3&gt;0)</f>
        <v>0</v>
      </c>
      <c r="BL105" s="510">
        <f>$B105*(1+Inputs!$D$451)^(BL$3-1)*BL$6*(BL$3&gt;0)</f>
        <v>0</v>
      </c>
      <c r="BM105" s="510">
        <f>$B105*(1+Inputs!$D$451)^(BM$3-1)*BM$6*(BM$3&gt;0)</f>
        <v>0</v>
      </c>
      <c r="BN105" s="510">
        <f>$B105*(1+Inputs!$D$451)^(BN$3-1)*BN$6*(BN$3&gt;0)</f>
        <v>0</v>
      </c>
      <c r="BO105" s="510">
        <f>$B105*(1+Inputs!$D$451)^(BO$3-1)*BO$6*(BO$3&gt;0)</f>
        <v>0</v>
      </c>
      <c r="BP105" s="510">
        <f>$B105*(1+Inputs!$D$451)^(BP$3-1)*BP$6*(BP$3&gt;0)</f>
        <v>0</v>
      </c>
      <c r="BQ105" s="510">
        <f>$B105*(1+Inputs!$D$451)^(BQ$3-1)*BQ$6*(BQ$3&gt;0)</f>
        <v>0</v>
      </c>
      <c r="BR105" s="510">
        <f>$B105*(1+Inputs!$D$451)^(BR$3-1)*BR$6*(BR$3&gt;0)</f>
        <v>0</v>
      </c>
      <c r="BS105" s="510">
        <f>$B105*(1+Inputs!$D$451)^(BS$3-1)*BS$6*(BS$3&gt;0)</f>
        <v>0</v>
      </c>
      <c r="BT105" s="510">
        <f>$B105*(1+Inputs!$D$451)^(BT$3-1)*BT$6*(BT$3&gt;0)</f>
        <v>0</v>
      </c>
      <c r="BU105" s="510">
        <f>$B105*(1+Inputs!$D$451)^(BU$3-1)*BU$6*(BU$3&gt;0)</f>
        <v>0</v>
      </c>
      <c r="BV105" s="510">
        <f>$B105*(1+Inputs!$D$451)^(BV$3-1)*BV$6*(BV$3&gt;0)</f>
        <v>0</v>
      </c>
      <c r="BW105" s="510">
        <f>$B105*(1+Inputs!$D$451)^(BW$3-1)*BW$6*(BW$3&gt;0)</f>
        <v>0</v>
      </c>
      <c r="BX105" s="510">
        <f>$B105*(1+Inputs!$D$451)^(BX$3-1)*BX$6*(BX$3&gt;0)</f>
        <v>0</v>
      </c>
      <c r="BY105" s="510">
        <f>$B105*(1+Inputs!$D$451)^(BY$3-1)*BY$6*(BY$3&gt;0)</f>
        <v>0</v>
      </c>
      <c r="BZ105" s="510">
        <f>$B105*(1+Inputs!$D$451)^(BZ$3-1)*BZ$6*(BZ$3&gt;0)</f>
        <v>0</v>
      </c>
      <c r="CA105" s="510">
        <f>$B105*(1+Inputs!$D$451)^(CA$3-1)*CA$6*(CA$3&gt;0)</f>
        <v>0</v>
      </c>
      <c r="CB105" s="510">
        <f>$B105*(1+Inputs!$D$451)^(CB$3-1)*CB$6*(CB$3&gt;0)</f>
        <v>0</v>
      </c>
      <c r="CC105" s="510">
        <f>$B105*(1+Inputs!$D$451)^(CC$3-1)*CC$6*(CC$3&gt;0)</f>
        <v>0</v>
      </c>
      <c r="CD105" s="510">
        <f>$B105*(1+Inputs!$D$451)^(CD$3-1)*CD$6*(CD$3&gt;0)</f>
        <v>0</v>
      </c>
      <c r="CE105" s="510">
        <f>$B105*(1+Inputs!$D$451)^(CE$3-1)*CE$6*(CE$3&gt;0)</f>
        <v>0</v>
      </c>
      <c r="CF105" s="510">
        <f>$B105*(1+Inputs!$D$451)^(CF$3-1)*CF$6*(CF$3&gt;0)</f>
        <v>0</v>
      </c>
      <c r="CG105" s="510">
        <f>$B105*(1+Inputs!$D$451)^(CG$3-1)*CG$6*(CG$3&gt;0)</f>
        <v>0</v>
      </c>
      <c r="CH105" s="510">
        <f>$B105*(1+Inputs!$D$451)^(CH$3-1)*CH$6*(CH$3&gt;0)</f>
        <v>0</v>
      </c>
      <c r="CI105" s="510">
        <f>$B105*(1+Inputs!$D$451)^(CI$3-1)*CI$6*(CI$3&gt;0)</f>
        <v>0</v>
      </c>
      <c r="CJ105" s="510">
        <f>$B105*(1+Inputs!$D$451)^(CJ$3-1)*CJ$6*(CJ$3&gt;0)</f>
        <v>0</v>
      </c>
      <c r="CK105" s="510">
        <f>$B105*(1+Inputs!$D$451)^(CK$3-1)*CK$6*(CK$3&gt;0)</f>
        <v>0</v>
      </c>
      <c r="CL105" s="510">
        <f>$B105*(1+Inputs!$D$451)^(CL$3-1)*CL$6*(CL$3&gt;0)</f>
        <v>0</v>
      </c>
      <c r="CM105" s="510">
        <f>$B105*(1+Inputs!$D$451)^(CM$3-1)*CM$6*(CM$3&gt;0)</f>
        <v>0</v>
      </c>
      <c r="CN105" s="510">
        <f>$B105*(1+Inputs!$D$451)^(CN$3-1)*CN$6*(CN$3&gt;0)</f>
        <v>0</v>
      </c>
      <c r="CO105" s="510">
        <f>$B105*(1+Inputs!$D$451)^(CO$3-1)*CO$6*(CO$3&gt;0)</f>
        <v>0</v>
      </c>
      <c r="CP105" s="510">
        <f>$B105*(1+Inputs!$D$451)^(CP$3-1)*CP$6*(CP$3&gt;0)</f>
        <v>0</v>
      </c>
      <c r="CQ105" s="510">
        <f>$B105*(1+Inputs!$D$451)^(CQ$3-1)*CQ$6*(CQ$3&gt;0)</f>
        <v>0</v>
      </c>
      <c r="CR105" s="510">
        <f>$B105*(1+Inputs!$D$451)^(CR$3-1)*CR$6*(CR$3&gt;0)</f>
        <v>0</v>
      </c>
      <c r="CS105" s="510">
        <f>$B105*(1+Inputs!$D$451)^(CS$3-1)*CS$6*(CS$3&gt;0)</f>
        <v>0</v>
      </c>
      <c r="CT105" s="510">
        <f>$B105*(1+Inputs!$D$451)^(CT$3-1)*CT$6*(CT$3&gt;0)</f>
        <v>0</v>
      </c>
      <c r="CU105" s="510">
        <f>$B105*(1+Inputs!$D$451)^(CU$3-1)*CU$6*(CU$3&gt;0)</f>
        <v>0</v>
      </c>
      <c r="CV105" s="510">
        <f>$B105*(1+Inputs!$D$451)^(CV$3-1)*CV$6*(CV$3&gt;0)</f>
        <v>0</v>
      </c>
      <c r="CW105" s="510">
        <f>$B105*(1+Inputs!$D$451)^(CW$3-1)*CW$6*(CW$3&gt;0)</f>
        <v>0</v>
      </c>
      <c r="CX105" s="510">
        <f>$B105*(1+Inputs!$D$451)^(CX$3-1)*CX$6*(CX$3&gt;0)</f>
        <v>0</v>
      </c>
      <c r="CY105" s="510">
        <f>$B105*(1+Inputs!$D$451)^(CY$3-1)*CY$6*(CY$3&gt;0)</f>
        <v>0</v>
      </c>
      <c r="CZ105" s="510">
        <f>$B105*(1+Inputs!$D$451)^(CZ$3-1)*CZ$6*(CZ$3&gt;0)</f>
        <v>0</v>
      </c>
      <c r="DA105" s="510">
        <f>$B105*(1+Inputs!$D$451)^(DA$3-1)*DA$6*(DA$3&gt;0)</f>
        <v>0</v>
      </c>
      <c r="DB105" s="510">
        <f>$B105*(1+Inputs!$D$451)^(DB$3-1)*DB$6*(DB$3&gt;0)</f>
        <v>0</v>
      </c>
      <c r="DC105" s="510">
        <f>$B105*(1+Inputs!$D$451)^(DC$3-1)*DC$6*(DC$3&gt;0)</f>
        <v>0</v>
      </c>
      <c r="DD105" s="510">
        <f>$B105*(1+Inputs!$D$451)^(DD$3-1)*DD$6*(DD$3&gt;0)</f>
        <v>0</v>
      </c>
      <c r="DE105" s="510">
        <f>$B105*(1+Inputs!$D$451)^(DE$3-1)*DE$6*(DE$3&gt;0)</f>
        <v>0</v>
      </c>
      <c r="DF105" s="510">
        <f>$B105*(1+Inputs!$D$451)^(DF$3-1)*DF$6*(DF$3&gt;0)</f>
        <v>0</v>
      </c>
      <c r="DG105" s="510">
        <f>$B105*(1+Inputs!$D$451)^(DG$3-1)*DG$6*(DG$3&gt;0)</f>
        <v>0</v>
      </c>
      <c r="DH105" s="510">
        <f>$B105*(1+Inputs!$D$451)^(DH$3-1)*DH$6*(DH$3&gt;0)</f>
        <v>0</v>
      </c>
      <c r="DI105" s="510">
        <f>$B105*(1+Inputs!$D$451)^(DI$3-1)*DI$6*(DI$3&gt;0)</f>
        <v>0</v>
      </c>
      <c r="DJ105" s="510">
        <f>$B105*(1+Inputs!$D$451)^(DJ$3-1)*DJ$6*(DJ$3&gt;0)</f>
        <v>0</v>
      </c>
      <c r="DK105" s="510">
        <f>$B105*(1+Inputs!$D$451)^(DK$3-1)*DK$6*(DK$3&gt;0)</f>
        <v>0</v>
      </c>
      <c r="DL105" s="510">
        <f>$B105*(1+Inputs!$D$451)^(DL$3-1)*DL$6*(DL$3&gt;0)</f>
        <v>0</v>
      </c>
      <c r="DM105" s="510">
        <f>$B105*(1+Inputs!$D$451)^(DM$3-1)*DM$6*(DM$3&gt;0)</f>
        <v>0</v>
      </c>
      <c r="DN105" s="510">
        <f>$B105*(1+Inputs!$D$451)^(DN$3-1)*DN$6*(DN$3&gt;0)</f>
        <v>0</v>
      </c>
      <c r="DO105" s="510">
        <f>$B105*(1+Inputs!$D$451)^(DO$3-1)*DO$6*(DO$3&gt;0)</f>
        <v>0</v>
      </c>
      <c r="DP105" s="510">
        <f>$B105*(1+Inputs!$D$451)^(DP$3-1)*DP$6*(DP$3&gt;0)</f>
        <v>0</v>
      </c>
      <c r="DQ105" s="510">
        <f>$B105*(1+Inputs!$D$451)^(DQ$3-1)*DQ$6*(DQ$3&gt;0)</f>
        <v>0</v>
      </c>
      <c r="DR105" s="510">
        <f>$B105*(1+Inputs!$D$451)^(DR$3-1)*DR$6*(DR$3&gt;0)</f>
        <v>0</v>
      </c>
      <c r="DS105" s="510">
        <f>$B105*(1+Inputs!$D$451)^(DS$3-1)*DS$6*(DS$3&gt;0)</f>
        <v>0</v>
      </c>
      <c r="DT105" s="510">
        <f>$B105*(1+Inputs!$D$451)^(DT$3-1)*DT$6*(DT$3&gt;0)</f>
        <v>0</v>
      </c>
      <c r="DU105" s="510">
        <f>$B105*(1+Inputs!$D$451)^(DU$3-1)*DU$6*(DU$3&gt;0)</f>
        <v>0</v>
      </c>
      <c r="DV105" s="510">
        <f>$B105*(1+Inputs!$D$451)^(DV$3-1)*DV$6*(DV$3&gt;0)</f>
        <v>0</v>
      </c>
      <c r="DW105" s="510">
        <f>$B105*(1+Inputs!$D$451)^(DW$3-1)*DW$6*(DW$3&gt;0)</f>
        <v>0</v>
      </c>
    </row>
    <row r="106" spans="1:127">
      <c r="A106" s="1622" t="s">
        <v>1293</v>
      </c>
      <c r="B106" s="450"/>
      <c r="C106" s="450"/>
      <c r="D106" s="1623"/>
      <c r="E106" s="1624"/>
      <c r="F106" s="1624"/>
      <c r="G106" s="1624">
        <f>SUM(G90:G105)</f>
        <v>1972.2640500000002</v>
      </c>
      <c r="H106" s="1624">
        <f t="shared" ref="H106:AM106" si="108">SUM(H90:H105)</f>
        <v>-15.344949999999962</v>
      </c>
      <c r="I106" s="1624">
        <f t="shared" si="108"/>
        <v>-94.11999999999999</v>
      </c>
      <c r="J106" s="1624">
        <f t="shared" si="108"/>
        <v>-97.326950819672135</v>
      </c>
      <c r="K106" s="1624">
        <f t="shared" si="108"/>
        <v>-96.269049180327869</v>
      </c>
      <c r="L106" s="1624">
        <f t="shared" si="108"/>
        <v>-99.545472000000018</v>
      </c>
      <c r="M106" s="1624">
        <f t="shared" si="108"/>
        <v>-97.922448000000003</v>
      </c>
      <c r="N106" s="1624">
        <f t="shared" si="108"/>
        <v>-101.53638144000001</v>
      </c>
      <c r="O106" s="1624">
        <f t="shared" si="108"/>
        <v>-99.880896959999973</v>
      </c>
      <c r="P106" s="1624">
        <f t="shared" si="108"/>
        <v>-103.56710906880002</v>
      </c>
      <c r="Q106" s="1624">
        <f t="shared" si="108"/>
        <v>-101.8785148992</v>
      </c>
      <c r="R106" s="1624">
        <f t="shared" si="108"/>
        <v>-105.34982160195146</v>
      </c>
      <c r="S106" s="1624">
        <f t="shared" si="108"/>
        <v>-104.20471484540853</v>
      </c>
      <c r="T106" s="1624">
        <f t="shared" si="108"/>
        <v>-107.75122027517952</v>
      </c>
      <c r="U106" s="1624">
        <f t="shared" si="108"/>
        <v>-105.99440690112768</v>
      </c>
      <c r="V106" s="1624">
        <f t="shared" si="108"/>
        <v>-109.90624468068309</v>
      </c>
      <c r="W106" s="1624">
        <f t="shared" si="108"/>
        <v>-108.11429503915021</v>
      </c>
      <c r="X106" s="1624">
        <f t="shared" si="108"/>
        <v>-112.10436957429677</v>
      </c>
      <c r="Y106" s="1624">
        <f t="shared" si="108"/>
        <v>-110.27658093993324</v>
      </c>
      <c r="Z106" s="1624">
        <f t="shared" si="108"/>
        <v>-114.03403495221499</v>
      </c>
      <c r="AA106" s="1624">
        <f t="shared" si="108"/>
        <v>-112.7945345722996</v>
      </c>
      <c r="AB106" s="1624">
        <f t="shared" si="108"/>
        <v>-116.63338610509835</v>
      </c>
      <c r="AC106" s="1624">
        <f t="shared" si="108"/>
        <v>-114.73175480990655</v>
      </c>
      <c r="AD106" s="1624">
        <f t="shared" si="108"/>
        <v>-118.96605382720031</v>
      </c>
      <c r="AE106" s="1624">
        <f t="shared" si="108"/>
        <v>-117.02638990610465</v>
      </c>
      <c r="AF106" s="1624">
        <f t="shared" si="108"/>
        <v>-121.34537490374433</v>
      </c>
      <c r="AG106" s="1624">
        <f t="shared" si="108"/>
        <v>-119.36691770422674</v>
      </c>
      <c r="AH106" s="1624">
        <f t="shared" si="108"/>
        <v>-123.43410676684157</v>
      </c>
      <c r="AI106" s="1624">
        <f t="shared" si="108"/>
        <v>-122.09243169328894</v>
      </c>
      <c r="AJ106" s="1624">
        <f t="shared" si="108"/>
        <v>-126.2477280498556</v>
      </c>
      <c r="AK106" s="1624">
        <f t="shared" si="108"/>
        <v>-124.18934117947752</v>
      </c>
      <c r="AL106" s="1624">
        <f t="shared" si="108"/>
        <v>-128.77268261085271</v>
      </c>
      <c r="AM106" s="1624">
        <f t="shared" si="108"/>
        <v>-126.67312800306705</v>
      </c>
      <c r="AN106" s="1624">
        <f t="shared" ref="AN106:CY106" si="109">SUM(AN90:AN105)</f>
        <v>-131.34813626306976</v>
      </c>
      <c r="AO106" s="1624">
        <f t="shared" si="109"/>
        <v>-129.2065905631284</v>
      </c>
      <c r="AP106" s="1624">
        <f t="shared" si="109"/>
        <v>-133.60904680530294</v>
      </c>
      <c r="AQ106" s="1624">
        <f t="shared" si="109"/>
        <v>-132.15677455741923</v>
      </c>
      <c r="AR106" s="1624">
        <f t="shared" si="109"/>
        <v>-136.65460096809778</v>
      </c>
      <c r="AS106" s="1624">
        <f t="shared" si="109"/>
        <v>-134.42653682187881</v>
      </c>
      <c r="AT106" s="1624">
        <f t="shared" si="109"/>
        <v>-139.38769298745973</v>
      </c>
      <c r="AU106" s="1624">
        <f t="shared" si="109"/>
        <v>-137.11506755831638</v>
      </c>
      <c r="AV106" s="1624">
        <f t="shared" si="109"/>
        <v>-142.17544684720897</v>
      </c>
      <c r="AW106" s="1624">
        <f t="shared" si="109"/>
        <v>-139.85736890948272</v>
      </c>
      <c r="AX106" s="1624">
        <f t="shared" si="109"/>
        <v>-144.62272912900514</v>
      </c>
      <c r="AY106" s="1624">
        <f t="shared" si="109"/>
        <v>-143.05074294282031</v>
      </c>
      <c r="AZ106" s="1624">
        <f t="shared" si="109"/>
        <v>-147.91933489983617</v>
      </c>
      <c r="BA106" s="1624">
        <f t="shared" si="109"/>
        <v>-145.50760661342582</v>
      </c>
      <c r="BB106" s="1624">
        <f t="shared" si="109"/>
        <v>-150.87772159783287</v>
      </c>
      <c r="BC106" s="1624">
        <f t="shared" si="109"/>
        <v>-148.4177587456943</v>
      </c>
      <c r="BD106" s="1624">
        <f t="shared" si="109"/>
        <v>-153.89527602978953</v>
      </c>
      <c r="BE106" s="1624">
        <f t="shared" si="109"/>
        <v>-151.38611392060818</v>
      </c>
      <c r="BF106" s="1624">
        <f t="shared" si="109"/>
        <v>-156.54429307620393</v>
      </c>
      <c r="BG106" s="1624">
        <f t="shared" si="109"/>
        <v>-154.84272467320173</v>
      </c>
      <c r="BH106" s="1624">
        <f t="shared" si="109"/>
        <v>-160.11264518139305</v>
      </c>
      <c r="BI106" s="1624">
        <f t="shared" si="109"/>
        <v>-157.50211292300074</v>
      </c>
      <c r="BJ106" s="1624">
        <f t="shared" si="109"/>
        <v>-163.3148980850209</v>
      </c>
      <c r="BK106" s="1624">
        <f t="shared" si="109"/>
        <v>-160.65215518146078</v>
      </c>
      <c r="BL106" s="1624">
        <f t="shared" si="109"/>
        <v>-166.58119604672135</v>
      </c>
      <c r="BM106" s="1624">
        <f t="shared" si="109"/>
        <v>-163.86519828509</v>
      </c>
      <c r="BN106" s="1624">
        <f t="shared" si="109"/>
        <v>-169.44857729014848</v>
      </c>
      <c r="BO106" s="1624">
        <f t="shared" si="109"/>
        <v>-167.60674492829904</v>
      </c>
      <c r="BP106" s="1624">
        <f t="shared" si="109"/>
        <v>0</v>
      </c>
      <c r="BQ106" s="1624">
        <f t="shared" si="109"/>
        <v>0</v>
      </c>
      <c r="BR106" s="1624">
        <f t="shared" si="109"/>
        <v>0</v>
      </c>
      <c r="BS106" s="1624">
        <f t="shared" si="109"/>
        <v>0</v>
      </c>
      <c r="BT106" s="1624">
        <f t="shared" si="109"/>
        <v>0</v>
      </c>
      <c r="BU106" s="1624">
        <f t="shared" si="109"/>
        <v>0</v>
      </c>
      <c r="BV106" s="1624">
        <f t="shared" si="109"/>
        <v>0</v>
      </c>
      <c r="BW106" s="1624">
        <f t="shared" si="109"/>
        <v>0</v>
      </c>
      <c r="BX106" s="1624">
        <f t="shared" si="109"/>
        <v>0</v>
      </c>
      <c r="BY106" s="1624">
        <f t="shared" si="109"/>
        <v>0</v>
      </c>
      <c r="BZ106" s="1624">
        <f t="shared" si="109"/>
        <v>0</v>
      </c>
      <c r="CA106" s="1624">
        <f t="shared" si="109"/>
        <v>0</v>
      </c>
      <c r="CB106" s="1624">
        <f t="shared" si="109"/>
        <v>0</v>
      </c>
      <c r="CC106" s="1624">
        <f t="shared" si="109"/>
        <v>0</v>
      </c>
      <c r="CD106" s="1624">
        <f t="shared" si="109"/>
        <v>0</v>
      </c>
      <c r="CE106" s="1624">
        <f t="shared" si="109"/>
        <v>0</v>
      </c>
      <c r="CF106" s="1624">
        <f t="shared" si="109"/>
        <v>0</v>
      </c>
      <c r="CG106" s="1624">
        <f t="shared" si="109"/>
        <v>0</v>
      </c>
      <c r="CH106" s="1624">
        <f t="shared" si="109"/>
        <v>0</v>
      </c>
      <c r="CI106" s="1624">
        <f t="shared" si="109"/>
        <v>0</v>
      </c>
      <c r="CJ106" s="1624">
        <f t="shared" si="109"/>
        <v>0</v>
      </c>
      <c r="CK106" s="1624">
        <f t="shared" si="109"/>
        <v>0</v>
      </c>
      <c r="CL106" s="1624">
        <f t="shared" si="109"/>
        <v>0</v>
      </c>
      <c r="CM106" s="1624">
        <f t="shared" si="109"/>
        <v>0</v>
      </c>
      <c r="CN106" s="1624">
        <f t="shared" si="109"/>
        <v>0</v>
      </c>
      <c r="CO106" s="1624">
        <f t="shared" si="109"/>
        <v>0</v>
      </c>
      <c r="CP106" s="1624">
        <f t="shared" si="109"/>
        <v>0</v>
      </c>
      <c r="CQ106" s="1624">
        <f t="shared" si="109"/>
        <v>0</v>
      </c>
      <c r="CR106" s="1624">
        <f t="shared" si="109"/>
        <v>0</v>
      </c>
      <c r="CS106" s="1624">
        <f t="shared" si="109"/>
        <v>0</v>
      </c>
      <c r="CT106" s="1624">
        <f t="shared" si="109"/>
        <v>0</v>
      </c>
      <c r="CU106" s="1624">
        <f t="shared" si="109"/>
        <v>0</v>
      </c>
      <c r="CV106" s="1624">
        <f t="shared" si="109"/>
        <v>0</v>
      </c>
      <c r="CW106" s="1624">
        <f t="shared" si="109"/>
        <v>0</v>
      </c>
      <c r="CX106" s="1624">
        <f t="shared" si="109"/>
        <v>0</v>
      </c>
      <c r="CY106" s="1624">
        <f t="shared" si="109"/>
        <v>0</v>
      </c>
      <c r="CZ106" s="1624">
        <f t="shared" ref="CZ106:DW106" si="110">SUM(CZ90:CZ105)</f>
        <v>0</v>
      </c>
      <c r="DA106" s="1624">
        <f t="shared" si="110"/>
        <v>0</v>
      </c>
      <c r="DB106" s="1624">
        <f t="shared" si="110"/>
        <v>0</v>
      </c>
      <c r="DC106" s="1624">
        <f t="shared" si="110"/>
        <v>0</v>
      </c>
      <c r="DD106" s="1624">
        <f t="shared" si="110"/>
        <v>0</v>
      </c>
      <c r="DE106" s="1624">
        <f t="shared" si="110"/>
        <v>0</v>
      </c>
      <c r="DF106" s="1624">
        <f t="shared" si="110"/>
        <v>0</v>
      </c>
      <c r="DG106" s="1624">
        <f t="shared" si="110"/>
        <v>0</v>
      </c>
      <c r="DH106" s="1624">
        <f t="shared" si="110"/>
        <v>0</v>
      </c>
      <c r="DI106" s="1624">
        <f t="shared" si="110"/>
        <v>0</v>
      </c>
      <c r="DJ106" s="1624">
        <f t="shared" si="110"/>
        <v>0</v>
      </c>
      <c r="DK106" s="1624">
        <f t="shared" si="110"/>
        <v>0</v>
      </c>
      <c r="DL106" s="1624">
        <f t="shared" si="110"/>
        <v>0</v>
      </c>
      <c r="DM106" s="1624">
        <f t="shared" si="110"/>
        <v>0</v>
      </c>
      <c r="DN106" s="1624">
        <f t="shared" si="110"/>
        <v>0</v>
      </c>
      <c r="DO106" s="1624">
        <f t="shared" si="110"/>
        <v>0</v>
      </c>
      <c r="DP106" s="1624">
        <f t="shared" si="110"/>
        <v>0</v>
      </c>
      <c r="DQ106" s="1624">
        <f t="shared" si="110"/>
        <v>0</v>
      </c>
      <c r="DR106" s="1624">
        <f t="shared" si="110"/>
        <v>0</v>
      </c>
      <c r="DS106" s="1624">
        <f t="shared" si="110"/>
        <v>0</v>
      </c>
      <c r="DT106" s="1624">
        <f t="shared" si="110"/>
        <v>0</v>
      </c>
      <c r="DU106" s="1624">
        <f t="shared" si="110"/>
        <v>0</v>
      </c>
      <c r="DV106" s="1624">
        <f t="shared" si="110"/>
        <v>0</v>
      </c>
      <c r="DW106" s="1624">
        <f t="shared" si="110"/>
        <v>0</v>
      </c>
    </row>
    <row r="108" spans="1:127">
      <c r="A108" s="304" t="s">
        <v>1264</v>
      </c>
      <c r="B108" s="976"/>
      <c r="C108" s="1618" t="s">
        <v>1294</v>
      </c>
      <c r="D108" s="1625"/>
      <c r="E108" s="510"/>
      <c r="F108" s="510"/>
      <c r="G108" s="510">
        <f t="shared" ref="G108:AL108" ca="1" si="111">G25</f>
        <v>-14620.773894815633</v>
      </c>
      <c r="H108" s="510">
        <f t="shared" ca="1" si="111"/>
        <v>0</v>
      </c>
      <c r="I108" s="510">
        <f t="shared" ca="1" si="111"/>
        <v>0</v>
      </c>
      <c r="J108" s="510">
        <f t="shared" ca="1" si="111"/>
        <v>0</v>
      </c>
      <c r="K108" s="510">
        <f t="shared" ca="1" si="111"/>
        <v>0</v>
      </c>
      <c r="L108" s="510">
        <f t="shared" ca="1" si="111"/>
        <v>0</v>
      </c>
      <c r="M108" s="510">
        <f t="shared" ca="1" si="111"/>
        <v>0</v>
      </c>
      <c r="N108" s="510">
        <f t="shared" ca="1" si="111"/>
        <v>0</v>
      </c>
      <c r="O108" s="510">
        <f t="shared" ca="1" si="111"/>
        <v>0</v>
      </c>
      <c r="P108" s="510">
        <f t="shared" ca="1" si="111"/>
        <v>0</v>
      </c>
      <c r="Q108" s="510">
        <f t="shared" ca="1" si="111"/>
        <v>0</v>
      </c>
      <c r="R108" s="510">
        <f t="shared" ca="1" si="111"/>
        <v>0</v>
      </c>
      <c r="S108" s="510">
        <f t="shared" ca="1" si="111"/>
        <v>0</v>
      </c>
      <c r="T108" s="510">
        <f t="shared" ca="1" si="111"/>
        <v>0</v>
      </c>
      <c r="U108" s="510">
        <f t="shared" ca="1" si="111"/>
        <v>0</v>
      </c>
      <c r="V108" s="510">
        <f t="shared" ca="1" si="111"/>
        <v>0</v>
      </c>
      <c r="W108" s="510">
        <f t="shared" ca="1" si="111"/>
        <v>0</v>
      </c>
      <c r="X108" s="510">
        <f t="shared" ca="1" si="111"/>
        <v>0</v>
      </c>
      <c r="Y108" s="510">
        <f t="shared" ca="1" si="111"/>
        <v>0</v>
      </c>
      <c r="Z108" s="510">
        <f t="shared" ca="1" si="111"/>
        <v>0</v>
      </c>
      <c r="AA108" s="510">
        <f t="shared" ca="1" si="111"/>
        <v>0</v>
      </c>
      <c r="AB108" s="510">
        <f t="shared" ca="1" si="111"/>
        <v>0</v>
      </c>
      <c r="AC108" s="510">
        <f t="shared" ca="1" si="111"/>
        <v>0</v>
      </c>
      <c r="AD108" s="510">
        <f t="shared" ca="1" si="111"/>
        <v>0</v>
      </c>
      <c r="AE108" s="510">
        <f t="shared" ca="1" si="111"/>
        <v>1.2180248256112014</v>
      </c>
      <c r="AF108" s="510">
        <f t="shared" ca="1" si="111"/>
        <v>223.35827710865127</v>
      </c>
      <c r="AG108" s="510">
        <f t="shared" ca="1" si="111"/>
        <v>84.15813396743637</v>
      </c>
      <c r="AH108" s="510">
        <f t="shared" ca="1" si="111"/>
        <v>257.93193668367644</v>
      </c>
      <c r="AI108" s="510">
        <f t="shared" ca="1" si="111"/>
        <v>124.9660650306416</v>
      </c>
      <c r="AJ108" s="510">
        <f t="shared" ca="1" si="111"/>
        <v>1940.5522182093084</v>
      </c>
      <c r="AK108" s="510">
        <f t="shared" ca="1" si="111"/>
        <v>1589.2814621531377</v>
      </c>
      <c r="AL108" s="510">
        <f t="shared" ca="1" si="111"/>
        <v>1956.1014412167845</v>
      </c>
      <c r="AM108" s="510">
        <f t="shared" ref="AM108:BR108" ca="1" si="112">AM25</f>
        <v>1792.8421321566354</v>
      </c>
      <c r="AN108" s="510">
        <f t="shared" ca="1" si="112"/>
        <v>2163.3434694059388</v>
      </c>
      <c r="AO108" s="510">
        <f t="shared" ca="1" si="112"/>
        <v>1993.8884487668754</v>
      </c>
      <c r="AP108" s="510">
        <f t="shared" ca="1" si="112"/>
        <v>2378.3801506232162</v>
      </c>
      <c r="AQ108" s="510">
        <f t="shared" ca="1" si="112"/>
        <v>2216.0359145871525</v>
      </c>
      <c r="AR108" s="510">
        <f t="shared" ca="1" si="112"/>
        <v>2625.9140545900214</v>
      </c>
      <c r="AS108" s="510">
        <f t="shared" ca="1" si="112"/>
        <v>2445.7916747567842</v>
      </c>
      <c r="AT108" s="510">
        <f t="shared" ca="1" si="112"/>
        <v>2881.6001065352175</v>
      </c>
      <c r="AU108" s="510">
        <f t="shared" ca="1" si="112"/>
        <v>2096.5193666460864</v>
      </c>
      <c r="AV108" s="510">
        <f t="shared" ca="1" si="112"/>
        <v>0</v>
      </c>
      <c r="AW108" s="510">
        <f t="shared" ca="1" si="112"/>
        <v>0</v>
      </c>
      <c r="AX108" s="510">
        <f t="shared" ca="1" si="112"/>
        <v>0</v>
      </c>
      <c r="AY108" s="510">
        <f t="shared" ca="1" si="112"/>
        <v>0</v>
      </c>
      <c r="AZ108" s="510">
        <f t="shared" ca="1" si="112"/>
        <v>0</v>
      </c>
      <c r="BA108" s="510">
        <f t="shared" ca="1" si="112"/>
        <v>0</v>
      </c>
      <c r="BB108" s="510">
        <f t="shared" ca="1" si="112"/>
        <v>0</v>
      </c>
      <c r="BC108" s="510">
        <f t="shared" ca="1" si="112"/>
        <v>0</v>
      </c>
      <c r="BD108" s="510">
        <f t="shared" ca="1" si="112"/>
        <v>0</v>
      </c>
      <c r="BE108" s="510">
        <f t="shared" ca="1" si="112"/>
        <v>0</v>
      </c>
      <c r="BF108" s="510">
        <f t="shared" ca="1" si="112"/>
        <v>0</v>
      </c>
      <c r="BG108" s="510">
        <f t="shared" ca="1" si="112"/>
        <v>0</v>
      </c>
      <c r="BH108" s="510">
        <f t="shared" ca="1" si="112"/>
        <v>0</v>
      </c>
      <c r="BI108" s="510">
        <f t="shared" ca="1" si="112"/>
        <v>0</v>
      </c>
      <c r="BJ108" s="510">
        <f t="shared" ca="1" si="112"/>
        <v>0</v>
      </c>
      <c r="BK108" s="510">
        <f t="shared" ca="1" si="112"/>
        <v>0</v>
      </c>
      <c r="BL108" s="510">
        <f t="shared" ca="1" si="112"/>
        <v>0</v>
      </c>
      <c r="BM108" s="510">
        <f t="shared" ca="1" si="112"/>
        <v>0</v>
      </c>
      <c r="BN108" s="510">
        <f t="shared" ca="1" si="112"/>
        <v>0</v>
      </c>
      <c r="BO108" s="510">
        <f t="shared" ca="1" si="112"/>
        <v>0</v>
      </c>
      <c r="BP108" s="510">
        <f t="shared" ca="1" si="112"/>
        <v>0</v>
      </c>
      <c r="BQ108" s="510">
        <f t="shared" ca="1" si="112"/>
        <v>0</v>
      </c>
      <c r="BR108" s="510">
        <f t="shared" ca="1" si="112"/>
        <v>0</v>
      </c>
      <c r="BS108" s="510">
        <f t="shared" ref="BS108:CX108" ca="1" si="113">BS25</f>
        <v>0</v>
      </c>
      <c r="BT108" s="510">
        <f t="shared" ca="1" si="113"/>
        <v>0</v>
      </c>
      <c r="BU108" s="510">
        <f t="shared" ca="1" si="113"/>
        <v>0</v>
      </c>
      <c r="BV108" s="510">
        <f t="shared" ca="1" si="113"/>
        <v>0</v>
      </c>
      <c r="BW108" s="510">
        <f t="shared" ca="1" si="113"/>
        <v>0</v>
      </c>
      <c r="BX108" s="510">
        <f t="shared" ca="1" si="113"/>
        <v>0</v>
      </c>
      <c r="BY108" s="510">
        <f t="shared" ca="1" si="113"/>
        <v>0</v>
      </c>
      <c r="BZ108" s="510">
        <f t="shared" ca="1" si="113"/>
        <v>0</v>
      </c>
      <c r="CA108" s="510">
        <f t="shared" ca="1" si="113"/>
        <v>0</v>
      </c>
      <c r="CB108" s="510">
        <f t="shared" ca="1" si="113"/>
        <v>0</v>
      </c>
      <c r="CC108" s="510">
        <f t="shared" ca="1" si="113"/>
        <v>0</v>
      </c>
      <c r="CD108" s="510">
        <f t="shared" ca="1" si="113"/>
        <v>0</v>
      </c>
      <c r="CE108" s="510">
        <f t="shared" ca="1" si="113"/>
        <v>0</v>
      </c>
      <c r="CF108" s="510">
        <f t="shared" ca="1" si="113"/>
        <v>0</v>
      </c>
      <c r="CG108" s="510">
        <f t="shared" ca="1" si="113"/>
        <v>0</v>
      </c>
      <c r="CH108" s="510">
        <f t="shared" ca="1" si="113"/>
        <v>0</v>
      </c>
      <c r="CI108" s="510">
        <f t="shared" ca="1" si="113"/>
        <v>0</v>
      </c>
      <c r="CJ108" s="510">
        <f t="shared" ca="1" si="113"/>
        <v>0</v>
      </c>
      <c r="CK108" s="510">
        <f t="shared" ca="1" si="113"/>
        <v>0</v>
      </c>
      <c r="CL108" s="510">
        <f t="shared" ca="1" si="113"/>
        <v>0</v>
      </c>
      <c r="CM108" s="510">
        <f t="shared" ca="1" si="113"/>
        <v>0</v>
      </c>
      <c r="CN108" s="510">
        <f t="shared" ca="1" si="113"/>
        <v>0</v>
      </c>
      <c r="CO108" s="510">
        <f t="shared" ca="1" si="113"/>
        <v>0</v>
      </c>
      <c r="CP108" s="510">
        <f t="shared" ca="1" si="113"/>
        <v>0</v>
      </c>
      <c r="CQ108" s="510">
        <f t="shared" ca="1" si="113"/>
        <v>0</v>
      </c>
      <c r="CR108" s="510">
        <f t="shared" ca="1" si="113"/>
        <v>0</v>
      </c>
      <c r="CS108" s="510">
        <f t="shared" ca="1" si="113"/>
        <v>0</v>
      </c>
      <c r="CT108" s="510">
        <f t="shared" ca="1" si="113"/>
        <v>0</v>
      </c>
      <c r="CU108" s="510">
        <f t="shared" ca="1" si="113"/>
        <v>0</v>
      </c>
      <c r="CV108" s="510">
        <f t="shared" ca="1" si="113"/>
        <v>0</v>
      </c>
      <c r="CW108" s="510">
        <f t="shared" ca="1" si="113"/>
        <v>0</v>
      </c>
      <c r="CX108" s="510">
        <f t="shared" ca="1" si="113"/>
        <v>0</v>
      </c>
      <c r="CY108" s="510">
        <f t="shared" ref="CY108:DW108" ca="1" si="114">CY25</f>
        <v>0</v>
      </c>
      <c r="CZ108" s="510">
        <f t="shared" ca="1" si="114"/>
        <v>0</v>
      </c>
      <c r="DA108" s="510">
        <f t="shared" ca="1" si="114"/>
        <v>0</v>
      </c>
      <c r="DB108" s="510">
        <f t="shared" ca="1" si="114"/>
        <v>0</v>
      </c>
      <c r="DC108" s="510">
        <f t="shared" ca="1" si="114"/>
        <v>0</v>
      </c>
      <c r="DD108" s="510">
        <f t="shared" ca="1" si="114"/>
        <v>0</v>
      </c>
      <c r="DE108" s="510">
        <f t="shared" ca="1" si="114"/>
        <v>0</v>
      </c>
      <c r="DF108" s="510">
        <f t="shared" ca="1" si="114"/>
        <v>0</v>
      </c>
      <c r="DG108" s="510">
        <f t="shared" ca="1" si="114"/>
        <v>0</v>
      </c>
      <c r="DH108" s="510">
        <f t="shared" ca="1" si="114"/>
        <v>0</v>
      </c>
      <c r="DI108" s="510">
        <f t="shared" ca="1" si="114"/>
        <v>0</v>
      </c>
      <c r="DJ108" s="510">
        <f t="shared" ca="1" si="114"/>
        <v>0</v>
      </c>
      <c r="DK108" s="510">
        <f t="shared" ca="1" si="114"/>
        <v>0</v>
      </c>
      <c r="DL108" s="510">
        <f t="shared" ca="1" si="114"/>
        <v>0</v>
      </c>
      <c r="DM108" s="510">
        <f t="shared" ca="1" si="114"/>
        <v>0</v>
      </c>
      <c r="DN108" s="510">
        <f t="shared" ca="1" si="114"/>
        <v>0</v>
      </c>
      <c r="DO108" s="510">
        <f t="shared" ca="1" si="114"/>
        <v>0</v>
      </c>
      <c r="DP108" s="510">
        <f t="shared" ca="1" si="114"/>
        <v>0</v>
      </c>
      <c r="DQ108" s="510">
        <f t="shared" ca="1" si="114"/>
        <v>0</v>
      </c>
      <c r="DR108" s="510">
        <f t="shared" ca="1" si="114"/>
        <v>0</v>
      </c>
      <c r="DS108" s="510">
        <f t="shared" ca="1" si="114"/>
        <v>0</v>
      </c>
      <c r="DT108" s="510">
        <f t="shared" ca="1" si="114"/>
        <v>0</v>
      </c>
      <c r="DU108" s="510">
        <f t="shared" ca="1" si="114"/>
        <v>0</v>
      </c>
      <c r="DV108" s="510">
        <f t="shared" ca="1" si="114"/>
        <v>0</v>
      </c>
      <c r="DW108" s="510">
        <f t="shared" ca="1" si="114"/>
        <v>0</v>
      </c>
    </row>
    <row r="109" spans="1:127">
      <c r="A109" s="304" t="s">
        <v>228</v>
      </c>
      <c r="B109" s="304"/>
      <c r="C109" s="1618" t="s">
        <v>1294</v>
      </c>
      <c r="D109" s="1625"/>
      <c r="E109" s="510"/>
      <c r="F109" s="510"/>
      <c r="G109" s="510">
        <f t="shared" ref="G109:AL109" ca="1" si="115">G19</f>
        <v>0</v>
      </c>
      <c r="H109" s="510">
        <f t="shared" ca="1" si="115"/>
        <v>335.87001192815342</v>
      </c>
      <c r="I109" s="510">
        <f t="shared" ca="1" si="115"/>
        <v>330.39387042932458</v>
      </c>
      <c r="J109" s="510">
        <f t="shared" ca="1" si="115"/>
        <v>336.07875278384927</v>
      </c>
      <c r="K109" s="510">
        <f t="shared" ca="1" si="115"/>
        <v>340.5415560447218</v>
      </c>
      <c r="L109" s="510">
        <f t="shared" ca="1" si="115"/>
        <v>344.05441161728459</v>
      </c>
      <c r="M109" s="510">
        <f t="shared" ca="1" si="115"/>
        <v>345.51102678698453</v>
      </c>
      <c r="N109" s="510">
        <f t="shared" ca="1" si="115"/>
        <v>349.23262841929591</v>
      </c>
      <c r="O109" s="510">
        <f t="shared" ca="1" si="115"/>
        <v>347.80912291148707</v>
      </c>
      <c r="P109" s="510">
        <f t="shared" ca="1" si="115"/>
        <v>354.48829899669317</v>
      </c>
      <c r="Q109" s="510">
        <f t="shared" ca="1" si="115"/>
        <v>350.09626175264157</v>
      </c>
      <c r="R109" s="510">
        <f t="shared" ca="1" si="115"/>
        <v>358.83941444214724</v>
      </c>
      <c r="S109" s="510">
        <f t="shared" ca="1" si="115"/>
        <v>353.38594088006357</v>
      </c>
      <c r="T109" s="510">
        <f t="shared" ca="1" si="115"/>
        <v>365.23646797405399</v>
      </c>
      <c r="U109" s="510">
        <f t="shared" ca="1" si="115"/>
        <v>354.44024353998338</v>
      </c>
      <c r="V109" s="510">
        <f t="shared" ca="1" si="115"/>
        <v>370.73123830074883</v>
      </c>
      <c r="W109" s="510">
        <f t="shared" ca="1" si="115"/>
        <v>356.43397409897443</v>
      </c>
      <c r="X109" s="510">
        <f t="shared" ca="1" si="115"/>
        <v>376.30800665500556</v>
      </c>
      <c r="Y109" s="510">
        <f t="shared" ca="1" si="115"/>
        <v>358.28810723061906</v>
      </c>
      <c r="Z109" s="510">
        <f t="shared" ca="1" si="115"/>
        <v>380.92432030492228</v>
      </c>
      <c r="AA109" s="510">
        <f t="shared" ca="1" si="115"/>
        <v>361.09801681461613</v>
      </c>
      <c r="AB109" s="510">
        <f t="shared" ca="1" si="115"/>
        <v>362.21186155878786</v>
      </c>
      <c r="AC109" s="510">
        <f t="shared" ca="1" si="115"/>
        <v>341.58145701415651</v>
      </c>
      <c r="AD109" s="510">
        <f t="shared" ca="1" si="115"/>
        <v>368.04174225437328</v>
      </c>
      <c r="AE109" s="510">
        <f t="shared" ca="1" si="115"/>
        <v>343.19847993447775</v>
      </c>
      <c r="AF109" s="510">
        <f t="shared" ca="1" si="115"/>
        <v>1079.6770300090795</v>
      </c>
      <c r="AG109" s="510">
        <f t="shared" ca="1" si="115"/>
        <v>1053.1826196147904</v>
      </c>
      <c r="AH109" s="510">
        <f t="shared" ca="1" si="115"/>
        <v>1067.2828534922648</v>
      </c>
      <c r="AI109" s="510">
        <f t="shared" ca="1" si="115"/>
        <v>1045.362070318816</v>
      </c>
      <c r="AJ109" s="510">
        <f t="shared" ca="1" si="115"/>
        <v>1052.2100644472955</v>
      </c>
      <c r="AK109" s="510">
        <f t="shared" ca="1" si="115"/>
        <v>957.99951666674417</v>
      </c>
      <c r="AL109" s="510">
        <f t="shared" ca="1" si="115"/>
        <v>909.85940279784518</v>
      </c>
      <c r="AM109" s="510">
        <f t="shared" ref="AM109:BR109" ca="1" si="116">AM19</f>
        <v>817.39442151993831</v>
      </c>
      <c r="AN109" s="510">
        <f t="shared" ca="1" si="116"/>
        <v>758.71455687973287</v>
      </c>
      <c r="AO109" s="510">
        <f t="shared" ca="1" si="116"/>
        <v>660.49171338511303</v>
      </c>
      <c r="AP109" s="510">
        <f t="shared" ca="1" si="116"/>
        <v>591.10565241267363</v>
      </c>
      <c r="AQ109" s="510">
        <f t="shared" ca="1" si="116"/>
        <v>489.7754845300833</v>
      </c>
      <c r="AR109" s="510">
        <f t="shared" ca="1" si="116"/>
        <v>405.87277286536892</v>
      </c>
      <c r="AS109" s="510">
        <f t="shared" ca="1" si="116"/>
        <v>295.05129364478694</v>
      </c>
      <c r="AT109" s="510">
        <f t="shared" ca="1" si="116"/>
        <v>201.39388901789349</v>
      </c>
      <c r="AU109" s="510">
        <f t="shared" ca="1" si="116"/>
        <v>83.63357195822519</v>
      </c>
      <c r="AV109" s="510">
        <f t="shared" ca="1" si="116"/>
        <v>0</v>
      </c>
      <c r="AW109" s="510">
        <f t="shared" ca="1" si="116"/>
        <v>0</v>
      </c>
      <c r="AX109" s="510">
        <f t="shared" ca="1" si="116"/>
        <v>0</v>
      </c>
      <c r="AY109" s="510">
        <f t="shared" ca="1" si="116"/>
        <v>0</v>
      </c>
      <c r="AZ109" s="510">
        <f t="shared" ca="1" si="116"/>
        <v>0</v>
      </c>
      <c r="BA109" s="510">
        <f t="shared" ca="1" si="116"/>
        <v>0</v>
      </c>
      <c r="BB109" s="510">
        <f t="shared" ca="1" si="116"/>
        <v>0</v>
      </c>
      <c r="BC109" s="510">
        <f t="shared" ca="1" si="116"/>
        <v>0</v>
      </c>
      <c r="BD109" s="510">
        <f t="shared" ca="1" si="116"/>
        <v>0</v>
      </c>
      <c r="BE109" s="510">
        <f t="shared" ca="1" si="116"/>
        <v>0</v>
      </c>
      <c r="BF109" s="510">
        <f t="shared" ca="1" si="116"/>
        <v>0</v>
      </c>
      <c r="BG109" s="510">
        <f t="shared" ca="1" si="116"/>
        <v>0</v>
      </c>
      <c r="BH109" s="510">
        <f t="shared" ca="1" si="116"/>
        <v>0</v>
      </c>
      <c r="BI109" s="510">
        <f t="shared" ca="1" si="116"/>
        <v>0</v>
      </c>
      <c r="BJ109" s="510">
        <f t="shared" ca="1" si="116"/>
        <v>0</v>
      </c>
      <c r="BK109" s="510">
        <f t="shared" ca="1" si="116"/>
        <v>0</v>
      </c>
      <c r="BL109" s="510">
        <f t="shared" ca="1" si="116"/>
        <v>0</v>
      </c>
      <c r="BM109" s="510">
        <f t="shared" ca="1" si="116"/>
        <v>0</v>
      </c>
      <c r="BN109" s="510">
        <f t="shared" ca="1" si="116"/>
        <v>0</v>
      </c>
      <c r="BO109" s="510">
        <f t="shared" ca="1" si="116"/>
        <v>0</v>
      </c>
      <c r="BP109" s="510">
        <f t="shared" si="116"/>
        <v>0</v>
      </c>
      <c r="BQ109" s="510">
        <f t="shared" si="116"/>
        <v>0</v>
      </c>
      <c r="BR109" s="510">
        <f t="shared" si="116"/>
        <v>0</v>
      </c>
      <c r="BS109" s="510">
        <f t="shared" ref="BS109:CX109" si="117">BS19</f>
        <v>0</v>
      </c>
      <c r="BT109" s="510">
        <f t="shared" si="117"/>
        <v>0</v>
      </c>
      <c r="BU109" s="510">
        <f t="shared" si="117"/>
        <v>0</v>
      </c>
      <c r="BV109" s="510">
        <f t="shared" si="117"/>
        <v>0</v>
      </c>
      <c r="BW109" s="510">
        <f t="shared" si="117"/>
        <v>0</v>
      </c>
      <c r="BX109" s="510">
        <f t="shared" si="117"/>
        <v>0</v>
      </c>
      <c r="BY109" s="510">
        <f t="shared" si="117"/>
        <v>0</v>
      </c>
      <c r="BZ109" s="510">
        <f t="shared" si="117"/>
        <v>0</v>
      </c>
      <c r="CA109" s="510">
        <f t="shared" si="117"/>
        <v>0</v>
      </c>
      <c r="CB109" s="510">
        <f t="shared" si="117"/>
        <v>0</v>
      </c>
      <c r="CC109" s="510">
        <f t="shared" si="117"/>
        <v>0</v>
      </c>
      <c r="CD109" s="510">
        <f t="shared" si="117"/>
        <v>0</v>
      </c>
      <c r="CE109" s="510">
        <f t="shared" si="117"/>
        <v>0</v>
      </c>
      <c r="CF109" s="510">
        <f t="shared" si="117"/>
        <v>0</v>
      </c>
      <c r="CG109" s="510">
        <f t="shared" si="117"/>
        <v>0</v>
      </c>
      <c r="CH109" s="510">
        <f t="shared" si="117"/>
        <v>0</v>
      </c>
      <c r="CI109" s="510">
        <f t="shared" si="117"/>
        <v>0</v>
      </c>
      <c r="CJ109" s="510">
        <f t="shared" si="117"/>
        <v>0</v>
      </c>
      <c r="CK109" s="510">
        <f t="shared" si="117"/>
        <v>0</v>
      </c>
      <c r="CL109" s="510">
        <f t="shared" si="117"/>
        <v>0</v>
      </c>
      <c r="CM109" s="510">
        <f t="shared" si="117"/>
        <v>0</v>
      </c>
      <c r="CN109" s="510">
        <f t="shared" si="117"/>
        <v>0</v>
      </c>
      <c r="CO109" s="510">
        <f t="shared" si="117"/>
        <v>0</v>
      </c>
      <c r="CP109" s="510">
        <f t="shared" si="117"/>
        <v>0</v>
      </c>
      <c r="CQ109" s="510">
        <f t="shared" si="117"/>
        <v>0</v>
      </c>
      <c r="CR109" s="510">
        <f t="shared" si="117"/>
        <v>0</v>
      </c>
      <c r="CS109" s="510">
        <f t="shared" si="117"/>
        <v>0</v>
      </c>
      <c r="CT109" s="510">
        <f t="shared" si="117"/>
        <v>0</v>
      </c>
      <c r="CU109" s="510">
        <f t="shared" si="117"/>
        <v>0</v>
      </c>
      <c r="CV109" s="510">
        <f t="shared" si="117"/>
        <v>0</v>
      </c>
      <c r="CW109" s="510">
        <f t="shared" si="117"/>
        <v>0</v>
      </c>
      <c r="CX109" s="510">
        <f t="shared" si="117"/>
        <v>0</v>
      </c>
      <c r="CY109" s="510">
        <f t="shared" ref="CY109:DW109" si="118">CY19</f>
        <v>0</v>
      </c>
      <c r="CZ109" s="510">
        <f t="shared" si="118"/>
        <v>0</v>
      </c>
      <c r="DA109" s="510">
        <f t="shared" si="118"/>
        <v>0</v>
      </c>
      <c r="DB109" s="510">
        <f t="shared" si="118"/>
        <v>0</v>
      </c>
      <c r="DC109" s="510">
        <f t="shared" si="118"/>
        <v>0</v>
      </c>
      <c r="DD109" s="510">
        <f t="shared" si="118"/>
        <v>0</v>
      </c>
      <c r="DE109" s="510">
        <f t="shared" si="118"/>
        <v>0</v>
      </c>
      <c r="DF109" s="510">
        <f t="shared" si="118"/>
        <v>0</v>
      </c>
      <c r="DG109" s="510">
        <f t="shared" si="118"/>
        <v>0</v>
      </c>
      <c r="DH109" s="510">
        <f t="shared" si="118"/>
        <v>0</v>
      </c>
      <c r="DI109" s="510">
        <f t="shared" si="118"/>
        <v>0</v>
      </c>
      <c r="DJ109" s="510">
        <f t="shared" si="118"/>
        <v>0</v>
      </c>
      <c r="DK109" s="510">
        <f t="shared" si="118"/>
        <v>0</v>
      </c>
      <c r="DL109" s="510">
        <f t="shared" si="118"/>
        <v>0</v>
      </c>
      <c r="DM109" s="510">
        <f t="shared" si="118"/>
        <v>0</v>
      </c>
      <c r="DN109" s="510">
        <f t="shared" si="118"/>
        <v>0</v>
      </c>
      <c r="DO109" s="510">
        <f t="shared" si="118"/>
        <v>0</v>
      </c>
      <c r="DP109" s="510">
        <f t="shared" si="118"/>
        <v>0</v>
      </c>
      <c r="DQ109" s="510">
        <f t="shared" si="118"/>
        <v>0</v>
      </c>
      <c r="DR109" s="510">
        <f t="shared" si="118"/>
        <v>0</v>
      </c>
      <c r="DS109" s="510">
        <f t="shared" si="118"/>
        <v>0</v>
      </c>
      <c r="DT109" s="510">
        <f t="shared" si="118"/>
        <v>0</v>
      </c>
      <c r="DU109" s="510">
        <f t="shared" si="118"/>
        <v>0</v>
      </c>
      <c r="DV109" s="510">
        <f t="shared" si="118"/>
        <v>0</v>
      </c>
      <c r="DW109" s="510">
        <f t="shared" si="118"/>
        <v>0</v>
      </c>
    </row>
    <row r="110" spans="1:127">
      <c r="A110" s="304" t="s">
        <v>1295</v>
      </c>
      <c r="B110" s="976"/>
      <c r="C110" s="1618" t="s">
        <v>1294</v>
      </c>
      <c r="D110" s="1625"/>
      <c r="E110" s="510"/>
      <c r="F110" s="510"/>
      <c r="G110" s="510">
        <f t="shared" ref="G110:AL110" ca="1" si="119">G27</f>
        <v>-500</v>
      </c>
      <c r="H110" s="510">
        <f t="shared" ca="1" si="119"/>
        <v>0</v>
      </c>
      <c r="I110" s="510">
        <f t="shared" ca="1" si="119"/>
        <v>0</v>
      </c>
      <c r="J110" s="510">
        <f t="shared" ca="1" si="119"/>
        <v>0</v>
      </c>
      <c r="K110" s="510">
        <f t="shared" ca="1" si="119"/>
        <v>0</v>
      </c>
      <c r="L110" s="510">
        <f t="shared" ca="1" si="119"/>
        <v>0</v>
      </c>
      <c r="M110" s="510">
        <f t="shared" ca="1" si="119"/>
        <v>0</v>
      </c>
      <c r="N110" s="510">
        <f t="shared" ca="1" si="119"/>
        <v>0</v>
      </c>
      <c r="O110" s="510">
        <f t="shared" ca="1" si="119"/>
        <v>0</v>
      </c>
      <c r="P110" s="510">
        <f t="shared" ca="1" si="119"/>
        <v>0</v>
      </c>
      <c r="Q110" s="510">
        <f t="shared" ca="1" si="119"/>
        <v>0</v>
      </c>
      <c r="R110" s="510">
        <f t="shared" ca="1" si="119"/>
        <v>0</v>
      </c>
      <c r="S110" s="510">
        <f t="shared" ca="1" si="119"/>
        <v>0</v>
      </c>
      <c r="T110" s="510">
        <f t="shared" ca="1" si="119"/>
        <v>0</v>
      </c>
      <c r="U110" s="510">
        <f t="shared" ca="1" si="119"/>
        <v>0</v>
      </c>
      <c r="V110" s="510">
        <f t="shared" ca="1" si="119"/>
        <v>0</v>
      </c>
      <c r="W110" s="510">
        <f t="shared" ca="1" si="119"/>
        <v>0</v>
      </c>
      <c r="X110" s="510">
        <f t="shared" ca="1" si="119"/>
        <v>0</v>
      </c>
      <c r="Y110" s="510">
        <f t="shared" ca="1" si="119"/>
        <v>0</v>
      </c>
      <c r="Z110" s="510">
        <f t="shared" ca="1" si="119"/>
        <v>0</v>
      </c>
      <c r="AA110" s="510">
        <f t="shared" ca="1" si="119"/>
        <v>0</v>
      </c>
      <c r="AB110" s="510">
        <f t="shared" ca="1" si="119"/>
        <v>0</v>
      </c>
      <c r="AC110" s="510">
        <f t="shared" ca="1" si="119"/>
        <v>0</v>
      </c>
      <c r="AD110" s="510">
        <f t="shared" ca="1" si="119"/>
        <v>0</v>
      </c>
      <c r="AE110" s="510">
        <f t="shared" ca="1" si="119"/>
        <v>0</v>
      </c>
      <c r="AF110" s="510">
        <f t="shared" ca="1" si="119"/>
        <v>0</v>
      </c>
      <c r="AG110" s="510">
        <f t="shared" ca="1" si="119"/>
        <v>0</v>
      </c>
      <c r="AH110" s="510">
        <f t="shared" ca="1" si="119"/>
        <v>0</v>
      </c>
      <c r="AI110" s="510">
        <f t="shared" ca="1" si="119"/>
        <v>0</v>
      </c>
      <c r="AJ110" s="510">
        <f t="shared" ca="1" si="119"/>
        <v>0</v>
      </c>
      <c r="AK110" s="510">
        <f t="shared" ca="1" si="119"/>
        <v>0</v>
      </c>
      <c r="AL110" s="510">
        <f t="shared" ca="1" si="119"/>
        <v>0</v>
      </c>
      <c r="AM110" s="510">
        <f t="shared" ref="AM110:BR110" ca="1" si="120">AM27</f>
        <v>0</v>
      </c>
      <c r="AN110" s="510">
        <f t="shared" ca="1" si="120"/>
        <v>0</v>
      </c>
      <c r="AO110" s="510">
        <f t="shared" ca="1" si="120"/>
        <v>0</v>
      </c>
      <c r="AP110" s="510">
        <f t="shared" ca="1" si="120"/>
        <v>0</v>
      </c>
      <c r="AQ110" s="510">
        <f t="shared" ca="1" si="120"/>
        <v>0</v>
      </c>
      <c r="AR110" s="510">
        <f t="shared" ca="1" si="120"/>
        <v>0</v>
      </c>
      <c r="AS110" s="510">
        <f t="shared" ca="1" si="120"/>
        <v>0</v>
      </c>
      <c r="AT110" s="510">
        <f t="shared" ca="1" si="120"/>
        <v>0.20810589905741414</v>
      </c>
      <c r="AU110" s="510">
        <f t="shared" ca="1" si="120"/>
        <v>53.690190817316278</v>
      </c>
      <c r="AV110" s="510">
        <f t="shared" ca="1" si="120"/>
        <v>2983.7674178961593</v>
      </c>
      <c r="AW110" s="510">
        <f t="shared" ca="1" si="120"/>
        <v>2441.3333975635619</v>
      </c>
      <c r="AX110" s="510">
        <f t="shared" ca="1" si="120"/>
        <v>3049.0719732914777</v>
      </c>
      <c r="AY110" s="510">
        <f t="shared" ca="1" si="120"/>
        <v>2487.4846336080732</v>
      </c>
      <c r="AZ110" s="510">
        <f t="shared" ca="1" si="120"/>
        <v>3107.4457076630943</v>
      </c>
      <c r="BA110" s="510">
        <f t="shared" ca="1" si="120"/>
        <v>2517.5080219128567</v>
      </c>
      <c r="BB110" s="510">
        <f t="shared" ca="1" si="120"/>
        <v>3156.1747688474229</v>
      </c>
      <c r="BC110" s="510">
        <f t="shared" ca="1" si="120"/>
        <v>2577.7984678589301</v>
      </c>
      <c r="BD110" s="510">
        <f t="shared" ca="1" si="120"/>
        <v>3228.839393259092</v>
      </c>
      <c r="BE110" s="510">
        <f t="shared" ca="1" si="120"/>
        <v>2613.0502037649162</v>
      </c>
      <c r="BF110" s="510">
        <f t="shared" ca="1" si="120"/>
        <v>3267.2441163985814</v>
      </c>
      <c r="BG110" s="510">
        <f t="shared" ca="1" si="120"/>
        <v>2646.9756391372011</v>
      </c>
      <c r="BH110" s="510">
        <f t="shared" ca="1" si="120"/>
        <v>3308.8653416339707</v>
      </c>
      <c r="BI110" s="510">
        <f t="shared" ca="1" si="120"/>
        <v>2661.3780378237479</v>
      </c>
      <c r="BJ110" s="510">
        <f t="shared" ca="1" si="120"/>
        <v>3338.4767150020889</v>
      </c>
      <c r="BK110" s="510">
        <f t="shared" ca="1" si="120"/>
        <v>2663.7314921670763</v>
      </c>
      <c r="BL110" s="510">
        <f t="shared" ca="1" si="120"/>
        <v>3344.1541819159343</v>
      </c>
      <c r="BM110" s="510">
        <f t="shared" ca="1" si="120"/>
        <v>2686.5586758534837</v>
      </c>
      <c r="BN110" s="510">
        <f t="shared" ca="1" si="120"/>
        <v>3360.8715638139779</v>
      </c>
      <c r="BO110" s="510">
        <f t="shared" ca="1" si="120"/>
        <v>2697.4701355060656</v>
      </c>
      <c r="BP110" s="510">
        <f t="shared" ca="1" si="120"/>
        <v>0</v>
      </c>
      <c r="BQ110" s="510">
        <f t="shared" ca="1" si="120"/>
        <v>0</v>
      </c>
      <c r="BR110" s="510">
        <f t="shared" ca="1" si="120"/>
        <v>0</v>
      </c>
      <c r="BS110" s="510">
        <f t="shared" ref="BS110:CX110" ca="1" si="121">BS27</f>
        <v>0</v>
      </c>
      <c r="BT110" s="510">
        <f t="shared" ca="1" si="121"/>
        <v>0</v>
      </c>
      <c r="BU110" s="510">
        <f t="shared" ca="1" si="121"/>
        <v>0</v>
      </c>
      <c r="BV110" s="510">
        <f t="shared" ca="1" si="121"/>
        <v>0</v>
      </c>
      <c r="BW110" s="510">
        <f t="shared" ca="1" si="121"/>
        <v>0</v>
      </c>
      <c r="BX110" s="510">
        <f t="shared" ca="1" si="121"/>
        <v>0</v>
      </c>
      <c r="BY110" s="510">
        <f t="shared" ca="1" si="121"/>
        <v>0</v>
      </c>
      <c r="BZ110" s="510">
        <f t="shared" ca="1" si="121"/>
        <v>0</v>
      </c>
      <c r="CA110" s="510">
        <f t="shared" ca="1" si="121"/>
        <v>0</v>
      </c>
      <c r="CB110" s="510">
        <f t="shared" ca="1" si="121"/>
        <v>0</v>
      </c>
      <c r="CC110" s="510">
        <f t="shared" ca="1" si="121"/>
        <v>0</v>
      </c>
      <c r="CD110" s="510">
        <f t="shared" ca="1" si="121"/>
        <v>0</v>
      </c>
      <c r="CE110" s="510">
        <f t="shared" ca="1" si="121"/>
        <v>0</v>
      </c>
      <c r="CF110" s="510">
        <f t="shared" ca="1" si="121"/>
        <v>0</v>
      </c>
      <c r="CG110" s="510">
        <f t="shared" ca="1" si="121"/>
        <v>0</v>
      </c>
      <c r="CH110" s="510">
        <f t="shared" ca="1" si="121"/>
        <v>0</v>
      </c>
      <c r="CI110" s="510">
        <f t="shared" ca="1" si="121"/>
        <v>0</v>
      </c>
      <c r="CJ110" s="510">
        <f t="shared" ca="1" si="121"/>
        <v>0</v>
      </c>
      <c r="CK110" s="510">
        <f t="shared" ca="1" si="121"/>
        <v>0</v>
      </c>
      <c r="CL110" s="510">
        <f t="shared" ca="1" si="121"/>
        <v>0</v>
      </c>
      <c r="CM110" s="510">
        <f t="shared" ca="1" si="121"/>
        <v>0</v>
      </c>
      <c r="CN110" s="510">
        <f t="shared" ca="1" si="121"/>
        <v>0</v>
      </c>
      <c r="CO110" s="510">
        <f t="shared" ca="1" si="121"/>
        <v>0</v>
      </c>
      <c r="CP110" s="510">
        <f t="shared" ca="1" si="121"/>
        <v>0</v>
      </c>
      <c r="CQ110" s="510">
        <f t="shared" ca="1" si="121"/>
        <v>0</v>
      </c>
      <c r="CR110" s="510">
        <f t="shared" ca="1" si="121"/>
        <v>0</v>
      </c>
      <c r="CS110" s="510">
        <f t="shared" ca="1" si="121"/>
        <v>0</v>
      </c>
      <c r="CT110" s="510">
        <f t="shared" ca="1" si="121"/>
        <v>0</v>
      </c>
      <c r="CU110" s="510">
        <f t="shared" ca="1" si="121"/>
        <v>0</v>
      </c>
      <c r="CV110" s="510">
        <f t="shared" ca="1" si="121"/>
        <v>0</v>
      </c>
      <c r="CW110" s="510">
        <f t="shared" ca="1" si="121"/>
        <v>0</v>
      </c>
      <c r="CX110" s="510">
        <f t="shared" ca="1" si="121"/>
        <v>0</v>
      </c>
      <c r="CY110" s="510">
        <f t="shared" ref="CY110:DW110" ca="1" si="122">CY27</f>
        <v>0</v>
      </c>
      <c r="CZ110" s="510">
        <f t="shared" ca="1" si="122"/>
        <v>0</v>
      </c>
      <c r="DA110" s="510">
        <f t="shared" ca="1" si="122"/>
        <v>0</v>
      </c>
      <c r="DB110" s="510">
        <f t="shared" ca="1" si="122"/>
        <v>0</v>
      </c>
      <c r="DC110" s="510">
        <f t="shared" ca="1" si="122"/>
        <v>0</v>
      </c>
      <c r="DD110" s="510">
        <f t="shared" ca="1" si="122"/>
        <v>0</v>
      </c>
      <c r="DE110" s="510">
        <f t="shared" ca="1" si="122"/>
        <v>0</v>
      </c>
      <c r="DF110" s="510">
        <f t="shared" ca="1" si="122"/>
        <v>0</v>
      </c>
      <c r="DG110" s="510">
        <f t="shared" ca="1" si="122"/>
        <v>0</v>
      </c>
      <c r="DH110" s="510">
        <f t="shared" ca="1" si="122"/>
        <v>0</v>
      </c>
      <c r="DI110" s="510">
        <f t="shared" ca="1" si="122"/>
        <v>0</v>
      </c>
      <c r="DJ110" s="510">
        <f t="shared" ca="1" si="122"/>
        <v>0</v>
      </c>
      <c r="DK110" s="510">
        <f t="shared" ca="1" si="122"/>
        <v>0</v>
      </c>
      <c r="DL110" s="510">
        <f t="shared" ca="1" si="122"/>
        <v>0</v>
      </c>
      <c r="DM110" s="510">
        <f t="shared" ca="1" si="122"/>
        <v>0</v>
      </c>
      <c r="DN110" s="510">
        <f t="shared" ca="1" si="122"/>
        <v>0</v>
      </c>
      <c r="DO110" s="510">
        <f t="shared" ca="1" si="122"/>
        <v>0</v>
      </c>
      <c r="DP110" s="510">
        <f t="shared" ca="1" si="122"/>
        <v>0</v>
      </c>
      <c r="DQ110" s="510">
        <f t="shared" ca="1" si="122"/>
        <v>0</v>
      </c>
      <c r="DR110" s="510">
        <f t="shared" ca="1" si="122"/>
        <v>0</v>
      </c>
      <c r="DS110" s="510">
        <f t="shared" ca="1" si="122"/>
        <v>0</v>
      </c>
      <c r="DT110" s="510">
        <f t="shared" ca="1" si="122"/>
        <v>0</v>
      </c>
      <c r="DU110" s="510">
        <f t="shared" ca="1" si="122"/>
        <v>0</v>
      </c>
      <c r="DV110" s="510">
        <f t="shared" ca="1" si="122"/>
        <v>0</v>
      </c>
      <c r="DW110" s="510">
        <f t="shared" ca="1" si="122"/>
        <v>0</v>
      </c>
    </row>
    <row r="111" spans="1:127">
      <c r="A111" s="1622" t="s">
        <v>1296</v>
      </c>
      <c r="B111" s="450"/>
      <c r="C111" s="450"/>
      <c r="D111" s="1623"/>
      <c r="E111" s="1624"/>
      <c r="F111" s="1624"/>
      <c r="G111" s="1624">
        <f ca="1">SUM(G108:G110)</f>
        <v>-15120.773894815633</v>
      </c>
      <c r="H111" s="1624">
        <f t="shared" ref="H111:AM111" ca="1" si="123">SUM(H108:H110)</f>
        <v>335.87001192815342</v>
      </c>
      <c r="I111" s="1624">
        <f t="shared" ca="1" si="123"/>
        <v>330.39387042932458</v>
      </c>
      <c r="J111" s="1624">
        <f t="shared" ca="1" si="123"/>
        <v>336.07875278384927</v>
      </c>
      <c r="K111" s="1624">
        <f t="shared" ca="1" si="123"/>
        <v>340.5415560447218</v>
      </c>
      <c r="L111" s="1624">
        <f t="shared" ca="1" si="123"/>
        <v>344.05441161728459</v>
      </c>
      <c r="M111" s="1624">
        <f t="shared" ca="1" si="123"/>
        <v>345.51102678698453</v>
      </c>
      <c r="N111" s="1624">
        <f t="shared" ca="1" si="123"/>
        <v>349.23262841929591</v>
      </c>
      <c r="O111" s="1624">
        <f t="shared" ca="1" si="123"/>
        <v>347.80912291148707</v>
      </c>
      <c r="P111" s="1624">
        <f t="shared" ca="1" si="123"/>
        <v>354.48829899669317</v>
      </c>
      <c r="Q111" s="1624">
        <f t="shared" ca="1" si="123"/>
        <v>350.09626175264157</v>
      </c>
      <c r="R111" s="1624">
        <f t="shared" ca="1" si="123"/>
        <v>358.83941444214724</v>
      </c>
      <c r="S111" s="1624">
        <f t="shared" ca="1" si="123"/>
        <v>353.38594088006357</v>
      </c>
      <c r="T111" s="1624">
        <f t="shared" ca="1" si="123"/>
        <v>365.23646797405399</v>
      </c>
      <c r="U111" s="1624">
        <f t="shared" ca="1" si="123"/>
        <v>354.44024353998338</v>
      </c>
      <c r="V111" s="1624">
        <f t="shared" ca="1" si="123"/>
        <v>370.73123830074883</v>
      </c>
      <c r="W111" s="1624">
        <f t="shared" ca="1" si="123"/>
        <v>356.43397409897443</v>
      </c>
      <c r="X111" s="1624">
        <f t="shared" ca="1" si="123"/>
        <v>376.30800665500556</v>
      </c>
      <c r="Y111" s="1624">
        <f t="shared" ca="1" si="123"/>
        <v>358.28810723061906</v>
      </c>
      <c r="Z111" s="1624">
        <f t="shared" ca="1" si="123"/>
        <v>380.92432030492228</v>
      </c>
      <c r="AA111" s="1624">
        <f t="shared" ca="1" si="123"/>
        <v>361.09801681461613</v>
      </c>
      <c r="AB111" s="1624">
        <f t="shared" ca="1" si="123"/>
        <v>362.21186155878786</v>
      </c>
      <c r="AC111" s="1624">
        <f t="shared" ca="1" si="123"/>
        <v>341.58145701415651</v>
      </c>
      <c r="AD111" s="1624">
        <f t="shared" ca="1" si="123"/>
        <v>368.04174225437328</v>
      </c>
      <c r="AE111" s="1624">
        <f t="shared" ca="1" si="123"/>
        <v>344.41650476008897</v>
      </c>
      <c r="AF111" s="1624">
        <f t="shared" ca="1" si="123"/>
        <v>1303.0353071177308</v>
      </c>
      <c r="AG111" s="1624">
        <f t="shared" ca="1" si="123"/>
        <v>1137.3407535822269</v>
      </c>
      <c r="AH111" s="1624">
        <f t="shared" ca="1" si="123"/>
        <v>1325.2147901759413</v>
      </c>
      <c r="AI111" s="1624">
        <f t="shared" ca="1" si="123"/>
        <v>1170.3281353494576</v>
      </c>
      <c r="AJ111" s="1624">
        <f t="shared" ca="1" si="123"/>
        <v>2992.7622826566039</v>
      </c>
      <c r="AK111" s="1624">
        <f t="shared" ca="1" si="123"/>
        <v>2547.280978819882</v>
      </c>
      <c r="AL111" s="1624">
        <f t="shared" ca="1" si="123"/>
        <v>2865.9608440146294</v>
      </c>
      <c r="AM111" s="1624">
        <f t="shared" ca="1" si="123"/>
        <v>2610.2365536765737</v>
      </c>
      <c r="AN111" s="1624">
        <f t="shared" ref="AN111:CY111" ca="1" si="124">SUM(AN108:AN110)</f>
        <v>2922.0580262856715</v>
      </c>
      <c r="AO111" s="1624">
        <f t="shared" ca="1" si="124"/>
        <v>2654.3801621519883</v>
      </c>
      <c r="AP111" s="1624">
        <f t="shared" ca="1" si="124"/>
        <v>2969.4858030358901</v>
      </c>
      <c r="AQ111" s="1624">
        <f t="shared" ca="1" si="124"/>
        <v>2705.8113991172359</v>
      </c>
      <c r="AR111" s="1624">
        <f t="shared" ca="1" si="124"/>
        <v>3031.7868274553903</v>
      </c>
      <c r="AS111" s="1624">
        <f t="shared" ca="1" si="124"/>
        <v>2740.8429684015709</v>
      </c>
      <c r="AT111" s="1624">
        <f t="shared" ca="1" si="124"/>
        <v>3083.2021014521683</v>
      </c>
      <c r="AU111" s="1624">
        <f t="shared" ca="1" si="124"/>
        <v>2233.843129421628</v>
      </c>
      <c r="AV111" s="1624">
        <f t="shared" ca="1" si="124"/>
        <v>2983.7674178961593</v>
      </c>
      <c r="AW111" s="1624">
        <f t="shared" ca="1" si="124"/>
        <v>2441.3333975635619</v>
      </c>
      <c r="AX111" s="1624">
        <f t="shared" ca="1" si="124"/>
        <v>3049.0719732914777</v>
      </c>
      <c r="AY111" s="1624">
        <f t="shared" ca="1" si="124"/>
        <v>2487.4846336080732</v>
      </c>
      <c r="AZ111" s="1624">
        <f t="shared" ca="1" si="124"/>
        <v>3107.4457076630943</v>
      </c>
      <c r="BA111" s="1624">
        <f t="shared" ca="1" si="124"/>
        <v>2517.5080219128567</v>
      </c>
      <c r="BB111" s="1624">
        <f t="shared" ca="1" si="124"/>
        <v>3156.1747688474229</v>
      </c>
      <c r="BC111" s="1624">
        <f t="shared" ca="1" si="124"/>
        <v>2577.7984678589301</v>
      </c>
      <c r="BD111" s="1624">
        <f t="shared" ca="1" si="124"/>
        <v>3228.839393259092</v>
      </c>
      <c r="BE111" s="1624">
        <f t="shared" ca="1" si="124"/>
        <v>2613.0502037649162</v>
      </c>
      <c r="BF111" s="1624">
        <f t="shared" ca="1" si="124"/>
        <v>3267.2441163985814</v>
      </c>
      <c r="BG111" s="1624">
        <f t="shared" ca="1" si="124"/>
        <v>2646.9756391372011</v>
      </c>
      <c r="BH111" s="1624">
        <f t="shared" ca="1" si="124"/>
        <v>3308.8653416339707</v>
      </c>
      <c r="BI111" s="1624">
        <f t="shared" ca="1" si="124"/>
        <v>2661.3780378237479</v>
      </c>
      <c r="BJ111" s="1624">
        <f t="shared" ca="1" si="124"/>
        <v>3338.4767150020889</v>
      </c>
      <c r="BK111" s="1624">
        <f t="shared" ca="1" si="124"/>
        <v>2663.7314921670763</v>
      </c>
      <c r="BL111" s="1624">
        <f t="shared" ca="1" si="124"/>
        <v>3344.1541819159343</v>
      </c>
      <c r="BM111" s="1624">
        <f t="shared" ca="1" si="124"/>
        <v>2686.5586758534837</v>
      </c>
      <c r="BN111" s="1624">
        <f t="shared" ca="1" si="124"/>
        <v>3360.8715638139779</v>
      </c>
      <c r="BO111" s="1624">
        <f t="shared" ca="1" si="124"/>
        <v>2697.4701355060656</v>
      </c>
      <c r="BP111" s="1624">
        <f t="shared" ca="1" si="124"/>
        <v>0</v>
      </c>
      <c r="BQ111" s="1624">
        <f t="shared" ca="1" si="124"/>
        <v>0</v>
      </c>
      <c r="BR111" s="1624">
        <f t="shared" ca="1" si="124"/>
        <v>0</v>
      </c>
      <c r="BS111" s="1624">
        <f t="shared" ca="1" si="124"/>
        <v>0</v>
      </c>
      <c r="BT111" s="1624">
        <f t="shared" ca="1" si="124"/>
        <v>0</v>
      </c>
      <c r="BU111" s="1624">
        <f t="shared" ca="1" si="124"/>
        <v>0</v>
      </c>
      <c r="BV111" s="1624">
        <f t="shared" ca="1" si="124"/>
        <v>0</v>
      </c>
      <c r="BW111" s="1624">
        <f t="shared" ca="1" si="124"/>
        <v>0</v>
      </c>
      <c r="BX111" s="1624">
        <f t="shared" ca="1" si="124"/>
        <v>0</v>
      </c>
      <c r="BY111" s="1624">
        <f t="shared" ca="1" si="124"/>
        <v>0</v>
      </c>
      <c r="BZ111" s="1624">
        <f t="shared" ca="1" si="124"/>
        <v>0</v>
      </c>
      <c r="CA111" s="1624">
        <f t="shared" ca="1" si="124"/>
        <v>0</v>
      </c>
      <c r="CB111" s="1624">
        <f t="shared" ca="1" si="124"/>
        <v>0</v>
      </c>
      <c r="CC111" s="1624">
        <f t="shared" ca="1" si="124"/>
        <v>0</v>
      </c>
      <c r="CD111" s="1624">
        <f t="shared" ca="1" si="124"/>
        <v>0</v>
      </c>
      <c r="CE111" s="1624">
        <f t="shared" ca="1" si="124"/>
        <v>0</v>
      </c>
      <c r="CF111" s="1624">
        <f t="shared" ca="1" si="124"/>
        <v>0</v>
      </c>
      <c r="CG111" s="1624">
        <f t="shared" ca="1" si="124"/>
        <v>0</v>
      </c>
      <c r="CH111" s="1624">
        <f t="shared" ca="1" si="124"/>
        <v>0</v>
      </c>
      <c r="CI111" s="1624">
        <f t="shared" ca="1" si="124"/>
        <v>0</v>
      </c>
      <c r="CJ111" s="1624">
        <f t="shared" ca="1" si="124"/>
        <v>0</v>
      </c>
      <c r="CK111" s="1624">
        <f t="shared" ca="1" si="124"/>
        <v>0</v>
      </c>
      <c r="CL111" s="1624">
        <f t="shared" ca="1" si="124"/>
        <v>0</v>
      </c>
      <c r="CM111" s="1624">
        <f t="shared" ca="1" si="124"/>
        <v>0</v>
      </c>
      <c r="CN111" s="1624">
        <f t="shared" ca="1" si="124"/>
        <v>0</v>
      </c>
      <c r="CO111" s="1624">
        <f t="shared" ca="1" si="124"/>
        <v>0</v>
      </c>
      <c r="CP111" s="1624">
        <f t="shared" ca="1" si="124"/>
        <v>0</v>
      </c>
      <c r="CQ111" s="1624">
        <f t="shared" ca="1" si="124"/>
        <v>0</v>
      </c>
      <c r="CR111" s="1624">
        <f t="shared" ca="1" si="124"/>
        <v>0</v>
      </c>
      <c r="CS111" s="1624">
        <f t="shared" ca="1" si="124"/>
        <v>0</v>
      </c>
      <c r="CT111" s="1624">
        <f t="shared" ca="1" si="124"/>
        <v>0</v>
      </c>
      <c r="CU111" s="1624">
        <f t="shared" ca="1" si="124"/>
        <v>0</v>
      </c>
      <c r="CV111" s="1624">
        <f t="shared" ca="1" si="124"/>
        <v>0</v>
      </c>
      <c r="CW111" s="1624">
        <f t="shared" ca="1" si="124"/>
        <v>0</v>
      </c>
      <c r="CX111" s="1624">
        <f t="shared" ca="1" si="124"/>
        <v>0</v>
      </c>
      <c r="CY111" s="1624">
        <f t="shared" ca="1" si="124"/>
        <v>0</v>
      </c>
      <c r="CZ111" s="1624">
        <f t="shared" ref="CZ111:DW111" ca="1" si="125">SUM(CZ108:CZ110)</f>
        <v>0</v>
      </c>
      <c r="DA111" s="1624">
        <f t="shared" ca="1" si="125"/>
        <v>0</v>
      </c>
      <c r="DB111" s="1624">
        <f t="shared" ca="1" si="125"/>
        <v>0</v>
      </c>
      <c r="DC111" s="1624">
        <f t="shared" ca="1" si="125"/>
        <v>0</v>
      </c>
      <c r="DD111" s="1624">
        <f t="shared" ca="1" si="125"/>
        <v>0</v>
      </c>
      <c r="DE111" s="1624">
        <f t="shared" ca="1" si="125"/>
        <v>0</v>
      </c>
      <c r="DF111" s="1624">
        <f t="shared" ca="1" si="125"/>
        <v>0</v>
      </c>
      <c r="DG111" s="1624">
        <f t="shared" ca="1" si="125"/>
        <v>0</v>
      </c>
      <c r="DH111" s="1624">
        <f t="shared" ca="1" si="125"/>
        <v>0</v>
      </c>
      <c r="DI111" s="1624">
        <f t="shared" ca="1" si="125"/>
        <v>0</v>
      </c>
      <c r="DJ111" s="1624">
        <f t="shared" ca="1" si="125"/>
        <v>0</v>
      </c>
      <c r="DK111" s="1624">
        <f t="shared" ca="1" si="125"/>
        <v>0</v>
      </c>
      <c r="DL111" s="1624">
        <f t="shared" ca="1" si="125"/>
        <v>0</v>
      </c>
      <c r="DM111" s="1624">
        <f t="shared" ca="1" si="125"/>
        <v>0</v>
      </c>
      <c r="DN111" s="1624">
        <f t="shared" ca="1" si="125"/>
        <v>0</v>
      </c>
      <c r="DO111" s="1624">
        <f t="shared" ca="1" si="125"/>
        <v>0</v>
      </c>
      <c r="DP111" s="1624">
        <f t="shared" ca="1" si="125"/>
        <v>0</v>
      </c>
      <c r="DQ111" s="1624">
        <f t="shared" ca="1" si="125"/>
        <v>0</v>
      </c>
      <c r="DR111" s="1624">
        <f t="shared" ca="1" si="125"/>
        <v>0</v>
      </c>
      <c r="DS111" s="1624">
        <f t="shared" ca="1" si="125"/>
        <v>0</v>
      </c>
      <c r="DT111" s="1624">
        <f t="shared" ca="1" si="125"/>
        <v>0</v>
      </c>
      <c r="DU111" s="1624">
        <f t="shared" ca="1" si="125"/>
        <v>0</v>
      </c>
      <c r="DV111" s="1624">
        <f t="shared" ca="1" si="125"/>
        <v>0</v>
      </c>
      <c r="DW111" s="1624">
        <f t="shared" ca="1" si="125"/>
        <v>0</v>
      </c>
    </row>
    <row r="112" spans="1:127">
      <c r="B112" s="304"/>
      <c r="C112" s="304"/>
      <c r="D112" s="1625"/>
      <c r="Z112" s="537"/>
    </row>
    <row r="113" spans="1:127">
      <c r="A113" s="1622" t="s">
        <v>1297</v>
      </c>
      <c r="B113" s="450"/>
      <c r="C113" s="450"/>
      <c r="D113" s="1623"/>
      <c r="E113" s="1624"/>
      <c r="F113" s="1624"/>
      <c r="G113" s="1624">
        <f ca="1">G106+G111</f>
        <v>-13148.509844815633</v>
      </c>
      <c r="H113" s="1624">
        <f t="shared" ref="H113:AM113" ca="1" si="126">H106+H111</f>
        <v>320.52506192815343</v>
      </c>
      <c r="I113" s="1624">
        <f t="shared" ca="1" si="126"/>
        <v>236.27387042932457</v>
      </c>
      <c r="J113" s="1624">
        <f t="shared" ca="1" si="126"/>
        <v>238.75180196417713</v>
      </c>
      <c r="K113" s="1624">
        <f t="shared" ca="1" si="126"/>
        <v>244.27250686439393</v>
      </c>
      <c r="L113" s="1624">
        <f t="shared" ca="1" si="126"/>
        <v>244.50893961728457</v>
      </c>
      <c r="M113" s="1624">
        <f t="shared" ca="1" si="126"/>
        <v>247.58857878698453</v>
      </c>
      <c r="N113" s="1624">
        <f t="shared" ca="1" si="126"/>
        <v>247.69624697929589</v>
      </c>
      <c r="O113" s="1624">
        <f t="shared" ca="1" si="126"/>
        <v>247.92822595148709</v>
      </c>
      <c r="P113" s="1624">
        <f t="shared" ca="1" si="126"/>
        <v>250.92118992789315</v>
      </c>
      <c r="Q113" s="1624">
        <f t="shared" ca="1" si="126"/>
        <v>248.21774685344155</v>
      </c>
      <c r="R113" s="1624">
        <f t="shared" ca="1" si="126"/>
        <v>253.48959284019577</v>
      </c>
      <c r="S113" s="1624">
        <f t="shared" ca="1" si="126"/>
        <v>249.18122603465503</v>
      </c>
      <c r="T113" s="1624">
        <f t="shared" ca="1" si="126"/>
        <v>257.48524769887445</v>
      </c>
      <c r="U113" s="1624">
        <f t="shared" ca="1" si="126"/>
        <v>248.44583663885572</v>
      </c>
      <c r="V113" s="1624">
        <f t="shared" ca="1" si="126"/>
        <v>260.82499362006575</v>
      </c>
      <c r="W113" s="1624">
        <f t="shared" ca="1" si="126"/>
        <v>248.31967905982424</v>
      </c>
      <c r="X113" s="1624">
        <f t="shared" ca="1" si="126"/>
        <v>264.2036370807088</v>
      </c>
      <c r="Y113" s="1624">
        <f t="shared" ca="1" si="126"/>
        <v>248.01152629068582</v>
      </c>
      <c r="Z113" s="1624">
        <f t="shared" ca="1" si="126"/>
        <v>266.89028535270728</v>
      </c>
      <c r="AA113" s="1624">
        <f t="shared" ca="1" si="126"/>
        <v>248.30348224231653</v>
      </c>
      <c r="AB113" s="1624">
        <f t="shared" ca="1" si="126"/>
        <v>245.57847545368952</v>
      </c>
      <c r="AC113" s="1624">
        <f t="shared" ca="1" si="126"/>
        <v>226.84970220424998</v>
      </c>
      <c r="AD113" s="1624">
        <f t="shared" ca="1" si="126"/>
        <v>249.07568842717296</v>
      </c>
      <c r="AE113" s="1624">
        <f t="shared" ca="1" si="126"/>
        <v>227.3901148539843</v>
      </c>
      <c r="AF113" s="1624">
        <f t="shared" ca="1" si="126"/>
        <v>1181.6899322139864</v>
      </c>
      <c r="AG113" s="1624">
        <f t="shared" ca="1" si="126"/>
        <v>1017.9738358780002</v>
      </c>
      <c r="AH113" s="1624">
        <f t="shared" ca="1" si="126"/>
        <v>1201.7806834090998</v>
      </c>
      <c r="AI113" s="1624">
        <f t="shared" ca="1" si="126"/>
        <v>1048.2357036561687</v>
      </c>
      <c r="AJ113" s="1624">
        <f t="shared" ca="1" si="126"/>
        <v>2866.5145546067483</v>
      </c>
      <c r="AK113" s="1624">
        <f t="shared" ca="1" si="126"/>
        <v>2423.0916376404043</v>
      </c>
      <c r="AL113" s="1624">
        <f t="shared" ca="1" si="126"/>
        <v>2737.1881614037766</v>
      </c>
      <c r="AM113" s="1624">
        <f t="shared" ca="1" si="126"/>
        <v>2483.5634256735066</v>
      </c>
      <c r="AN113" s="1624">
        <f t="shared" ref="AN113:CY113" ca="1" si="127">AN106+AN111</f>
        <v>2790.7098900226019</v>
      </c>
      <c r="AO113" s="1624">
        <f t="shared" ca="1" si="127"/>
        <v>2525.1735715888599</v>
      </c>
      <c r="AP113" s="1624">
        <f t="shared" ca="1" si="127"/>
        <v>2835.876756230587</v>
      </c>
      <c r="AQ113" s="1624">
        <f t="shared" ca="1" si="127"/>
        <v>2573.6546245598165</v>
      </c>
      <c r="AR113" s="1624">
        <f t="shared" ca="1" si="127"/>
        <v>2895.1322264872924</v>
      </c>
      <c r="AS113" s="1624">
        <f t="shared" ca="1" si="127"/>
        <v>2606.416431579692</v>
      </c>
      <c r="AT113" s="1624">
        <f t="shared" ca="1" si="127"/>
        <v>2943.8144084647088</v>
      </c>
      <c r="AU113" s="1624">
        <f t="shared" ca="1" si="127"/>
        <v>2096.7280618633117</v>
      </c>
      <c r="AV113" s="1624">
        <f t="shared" ca="1" si="127"/>
        <v>2841.5919710489502</v>
      </c>
      <c r="AW113" s="1624">
        <f t="shared" ca="1" si="127"/>
        <v>2301.4760286540791</v>
      </c>
      <c r="AX113" s="1624">
        <f t="shared" ca="1" si="127"/>
        <v>2904.4492441624725</v>
      </c>
      <c r="AY113" s="1624">
        <f t="shared" ca="1" si="127"/>
        <v>2344.4338906652529</v>
      </c>
      <c r="AZ113" s="1624">
        <f t="shared" ca="1" si="127"/>
        <v>2959.5263727632582</v>
      </c>
      <c r="BA113" s="1624">
        <f t="shared" ca="1" si="127"/>
        <v>2372.0004152994311</v>
      </c>
      <c r="BB113" s="1624">
        <f t="shared" ca="1" si="127"/>
        <v>3005.2970472495899</v>
      </c>
      <c r="BC113" s="1624">
        <f t="shared" ca="1" si="127"/>
        <v>2429.3807091132358</v>
      </c>
      <c r="BD113" s="1624">
        <f t="shared" ca="1" si="127"/>
        <v>3074.9441172293027</v>
      </c>
      <c r="BE113" s="1624">
        <f t="shared" ca="1" si="127"/>
        <v>2461.6640898443079</v>
      </c>
      <c r="BF113" s="1624">
        <f t="shared" ca="1" si="127"/>
        <v>3110.6998233223776</v>
      </c>
      <c r="BG113" s="1624">
        <f t="shared" ca="1" si="127"/>
        <v>2492.1329144639994</v>
      </c>
      <c r="BH113" s="1624">
        <f t="shared" ca="1" si="127"/>
        <v>3148.7526964525778</v>
      </c>
      <c r="BI113" s="1624">
        <f t="shared" ca="1" si="127"/>
        <v>2503.8759249007471</v>
      </c>
      <c r="BJ113" s="1624">
        <f t="shared" ca="1" si="127"/>
        <v>3175.1618169170679</v>
      </c>
      <c r="BK113" s="1624">
        <f t="shared" ca="1" si="127"/>
        <v>2503.0793369856156</v>
      </c>
      <c r="BL113" s="1624">
        <f t="shared" ca="1" si="127"/>
        <v>3177.572985869213</v>
      </c>
      <c r="BM113" s="1624">
        <f t="shared" ca="1" si="127"/>
        <v>2522.6934775683935</v>
      </c>
      <c r="BN113" s="1624">
        <f t="shared" ca="1" si="127"/>
        <v>3191.4229865238294</v>
      </c>
      <c r="BO113" s="1624">
        <f t="shared" ca="1" si="127"/>
        <v>2529.8633905777665</v>
      </c>
      <c r="BP113" s="1624">
        <f t="shared" ca="1" si="127"/>
        <v>0</v>
      </c>
      <c r="BQ113" s="1624">
        <f t="shared" ca="1" si="127"/>
        <v>0</v>
      </c>
      <c r="BR113" s="1624">
        <f t="shared" ca="1" si="127"/>
        <v>0</v>
      </c>
      <c r="BS113" s="1624">
        <f t="shared" ca="1" si="127"/>
        <v>0</v>
      </c>
      <c r="BT113" s="1624">
        <f t="shared" ca="1" si="127"/>
        <v>0</v>
      </c>
      <c r="BU113" s="1624">
        <f t="shared" ca="1" si="127"/>
        <v>0</v>
      </c>
      <c r="BV113" s="1624">
        <f t="shared" ca="1" si="127"/>
        <v>0</v>
      </c>
      <c r="BW113" s="1624">
        <f t="shared" ca="1" si="127"/>
        <v>0</v>
      </c>
      <c r="BX113" s="1624">
        <f t="shared" ca="1" si="127"/>
        <v>0</v>
      </c>
      <c r="BY113" s="1624">
        <f t="shared" ca="1" si="127"/>
        <v>0</v>
      </c>
      <c r="BZ113" s="1624">
        <f t="shared" ca="1" si="127"/>
        <v>0</v>
      </c>
      <c r="CA113" s="1624">
        <f t="shared" ca="1" si="127"/>
        <v>0</v>
      </c>
      <c r="CB113" s="1624">
        <f t="shared" ca="1" si="127"/>
        <v>0</v>
      </c>
      <c r="CC113" s="1624">
        <f t="shared" ca="1" si="127"/>
        <v>0</v>
      </c>
      <c r="CD113" s="1624">
        <f t="shared" ca="1" si="127"/>
        <v>0</v>
      </c>
      <c r="CE113" s="1624">
        <f t="shared" ca="1" si="127"/>
        <v>0</v>
      </c>
      <c r="CF113" s="1624">
        <f t="shared" ca="1" si="127"/>
        <v>0</v>
      </c>
      <c r="CG113" s="1624">
        <f t="shared" ca="1" si="127"/>
        <v>0</v>
      </c>
      <c r="CH113" s="1624">
        <f t="shared" ca="1" si="127"/>
        <v>0</v>
      </c>
      <c r="CI113" s="1624">
        <f t="shared" ca="1" si="127"/>
        <v>0</v>
      </c>
      <c r="CJ113" s="1624">
        <f t="shared" ca="1" si="127"/>
        <v>0</v>
      </c>
      <c r="CK113" s="1624">
        <f t="shared" ca="1" si="127"/>
        <v>0</v>
      </c>
      <c r="CL113" s="1624">
        <f t="shared" ca="1" si="127"/>
        <v>0</v>
      </c>
      <c r="CM113" s="1624">
        <f t="shared" ca="1" si="127"/>
        <v>0</v>
      </c>
      <c r="CN113" s="1624">
        <f t="shared" ca="1" si="127"/>
        <v>0</v>
      </c>
      <c r="CO113" s="1624">
        <f t="shared" ca="1" si="127"/>
        <v>0</v>
      </c>
      <c r="CP113" s="1624">
        <f t="shared" ca="1" si="127"/>
        <v>0</v>
      </c>
      <c r="CQ113" s="1624">
        <f t="shared" ca="1" si="127"/>
        <v>0</v>
      </c>
      <c r="CR113" s="1624">
        <f t="shared" ca="1" si="127"/>
        <v>0</v>
      </c>
      <c r="CS113" s="1624">
        <f t="shared" ca="1" si="127"/>
        <v>0</v>
      </c>
      <c r="CT113" s="1624">
        <f t="shared" ca="1" si="127"/>
        <v>0</v>
      </c>
      <c r="CU113" s="1624">
        <f t="shared" ca="1" si="127"/>
        <v>0</v>
      </c>
      <c r="CV113" s="1624">
        <f t="shared" ca="1" si="127"/>
        <v>0</v>
      </c>
      <c r="CW113" s="1624">
        <f t="shared" ca="1" si="127"/>
        <v>0</v>
      </c>
      <c r="CX113" s="1624">
        <f t="shared" ca="1" si="127"/>
        <v>0</v>
      </c>
      <c r="CY113" s="1624">
        <f t="shared" ca="1" si="127"/>
        <v>0</v>
      </c>
      <c r="CZ113" s="1624">
        <f t="shared" ref="CZ113:DW113" ca="1" si="128">CZ106+CZ111</f>
        <v>0</v>
      </c>
      <c r="DA113" s="1624">
        <f t="shared" ca="1" si="128"/>
        <v>0</v>
      </c>
      <c r="DB113" s="1624">
        <f t="shared" ca="1" si="128"/>
        <v>0</v>
      </c>
      <c r="DC113" s="1624">
        <f t="shared" ca="1" si="128"/>
        <v>0</v>
      </c>
      <c r="DD113" s="1624">
        <f t="shared" ca="1" si="128"/>
        <v>0</v>
      </c>
      <c r="DE113" s="1624">
        <f t="shared" ca="1" si="128"/>
        <v>0</v>
      </c>
      <c r="DF113" s="1624">
        <f t="shared" ca="1" si="128"/>
        <v>0</v>
      </c>
      <c r="DG113" s="1624">
        <f t="shared" ca="1" si="128"/>
        <v>0</v>
      </c>
      <c r="DH113" s="1624">
        <f t="shared" ca="1" si="128"/>
        <v>0</v>
      </c>
      <c r="DI113" s="1624">
        <f t="shared" ca="1" si="128"/>
        <v>0</v>
      </c>
      <c r="DJ113" s="1624">
        <f t="shared" ca="1" si="128"/>
        <v>0</v>
      </c>
      <c r="DK113" s="1624">
        <f t="shared" ca="1" si="128"/>
        <v>0</v>
      </c>
      <c r="DL113" s="1624">
        <f t="shared" ca="1" si="128"/>
        <v>0</v>
      </c>
      <c r="DM113" s="1624">
        <f t="shared" ca="1" si="128"/>
        <v>0</v>
      </c>
      <c r="DN113" s="1624">
        <f t="shared" ca="1" si="128"/>
        <v>0</v>
      </c>
      <c r="DO113" s="1624">
        <f t="shared" ca="1" si="128"/>
        <v>0</v>
      </c>
      <c r="DP113" s="1624">
        <f t="shared" ca="1" si="128"/>
        <v>0</v>
      </c>
      <c r="DQ113" s="1624">
        <f t="shared" ca="1" si="128"/>
        <v>0</v>
      </c>
      <c r="DR113" s="1624">
        <f t="shared" ca="1" si="128"/>
        <v>0</v>
      </c>
      <c r="DS113" s="1624">
        <f t="shared" ca="1" si="128"/>
        <v>0</v>
      </c>
      <c r="DT113" s="1624">
        <f t="shared" ca="1" si="128"/>
        <v>0</v>
      </c>
      <c r="DU113" s="1624">
        <f t="shared" ca="1" si="128"/>
        <v>0</v>
      </c>
      <c r="DV113" s="1624">
        <f t="shared" ca="1" si="128"/>
        <v>0</v>
      </c>
      <c r="DW113" s="1624">
        <f t="shared" ca="1" si="128"/>
        <v>0</v>
      </c>
    </row>
    <row r="114" spans="1:127">
      <c r="A114" s="344"/>
      <c r="B114" s="304"/>
      <c r="C114" s="304"/>
      <c r="D114" s="1625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  <c r="Y114" s="513"/>
      <c r="Z114" s="513"/>
      <c r="AA114" s="513"/>
      <c r="AB114" s="513"/>
      <c r="AC114" s="513"/>
      <c r="AD114" s="513"/>
      <c r="AE114" s="513"/>
      <c r="AF114" s="513"/>
      <c r="AG114" s="513"/>
      <c r="AH114" s="513"/>
      <c r="AI114" s="513"/>
      <c r="AJ114" s="513"/>
      <c r="AK114" s="513"/>
      <c r="AL114" s="513"/>
      <c r="AM114" s="513"/>
    </row>
    <row r="115" spans="1:127">
      <c r="A115" s="1980" t="s">
        <v>1298</v>
      </c>
      <c r="B115" s="1980"/>
      <c r="C115" s="304"/>
      <c r="D115" s="1625"/>
      <c r="E115" s="513"/>
      <c r="F115" s="513"/>
      <c r="G115" s="513"/>
      <c r="H115" s="513"/>
      <c r="I115" s="513"/>
      <c r="J115" s="513"/>
      <c r="K115" s="513"/>
      <c r="L115" s="513"/>
      <c r="M115" s="513"/>
      <c r="N115" s="513"/>
      <c r="O115" s="513"/>
      <c r="P115" s="513"/>
      <c r="Q115" s="513"/>
      <c r="R115" s="513"/>
      <c r="S115" s="513"/>
      <c r="T115" s="513"/>
      <c r="U115" s="513"/>
      <c r="V115" s="513"/>
      <c r="W115" s="513"/>
      <c r="X115" s="513"/>
      <c r="Y115" s="513"/>
      <c r="Z115" s="513"/>
      <c r="AA115" s="513"/>
      <c r="AB115" s="513"/>
      <c r="AC115" s="513"/>
      <c r="AD115" s="513"/>
      <c r="AE115" s="513"/>
      <c r="AF115" s="513"/>
      <c r="AG115" s="513"/>
      <c r="AH115" s="513"/>
      <c r="AI115" s="513"/>
      <c r="AJ115" s="513"/>
      <c r="AK115" s="513"/>
      <c r="AL115" s="513"/>
      <c r="AM115" s="513"/>
    </row>
    <row r="116" spans="1:127">
      <c r="A116" s="344"/>
      <c r="B116" s="304"/>
      <c r="C116" s="304"/>
      <c r="D116" s="1625"/>
      <c r="E116" s="513"/>
      <c r="F116" s="513"/>
      <c r="G116" s="513"/>
      <c r="H116" s="513"/>
      <c r="I116" s="513"/>
      <c r="J116" s="513"/>
      <c r="K116" s="513"/>
      <c r="L116" s="513"/>
      <c r="M116" s="513"/>
      <c r="N116" s="513"/>
      <c r="O116" s="513"/>
      <c r="P116" s="513"/>
      <c r="Q116" s="513"/>
      <c r="R116" s="513"/>
      <c r="S116" s="513"/>
      <c r="T116" s="513"/>
      <c r="U116" s="513"/>
      <c r="V116" s="513"/>
      <c r="W116" s="513"/>
      <c r="X116" s="513"/>
      <c r="Y116" s="513"/>
      <c r="Z116" s="513"/>
      <c r="AA116" s="513"/>
      <c r="AB116" s="513"/>
      <c r="AC116" s="513"/>
      <c r="AD116" s="513"/>
      <c r="AE116" s="513"/>
      <c r="AF116" s="513"/>
      <c r="AG116" s="513"/>
      <c r="AH116" s="513"/>
      <c r="AI116" s="513"/>
      <c r="AJ116" s="513"/>
      <c r="AK116" s="513"/>
      <c r="AL116" s="513"/>
      <c r="AM116" s="513"/>
    </row>
    <row r="117" spans="1:127">
      <c r="A117" s="1626" t="s">
        <v>1299</v>
      </c>
      <c r="B117" s="1627">
        <f ca="1">XIRR(G111:DW111,G88:DW88,0)</f>
        <v>0.10601646972656252</v>
      </c>
      <c r="C117" s="1618" t="s">
        <v>1300</v>
      </c>
      <c r="D117" s="1625"/>
      <c r="E117" s="513"/>
      <c r="F117" s="513"/>
      <c r="G117" s="513"/>
      <c r="H117" s="513"/>
      <c r="I117" s="513"/>
      <c r="J117" s="513"/>
      <c r="K117" s="513"/>
      <c r="L117" s="513"/>
      <c r="M117" s="513"/>
      <c r="N117" s="513"/>
      <c r="O117" s="513"/>
      <c r="P117" s="513"/>
      <c r="Q117" s="513"/>
      <c r="R117" s="513"/>
      <c r="S117" s="513"/>
      <c r="T117" s="513"/>
      <c r="U117" s="513"/>
      <c r="V117" s="513"/>
      <c r="W117" s="513"/>
      <c r="X117" s="513"/>
      <c r="Y117" s="513"/>
      <c r="Z117" s="513"/>
      <c r="AA117" s="513"/>
      <c r="AB117" s="513"/>
      <c r="AC117" s="513"/>
      <c r="AD117" s="513"/>
      <c r="AE117" s="513"/>
      <c r="AF117" s="513"/>
      <c r="AG117" s="513"/>
      <c r="AH117" s="513"/>
      <c r="AI117" s="513"/>
      <c r="AJ117" s="513"/>
      <c r="AK117" s="513"/>
      <c r="AL117" s="513"/>
      <c r="AM117" s="513"/>
    </row>
    <row r="118" spans="1:127">
      <c r="A118" s="1628" t="s">
        <v>1301</v>
      </c>
      <c r="B118" s="1635">
        <f ca="1">Inputs!D468</f>
        <v>9.4812319849730708E-2</v>
      </c>
      <c r="C118" s="1618" t="s">
        <v>1302</v>
      </c>
      <c r="D118" s="1625"/>
      <c r="Z118" s="537"/>
    </row>
    <row r="119" spans="1:127">
      <c r="A119" s="1628" t="s">
        <v>1303</v>
      </c>
      <c r="B119" s="1629">
        <f ca="1">XNPV(B118,G111:DW111,G88:DW88)</f>
        <v>2812.4892857933351</v>
      </c>
      <c r="C119" s="1630"/>
      <c r="D119" s="1630"/>
      <c r="E119" s="510"/>
      <c r="F119" s="510"/>
      <c r="G119" s="510"/>
      <c r="H119" s="510"/>
      <c r="I119" s="510"/>
      <c r="J119" s="510"/>
      <c r="K119" s="510"/>
      <c r="L119" s="510"/>
      <c r="M119" s="510"/>
      <c r="N119" s="510"/>
      <c r="O119" s="510"/>
      <c r="P119" s="510"/>
      <c r="Q119" s="510"/>
      <c r="R119" s="510"/>
      <c r="S119" s="510"/>
      <c r="T119" s="510"/>
      <c r="U119" s="510"/>
      <c r="V119" s="510"/>
      <c r="W119" s="510"/>
      <c r="X119" s="510"/>
      <c r="Y119" s="510"/>
      <c r="Z119" s="537"/>
      <c r="AA119" s="1631"/>
      <c r="AB119" s="1631"/>
      <c r="AC119" s="1631"/>
      <c r="AD119" s="1631"/>
      <c r="AE119" s="1631"/>
      <c r="AF119" s="1631"/>
      <c r="AG119" s="1631"/>
      <c r="AH119" s="1631"/>
      <c r="AI119" s="1631"/>
      <c r="AJ119" s="1631"/>
      <c r="AK119" s="1631"/>
      <c r="AL119" s="1631"/>
      <c r="AM119" s="1631"/>
    </row>
    <row r="120" spans="1:127">
      <c r="A120" s="1628" t="s">
        <v>1304</v>
      </c>
      <c r="B120" s="1634">
        <f>CapEx!C111</f>
        <v>18.326999999999998</v>
      </c>
      <c r="C120" s="1618" t="s">
        <v>1284</v>
      </c>
      <c r="D120" s="1630"/>
      <c r="E120" s="510"/>
      <c r="F120" s="510"/>
      <c r="G120" s="510"/>
      <c r="H120" s="510"/>
      <c r="I120" s="510"/>
      <c r="J120" s="510"/>
      <c r="K120" s="510"/>
      <c r="L120" s="510"/>
      <c r="M120" s="510"/>
      <c r="N120" s="510"/>
      <c r="O120" s="510"/>
      <c r="P120" s="510"/>
      <c r="Q120" s="510"/>
      <c r="R120" s="510"/>
      <c r="S120" s="510"/>
      <c r="T120" s="510"/>
      <c r="U120" s="510"/>
      <c r="V120" s="510"/>
      <c r="W120" s="510"/>
      <c r="X120" s="510"/>
      <c r="Y120" s="510"/>
      <c r="Z120" s="537"/>
      <c r="AA120" s="1631"/>
      <c r="AB120" s="1631"/>
      <c r="AC120" s="1631"/>
      <c r="AD120" s="1631"/>
      <c r="AE120" s="1631"/>
      <c r="AF120" s="1631"/>
      <c r="AG120" s="1631"/>
      <c r="AH120" s="1631"/>
      <c r="AI120" s="1631"/>
      <c r="AJ120" s="1631"/>
      <c r="AK120" s="1631"/>
      <c r="AL120" s="1631"/>
      <c r="AM120" s="1631"/>
    </row>
    <row r="121" spans="1:127">
      <c r="A121" s="1628" t="s">
        <v>1305</v>
      </c>
      <c r="B121" s="1629">
        <f ca="1">G98+G99+G100+G101+G102+G111+B120</f>
        <v>-11887.633394815633</v>
      </c>
      <c r="C121" s="1618" t="s">
        <v>1306</v>
      </c>
      <c r="D121" s="1630"/>
      <c r="E121" s="510"/>
      <c r="F121" s="510"/>
      <c r="G121" s="510"/>
      <c r="H121" s="510"/>
      <c r="I121" s="510"/>
      <c r="J121" s="510"/>
      <c r="K121" s="510"/>
      <c r="L121" s="510"/>
      <c r="M121" s="510"/>
      <c r="N121" s="510"/>
      <c r="O121" s="510"/>
      <c r="P121" s="510"/>
      <c r="Q121" s="510"/>
      <c r="R121" s="510"/>
      <c r="S121" s="510"/>
      <c r="T121" s="510"/>
      <c r="U121" s="510"/>
      <c r="V121" s="510"/>
      <c r="W121" s="510"/>
      <c r="X121" s="510"/>
      <c r="Y121" s="510"/>
      <c r="Z121" s="537"/>
      <c r="AA121" s="1631"/>
      <c r="AB121" s="1631"/>
      <c r="AC121" s="1631"/>
      <c r="AD121" s="1631"/>
      <c r="AE121" s="1631"/>
      <c r="AF121" s="1631"/>
      <c r="AG121" s="1631"/>
      <c r="AH121" s="1631"/>
      <c r="AI121" s="1631"/>
      <c r="AJ121" s="1631"/>
      <c r="AK121" s="1631"/>
      <c r="AL121" s="1631"/>
      <c r="AM121" s="1631"/>
    </row>
    <row r="122" spans="1:127">
      <c r="A122" s="1632" t="s">
        <v>1307</v>
      </c>
      <c r="B122" s="1633">
        <f ca="1">G113</f>
        <v>-13148.509844815633</v>
      </c>
      <c r="C122" s="1618" t="s">
        <v>1308</v>
      </c>
      <c r="D122" s="1630"/>
      <c r="E122" s="510"/>
      <c r="F122" s="510"/>
      <c r="G122" s="510"/>
      <c r="H122" s="510"/>
      <c r="I122" s="510"/>
      <c r="J122" s="510"/>
      <c r="K122" s="510"/>
      <c r="L122" s="510"/>
      <c r="M122" s="510"/>
      <c r="N122" s="510"/>
      <c r="O122" s="510"/>
      <c r="P122" s="510"/>
      <c r="Q122" s="510"/>
      <c r="R122" s="510"/>
      <c r="S122" s="510"/>
      <c r="T122" s="510"/>
      <c r="U122" s="510"/>
      <c r="V122" s="510"/>
      <c r="W122" s="510"/>
      <c r="X122" s="510"/>
      <c r="Y122" s="510"/>
      <c r="Z122" s="537"/>
      <c r="AA122" s="1631"/>
      <c r="AB122" s="1631"/>
      <c r="AC122" s="1631"/>
      <c r="AD122" s="1631"/>
      <c r="AE122" s="1631"/>
      <c r="AF122" s="1631"/>
      <c r="AG122" s="1631"/>
      <c r="AH122" s="1631"/>
      <c r="AI122" s="1631"/>
      <c r="AJ122" s="1631"/>
      <c r="AK122" s="1631"/>
      <c r="AL122" s="1631"/>
      <c r="AM122" s="1631"/>
    </row>
    <row r="125" spans="1:127">
      <c r="A125" s="304" t="s">
        <v>216</v>
      </c>
      <c r="C125" s="304" t="s">
        <v>1309</v>
      </c>
      <c r="D125" s="510">
        <f>XNPV(Inputs!D462,H125:BO125,H2:BO2)</f>
        <v>23024.727218371161</v>
      </c>
      <c r="G125" s="304">
        <f>-CF!G49</f>
        <v>0</v>
      </c>
      <c r="H125" s="304">
        <f>-CF!H49</f>
        <v>674.86684791232892</v>
      </c>
      <c r="I125" s="304">
        <f>-CF!I49</f>
        <v>663.86358408767126</v>
      </c>
      <c r="J125" s="304">
        <f>-CF!J49</f>
        <v>651.42311099453548</v>
      </c>
      <c r="K125" s="304">
        <f>-CF!K49</f>
        <v>644.34242500546441</v>
      </c>
      <c r="L125" s="304">
        <f>-CF!L49</f>
        <v>648.99799153621916</v>
      </c>
      <c r="M125" s="304">
        <f>-CF!M49</f>
        <v>638.41650254378089</v>
      </c>
      <c r="N125" s="304">
        <f>-CF!N49</f>
        <v>659.97668437034076</v>
      </c>
      <c r="O125" s="304">
        <f>-CF!O49</f>
        <v>649.21619495125924</v>
      </c>
      <c r="P125" s="304">
        <f>-CF!P49</f>
        <v>671.17495106114484</v>
      </c>
      <c r="Q125" s="304">
        <f>-CF!Q49</f>
        <v>660.23188120688724</v>
      </c>
      <c r="R125" s="304">
        <f>-CF!R49</f>
        <v>680.73216345984758</v>
      </c>
      <c r="S125" s="304">
        <f>-CF!S49</f>
        <v>673.33290081354505</v>
      </c>
      <c r="T125" s="304">
        <f>-CF!T49</f>
        <v>694.24785975087764</v>
      </c>
      <c r="U125" s="304">
        <f>-CF!U49</f>
        <v>682.92860116798306</v>
      </c>
      <c r="V125" s="304">
        <f>-CF!V49</f>
        <v>706.13154994929232</v>
      </c>
      <c r="W125" s="304">
        <f>-CF!W49</f>
        <v>694.61853554794527</v>
      </c>
      <c r="X125" s="304">
        <f>-CF!X49</f>
        <v>718.2529139516754</v>
      </c>
      <c r="Y125" s="304">
        <f>-CF!Y49</f>
        <v>706.54226861550706</v>
      </c>
      <c r="Z125" s="304">
        <f>-CF!Z49</f>
        <v>728.62048472800211</v>
      </c>
      <c r="AA125" s="304">
        <f>-CF!AA49</f>
        <v>720.70069685052385</v>
      </c>
      <c r="AB125" s="304">
        <f>-CF!AB49</f>
        <v>938.73079498328138</v>
      </c>
      <c r="AC125" s="304">
        <f>-CF!AC49</f>
        <v>923.42540158681504</v>
      </c>
      <c r="AD125" s="304">
        <f>-CF!AD49</f>
        <v>951.59408343352231</v>
      </c>
      <c r="AE125" s="304">
        <f>-CF!AE49</f>
        <v>936.0789625079758</v>
      </c>
      <c r="AF125" s="304">
        <f>-CF!AF49</f>
        <v>964.71463765276826</v>
      </c>
      <c r="AG125" s="304">
        <f>-CF!AG49</f>
        <v>948.98559464756022</v>
      </c>
      <c r="AH125" s="304">
        <f>-CF!AH49</f>
        <v>975.42520513411375</v>
      </c>
      <c r="AI125" s="304">
        <f>-CF!AI49</f>
        <v>964.82275725222121</v>
      </c>
      <c r="AJ125" s="304">
        <f>-CF!AJ49</f>
        <v>977.91286010858391</v>
      </c>
      <c r="AK125" s="304">
        <f>-CF!AK49</f>
        <v>961.96862869377014</v>
      </c>
      <c r="AL125" s="304">
        <f>-CF!AL49</f>
        <v>991.55978986133061</v>
      </c>
      <c r="AM125" s="304">
        <f>-CF!AM49</f>
        <v>975.39305415707008</v>
      </c>
      <c r="AN125" s="304">
        <f>-CF!AN49</f>
        <v>1005.4796582091328</v>
      </c>
      <c r="AO125" s="304">
        <f>-CF!AO49</f>
        <v>989.08596812963606</v>
      </c>
      <c r="AP125" s="304">
        <f>-CF!AP49</f>
        <v>1016.8919186672683</v>
      </c>
      <c r="AQ125" s="304">
        <f>-CF!AQ49</f>
        <v>1005.8387456382764</v>
      </c>
      <c r="AR125" s="304">
        <f>-CF!AR49</f>
        <v>1034.1601549529439</v>
      </c>
      <c r="AS125" s="304">
        <f>-CF!AS49</f>
        <v>1017.2988480787113</v>
      </c>
      <c r="AT125" s="304">
        <f>-CF!AT49</f>
        <v>1048.9320306025784</v>
      </c>
      <c r="AU125" s="304">
        <f>-CF!AU49</f>
        <v>1031.8298779297104</v>
      </c>
      <c r="AV125" s="304">
        <f>-CF!AV49</f>
        <v>1063.9993437652054</v>
      </c>
      <c r="AW125" s="304">
        <f>-CF!AW49</f>
        <v>1046.6515283777289</v>
      </c>
      <c r="AX125" s="304">
        <f>-CF!AX49</f>
        <v>1076.418910286191</v>
      </c>
      <c r="AY125" s="304">
        <f>-CF!AY49</f>
        <v>1064.7187047396019</v>
      </c>
      <c r="AZ125" s="304">
        <f>-CF!AZ49</f>
        <v>1095.0440358054816</v>
      </c>
      <c r="BA125" s="304">
        <f>-CF!BA49</f>
        <v>1077.1900569608274</v>
      </c>
      <c r="BB125" s="304">
        <f>-CF!BB49</f>
        <v>1111.0335890721667</v>
      </c>
      <c r="BC125" s="304">
        <f>-CF!BC49</f>
        <v>1092.9189109894678</v>
      </c>
      <c r="BD125" s="304">
        <f>-CF!BD49</f>
        <v>1127.3429334041853</v>
      </c>
      <c r="BE125" s="304">
        <f>-CF!BE49</f>
        <v>1108.9623420986823</v>
      </c>
      <c r="BF125" s="304">
        <f>-CF!BF49</f>
        <v>1140.8528404025633</v>
      </c>
      <c r="BG125" s="304">
        <f>-CF!BG49</f>
        <v>1128.4522660503617</v>
      </c>
      <c r="BH125" s="304">
        <f>-CF!BH49</f>
        <v>1160.9467064658768</v>
      </c>
      <c r="BI125" s="304">
        <f>-CF!BI49</f>
        <v>1142.0182275561065</v>
      </c>
      <c r="BJ125" s="304">
        <f>-CF!BJ49</f>
        <v>1178.2543131457694</v>
      </c>
      <c r="BK125" s="304">
        <f>-CF!BK49</f>
        <v>1159.0436449966533</v>
      </c>
      <c r="BL125" s="304">
        <f>-CF!BL49</f>
        <v>1195.9080719592603</v>
      </c>
      <c r="BM125" s="304">
        <f>-CF!BM49</f>
        <v>1176.4095707860115</v>
      </c>
      <c r="BN125" s="304">
        <f>-CF!BN49</f>
        <v>1210.5981985557173</v>
      </c>
      <c r="BO125" s="304">
        <f>-CF!BO49</f>
        <v>1197.4395224844595</v>
      </c>
    </row>
    <row r="126" spans="1:127">
      <c r="A126" s="304" t="s">
        <v>1310</v>
      </c>
      <c r="C126" s="304" t="s">
        <v>1311</v>
      </c>
      <c r="D126" s="510">
        <f>XNPV(Inputs!D462,H126:BO126,H2:BO2)/1000</f>
        <v>1462.0876441701482</v>
      </c>
      <c r="G126" s="304">
        <f>CF!G21</f>
        <v>0</v>
      </c>
      <c r="H126" s="304">
        <f>CF!H21</f>
        <v>55553.337994783564</v>
      </c>
      <c r="I126" s="304">
        <f>CF!I21</f>
        <v>54647.577049216445</v>
      </c>
      <c r="J126" s="304">
        <f>CF!J21</f>
        <v>55179.9467066219</v>
      </c>
      <c r="K126" s="304">
        <f>CF!K21</f>
        <v>54580.164677202105</v>
      </c>
      <c r="L126" s="304">
        <f>CF!L21</f>
        <v>55109.800144233217</v>
      </c>
      <c r="M126" s="304">
        <f>CF!M21</f>
        <v>54211.270794055497</v>
      </c>
      <c r="N126" s="304">
        <f>CF!N21</f>
        <v>54889.360943656284</v>
      </c>
      <c r="O126" s="304">
        <f>CF!O21</f>
        <v>53994.425710879281</v>
      </c>
      <c r="P126" s="304">
        <f>CF!P21</f>
        <v>54669.803499881658</v>
      </c>
      <c r="Q126" s="304">
        <f>CF!Q21</f>
        <v>53778.448008035761</v>
      </c>
      <c r="R126" s="304">
        <f>CF!R21</f>
        <v>54302.350722259485</v>
      </c>
      <c r="S126" s="304">
        <f>CF!S21</f>
        <v>53712.10777962624</v>
      </c>
      <c r="T126" s="304">
        <f>CF!T21</f>
        <v>54233.319788738598</v>
      </c>
      <c r="U126" s="304">
        <f>CF!U21</f>
        <v>53349.080879139598</v>
      </c>
      <c r="V126" s="304">
        <f>CF!V21</f>
        <v>54016.386509583645</v>
      </c>
      <c r="W126" s="304">
        <f>CF!W21</f>
        <v>53135.68455562304</v>
      </c>
      <c r="X126" s="304">
        <f>CF!X21</f>
        <v>53800.320963545309</v>
      </c>
      <c r="Y126" s="304">
        <f>CF!Y21</f>
        <v>52923.141817400552</v>
      </c>
      <c r="Z126" s="304">
        <f>CF!Z21</f>
        <v>53438.712248872296</v>
      </c>
      <c r="AA126" s="304">
        <f>CF!AA21</f>
        <v>52857.856680949779</v>
      </c>
      <c r="AB126" s="304">
        <f>CF!AB21</f>
        <v>53370.779200972371</v>
      </c>
      <c r="AC126" s="304">
        <f>CF!AC21</f>
        <v>52500.603453130432</v>
      </c>
      <c r="AD126" s="304">
        <f>CF!AD21</f>
        <v>53157.296084168469</v>
      </c>
      <c r="AE126" s="304">
        <f>CF!AE21</f>
        <v>52290.601039317902</v>
      </c>
      <c r="AF126" s="304">
        <f>CF!AF21</f>
        <v>52944.666899831805</v>
      </c>
      <c r="AG126" s="304">
        <f>CF!AG21</f>
        <v>52081.438635160637</v>
      </c>
      <c r="AH126" s="304">
        <f>CF!AH21</f>
        <v>52588.809302636204</v>
      </c>
      <c r="AI126" s="304">
        <f>CF!AI21</f>
        <v>52017.191810216245</v>
      </c>
      <c r="AJ126" s="304">
        <f>CF!AJ21</f>
        <v>52521.956679303548</v>
      </c>
      <c r="AK126" s="304">
        <f>CF!AK21</f>
        <v>51665.620429097515</v>
      </c>
      <c r="AL126" s="304">
        <f>CF!AL21</f>
        <v>52311.868852586333</v>
      </c>
      <c r="AM126" s="304">
        <f>CF!AM21</f>
        <v>51458.957947381117</v>
      </c>
      <c r="AN126" s="304">
        <f>CF!AN21</f>
        <v>52102.621377175994</v>
      </c>
      <c r="AO126" s="304">
        <f>CF!AO21</f>
        <v>51253.122115591599</v>
      </c>
      <c r="AP126" s="304">
        <f>CF!AP21</f>
        <v>51752.423430214636</v>
      </c>
      <c r="AQ126" s="304">
        <f>CF!AQ21</f>
        <v>51189.897088581871</v>
      </c>
      <c r="AR126" s="304">
        <f>CF!AR21</f>
        <v>51686.634048100612</v>
      </c>
      <c r="AS126" s="304">
        <f>CF!AS21</f>
        <v>50843.917188620711</v>
      </c>
      <c r="AT126" s="304">
        <f>CF!AT21</f>
        <v>51479.887511908208</v>
      </c>
      <c r="AU126" s="304">
        <f>CF!AU21</f>
        <v>50640.54151986623</v>
      </c>
      <c r="AV126" s="304">
        <f>CF!AV21</f>
        <v>51273.967961860581</v>
      </c>
      <c r="AW126" s="304">
        <f>CF!AW21</f>
        <v>50437.979353786766</v>
      </c>
      <c r="AX126" s="304">
        <f>CF!AX21</f>
        <v>50929.339652608724</v>
      </c>
      <c r="AY126" s="304">
        <f>CF!AY21</f>
        <v>50375.75987377602</v>
      </c>
      <c r="AZ126" s="304">
        <f>CF!AZ21</f>
        <v>50864.596601653095</v>
      </c>
      <c r="BA126" s="304">
        <f>CF!BA21</f>
        <v>50035.282526626142</v>
      </c>
      <c r="BB126" s="304">
        <f>CF!BB21</f>
        <v>50661.138215246479</v>
      </c>
      <c r="BC126" s="304">
        <f>CF!BC21</f>
        <v>49835.141396519633</v>
      </c>
      <c r="BD126" s="304">
        <f>CF!BD21</f>
        <v>50458.493662385488</v>
      </c>
      <c r="BE126" s="304">
        <f>CF!BE21</f>
        <v>49635.800830933549</v>
      </c>
      <c r="BF126" s="304">
        <f>CF!BF21</f>
        <v>50119.346409900594</v>
      </c>
      <c r="BG126" s="304">
        <f>CF!BG21</f>
        <v>49574.570905445158</v>
      </c>
      <c r="BH126" s="304">
        <f>CF!BH21</f>
        <v>50055.633048985001</v>
      </c>
      <c r="BI126" s="304">
        <f>CF!BI21</f>
        <v>49239.508597099382</v>
      </c>
      <c r="BJ126" s="304">
        <f>CF!BJ21</f>
        <v>49855.410516789067</v>
      </c>
      <c r="BK126" s="304">
        <f>CF!BK21</f>
        <v>49042.550562710981</v>
      </c>
      <c r="BL126" s="304">
        <f>CF!BL21</f>
        <v>49655.988874721908</v>
      </c>
      <c r="BM126" s="304">
        <f>CF!BM21</f>
        <v>48846.380360460134</v>
      </c>
      <c r="BN126" s="304">
        <f>CF!BN21</f>
        <v>49322.235506875411</v>
      </c>
      <c r="BO126" s="304">
        <f>CF!BO21</f>
        <v>48786.124251365894</v>
      </c>
    </row>
    <row r="127" spans="1:127">
      <c r="A127" s="304" t="s">
        <v>1312</v>
      </c>
      <c r="C127" s="304"/>
      <c r="D127" s="510">
        <f>CF!B136</f>
        <v>55644.085499999994</v>
      </c>
    </row>
    <row r="128" spans="1:127">
      <c r="A128" s="304" t="s">
        <v>1313</v>
      </c>
      <c r="D128" s="1933">
        <f>(D125+D127)/D126</f>
        <v>53.805811869111317</v>
      </c>
    </row>
    <row r="130" spans="1:4">
      <c r="A130" s="304" t="s">
        <v>337</v>
      </c>
      <c r="D130" s="304">
        <f>CapEx!C117*1000</f>
        <v>55999085.499999993</v>
      </c>
    </row>
    <row r="131" spans="1:4">
      <c r="A131" s="304" t="s">
        <v>784</v>
      </c>
      <c r="D131" s="304">
        <f>SUM(OpEx!F96:AI96)*1000</f>
        <v>55782950.838634424</v>
      </c>
    </row>
    <row r="132" spans="1:4">
      <c r="A132" s="304" t="s">
        <v>1314</v>
      </c>
      <c r="D132" s="304">
        <f>SUM(CF!H25:BO25)+SUM(CF!H29:BO29)</f>
        <v>3121247.1811979166</v>
      </c>
    </row>
    <row r="134" spans="1:4">
      <c r="A134" s="304" t="s">
        <v>895</v>
      </c>
      <c r="D134" s="1933">
        <f>(D130+D135)/(D132)</f>
        <v>17.941253046965628</v>
      </c>
    </row>
    <row r="136" spans="1:4">
      <c r="A136" s="304" t="s">
        <v>1315</v>
      </c>
      <c r="D136" s="304">
        <f>+SUM(CF!G49:BO49)*1000</f>
        <v>-55782950.838634424</v>
      </c>
    </row>
    <row r="137" spans="1:4">
      <c r="A137" s="304" t="s">
        <v>1316</v>
      </c>
      <c r="D137" s="304">
        <f ca="1">+SUM('P&amp;L'!G30:BO30)*1000</f>
        <v>-52182990.3989999</v>
      </c>
    </row>
    <row r="138" spans="1:4">
      <c r="A138" s="304" t="s">
        <v>10</v>
      </c>
      <c r="D138" s="304">
        <f ca="1">-SUM('P&amp;L'!G43:BO43)*1000</f>
        <v>-10443088.330444947</v>
      </c>
    </row>
    <row r="139" spans="1:4">
      <c r="D139" s="304">
        <f ca="1">SUM(D136:D138)</f>
        <v>-118409029.56807928</v>
      </c>
    </row>
    <row r="142" spans="1:4">
      <c r="D142" s="304">
        <f ca="1">D130-D136-D137-D138</f>
        <v>174408115.06807923</v>
      </c>
    </row>
    <row r="143" spans="1:4">
      <c r="D143" s="304">
        <f ca="1">+D142/D132</f>
        <v>55.877700464960419</v>
      </c>
    </row>
  </sheetData>
  <mergeCells count="1">
    <mergeCell ref="A115:B115"/>
  </mergeCells>
  <pageMargins left="0.7" right="0.7" top="0.75" bottom="0.75" header="0.3" footer="0.3"/>
  <pageSetup paperSize="9" scale="11" orientation="portrait" verticalDpi="196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53D77CF9-78FE-4590-9103-40C48A44BAF5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iconSet" priority="2164" id="{4A7B4656-BF1E-4804-8618-70501DB96ECC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E31:E32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_macro">
    <tabColor theme="2" tint="-9.9978637043366805E-2"/>
  </sheetPr>
  <dimension ref="A1:DW57"/>
  <sheetViews>
    <sheetView showGridLines="0" zoomScale="81" workbookViewId="0">
      <pane xSplit="6" ySplit="2" topLeftCell="G3" activePane="bottomRight" state="frozen"/>
      <selection pane="bottomRight" activeCell="A22" sqref="A22"/>
      <selection pane="bottomLeft" activeCell="A3" sqref="A3"/>
      <selection pane="topRight" activeCell="G1" sqref="G1"/>
    </sheetView>
  </sheetViews>
  <sheetFormatPr defaultColWidth="8.85546875" defaultRowHeight="11.25"/>
  <cols>
    <col min="1" max="1" width="14.85546875" style="139" bestFit="1" customWidth="1"/>
    <col min="2" max="2" width="9.85546875" style="139" bestFit="1" customWidth="1"/>
    <col min="3" max="4" width="7.85546875" style="139" customWidth="1"/>
    <col min="5" max="6" width="2.5703125" style="139" customWidth="1"/>
    <col min="7" max="127" width="9.5703125" style="139" customWidth="1"/>
    <col min="128" max="128" width="2.5703125" style="139" customWidth="1"/>
    <col min="129" max="16384" width="8.85546875" style="139"/>
  </cols>
  <sheetData>
    <row r="1" spans="1:127">
      <c r="E1" s="894">
        <f ca="1">Outputs!$D$46</f>
        <v>11182.479442004989</v>
      </c>
    </row>
    <row r="2" spans="1:127">
      <c r="A2" s="861" t="s">
        <v>338</v>
      </c>
      <c r="B2" s="864"/>
      <c r="C2" s="864"/>
      <c r="D2" s="864"/>
      <c r="E2" s="864"/>
      <c r="F2" s="863"/>
      <c r="G2" s="1067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0"/>
      <c r="T2" s="650"/>
      <c r="U2" s="650"/>
      <c r="V2" s="650"/>
      <c r="W2" s="650"/>
      <c r="X2" s="650"/>
      <c r="Y2" s="650"/>
      <c r="Z2" s="650"/>
      <c r="AA2" s="650"/>
      <c r="AB2" s="650"/>
      <c r="AC2" s="650"/>
      <c r="AD2" s="650"/>
      <c r="AE2" s="650"/>
      <c r="AF2" s="650"/>
      <c r="AG2" s="650"/>
      <c r="AH2" s="650"/>
      <c r="AI2" s="650"/>
      <c r="AJ2" s="650"/>
    </row>
    <row r="3" spans="1:127">
      <c r="E3" s="894"/>
    </row>
    <row r="4" spans="1:127">
      <c r="A4" s="861" t="s">
        <v>1317</v>
      </c>
      <c r="B4" s="864"/>
      <c r="C4" s="864"/>
      <c r="D4" s="864"/>
      <c r="E4" s="864"/>
      <c r="F4" s="863"/>
    </row>
    <row r="5" spans="1:127">
      <c r="A5" s="996" t="str">
        <f>Flags!A37</f>
        <v>Beginning of Period</v>
      </c>
      <c r="E5" s="98"/>
      <c r="G5" s="1066">
        <f>Flags!G37</f>
        <v>47298</v>
      </c>
      <c r="H5" s="1066">
        <f>Flags!H37</f>
        <v>47300</v>
      </c>
      <c r="I5" s="1066">
        <f>Flags!I37</f>
        <v>47331</v>
      </c>
      <c r="J5" s="1066">
        <f>Flags!J37</f>
        <v>47362</v>
      </c>
      <c r="K5" s="1066">
        <f>Flags!K37</f>
        <v>47392</v>
      </c>
      <c r="L5" s="1066">
        <f>Flags!L37</f>
        <v>47423</v>
      </c>
      <c r="M5" s="1066">
        <f>Flags!M37</f>
        <v>47453</v>
      </c>
      <c r="N5" s="1066">
        <f>Flags!N37</f>
        <v>47484</v>
      </c>
      <c r="O5" s="1066">
        <f>Flags!O37</f>
        <v>47515</v>
      </c>
      <c r="P5" s="1066">
        <f>Flags!P37</f>
        <v>47543</v>
      </c>
      <c r="Q5" s="1066">
        <f>Flags!Q37</f>
        <v>47574</v>
      </c>
      <c r="R5" s="1066">
        <f>Flags!R37</f>
        <v>47604</v>
      </c>
      <c r="S5" s="1066">
        <f>Flags!S37</f>
        <v>47635</v>
      </c>
      <c r="T5" s="1066">
        <f>Flags!T37</f>
        <v>47665</v>
      </c>
      <c r="U5" s="1066">
        <f>Flags!U37</f>
        <v>47696</v>
      </c>
      <c r="V5" s="1066">
        <f>Flags!V37</f>
        <v>47727</v>
      </c>
      <c r="W5" s="1066">
        <f>Flags!W37</f>
        <v>47757</v>
      </c>
      <c r="X5" s="1066">
        <f>Flags!X37</f>
        <v>47788</v>
      </c>
      <c r="Y5" s="1066">
        <f>Flags!Y37</f>
        <v>47818</v>
      </c>
      <c r="Z5" s="1066">
        <f>Flags!Z37</f>
        <v>47849</v>
      </c>
      <c r="AA5" s="1066">
        <f>Flags!AA37</f>
        <v>47880</v>
      </c>
      <c r="AB5" s="1066">
        <f>Flags!AB37</f>
        <v>47908</v>
      </c>
      <c r="AC5" s="1066">
        <f>Flags!AC37</f>
        <v>47939</v>
      </c>
      <c r="AD5" s="1066">
        <f>Flags!AD37</f>
        <v>47969</v>
      </c>
      <c r="AE5" s="1066">
        <f>Flags!AE37</f>
        <v>48000</v>
      </c>
      <c r="AF5" s="1066">
        <f>Flags!AF37</f>
        <v>48030</v>
      </c>
      <c r="AG5" s="1066">
        <f>Flags!AG37</f>
        <v>48061</v>
      </c>
      <c r="AH5" s="1066">
        <f>Flags!AH37</f>
        <v>48092</v>
      </c>
      <c r="AI5" s="1066">
        <f>Flags!AI37</f>
        <v>48122</v>
      </c>
      <c r="AJ5" s="1066">
        <f>Flags!AJ37</f>
        <v>48153</v>
      </c>
      <c r="AK5" s="996"/>
      <c r="AL5" s="972"/>
      <c r="AM5" s="972"/>
      <c r="AN5" s="972"/>
      <c r="AO5" s="972"/>
      <c r="AP5" s="972"/>
      <c r="AQ5" s="972"/>
      <c r="AR5" s="972"/>
      <c r="AS5" s="972"/>
      <c r="AT5" s="972"/>
      <c r="AU5" s="972"/>
      <c r="AV5" s="972"/>
      <c r="AW5" s="972"/>
      <c r="AX5" s="972"/>
      <c r="AY5" s="972"/>
      <c r="AZ5" s="972"/>
      <c r="BA5" s="972"/>
      <c r="BB5" s="972"/>
      <c r="BC5" s="972"/>
      <c r="BD5" s="972"/>
      <c r="BE5" s="972"/>
      <c r="BF5" s="972"/>
      <c r="BG5" s="972"/>
      <c r="BH5" s="972"/>
      <c r="BI5" s="972"/>
      <c r="BJ5" s="972"/>
      <c r="BK5" s="972"/>
      <c r="BL5" s="972"/>
      <c r="BM5" s="972"/>
      <c r="BN5" s="972"/>
      <c r="BO5" s="972"/>
      <c r="BP5" s="972"/>
      <c r="BQ5" s="972"/>
      <c r="BR5" s="972"/>
      <c r="BS5" s="972"/>
      <c r="BT5" s="972"/>
      <c r="BU5" s="972"/>
      <c r="BV5" s="972"/>
      <c r="BW5" s="972"/>
      <c r="BX5" s="972"/>
      <c r="BY5" s="972"/>
      <c r="BZ5" s="972"/>
      <c r="CA5" s="972"/>
      <c r="CB5" s="972"/>
      <c r="CC5" s="972"/>
      <c r="CD5" s="972"/>
      <c r="CE5" s="972"/>
      <c r="CF5" s="972"/>
      <c r="CG5" s="972"/>
      <c r="CH5" s="972"/>
      <c r="CI5" s="972"/>
      <c r="CJ5" s="972"/>
      <c r="CK5" s="972"/>
      <c r="CL5" s="972"/>
      <c r="CM5" s="972"/>
      <c r="CN5" s="972"/>
      <c r="CO5" s="972"/>
      <c r="CP5" s="972"/>
      <c r="CQ5" s="972"/>
      <c r="CR5" s="972"/>
      <c r="CS5" s="972"/>
      <c r="CT5" s="972"/>
      <c r="CU5" s="972"/>
      <c r="CV5" s="972"/>
      <c r="CW5" s="972"/>
      <c r="CX5" s="972"/>
      <c r="CY5" s="972"/>
      <c r="CZ5" s="972"/>
      <c r="DA5" s="972"/>
      <c r="DB5" s="972"/>
      <c r="DC5" s="972"/>
      <c r="DD5" s="972"/>
      <c r="DE5" s="972"/>
      <c r="DF5" s="972"/>
      <c r="DG5" s="972"/>
      <c r="DH5" s="972"/>
      <c r="DI5" s="972"/>
      <c r="DJ5" s="972"/>
      <c r="DK5" s="972"/>
      <c r="DL5" s="972"/>
      <c r="DM5" s="972"/>
      <c r="DN5" s="972"/>
      <c r="DO5" s="972"/>
      <c r="DP5" s="972"/>
      <c r="DQ5" s="972"/>
      <c r="DR5" s="972"/>
      <c r="DS5" s="972"/>
      <c r="DT5" s="972"/>
      <c r="DU5" s="972"/>
      <c r="DV5" s="972"/>
      <c r="DW5" s="972"/>
    </row>
    <row r="6" spans="1:127">
      <c r="A6" s="996" t="str">
        <f>Flags!A38</f>
        <v>End of Period</v>
      </c>
      <c r="E6" s="98"/>
      <c r="G6" s="972">
        <f>Flags!G38</f>
        <v>47299</v>
      </c>
      <c r="H6" s="972">
        <f>Flags!H38</f>
        <v>47330</v>
      </c>
      <c r="I6" s="972">
        <f>Flags!I38</f>
        <v>47361</v>
      </c>
      <c r="J6" s="972">
        <f>Flags!J38</f>
        <v>47391</v>
      </c>
      <c r="K6" s="972">
        <f>Flags!K38</f>
        <v>47422</v>
      </c>
      <c r="L6" s="972">
        <f>Flags!L38</f>
        <v>47452</v>
      </c>
      <c r="M6" s="972">
        <f>Flags!M38</f>
        <v>47483</v>
      </c>
      <c r="N6" s="972">
        <f>Flags!N38</f>
        <v>47514</v>
      </c>
      <c r="O6" s="972">
        <f>Flags!O38</f>
        <v>47542</v>
      </c>
      <c r="P6" s="972">
        <f>Flags!P38</f>
        <v>47573</v>
      </c>
      <c r="Q6" s="972">
        <f>Flags!Q38</f>
        <v>47603</v>
      </c>
      <c r="R6" s="972">
        <f>Flags!R38</f>
        <v>47634</v>
      </c>
      <c r="S6" s="972">
        <f>Flags!S38</f>
        <v>47664</v>
      </c>
      <c r="T6" s="972">
        <f>Flags!T38</f>
        <v>47695</v>
      </c>
      <c r="U6" s="972">
        <f>Flags!U38</f>
        <v>47726</v>
      </c>
      <c r="V6" s="972">
        <f>Flags!V38</f>
        <v>47756</v>
      </c>
      <c r="W6" s="972">
        <f>Flags!W38</f>
        <v>47787</v>
      </c>
      <c r="X6" s="972">
        <f>Flags!X38</f>
        <v>47817</v>
      </c>
      <c r="Y6" s="972">
        <f>Flags!Y38</f>
        <v>47848</v>
      </c>
      <c r="Z6" s="972">
        <f>Flags!Z38</f>
        <v>47879</v>
      </c>
      <c r="AA6" s="972">
        <f>Flags!AA38</f>
        <v>47907</v>
      </c>
      <c r="AB6" s="972">
        <f>Flags!AB38</f>
        <v>47938</v>
      </c>
      <c r="AC6" s="972">
        <f>Flags!AC38</f>
        <v>47968</v>
      </c>
      <c r="AD6" s="972">
        <f>Flags!AD38</f>
        <v>47999</v>
      </c>
      <c r="AE6" s="972">
        <f>Flags!AE38</f>
        <v>48029</v>
      </c>
      <c r="AF6" s="972">
        <f>Flags!AF38</f>
        <v>48060</v>
      </c>
      <c r="AG6" s="972">
        <f>Flags!AG38</f>
        <v>48091</v>
      </c>
      <c r="AH6" s="972">
        <f>Flags!AH38</f>
        <v>48121</v>
      </c>
      <c r="AI6" s="972">
        <f>Flags!AI38</f>
        <v>48152</v>
      </c>
      <c r="AJ6" s="972">
        <f>Flags!AJ38</f>
        <v>48182</v>
      </c>
      <c r="AK6" s="996"/>
      <c r="AL6" s="972"/>
      <c r="AM6" s="972"/>
      <c r="AN6" s="972"/>
      <c r="AO6" s="972"/>
      <c r="AP6" s="972"/>
      <c r="AQ6" s="972"/>
      <c r="AR6" s="972"/>
      <c r="AS6" s="972"/>
      <c r="AT6" s="972"/>
      <c r="AU6" s="972"/>
      <c r="AV6" s="972"/>
      <c r="AW6" s="972"/>
      <c r="AX6" s="972"/>
      <c r="AY6" s="972"/>
      <c r="AZ6" s="972"/>
      <c r="BA6" s="972"/>
      <c r="BB6" s="972"/>
      <c r="BC6" s="972"/>
      <c r="BD6" s="972"/>
      <c r="BE6" s="972"/>
      <c r="BF6" s="972"/>
      <c r="BG6" s="972"/>
      <c r="BH6" s="972"/>
      <c r="BI6" s="972"/>
      <c r="BJ6" s="972"/>
      <c r="BK6" s="972"/>
      <c r="BL6" s="972"/>
      <c r="BM6" s="972"/>
      <c r="BN6" s="972"/>
      <c r="BO6" s="972"/>
      <c r="BP6" s="972"/>
      <c r="BQ6" s="972"/>
      <c r="BR6" s="972"/>
      <c r="BS6" s="972"/>
      <c r="BT6" s="972"/>
      <c r="BU6" s="972"/>
      <c r="BV6" s="972"/>
      <c r="BW6" s="972"/>
      <c r="BX6" s="972"/>
      <c r="BY6" s="972"/>
      <c r="BZ6" s="972"/>
      <c r="CA6" s="972"/>
      <c r="CB6" s="972"/>
      <c r="CC6" s="972"/>
      <c r="CD6" s="972"/>
      <c r="CE6" s="972"/>
      <c r="CF6" s="972"/>
      <c r="CG6" s="972"/>
      <c r="CH6" s="972"/>
      <c r="CI6" s="972"/>
      <c r="CJ6" s="972"/>
      <c r="CK6" s="972"/>
      <c r="CL6" s="972"/>
      <c r="CM6" s="972"/>
      <c r="CN6" s="972"/>
      <c r="CO6" s="972"/>
      <c r="CP6" s="972"/>
      <c r="CQ6" s="972"/>
      <c r="CR6" s="972"/>
      <c r="CS6" s="972"/>
      <c r="CT6" s="972"/>
      <c r="CU6" s="972"/>
      <c r="CV6" s="972"/>
      <c r="CW6" s="972"/>
      <c r="CX6" s="972"/>
      <c r="CY6" s="972"/>
      <c r="CZ6" s="972"/>
      <c r="DA6" s="972"/>
      <c r="DB6" s="972"/>
      <c r="DC6" s="972"/>
      <c r="DD6" s="972"/>
      <c r="DE6" s="972"/>
      <c r="DF6" s="972"/>
      <c r="DG6" s="972"/>
      <c r="DH6" s="972"/>
      <c r="DI6" s="972"/>
      <c r="DJ6" s="972"/>
      <c r="DK6" s="972"/>
      <c r="DL6" s="972"/>
      <c r="DM6" s="972"/>
      <c r="DN6" s="972"/>
      <c r="DO6" s="972"/>
      <c r="DP6" s="972"/>
      <c r="DQ6" s="972"/>
      <c r="DR6" s="972"/>
      <c r="DS6" s="972"/>
      <c r="DT6" s="972"/>
      <c r="DU6" s="972"/>
      <c r="DV6" s="972"/>
      <c r="DW6" s="972"/>
    </row>
    <row r="7" spans="1:127">
      <c r="A7" s="996" t="str">
        <f>Flags!A39</f>
        <v>Month of Year</v>
      </c>
      <c r="E7" s="98"/>
      <c r="G7" s="973">
        <f>Flags!G39</f>
        <v>6</v>
      </c>
      <c r="H7" s="973">
        <f>Flags!H39</f>
        <v>7</v>
      </c>
      <c r="I7" s="973">
        <f>Flags!I39</f>
        <v>8</v>
      </c>
      <c r="J7" s="973">
        <f>Flags!J39</f>
        <v>9</v>
      </c>
      <c r="K7" s="973">
        <f>Flags!K39</f>
        <v>10</v>
      </c>
      <c r="L7" s="973">
        <f>Flags!L39</f>
        <v>11</v>
      </c>
      <c r="M7" s="973">
        <f>Flags!M39</f>
        <v>12</v>
      </c>
      <c r="N7" s="973">
        <f>Flags!N39</f>
        <v>1</v>
      </c>
      <c r="O7" s="973">
        <f>Flags!O39</f>
        <v>2</v>
      </c>
      <c r="P7" s="973">
        <f>Flags!P39</f>
        <v>3</v>
      </c>
      <c r="Q7" s="973">
        <f>Flags!Q39</f>
        <v>4</v>
      </c>
      <c r="R7" s="973">
        <f>Flags!R39</f>
        <v>5</v>
      </c>
      <c r="S7" s="973">
        <f>Flags!S39</f>
        <v>6</v>
      </c>
      <c r="T7" s="973">
        <f>Flags!T39</f>
        <v>7</v>
      </c>
      <c r="U7" s="973">
        <f>Flags!U39</f>
        <v>8</v>
      </c>
      <c r="V7" s="973">
        <f>Flags!V39</f>
        <v>9</v>
      </c>
      <c r="W7" s="973">
        <f>Flags!W39</f>
        <v>10</v>
      </c>
      <c r="X7" s="973">
        <f>Flags!X39</f>
        <v>11</v>
      </c>
      <c r="Y7" s="973">
        <f>Flags!Y39</f>
        <v>12</v>
      </c>
      <c r="Z7" s="973">
        <f>Flags!Z39</f>
        <v>1</v>
      </c>
      <c r="AA7" s="973">
        <f>Flags!AA39</f>
        <v>2</v>
      </c>
      <c r="AB7" s="973">
        <f>Flags!AB39</f>
        <v>3</v>
      </c>
      <c r="AC7" s="973">
        <f>Flags!AC39</f>
        <v>4</v>
      </c>
      <c r="AD7" s="973">
        <f>Flags!AD39</f>
        <v>5</v>
      </c>
      <c r="AE7" s="973">
        <f>Flags!AE39</f>
        <v>6</v>
      </c>
      <c r="AF7" s="973">
        <f>Flags!AF39</f>
        <v>7</v>
      </c>
      <c r="AG7" s="973">
        <f>Flags!AG39</f>
        <v>8</v>
      </c>
      <c r="AH7" s="973">
        <f>Flags!AH39</f>
        <v>9</v>
      </c>
      <c r="AI7" s="973">
        <f>Flags!AI39</f>
        <v>10</v>
      </c>
      <c r="AJ7" s="973">
        <f>Flags!AJ39</f>
        <v>11</v>
      </c>
      <c r="AK7" s="996"/>
      <c r="AL7" s="1001"/>
      <c r="AM7" s="1001"/>
      <c r="AN7" s="1001"/>
      <c r="AO7" s="1001"/>
      <c r="AP7" s="1001"/>
      <c r="AQ7" s="1001"/>
      <c r="AR7" s="1001"/>
      <c r="AS7" s="1001"/>
      <c r="AT7" s="1001"/>
      <c r="AU7" s="1001"/>
      <c r="AV7" s="1001"/>
      <c r="AW7" s="1001"/>
      <c r="AX7" s="1001"/>
      <c r="AY7" s="1001"/>
      <c r="AZ7" s="1001"/>
      <c r="BA7" s="1001"/>
      <c r="BB7" s="1001"/>
      <c r="BC7" s="1001"/>
      <c r="BD7" s="1001"/>
      <c r="BE7" s="1001"/>
      <c r="BF7" s="1001"/>
      <c r="BG7" s="1001"/>
      <c r="BH7" s="1001"/>
      <c r="BI7" s="1001"/>
      <c r="BJ7" s="1001"/>
      <c r="BK7" s="1001"/>
      <c r="BL7" s="1001"/>
      <c r="BM7" s="1001"/>
      <c r="BN7" s="1001"/>
      <c r="BO7" s="1001"/>
      <c r="BP7" s="1001"/>
      <c r="BQ7" s="1001"/>
      <c r="BR7" s="1001"/>
      <c r="BS7" s="1001"/>
      <c r="BT7" s="1001"/>
      <c r="BU7" s="1001"/>
      <c r="BV7" s="1001"/>
      <c r="BW7" s="1001"/>
      <c r="BX7" s="1001"/>
      <c r="BY7" s="1001"/>
      <c r="BZ7" s="1001"/>
      <c r="CA7" s="1001"/>
      <c r="CB7" s="1001"/>
      <c r="CC7" s="1001"/>
      <c r="CD7" s="1001"/>
      <c r="CE7" s="1001"/>
      <c r="CF7" s="1001"/>
      <c r="CG7" s="1001"/>
      <c r="CH7" s="1001"/>
      <c r="CI7" s="1001"/>
      <c r="CJ7" s="1001"/>
      <c r="CK7" s="1001"/>
      <c r="CL7" s="1001"/>
      <c r="CM7" s="1001"/>
      <c r="CN7" s="1001"/>
      <c r="CO7" s="1001"/>
      <c r="CP7" s="1001"/>
      <c r="CQ7" s="1001"/>
      <c r="CR7" s="1001"/>
      <c r="CS7" s="1001"/>
      <c r="CT7" s="1001"/>
      <c r="CU7" s="1001"/>
      <c r="CV7" s="1001"/>
      <c r="CW7" s="1001"/>
      <c r="CX7" s="1001"/>
      <c r="CY7" s="1001"/>
      <c r="CZ7" s="1001"/>
      <c r="DA7" s="1001"/>
      <c r="DB7" s="1001"/>
      <c r="DC7" s="1001"/>
      <c r="DD7" s="1001"/>
      <c r="DE7" s="1001"/>
      <c r="DF7" s="1001"/>
      <c r="DG7" s="1001"/>
      <c r="DH7" s="1001"/>
      <c r="DI7" s="1001"/>
      <c r="DJ7" s="1001"/>
      <c r="DK7" s="1001"/>
      <c r="DL7" s="1001"/>
      <c r="DM7" s="1001"/>
      <c r="DN7" s="1001"/>
      <c r="DO7" s="1001"/>
      <c r="DP7" s="1001"/>
      <c r="DQ7" s="1001"/>
      <c r="DR7" s="1001"/>
      <c r="DS7" s="1001"/>
      <c r="DT7" s="1001"/>
      <c r="DU7" s="1001"/>
      <c r="DV7" s="1001"/>
      <c r="DW7" s="1001"/>
    </row>
    <row r="8" spans="1:127">
      <c r="A8" s="996" t="str">
        <f>Flags!A40</f>
        <v>Month of Construction</v>
      </c>
      <c r="E8" s="98"/>
      <c r="G8" s="1078">
        <f>Flags!G40</f>
        <v>1</v>
      </c>
      <c r="H8" s="1078">
        <f>Flags!H40</f>
        <v>2</v>
      </c>
      <c r="I8" s="1078">
        <f>Flags!I40</f>
        <v>3</v>
      </c>
      <c r="J8" s="1078">
        <f>Flags!J40</f>
        <v>4</v>
      </c>
      <c r="K8" s="1078">
        <f>Flags!K40</f>
        <v>5</v>
      </c>
      <c r="L8" s="1078">
        <f>Flags!L40</f>
        <v>6</v>
      </c>
      <c r="M8" s="1078">
        <f>Flags!M40</f>
        <v>7</v>
      </c>
      <c r="N8" s="1078">
        <f>Flags!N40</f>
        <v>8</v>
      </c>
      <c r="O8" s="1078">
        <f>Flags!O40</f>
        <v>9</v>
      </c>
      <c r="P8" s="1078">
        <f>Flags!P40</f>
        <v>10</v>
      </c>
      <c r="Q8" s="1078">
        <f>Flags!Q40</f>
        <v>11</v>
      </c>
      <c r="R8" s="1078">
        <f>Flags!R40</f>
        <v>12</v>
      </c>
      <c r="S8" s="1078">
        <f>Flags!S40</f>
        <v>13</v>
      </c>
      <c r="T8" s="1078">
        <f>Flags!T40</f>
        <v>14</v>
      </c>
      <c r="U8" s="1078">
        <f>Flags!U40</f>
        <v>15</v>
      </c>
      <c r="V8" s="1078">
        <f>Flags!V40</f>
        <v>16</v>
      </c>
      <c r="W8" s="1078">
        <f>Flags!W40</f>
        <v>17</v>
      </c>
      <c r="X8" s="1078">
        <f>Flags!X40</f>
        <v>18</v>
      </c>
      <c r="Y8" s="1078">
        <f>Flags!Y40</f>
        <v>19</v>
      </c>
      <c r="Z8" s="1078">
        <f>Flags!Z40</f>
        <v>20</v>
      </c>
      <c r="AA8" s="1078">
        <f>Flags!AA40</f>
        <v>21</v>
      </c>
      <c r="AB8" s="1078">
        <f>Flags!AB40</f>
        <v>22</v>
      </c>
      <c r="AC8" s="1078">
        <f>Flags!AC40</f>
        <v>23</v>
      </c>
      <c r="AD8" s="1078">
        <f>Flags!AD40</f>
        <v>24</v>
      </c>
      <c r="AE8" s="1078">
        <f>Flags!AE40</f>
        <v>25</v>
      </c>
      <c r="AF8" s="1078">
        <f>Flags!AF40</f>
        <v>26</v>
      </c>
      <c r="AG8" s="1078">
        <f>Flags!AG40</f>
        <v>27</v>
      </c>
      <c r="AH8" s="1078">
        <f>Flags!AH40</f>
        <v>28</v>
      </c>
      <c r="AI8" s="1078">
        <f>Flags!AI40</f>
        <v>29</v>
      </c>
      <c r="AJ8" s="1078">
        <f>Flags!AJ40</f>
        <v>30</v>
      </c>
      <c r="AK8" s="996"/>
      <c r="AL8" s="1002"/>
      <c r="AM8" s="1002"/>
      <c r="AN8" s="1002"/>
      <c r="AO8" s="1002"/>
      <c r="AP8" s="1002"/>
      <c r="AQ8" s="1002"/>
      <c r="AR8" s="1002"/>
      <c r="AS8" s="1002"/>
      <c r="AT8" s="1002"/>
      <c r="AU8" s="1002"/>
      <c r="AV8" s="1002"/>
      <c r="AW8" s="1002"/>
      <c r="AX8" s="1002"/>
      <c r="AY8" s="1002"/>
      <c r="AZ8" s="1002"/>
      <c r="BA8" s="1002"/>
      <c r="BB8" s="1002"/>
      <c r="BC8" s="1002"/>
      <c r="BD8" s="1002"/>
      <c r="BE8" s="1002"/>
      <c r="BF8" s="1002"/>
      <c r="BG8" s="1002"/>
      <c r="BH8" s="1002"/>
      <c r="BI8" s="1002"/>
      <c r="BJ8" s="1002"/>
      <c r="BK8" s="1002"/>
      <c r="BL8" s="1002"/>
      <c r="BM8" s="1002"/>
      <c r="BN8" s="1002"/>
      <c r="BO8" s="1002"/>
      <c r="BP8" s="1002"/>
      <c r="BQ8" s="1002"/>
      <c r="BR8" s="1002"/>
      <c r="BS8" s="1002"/>
      <c r="BT8" s="1002"/>
      <c r="BU8" s="1002"/>
      <c r="BV8" s="1002"/>
      <c r="BW8" s="1002"/>
      <c r="BX8" s="1002"/>
      <c r="BY8" s="1002"/>
      <c r="BZ8" s="1002"/>
      <c r="CA8" s="1002"/>
      <c r="CB8" s="1002"/>
      <c r="CC8" s="1002"/>
      <c r="CD8" s="1002"/>
      <c r="CE8" s="1002"/>
      <c r="CF8" s="1002"/>
      <c r="CG8" s="1002"/>
      <c r="CH8" s="1002"/>
      <c r="CI8" s="1002"/>
      <c r="CJ8" s="1002"/>
      <c r="CK8" s="1002"/>
      <c r="CL8" s="1002"/>
      <c r="CM8" s="1002"/>
      <c r="CN8" s="1002"/>
      <c r="CO8" s="1002"/>
      <c r="CP8" s="1002"/>
      <c r="CQ8" s="1002"/>
      <c r="CR8" s="1002"/>
      <c r="CS8" s="1002"/>
      <c r="CT8" s="1002"/>
      <c r="CU8" s="1002"/>
      <c r="CV8" s="1002"/>
      <c r="CW8" s="1002"/>
      <c r="CX8" s="1002"/>
      <c r="CY8" s="1002"/>
      <c r="CZ8" s="1002"/>
      <c r="DA8" s="1002"/>
      <c r="DB8" s="1002"/>
      <c r="DC8" s="1002"/>
      <c r="DD8" s="1002"/>
      <c r="DE8" s="1002"/>
      <c r="DF8" s="1002"/>
      <c r="DG8" s="1002"/>
      <c r="DH8" s="1002"/>
      <c r="DI8" s="1002"/>
      <c r="DJ8" s="1002"/>
      <c r="DK8" s="1002"/>
      <c r="DL8" s="1002"/>
      <c r="DM8" s="1002"/>
      <c r="DN8" s="1002"/>
      <c r="DO8" s="1002"/>
      <c r="DP8" s="1002"/>
      <c r="DQ8" s="1002"/>
      <c r="DR8" s="1002"/>
      <c r="DS8" s="1002"/>
      <c r="DT8" s="1002"/>
      <c r="DU8" s="1002"/>
      <c r="DV8" s="1002"/>
      <c r="DW8" s="1002"/>
    </row>
    <row r="10" spans="1:127">
      <c r="A10" s="649" t="s">
        <v>1318</v>
      </c>
      <c r="B10" s="650"/>
      <c r="C10" s="650"/>
      <c r="D10" s="650"/>
      <c r="E10" s="651">
        <f ca="1">ABS(H11-G11)+ABS(H12-G12)+ABS(D18-D17)+ABS(H13-G13)+ABS(H14-G14)</f>
        <v>1.7251319353704275E-2</v>
      </c>
      <c r="F10" s="650"/>
      <c r="G10" s="650"/>
      <c r="H10" s="650"/>
    </row>
    <row r="11" spans="1:127">
      <c r="A11" s="304" t="str">
        <f>IDC!A55</f>
        <v>Akuo Carbon Fund IDCs</v>
      </c>
      <c r="F11" s="304"/>
      <c r="G11" s="811">
        <f ca="1">SUM(IDC!H55:AD55)</f>
        <v>0</v>
      </c>
      <c r="H11" s="271">
        <v>0</v>
      </c>
    </row>
    <row r="12" spans="1:127">
      <c r="A12" s="304" t="str">
        <f>IDC!A56</f>
        <v>Akuo Carbon Fund Commitment Fees</v>
      </c>
      <c r="F12" s="304"/>
      <c r="G12" s="811">
        <f ca="1">SUM(IDC!H56:AD56)</f>
        <v>0</v>
      </c>
      <c r="H12" s="271">
        <v>0</v>
      </c>
    </row>
    <row r="13" spans="1:127">
      <c r="A13" s="304" t="str">
        <f>IDC!A57</f>
        <v>Senior Debt IDCs</v>
      </c>
      <c r="F13" s="304"/>
      <c r="G13" s="811">
        <f ca="1">SUM(IDC!H57:AD57)</f>
        <v>1086.0173545553957</v>
      </c>
      <c r="H13" s="271">
        <v>1086.031998482634</v>
      </c>
    </row>
    <row r="14" spans="1:127">
      <c r="A14" s="304" t="str">
        <f>IDC!A58</f>
        <v>Senior Debt Commitment Fees</v>
      </c>
      <c r="F14" s="304"/>
      <c r="G14" s="811">
        <f ca="1">SUM(IDC!H58:AD58)</f>
        <v>188.565507947101</v>
      </c>
      <c r="H14" s="271">
        <v>188.56290055498553</v>
      </c>
    </row>
    <row r="15" spans="1:127">
      <c r="A15" s="304"/>
    </row>
    <row r="16" spans="1:127">
      <c r="A16" s="649" t="s">
        <v>1005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0"/>
      <c r="Q16" s="650"/>
      <c r="R16" s="650"/>
      <c r="S16" s="650"/>
      <c r="T16" s="650"/>
      <c r="U16" s="650"/>
      <c r="V16" s="650"/>
      <c r="W16" s="650"/>
      <c r="X16" s="650"/>
      <c r="Y16" s="650"/>
      <c r="Z16" s="650"/>
      <c r="AA16" s="650"/>
      <c r="AB16" s="650"/>
      <c r="AC16" s="650"/>
      <c r="AD16" s="650"/>
      <c r="AE16" s="650"/>
      <c r="AF16" s="650"/>
      <c r="AG16" s="650"/>
      <c r="AH16" s="650"/>
      <c r="AI16" s="650"/>
      <c r="AJ16" s="650"/>
    </row>
    <row r="17" spans="1:127">
      <c r="A17" s="304" t="s">
        <v>1319</v>
      </c>
      <c r="D17" s="459">
        <f ca="1">SUM(G17:AK17)</f>
        <v>0</v>
      </c>
      <c r="E17" s="459"/>
      <c r="G17" s="990">
        <f ca="1">SUM(IDC!G72:G73)</f>
        <v>0</v>
      </c>
      <c r="H17" s="990">
        <f ca="1">SUM(IDC!H72:H73)</f>
        <v>0</v>
      </c>
      <c r="I17" s="990">
        <f ca="1">SUM(IDC!I72:I73)</f>
        <v>0</v>
      </c>
      <c r="J17" s="990">
        <f ca="1">SUM(IDC!J72:J73)</f>
        <v>0</v>
      </c>
      <c r="K17" s="990">
        <f ca="1">SUM(IDC!K72:K73)</f>
        <v>0</v>
      </c>
      <c r="L17" s="990">
        <f ca="1">SUM(IDC!L72:L73)</f>
        <v>0</v>
      </c>
      <c r="M17" s="990">
        <f ca="1">SUM(IDC!M72:M73)</f>
        <v>0</v>
      </c>
      <c r="N17" s="990">
        <f ca="1">SUM(IDC!N72:N73)</f>
        <v>0</v>
      </c>
      <c r="O17" s="990">
        <f ca="1">SUM(IDC!O72:O73)</f>
        <v>0</v>
      </c>
      <c r="P17" s="990">
        <f ca="1">SUM(IDC!P72:P73)</f>
        <v>0</v>
      </c>
      <c r="Q17" s="990">
        <f ca="1">SUM(IDC!Q72:Q73)</f>
        <v>0</v>
      </c>
      <c r="R17" s="990">
        <f ca="1">SUM(IDC!R72:R73)</f>
        <v>0</v>
      </c>
      <c r="S17" s="990">
        <f ca="1">SUM(IDC!S72:S73)</f>
        <v>0</v>
      </c>
      <c r="T17" s="990">
        <f ca="1">SUM(IDC!T72:T73)</f>
        <v>0</v>
      </c>
      <c r="U17" s="990">
        <f ca="1">SUM(IDC!U72:U73)</f>
        <v>0</v>
      </c>
      <c r="V17" s="990">
        <f ca="1">SUM(IDC!V72:V73)</f>
        <v>0</v>
      </c>
      <c r="W17" s="990">
        <f ca="1">SUM(IDC!W72:W73)</f>
        <v>0</v>
      </c>
      <c r="X17" s="990">
        <f ca="1">SUM(IDC!X72:X73)</f>
        <v>0</v>
      </c>
      <c r="Y17" s="990">
        <f ca="1">SUM(IDC!Y72:Y73)</f>
        <v>0</v>
      </c>
      <c r="Z17" s="990">
        <f ca="1">SUM(IDC!Z72:Z73)</f>
        <v>0</v>
      </c>
      <c r="AA17" s="990">
        <f ca="1">SUM(IDC!AA72:AA73)</f>
        <v>0</v>
      </c>
      <c r="AB17" s="990">
        <f ca="1">SUM(IDC!AB72:AB73)</f>
        <v>0</v>
      </c>
      <c r="AC17" s="990">
        <f ca="1">SUM(IDC!AC72:AC73)</f>
        <v>0</v>
      </c>
      <c r="AD17" s="990">
        <f ca="1">SUM(IDC!AD72:AD73)</f>
        <v>0</v>
      </c>
      <c r="AE17" s="990">
        <f ca="1">SUM(IDC!AE72:AE73)</f>
        <v>0</v>
      </c>
      <c r="AF17" s="990">
        <f ca="1">SUM(IDC!AF72:AF73)</f>
        <v>0</v>
      </c>
      <c r="AG17" s="990">
        <f ca="1">SUM(IDC!AG72:AG73)</f>
        <v>0</v>
      </c>
      <c r="AH17" s="990">
        <f ca="1">SUM(IDC!AH72:AH73)</f>
        <v>0</v>
      </c>
      <c r="AI17" s="990">
        <f ca="1">SUM(IDC!AI72:AI73)</f>
        <v>0</v>
      </c>
      <c r="AJ17" s="990">
        <f ca="1">SUM(IDC!AJ72:AJ73)</f>
        <v>0</v>
      </c>
      <c r="AK17" s="810"/>
      <c r="AL17" s="547"/>
      <c r="AM17" s="547"/>
      <c r="AN17" s="547"/>
      <c r="AO17" s="547"/>
      <c r="AP17" s="547"/>
      <c r="AQ17" s="547"/>
      <c r="AR17" s="547"/>
      <c r="AS17" s="547"/>
      <c r="AT17" s="547"/>
      <c r="AU17" s="547"/>
      <c r="AV17" s="547"/>
      <c r="AW17" s="547"/>
      <c r="AX17" s="547"/>
      <c r="AY17" s="547"/>
      <c r="AZ17" s="547"/>
      <c r="BA17" s="547"/>
      <c r="BB17" s="547"/>
      <c r="BC17" s="547"/>
      <c r="BD17" s="547"/>
      <c r="BE17" s="547"/>
      <c r="BF17" s="547"/>
      <c r="BG17" s="547"/>
      <c r="BH17" s="547"/>
      <c r="BI17" s="547"/>
      <c r="BJ17" s="547"/>
      <c r="BK17" s="547"/>
      <c r="BL17" s="547"/>
      <c r="BM17" s="547"/>
      <c r="BN17" s="547"/>
      <c r="BO17" s="547"/>
      <c r="BP17" s="547"/>
      <c r="BQ17" s="547"/>
      <c r="BR17" s="547"/>
      <c r="BS17" s="547"/>
      <c r="BT17" s="547"/>
      <c r="BU17" s="547"/>
      <c r="BV17" s="547"/>
      <c r="BW17" s="547"/>
      <c r="BX17" s="547"/>
      <c r="BY17" s="547"/>
      <c r="BZ17" s="547"/>
      <c r="CA17" s="547"/>
      <c r="CB17" s="547"/>
      <c r="CC17" s="547"/>
      <c r="CD17" s="547"/>
      <c r="CE17" s="547"/>
      <c r="CF17" s="547"/>
      <c r="CG17" s="547"/>
      <c r="CH17" s="547"/>
      <c r="CI17" s="547"/>
      <c r="CJ17" s="547"/>
      <c r="CK17" s="547"/>
      <c r="CL17" s="547"/>
      <c r="CM17" s="547"/>
      <c r="CN17" s="547"/>
      <c r="CO17" s="547"/>
      <c r="CP17" s="547"/>
      <c r="CQ17" s="547"/>
      <c r="CR17" s="547"/>
      <c r="CS17" s="547"/>
      <c r="CT17" s="547"/>
      <c r="CU17" s="547"/>
      <c r="CV17" s="547"/>
      <c r="CW17" s="547"/>
      <c r="CX17" s="547"/>
      <c r="CY17" s="547"/>
      <c r="CZ17" s="547"/>
      <c r="DA17" s="547"/>
      <c r="DB17" s="547"/>
      <c r="DC17" s="547"/>
      <c r="DD17" s="547"/>
      <c r="DE17" s="547"/>
      <c r="DF17" s="547"/>
      <c r="DG17" s="547"/>
      <c r="DH17" s="547"/>
      <c r="DI17" s="547"/>
      <c r="DJ17" s="547"/>
      <c r="DK17" s="547"/>
      <c r="DL17" s="547"/>
      <c r="DM17" s="547"/>
      <c r="DN17" s="547"/>
      <c r="DO17" s="547"/>
      <c r="DP17" s="547"/>
      <c r="DQ17" s="547"/>
      <c r="DR17" s="547"/>
      <c r="DS17" s="547"/>
      <c r="DT17" s="547"/>
      <c r="DU17" s="547"/>
      <c r="DV17" s="547"/>
      <c r="DW17" s="547"/>
    </row>
    <row r="18" spans="1:127">
      <c r="A18" s="304" t="s">
        <v>1320</v>
      </c>
      <c r="D18" s="459">
        <f>SUM(G18:AK18)</f>
        <v>0</v>
      </c>
      <c r="E18" s="459"/>
      <c r="G18" s="271">
        <v>0</v>
      </c>
      <c r="H18" s="271">
        <v>0</v>
      </c>
      <c r="I18" s="271">
        <v>0</v>
      </c>
      <c r="J18" s="271">
        <v>0</v>
      </c>
      <c r="K18" s="271">
        <v>0</v>
      </c>
      <c r="L18" s="271">
        <v>0</v>
      </c>
      <c r="M18" s="271">
        <v>0</v>
      </c>
      <c r="N18" s="271">
        <v>0</v>
      </c>
      <c r="O18" s="271">
        <v>0</v>
      </c>
      <c r="P18" s="271">
        <v>0</v>
      </c>
      <c r="Q18" s="271">
        <v>0</v>
      </c>
      <c r="R18" s="271">
        <v>0</v>
      </c>
      <c r="S18" s="271">
        <v>0</v>
      </c>
      <c r="T18" s="271">
        <v>0</v>
      </c>
      <c r="U18" s="271">
        <v>0</v>
      </c>
      <c r="V18" s="271">
        <v>0</v>
      </c>
      <c r="W18" s="271">
        <v>0</v>
      </c>
      <c r="X18" s="271">
        <v>0</v>
      </c>
      <c r="Y18" s="271">
        <v>0</v>
      </c>
      <c r="Z18" s="271">
        <v>0</v>
      </c>
      <c r="AA18" s="271">
        <v>0</v>
      </c>
      <c r="AB18" s="271">
        <v>0</v>
      </c>
      <c r="AC18" s="271">
        <v>0</v>
      </c>
      <c r="AD18" s="271">
        <v>0</v>
      </c>
      <c r="AE18" s="271">
        <v>0</v>
      </c>
      <c r="AF18" s="271">
        <v>0</v>
      </c>
      <c r="AG18" s="271">
        <v>0</v>
      </c>
      <c r="AH18" s="271">
        <v>0</v>
      </c>
      <c r="AI18" s="271">
        <v>0</v>
      </c>
      <c r="AJ18" s="271">
        <v>0</v>
      </c>
      <c r="AK18" s="920"/>
      <c r="AL18" s="920"/>
      <c r="AM18" s="920"/>
      <c r="AN18" s="920"/>
      <c r="AO18" s="920"/>
      <c r="AP18" s="920"/>
      <c r="AQ18" s="920"/>
      <c r="AR18" s="920"/>
      <c r="AS18" s="920"/>
      <c r="AT18" s="920"/>
      <c r="AU18" s="920"/>
      <c r="AV18" s="920"/>
      <c r="AW18" s="920"/>
      <c r="AX18" s="920"/>
      <c r="AY18" s="920"/>
      <c r="AZ18" s="920"/>
      <c r="BA18" s="920"/>
      <c r="BB18" s="920"/>
      <c r="BC18" s="920"/>
      <c r="BD18" s="920"/>
      <c r="BE18" s="920"/>
      <c r="BF18" s="920"/>
      <c r="BG18" s="920"/>
      <c r="BH18" s="920"/>
      <c r="BI18" s="920"/>
      <c r="BJ18" s="920"/>
      <c r="BK18" s="920"/>
      <c r="BL18" s="920"/>
      <c r="BM18" s="920"/>
      <c r="BN18" s="920"/>
      <c r="BO18" s="920"/>
      <c r="BP18" s="920"/>
      <c r="BQ18" s="920"/>
      <c r="BR18" s="920"/>
      <c r="BS18" s="920"/>
      <c r="BT18" s="920"/>
      <c r="BU18" s="920"/>
      <c r="BV18" s="920"/>
      <c r="BW18" s="920"/>
      <c r="BX18" s="920"/>
      <c r="BY18" s="920"/>
      <c r="BZ18" s="920"/>
      <c r="CA18" s="920"/>
      <c r="CB18" s="920"/>
      <c r="CC18" s="920"/>
      <c r="CD18" s="920"/>
      <c r="CE18" s="920"/>
      <c r="CF18" s="920"/>
      <c r="CG18" s="920"/>
      <c r="CH18" s="920"/>
      <c r="CI18" s="920"/>
      <c r="CJ18" s="920"/>
      <c r="CK18" s="920"/>
      <c r="CL18" s="920"/>
      <c r="CM18" s="920"/>
      <c r="CN18" s="920"/>
      <c r="CO18" s="920"/>
      <c r="CP18" s="920"/>
      <c r="CQ18" s="920"/>
      <c r="CR18" s="920"/>
      <c r="CS18" s="920"/>
      <c r="CT18" s="920"/>
      <c r="CU18" s="920"/>
      <c r="CV18" s="920"/>
      <c r="CW18" s="920"/>
      <c r="CX18" s="920"/>
      <c r="CY18" s="920"/>
      <c r="CZ18" s="920"/>
      <c r="DA18" s="920"/>
      <c r="DB18" s="920"/>
      <c r="DC18" s="920"/>
      <c r="DD18" s="920"/>
      <c r="DE18" s="920"/>
      <c r="DF18" s="920"/>
      <c r="DG18" s="920"/>
      <c r="DH18" s="920"/>
      <c r="DI18" s="920"/>
      <c r="DJ18" s="920"/>
      <c r="DK18" s="920"/>
      <c r="DL18" s="920"/>
      <c r="DM18" s="920"/>
      <c r="DN18" s="920"/>
      <c r="DO18" s="920"/>
      <c r="DP18" s="920"/>
      <c r="DQ18" s="920"/>
      <c r="DR18" s="920"/>
      <c r="DS18" s="920"/>
      <c r="DT18" s="920"/>
      <c r="DU18" s="920"/>
      <c r="DV18" s="920"/>
      <c r="DW18" s="920"/>
    </row>
    <row r="20" spans="1:127">
      <c r="A20" s="649" t="s">
        <v>1321</v>
      </c>
      <c r="B20" s="650"/>
      <c r="C20" s="650"/>
      <c r="D20" s="650"/>
      <c r="E20" s="650"/>
      <c r="F20" s="650"/>
      <c r="G20" s="650"/>
      <c r="H20" s="650"/>
    </row>
    <row r="21" spans="1:127">
      <c r="A21" s="652" t="str">
        <f>Inputs!A216</f>
        <v>Senior Front End Fee</v>
      </c>
      <c r="E21" s="921">
        <f ca="1">ABS(G21-H21)+ABS(G22-H22)</f>
        <v>0</v>
      </c>
      <c r="G21" s="1064">
        <f ca="1">Inputs!D217*Inputs!D188</f>
        <v>477.30268707562993</v>
      </c>
      <c r="H21" s="271">
        <v>477.30268707562993</v>
      </c>
    </row>
    <row r="22" spans="1:127">
      <c r="A22" s="652"/>
      <c r="E22" s="921"/>
      <c r="G22" s="1064">
        <f ca="1">Inputs!D218*Inputs!D188</f>
        <v>0</v>
      </c>
      <c r="H22" s="271">
        <v>0</v>
      </c>
    </row>
    <row r="23" spans="1:127">
      <c r="A23" s="652" t="str">
        <f>Inputs!A266</f>
        <v>Junior Front End Fee</v>
      </c>
      <c r="E23" s="921">
        <f ca="1">ABS(G23-H23)</f>
        <v>0</v>
      </c>
      <c r="G23" s="1065">
        <f ca="1">Inputs!C266*Inputs!D255</f>
        <v>0</v>
      </c>
      <c r="H23" s="271">
        <v>0</v>
      </c>
    </row>
    <row r="24" spans="1:127">
      <c r="A24" s="652" t="str">
        <f>Inputs!A344</f>
        <v>DSRA</v>
      </c>
      <c r="E24" s="98">
        <f ca="1">ABS(H24-G24)</f>
        <v>0</v>
      </c>
      <c r="G24" s="1064">
        <f ca="1">LOOKUP(Inputs!I347,Inputs!A346:A349,Inputs!D346:D349)</f>
        <v>0</v>
      </c>
      <c r="H24" s="271">
        <v>0</v>
      </c>
    </row>
    <row r="25" spans="1:127">
      <c r="A25" s="652" t="str">
        <f>Inputs!A351</f>
        <v>J-DSRA</v>
      </c>
      <c r="E25" s="98">
        <f ca="1">ABS(H25-G25)</f>
        <v>0</v>
      </c>
      <c r="G25" s="1064">
        <f ca="1">IFERROR(LOOKUP(Inputs!I354,Inputs!A353:A356,Inputs!D353:D356),0)</f>
        <v>0</v>
      </c>
      <c r="H25" s="271">
        <v>0</v>
      </c>
    </row>
    <row r="26" spans="1:127">
      <c r="E26" s="922"/>
    </row>
    <row r="27" spans="1:127">
      <c r="A27" s="652" t="s">
        <v>1322</v>
      </c>
      <c r="E27" s="98">
        <f ca="1">ABS(H27-G27)</f>
        <v>0</v>
      </c>
      <c r="G27" s="1064">
        <f ca="1">Inputs!D250*Inputs!D238</f>
        <v>0</v>
      </c>
      <c r="H27" s="271">
        <v>0</v>
      </c>
    </row>
    <row r="28" spans="1:127">
      <c r="A28" s="652" t="s">
        <v>1323</v>
      </c>
      <c r="E28" s="98">
        <f ca="1">ABS(H28-G28)</f>
        <v>0</v>
      </c>
      <c r="G28" s="1064">
        <f ca="1">Inputs!D325</f>
        <v>14620.773894815633</v>
      </c>
      <c r="H28" s="271">
        <v>14620.773894815633</v>
      </c>
    </row>
    <row r="29" spans="1:127">
      <c r="A29" s="998"/>
      <c r="E29" s="98"/>
      <c r="G29" s="1002"/>
      <c r="H29" s="1002"/>
      <c r="I29" s="1002"/>
      <c r="J29" s="1002"/>
      <c r="K29" s="1002"/>
      <c r="L29" s="1002"/>
      <c r="M29" s="1002"/>
      <c r="N29" s="1002"/>
      <c r="O29" s="1002"/>
      <c r="P29" s="1002"/>
      <c r="Q29" s="1002"/>
      <c r="R29" s="1002"/>
      <c r="S29" s="1002"/>
      <c r="T29" s="1002"/>
      <c r="U29" s="1002"/>
      <c r="V29" s="1002"/>
      <c r="W29" s="1002"/>
      <c r="X29" s="1002"/>
      <c r="Y29" s="1002"/>
      <c r="Z29" s="1002"/>
      <c r="AA29" s="1002"/>
      <c r="AB29" s="1002"/>
      <c r="AC29" s="1002"/>
      <c r="AD29" s="1002"/>
      <c r="AE29" s="1002"/>
      <c r="AF29" s="1002"/>
      <c r="AG29" s="1002"/>
      <c r="AH29" s="1002"/>
      <c r="AI29" s="1002"/>
      <c r="AJ29" s="1002"/>
      <c r="AK29" s="1002"/>
      <c r="AL29" s="1002"/>
      <c r="AM29" s="1002"/>
      <c r="AN29" s="1002"/>
      <c r="AO29" s="1002"/>
      <c r="AP29" s="1002"/>
      <c r="AQ29" s="1002"/>
      <c r="AR29" s="1002"/>
      <c r="AS29" s="1002"/>
      <c r="AT29" s="1002"/>
      <c r="AU29" s="1002"/>
      <c r="AV29" s="1002"/>
      <c r="AW29" s="1002"/>
      <c r="AX29" s="1002"/>
      <c r="AY29" s="1002"/>
      <c r="AZ29" s="1002"/>
      <c r="BA29" s="1002"/>
      <c r="BB29" s="1002"/>
      <c r="BC29" s="1002"/>
      <c r="BD29" s="1002"/>
      <c r="BE29" s="1002"/>
      <c r="BF29" s="1002"/>
      <c r="BG29" s="1002"/>
      <c r="BH29" s="1002"/>
      <c r="BI29" s="1002"/>
      <c r="BJ29" s="1002"/>
      <c r="BK29" s="1002"/>
      <c r="BL29" s="1002"/>
      <c r="BM29" s="1002"/>
      <c r="BN29" s="1002"/>
      <c r="BO29" s="1002"/>
      <c r="BP29" s="1002"/>
      <c r="BQ29" s="1002"/>
      <c r="BR29" s="1002"/>
      <c r="BS29" s="1002"/>
      <c r="BT29" s="1002"/>
      <c r="BU29" s="1002"/>
      <c r="BV29" s="1002"/>
      <c r="BW29" s="1002"/>
      <c r="BX29" s="1002"/>
      <c r="BY29" s="1002"/>
      <c r="BZ29" s="1002"/>
      <c r="CA29" s="1002"/>
      <c r="CB29" s="1002"/>
      <c r="CC29" s="1002"/>
      <c r="CD29" s="1002"/>
      <c r="CE29" s="1002"/>
      <c r="CF29" s="1002"/>
      <c r="CG29" s="1002"/>
      <c r="CH29" s="1002"/>
      <c r="CI29" s="1002"/>
      <c r="CJ29" s="1002"/>
      <c r="CK29" s="1002"/>
      <c r="CL29" s="1002"/>
      <c r="CM29" s="1002"/>
      <c r="CN29" s="1002"/>
      <c r="CO29" s="1002"/>
      <c r="CP29" s="1002"/>
      <c r="CQ29" s="1002"/>
      <c r="CR29" s="1002"/>
      <c r="CS29" s="1002"/>
      <c r="CT29" s="1002"/>
      <c r="CU29" s="1002"/>
      <c r="CV29" s="1002"/>
      <c r="CW29" s="1002"/>
      <c r="CX29" s="1002"/>
      <c r="CY29" s="1002"/>
      <c r="CZ29" s="1002"/>
      <c r="DA29" s="1002"/>
      <c r="DB29" s="1002"/>
      <c r="DC29" s="1002"/>
      <c r="DD29" s="1002"/>
      <c r="DE29" s="1002"/>
      <c r="DF29" s="1002"/>
      <c r="DG29" s="1002"/>
      <c r="DH29" s="1002"/>
      <c r="DI29" s="1002"/>
      <c r="DJ29" s="1002"/>
      <c r="DK29" s="1002"/>
      <c r="DL29" s="1002"/>
      <c r="DM29" s="1002"/>
      <c r="DN29" s="1002"/>
      <c r="DO29" s="1002"/>
      <c r="DP29" s="1002"/>
      <c r="DQ29" s="1002"/>
      <c r="DR29" s="1002"/>
      <c r="DS29" s="1002"/>
      <c r="DT29" s="1002"/>
      <c r="DU29" s="1002"/>
      <c r="DV29" s="1002"/>
      <c r="DW29" s="1002"/>
    </row>
    <row r="30" spans="1:127">
      <c r="A30" s="861" t="s">
        <v>1324</v>
      </c>
      <c r="B30" s="864"/>
      <c r="C30" s="864"/>
      <c r="D30" s="864"/>
      <c r="E30" s="864"/>
      <c r="F30" s="863"/>
    </row>
    <row r="31" spans="1:127">
      <c r="A31" s="996" t="s">
        <v>1108</v>
      </c>
      <c r="E31" s="98"/>
      <c r="G31" s="1066">
        <f>Flags!G5</f>
        <v>47298</v>
      </c>
      <c r="H31" s="1066">
        <f>Flags!H5</f>
        <v>47665</v>
      </c>
      <c r="I31" s="1066">
        <f>Flags!I5</f>
        <v>47849</v>
      </c>
      <c r="J31" s="1066">
        <f>Flags!J5</f>
        <v>48030</v>
      </c>
      <c r="K31" s="1066">
        <f>Flags!K5</f>
        <v>48214</v>
      </c>
      <c r="L31" s="1066">
        <f>Flags!L5</f>
        <v>48396</v>
      </c>
      <c r="M31" s="1066">
        <f>Flags!M5</f>
        <v>48580</v>
      </c>
      <c r="N31" s="1066">
        <f>Flags!N5</f>
        <v>48761</v>
      </c>
      <c r="O31" s="1066">
        <f>Flags!O5</f>
        <v>48945</v>
      </c>
      <c r="P31" s="1066">
        <f>Flags!P5</f>
        <v>49126</v>
      </c>
      <c r="Q31" s="1066">
        <f>Flags!Q5</f>
        <v>49310</v>
      </c>
      <c r="R31" s="1066">
        <f>Flags!R5</f>
        <v>49491</v>
      </c>
      <c r="S31" s="1066">
        <f>Flags!S5</f>
        <v>49675</v>
      </c>
      <c r="T31" s="1066">
        <f>Flags!T5</f>
        <v>49857</v>
      </c>
      <c r="U31" s="1066">
        <f>Flags!U5</f>
        <v>50041</v>
      </c>
      <c r="V31" s="1066">
        <f>Flags!V5</f>
        <v>50222</v>
      </c>
      <c r="W31" s="1066">
        <f>Flags!W5</f>
        <v>50406</v>
      </c>
      <c r="X31" s="1066">
        <f>Flags!X5</f>
        <v>50587</v>
      </c>
      <c r="Y31" s="1066">
        <f>Flags!Y5</f>
        <v>50771</v>
      </c>
      <c r="Z31" s="1066">
        <f>Flags!Z5</f>
        <v>50952</v>
      </c>
      <c r="AA31" s="1066">
        <f>Flags!AA5</f>
        <v>51136</v>
      </c>
      <c r="AB31" s="1066">
        <f>Flags!AB5</f>
        <v>51318</v>
      </c>
      <c r="AC31" s="1066">
        <f>Flags!AC5</f>
        <v>51502</v>
      </c>
      <c r="AD31" s="1066">
        <f>Flags!AD5</f>
        <v>51683</v>
      </c>
      <c r="AE31" s="1066">
        <f>Flags!AE5</f>
        <v>51867</v>
      </c>
      <c r="AF31" s="1066">
        <f>Flags!AF5</f>
        <v>52048</v>
      </c>
      <c r="AG31" s="1066">
        <f>Flags!AG5</f>
        <v>52232</v>
      </c>
      <c r="AH31" s="1066">
        <f>Flags!AH5</f>
        <v>52413</v>
      </c>
      <c r="AI31" s="1066">
        <f>Flags!AI5</f>
        <v>52597</v>
      </c>
      <c r="AJ31" s="1066">
        <f>Flags!AJ5</f>
        <v>52779</v>
      </c>
      <c r="AK31" s="1066">
        <f>Flags!AK5</f>
        <v>52963</v>
      </c>
      <c r="AL31" s="1066">
        <f>Flags!AL5</f>
        <v>53144</v>
      </c>
      <c r="AM31" s="1066">
        <f>Flags!AM5</f>
        <v>53328</v>
      </c>
      <c r="AN31" s="1066">
        <f>Flags!AN5</f>
        <v>53509</v>
      </c>
      <c r="AO31" s="1066">
        <f>Flags!AO5</f>
        <v>53693</v>
      </c>
      <c r="AP31" s="1066">
        <f>Flags!AP5</f>
        <v>53874</v>
      </c>
      <c r="AQ31" s="1066">
        <f>Flags!AQ5</f>
        <v>54058</v>
      </c>
      <c r="AR31" s="1066">
        <f>Flags!AR5</f>
        <v>54240</v>
      </c>
      <c r="AS31" s="1066">
        <f>Flags!AS5</f>
        <v>54424</v>
      </c>
      <c r="AT31" s="1066">
        <f>Flags!AT5</f>
        <v>54605</v>
      </c>
      <c r="AU31" s="1066">
        <f>Flags!AU5</f>
        <v>54789</v>
      </c>
      <c r="AV31" s="1066">
        <f>Flags!AV5</f>
        <v>54970</v>
      </c>
      <c r="AW31" s="1066">
        <f>Flags!AW5</f>
        <v>55154</v>
      </c>
      <c r="AX31" s="1066">
        <f>Flags!AX5</f>
        <v>55335</v>
      </c>
      <c r="AY31" s="1066">
        <f>Flags!AY5</f>
        <v>55519</v>
      </c>
      <c r="AZ31" s="1066">
        <f>Flags!AZ5</f>
        <v>55701</v>
      </c>
      <c r="BA31" s="1066">
        <f>Flags!BA5</f>
        <v>55885</v>
      </c>
      <c r="BB31" s="1066">
        <f>Flags!BB5</f>
        <v>56066</v>
      </c>
      <c r="BC31" s="1066">
        <f>Flags!BC5</f>
        <v>56250</v>
      </c>
      <c r="BD31" s="1066">
        <f>Flags!BD5</f>
        <v>56431</v>
      </c>
      <c r="BE31" s="1066">
        <f>Flags!BE5</f>
        <v>56615</v>
      </c>
      <c r="BF31" s="1066">
        <f>Flags!BF5</f>
        <v>56796</v>
      </c>
      <c r="BG31" s="1066">
        <f>Flags!BG5</f>
        <v>56980</v>
      </c>
      <c r="BH31" s="1066">
        <f>Flags!BH5</f>
        <v>57162</v>
      </c>
      <c r="BI31" s="1066">
        <f>Flags!BI5</f>
        <v>57346</v>
      </c>
      <c r="BJ31" s="1066">
        <f>Flags!BJ5</f>
        <v>57527</v>
      </c>
      <c r="BK31" s="1066">
        <f>Flags!BK5</f>
        <v>57711</v>
      </c>
      <c r="BL31" s="1066">
        <f>Flags!BL5</f>
        <v>57892</v>
      </c>
      <c r="BM31" s="1066">
        <f>Flags!BM5</f>
        <v>58076</v>
      </c>
      <c r="BN31" s="1066">
        <f>Flags!BN5</f>
        <v>58257</v>
      </c>
      <c r="BO31" s="1066">
        <f>Flags!BO5</f>
        <v>58441</v>
      </c>
      <c r="BP31" s="1066">
        <f>Flags!BP5</f>
        <v>58623</v>
      </c>
      <c r="BQ31" s="1066">
        <f>Flags!BQ5</f>
        <v>58807</v>
      </c>
      <c r="BR31" s="1066">
        <f>Flags!BR5</f>
        <v>58988</v>
      </c>
      <c r="BS31" s="1066">
        <f>Flags!BS5</f>
        <v>59172</v>
      </c>
      <c r="BT31" s="1066">
        <f>Flags!BT5</f>
        <v>59353</v>
      </c>
      <c r="BU31" s="1066">
        <f>Flags!BU5</f>
        <v>59537</v>
      </c>
      <c r="BV31" s="1066">
        <f>Flags!BV5</f>
        <v>59718</v>
      </c>
      <c r="BW31" s="1066">
        <f>Flags!BW5</f>
        <v>59902</v>
      </c>
      <c r="BX31" s="1066">
        <f>Flags!BX5</f>
        <v>60084</v>
      </c>
      <c r="BY31" s="1066">
        <f>Flags!BY5</f>
        <v>60268</v>
      </c>
      <c r="BZ31" s="1066">
        <f>Flags!BZ5</f>
        <v>60449</v>
      </c>
      <c r="CA31" s="1066">
        <f>Flags!CA5</f>
        <v>60633</v>
      </c>
      <c r="CB31" s="1066">
        <f>Flags!CB5</f>
        <v>60814</v>
      </c>
      <c r="CC31" s="1066">
        <f>Flags!CC5</f>
        <v>60998</v>
      </c>
      <c r="CD31" s="1066">
        <f>Flags!CD5</f>
        <v>61179</v>
      </c>
      <c r="CE31" s="1066">
        <f>Flags!CE5</f>
        <v>61363</v>
      </c>
      <c r="CF31" s="1066">
        <f>Flags!CF5</f>
        <v>61545</v>
      </c>
      <c r="CG31" s="1066">
        <f>Flags!CG5</f>
        <v>61729</v>
      </c>
      <c r="CH31" s="1066">
        <f>Flags!CH5</f>
        <v>61910</v>
      </c>
      <c r="CI31" s="1066">
        <f>Flags!CI5</f>
        <v>62094</v>
      </c>
      <c r="CJ31" s="1066">
        <f>Flags!CJ5</f>
        <v>62275</v>
      </c>
      <c r="CK31" s="1066">
        <f>Flags!CK5</f>
        <v>62459</v>
      </c>
      <c r="CL31" s="1066">
        <f>Flags!CL5</f>
        <v>62640</v>
      </c>
      <c r="CM31" s="1066">
        <f>Flags!CM5</f>
        <v>62824</v>
      </c>
      <c r="CN31" s="1066">
        <f>Flags!CN5</f>
        <v>63006</v>
      </c>
      <c r="CO31" s="1066">
        <f>Flags!CO5</f>
        <v>63190</v>
      </c>
      <c r="CP31" s="1066">
        <f>Flags!CP5</f>
        <v>63371</v>
      </c>
      <c r="CQ31" s="1066">
        <f>Flags!CQ5</f>
        <v>63555</v>
      </c>
      <c r="CR31" s="1066">
        <f>Flags!CR5</f>
        <v>63736</v>
      </c>
      <c r="CS31" s="1066">
        <f>Flags!CS5</f>
        <v>63920</v>
      </c>
      <c r="CT31" s="1066">
        <f>Flags!CT5</f>
        <v>64101</v>
      </c>
      <c r="CU31" s="1066">
        <f>Flags!CU5</f>
        <v>64285</v>
      </c>
      <c r="CV31" s="1066">
        <f>Flags!CV5</f>
        <v>64467</v>
      </c>
      <c r="CW31" s="1066">
        <f>Flags!CW5</f>
        <v>64651</v>
      </c>
      <c r="CX31" s="1066">
        <f>Flags!CX5</f>
        <v>64832</v>
      </c>
      <c r="CY31" s="1066">
        <f>Flags!CY5</f>
        <v>65016</v>
      </c>
      <c r="CZ31" s="1066">
        <f>Flags!CZ5</f>
        <v>65197</v>
      </c>
      <c r="DA31" s="1066">
        <f>Flags!DA5</f>
        <v>65381</v>
      </c>
      <c r="DB31" s="1066">
        <f>Flags!DB5</f>
        <v>65562</v>
      </c>
      <c r="DC31" s="1066">
        <f>Flags!DC5</f>
        <v>65746</v>
      </c>
      <c r="DD31" s="1066">
        <f>Flags!DD5</f>
        <v>65928</v>
      </c>
      <c r="DE31" s="1066">
        <f>Flags!DE5</f>
        <v>66112</v>
      </c>
      <c r="DF31" s="1066">
        <f>Flags!DF5</f>
        <v>66293</v>
      </c>
      <c r="DG31" s="1066">
        <f>Flags!DG5</f>
        <v>66477</v>
      </c>
      <c r="DH31" s="1066">
        <f>Flags!DH5</f>
        <v>66658</v>
      </c>
      <c r="DI31" s="1066">
        <f>Flags!DI5</f>
        <v>66842</v>
      </c>
      <c r="DJ31" s="1066">
        <f>Flags!DJ5</f>
        <v>67023</v>
      </c>
      <c r="DK31" s="1066">
        <f>Flags!DK5</f>
        <v>67207</v>
      </c>
      <c r="DL31" s="1066">
        <f>Flags!DL5</f>
        <v>67389</v>
      </c>
      <c r="DM31" s="1066">
        <f>Flags!DM5</f>
        <v>67573</v>
      </c>
      <c r="DN31" s="1066">
        <f>Flags!DN5</f>
        <v>67754</v>
      </c>
      <c r="DO31" s="1066">
        <f>Flags!DO5</f>
        <v>67938</v>
      </c>
      <c r="DP31" s="1066">
        <f>Flags!DP5</f>
        <v>68119</v>
      </c>
      <c r="DQ31" s="1066">
        <f>Flags!DQ5</f>
        <v>68303</v>
      </c>
      <c r="DR31" s="1066">
        <f>Flags!DR5</f>
        <v>68484</v>
      </c>
      <c r="DS31" s="1066">
        <f>Flags!DS5</f>
        <v>68668</v>
      </c>
      <c r="DT31" s="1066">
        <f>Flags!DT5</f>
        <v>68850</v>
      </c>
      <c r="DU31" s="1066">
        <f>Flags!DU5</f>
        <v>69034</v>
      </c>
      <c r="DV31" s="1066">
        <f>Flags!DV5</f>
        <v>69215</v>
      </c>
      <c r="DW31" s="1066">
        <f>Flags!DW5</f>
        <v>69399</v>
      </c>
    </row>
    <row r="32" spans="1:127">
      <c r="A32" s="996" t="s">
        <v>1109</v>
      </c>
      <c r="E32" s="98"/>
      <c r="G32" s="972">
        <f>Flags!G6</f>
        <v>47664</v>
      </c>
      <c r="H32" s="972">
        <f>Flags!H6</f>
        <v>47848</v>
      </c>
      <c r="I32" s="972">
        <f>Flags!I6</f>
        <v>48029</v>
      </c>
      <c r="J32" s="972">
        <f>Flags!J6</f>
        <v>48213</v>
      </c>
      <c r="K32" s="972">
        <f>Flags!K6</f>
        <v>48395</v>
      </c>
      <c r="L32" s="972">
        <f>Flags!L6</f>
        <v>48579</v>
      </c>
      <c r="M32" s="972">
        <f>Flags!M6</f>
        <v>48760</v>
      </c>
      <c r="N32" s="972">
        <f>Flags!N6</f>
        <v>48944</v>
      </c>
      <c r="O32" s="972">
        <f>Flags!O6</f>
        <v>49125</v>
      </c>
      <c r="P32" s="972">
        <f>Flags!P6</f>
        <v>49309</v>
      </c>
      <c r="Q32" s="972">
        <f>Flags!Q6</f>
        <v>49490</v>
      </c>
      <c r="R32" s="972">
        <f>Flags!R6</f>
        <v>49674</v>
      </c>
      <c r="S32" s="972">
        <f>Flags!S6</f>
        <v>49856</v>
      </c>
      <c r="T32" s="972">
        <f>Flags!T6</f>
        <v>50040</v>
      </c>
      <c r="U32" s="972">
        <f>Flags!U6</f>
        <v>50221</v>
      </c>
      <c r="V32" s="972">
        <f>Flags!V6</f>
        <v>50405</v>
      </c>
      <c r="W32" s="972">
        <f>Flags!W6</f>
        <v>50586</v>
      </c>
      <c r="X32" s="972">
        <f>Flags!X6</f>
        <v>50770</v>
      </c>
      <c r="Y32" s="972">
        <f>Flags!Y6</f>
        <v>50951</v>
      </c>
      <c r="Z32" s="972">
        <f>Flags!Z6</f>
        <v>51135</v>
      </c>
      <c r="AA32" s="972">
        <f>Flags!AA6</f>
        <v>51317</v>
      </c>
      <c r="AB32" s="972">
        <f>Flags!AB6</f>
        <v>51501</v>
      </c>
      <c r="AC32" s="972">
        <f>Flags!AC6</f>
        <v>51682</v>
      </c>
      <c r="AD32" s="972">
        <f>Flags!AD6</f>
        <v>51866</v>
      </c>
      <c r="AE32" s="972">
        <f>Flags!AE6</f>
        <v>52047</v>
      </c>
      <c r="AF32" s="972">
        <f>Flags!AF6</f>
        <v>52231</v>
      </c>
      <c r="AG32" s="972">
        <f>Flags!AG6</f>
        <v>52412</v>
      </c>
      <c r="AH32" s="972">
        <f>Flags!AH6</f>
        <v>52596</v>
      </c>
      <c r="AI32" s="972">
        <f>Flags!AI6</f>
        <v>52778</v>
      </c>
      <c r="AJ32" s="972">
        <f>Flags!AJ6</f>
        <v>52962</v>
      </c>
      <c r="AK32" s="972">
        <f>Flags!AK6</f>
        <v>53143</v>
      </c>
      <c r="AL32" s="972">
        <f>Flags!AL6</f>
        <v>53327</v>
      </c>
      <c r="AM32" s="972">
        <f>Flags!AM6</f>
        <v>53508</v>
      </c>
      <c r="AN32" s="972">
        <f>Flags!AN6</f>
        <v>53692</v>
      </c>
      <c r="AO32" s="972">
        <f>Flags!AO6</f>
        <v>53873</v>
      </c>
      <c r="AP32" s="972">
        <f>Flags!AP6</f>
        <v>54057</v>
      </c>
      <c r="AQ32" s="972">
        <f>Flags!AQ6</f>
        <v>54239</v>
      </c>
      <c r="AR32" s="972">
        <f>Flags!AR6</f>
        <v>54423</v>
      </c>
      <c r="AS32" s="972">
        <f>Flags!AS6</f>
        <v>54604</v>
      </c>
      <c r="AT32" s="972">
        <f>Flags!AT6</f>
        <v>54788</v>
      </c>
      <c r="AU32" s="972">
        <f>Flags!AU6</f>
        <v>54969</v>
      </c>
      <c r="AV32" s="972">
        <f>Flags!AV6</f>
        <v>55153</v>
      </c>
      <c r="AW32" s="972">
        <f>Flags!AW6</f>
        <v>55334</v>
      </c>
      <c r="AX32" s="972">
        <f>Flags!AX6</f>
        <v>55518</v>
      </c>
      <c r="AY32" s="972">
        <f>Flags!AY6</f>
        <v>55700</v>
      </c>
      <c r="AZ32" s="972">
        <f>Flags!AZ6</f>
        <v>55884</v>
      </c>
      <c r="BA32" s="972">
        <f>Flags!BA6</f>
        <v>56065</v>
      </c>
      <c r="BB32" s="972">
        <f>Flags!BB6</f>
        <v>56249</v>
      </c>
      <c r="BC32" s="972">
        <f>Flags!BC6</f>
        <v>56430</v>
      </c>
      <c r="BD32" s="972">
        <f>Flags!BD6</f>
        <v>56614</v>
      </c>
      <c r="BE32" s="972">
        <f>Flags!BE6</f>
        <v>56795</v>
      </c>
      <c r="BF32" s="972">
        <f>Flags!BF6</f>
        <v>56979</v>
      </c>
      <c r="BG32" s="972">
        <f>Flags!BG6</f>
        <v>57161</v>
      </c>
      <c r="BH32" s="972">
        <f>Flags!BH6</f>
        <v>57345</v>
      </c>
      <c r="BI32" s="972">
        <f>Flags!BI6</f>
        <v>57526</v>
      </c>
      <c r="BJ32" s="972">
        <f>Flags!BJ6</f>
        <v>57710</v>
      </c>
      <c r="BK32" s="972">
        <f>Flags!BK6</f>
        <v>57891</v>
      </c>
      <c r="BL32" s="972">
        <f>Flags!BL6</f>
        <v>58075</v>
      </c>
      <c r="BM32" s="972">
        <f>Flags!BM6</f>
        <v>58256</v>
      </c>
      <c r="BN32" s="972">
        <f>Flags!BN6</f>
        <v>58440</v>
      </c>
      <c r="BO32" s="972">
        <f>Flags!BO6</f>
        <v>58622</v>
      </c>
      <c r="BP32" s="972">
        <f>Flags!BP6</f>
        <v>58806</v>
      </c>
      <c r="BQ32" s="972">
        <f>Flags!BQ6</f>
        <v>58987</v>
      </c>
      <c r="BR32" s="972">
        <f>Flags!BR6</f>
        <v>59171</v>
      </c>
      <c r="BS32" s="972">
        <f>Flags!BS6</f>
        <v>59352</v>
      </c>
      <c r="BT32" s="972">
        <f>Flags!BT6</f>
        <v>59536</v>
      </c>
      <c r="BU32" s="972">
        <f>Flags!BU6</f>
        <v>59717</v>
      </c>
      <c r="BV32" s="972">
        <f>Flags!BV6</f>
        <v>59901</v>
      </c>
      <c r="BW32" s="972">
        <f>Flags!BW6</f>
        <v>60083</v>
      </c>
      <c r="BX32" s="972">
        <f>Flags!BX6</f>
        <v>60267</v>
      </c>
      <c r="BY32" s="972">
        <f>Flags!BY6</f>
        <v>60448</v>
      </c>
      <c r="BZ32" s="972">
        <f>Flags!BZ6</f>
        <v>60632</v>
      </c>
      <c r="CA32" s="972">
        <f>Flags!CA6</f>
        <v>60813</v>
      </c>
      <c r="CB32" s="972">
        <f>Flags!CB6</f>
        <v>60997</v>
      </c>
      <c r="CC32" s="972">
        <f>Flags!CC6</f>
        <v>61178</v>
      </c>
      <c r="CD32" s="972">
        <f>Flags!CD6</f>
        <v>61362</v>
      </c>
      <c r="CE32" s="972">
        <f>Flags!CE6</f>
        <v>61544</v>
      </c>
      <c r="CF32" s="972">
        <f>Flags!CF6</f>
        <v>61728</v>
      </c>
      <c r="CG32" s="972">
        <f>Flags!CG6</f>
        <v>61909</v>
      </c>
      <c r="CH32" s="972">
        <f>Flags!CH6</f>
        <v>62093</v>
      </c>
      <c r="CI32" s="972">
        <f>Flags!CI6</f>
        <v>62274</v>
      </c>
      <c r="CJ32" s="972">
        <f>Flags!CJ6</f>
        <v>62458</v>
      </c>
      <c r="CK32" s="972">
        <f>Flags!CK6</f>
        <v>62639</v>
      </c>
      <c r="CL32" s="972">
        <f>Flags!CL6</f>
        <v>62823</v>
      </c>
      <c r="CM32" s="972">
        <f>Flags!CM6</f>
        <v>63005</v>
      </c>
      <c r="CN32" s="972">
        <f>Flags!CN6</f>
        <v>63189</v>
      </c>
      <c r="CO32" s="972">
        <f>Flags!CO6</f>
        <v>63370</v>
      </c>
      <c r="CP32" s="972">
        <f>Flags!CP6</f>
        <v>63554</v>
      </c>
      <c r="CQ32" s="972">
        <f>Flags!CQ6</f>
        <v>63735</v>
      </c>
      <c r="CR32" s="972">
        <f>Flags!CR6</f>
        <v>63919</v>
      </c>
      <c r="CS32" s="972">
        <f>Flags!CS6</f>
        <v>64100</v>
      </c>
      <c r="CT32" s="972">
        <f>Flags!CT6</f>
        <v>64284</v>
      </c>
      <c r="CU32" s="972">
        <f>Flags!CU6</f>
        <v>64466</v>
      </c>
      <c r="CV32" s="972">
        <f>Flags!CV6</f>
        <v>64650</v>
      </c>
      <c r="CW32" s="972">
        <f>Flags!CW6</f>
        <v>64831</v>
      </c>
      <c r="CX32" s="972">
        <f>Flags!CX6</f>
        <v>65015</v>
      </c>
      <c r="CY32" s="972">
        <f>Flags!CY6</f>
        <v>65196</v>
      </c>
      <c r="CZ32" s="972">
        <f>Flags!CZ6</f>
        <v>65380</v>
      </c>
      <c r="DA32" s="972">
        <f>Flags!DA6</f>
        <v>65561</v>
      </c>
      <c r="DB32" s="972">
        <f>Flags!DB6</f>
        <v>65745</v>
      </c>
      <c r="DC32" s="972">
        <f>Flags!DC6</f>
        <v>65927</v>
      </c>
      <c r="DD32" s="972">
        <f>Flags!DD6</f>
        <v>66111</v>
      </c>
      <c r="DE32" s="972">
        <f>Flags!DE6</f>
        <v>66292</v>
      </c>
      <c r="DF32" s="972">
        <f>Flags!DF6</f>
        <v>66476</v>
      </c>
      <c r="DG32" s="972">
        <f>Flags!DG6</f>
        <v>66657</v>
      </c>
      <c r="DH32" s="972">
        <f>Flags!DH6</f>
        <v>66841</v>
      </c>
      <c r="DI32" s="972">
        <f>Flags!DI6</f>
        <v>67022</v>
      </c>
      <c r="DJ32" s="972">
        <f>Flags!DJ6</f>
        <v>67206</v>
      </c>
      <c r="DK32" s="972">
        <f>Flags!DK6</f>
        <v>67388</v>
      </c>
      <c r="DL32" s="972">
        <f>Flags!DL6</f>
        <v>67572</v>
      </c>
      <c r="DM32" s="972">
        <f>Flags!DM6</f>
        <v>67753</v>
      </c>
      <c r="DN32" s="972">
        <f>Flags!DN6</f>
        <v>67937</v>
      </c>
      <c r="DO32" s="972">
        <f>Flags!DO6</f>
        <v>68118</v>
      </c>
      <c r="DP32" s="972">
        <f>Flags!DP6</f>
        <v>68302</v>
      </c>
      <c r="DQ32" s="972">
        <f>Flags!DQ6</f>
        <v>68483</v>
      </c>
      <c r="DR32" s="972">
        <f>Flags!DR6</f>
        <v>68667</v>
      </c>
      <c r="DS32" s="972">
        <f>Flags!DS6</f>
        <v>68849</v>
      </c>
      <c r="DT32" s="972">
        <f>Flags!DT6</f>
        <v>69033</v>
      </c>
      <c r="DU32" s="972">
        <f>Flags!DU6</f>
        <v>69214</v>
      </c>
      <c r="DV32" s="972">
        <f>Flags!DV6</f>
        <v>69398</v>
      </c>
      <c r="DW32" s="972">
        <f>Flags!DW6</f>
        <v>69579</v>
      </c>
    </row>
    <row r="33" spans="1:127">
      <c r="A33" s="998" t="str">
        <f>Flags!A7</f>
        <v>Year</v>
      </c>
      <c r="E33" s="98"/>
      <c r="G33" s="1001">
        <f>Flags!G7</f>
        <v>0</v>
      </c>
      <c r="H33" s="1001">
        <f>Flags!H7</f>
        <v>1</v>
      </c>
      <c r="I33" s="1001">
        <f>Flags!I7</f>
        <v>1</v>
      </c>
      <c r="J33" s="1001">
        <f>Flags!J7</f>
        <v>2</v>
      </c>
      <c r="K33" s="1001">
        <f>Flags!K7</f>
        <v>2</v>
      </c>
      <c r="L33" s="1001">
        <f>Flags!L7</f>
        <v>3</v>
      </c>
      <c r="M33" s="1001">
        <f>Flags!M7</f>
        <v>3</v>
      </c>
      <c r="N33" s="1001">
        <f>Flags!N7</f>
        <v>4</v>
      </c>
      <c r="O33" s="1001">
        <f>Flags!O7</f>
        <v>4</v>
      </c>
      <c r="P33" s="1001">
        <f>Flags!P7</f>
        <v>5</v>
      </c>
      <c r="Q33" s="1001">
        <f>Flags!Q7</f>
        <v>5</v>
      </c>
      <c r="R33" s="1001">
        <f>Flags!R7</f>
        <v>6</v>
      </c>
      <c r="S33" s="1001">
        <f>Flags!S7</f>
        <v>6</v>
      </c>
      <c r="T33" s="1001">
        <f>Flags!T7</f>
        <v>7</v>
      </c>
      <c r="U33" s="1001">
        <f>Flags!U7</f>
        <v>7</v>
      </c>
      <c r="V33" s="1001">
        <f>Flags!V7</f>
        <v>8</v>
      </c>
      <c r="W33" s="1001">
        <f>Flags!W7</f>
        <v>8</v>
      </c>
      <c r="X33" s="1001">
        <f>Flags!X7</f>
        <v>9</v>
      </c>
      <c r="Y33" s="1001">
        <f>Flags!Y7</f>
        <v>9</v>
      </c>
      <c r="Z33" s="1001">
        <f>Flags!Z7</f>
        <v>10</v>
      </c>
      <c r="AA33" s="1001">
        <f>Flags!AA7</f>
        <v>10</v>
      </c>
      <c r="AB33" s="1001">
        <f>Flags!AB7</f>
        <v>11</v>
      </c>
      <c r="AC33" s="1001">
        <f>Flags!AC7</f>
        <v>11</v>
      </c>
      <c r="AD33" s="1001">
        <f>Flags!AD7</f>
        <v>12</v>
      </c>
      <c r="AE33" s="1001">
        <f>Flags!AE7</f>
        <v>12</v>
      </c>
      <c r="AF33" s="1001">
        <f>Flags!AF7</f>
        <v>13</v>
      </c>
      <c r="AG33" s="1001">
        <f>Flags!AG7</f>
        <v>13</v>
      </c>
      <c r="AH33" s="1001">
        <f>Flags!AH7</f>
        <v>14</v>
      </c>
      <c r="AI33" s="1001">
        <f>Flags!AI7</f>
        <v>14</v>
      </c>
      <c r="AJ33" s="1001">
        <f>Flags!AJ7</f>
        <v>15</v>
      </c>
      <c r="AK33" s="1001">
        <f>Flags!AK7</f>
        <v>15</v>
      </c>
      <c r="AL33" s="1001">
        <f>Flags!AL7</f>
        <v>16</v>
      </c>
      <c r="AM33" s="1001">
        <f>Flags!AM7</f>
        <v>16</v>
      </c>
      <c r="AN33" s="1001">
        <f>Flags!AN7</f>
        <v>17</v>
      </c>
      <c r="AO33" s="1001">
        <f>Flags!AO7</f>
        <v>17</v>
      </c>
      <c r="AP33" s="1001">
        <f>Flags!AP7</f>
        <v>18</v>
      </c>
      <c r="AQ33" s="1001">
        <f>Flags!AQ7</f>
        <v>18</v>
      </c>
      <c r="AR33" s="1001">
        <f>Flags!AR7</f>
        <v>19</v>
      </c>
      <c r="AS33" s="1001">
        <f>Flags!AS7</f>
        <v>19</v>
      </c>
      <c r="AT33" s="1001">
        <f>Flags!AT7</f>
        <v>20</v>
      </c>
      <c r="AU33" s="1001">
        <f>Flags!AU7</f>
        <v>20</v>
      </c>
      <c r="AV33" s="1001">
        <f>Flags!AV7</f>
        <v>21</v>
      </c>
      <c r="AW33" s="1001">
        <f>Flags!AW7</f>
        <v>21</v>
      </c>
      <c r="AX33" s="1001">
        <f>Flags!AX7</f>
        <v>22</v>
      </c>
      <c r="AY33" s="1001">
        <f>Flags!AY7</f>
        <v>22</v>
      </c>
      <c r="AZ33" s="1001">
        <f>Flags!AZ7</f>
        <v>23</v>
      </c>
      <c r="BA33" s="1001">
        <f>Flags!BA7</f>
        <v>23</v>
      </c>
      <c r="BB33" s="1001">
        <f>Flags!BB7</f>
        <v>24</v>
      </c>
      <c r="BC33" s="1001">
        <f>Flags!BC7</f>
        <v>24</v>
      </c>
      <c r="BD33" s="1001">
        <f>Flags!BD7</f>
        <v>25</v>
      </c>
      <c r="BE33" s="1001">
        <f>Flags!BE7</f>
        <v>25</v>
      </c>
      <c r="BF33" s="1001">
        <f>Flags!BF7</f>
        <v>26</v>
      </c>
      <c r="BG33" s="1001">
        <f>Flags!BG7</f>
        <v>26</v>
      </c>
      <c r="BH33" s="1001">
        <f>Flags!BH7</f>
        <v>27</v>
      </c>
      <c r="BI33" s="1001">
        <f>Flags!BI7</f>
        <v>27</v>
      </c>
      <c r="BJ33" s="1001">
        <f>Flags!BJ7</f>
        <v>28</v>
      </c>
      <c r="BK33" s="1001">
        <f>Flags!BK7</f>
        <v>28</v>
      </c>
      <c r="BL33" s="1001">
        <f>Flags!BL7</f>
        <v>29</v>
      </c>
      <c r="BM33" s="1001">
        <f>Flags!BM7</f>
        <v>29</v>
      </c>
      <c r="BN33" s="1001">
        <f>Flags!BN7</f>
        <v>30</v>
      </c>
      <c r="BO33" s="1001">
        <f>Flags!BO7</f>
        <v>30</v>
      </c>
      <c r="BP33" s="1001">
        <f>Flags!BP7</f>
        <v>31</v>
      </c>
      <c r="BQ33" s="1001">
        <f>Flags!BQ7</f>
        <v>31</v>
      </c>
      <c r="BR33" s="1001">
        <f>Flags!BR7</f>
        <v>32</v>
      </c>
      <c r="BS33" s="1001">
        <f>Flags!BS7</f>
        <v>32</v>
      </c>
      <c r="BT33" s="1001">
        <f>Flags!BT7</f>
        <v>33</v>
      </c>
      <c r="BU33" s="1001">
        <f>Flags!BU7</f>
        <v>33</v>
      </c>
      <c r="BV33" s="1001">
        <f>Flags!BV7</f>
        <v>34</v>
      </c>
      <c r="BW33" s="1001">
        <f>Flags!BW7</f>
        <v>34</v>
      </c>
      <c r="BX33" s="1001">
        <f>Flags!BX7</f>
        <v>35</v>
      </c>
      <c r="BY33" s="1001">
        <f>Flags!BY7</f>
        <v>35</v>
      </c>
      <c r="BZ33" s="1001">
        <f>Flags!BZ7</f>
        <v>36</v>
      </c>
      <c r="CA33" s="1001">
        <f>Flags!CA7</f>
        <v>36</v>
      </c>
      <c r="CB33" s="1001">
        <f>Flags!CB7</f>
        <v>37</v>
      </c>
      <c r="CC33" s="1001">
        <f>Flags!CC7</f>
        <v>37</v>
      </c>
      <c r="CD33" s="1001">
        <f>Flags!CD7</f>
        <v>38</v>
      </c>
      <c r="CE33" s="1001">
        <f>Flags!CE7</f>
        <v>38</v>
      </c>
      <c r="CF33" s="1001">
        <f>Flags!CF7</f>
        <v>39</v>
      </c>
      <c r="CG33" s="1001">
        <f>Flags!CG7</f>
        <v>39</v>
      </c>
      <c r="CH33" s="1001">
        <f>Flags!CH7</f>
        <v>40</v>
      </c>
      <c r="CI33" s="1001">
        <f>Flags!CI7</f>
        <v>40</v>
      </c>
      <c r="CJ33" s="1001">
        <f>Flags!CJ7</f>
        <v>41</v>
      </c>
      <c r="CK33" s="1001">
        <f>Flags!CK7</f>
        <v>41</v>
      </c>
      <c r="CL33" s="1001">
        <f>Flags!CL7</f>
        <v>42</v>
      </c>
      <c r="CM33" s="1001">
        <f>Flags!CM7</f>
        <v>42</v>
      </c>
      <c r="CN33" s="1001">
        <f>Flags!CN7</f>
        <v>43</v>
      </c>
      <c r="CO33" s="1001">
        <f>Flags!CO7</f>
        <v>43</v>
      </c>
      <c r="CP33" s="1001">
        <f>Flags!CP7</f>
        <v>44</v>
      </c>
      <c r="CQ33" s="1001">
        <f>Flags!CQ7</f>
        <v>44</v>
      </c>
      <c r="CR33" s="1001">
        <f>Flags!CR7</f>
        <v>45</v>
      </c>
      <c r="CS33" s="1001">
        <f>Flags!CS7</f>
        <v>45</v>
      </c>
      <c r="CT33" s="1001">
        <f>Flags!CT7</f>
        <v>46</v>
      </c>
      <c r="CU33" s="1001">
        <f>Flags!CU7</f>
        <v>46</v>
      </c>
      <c r="CV33" s="1001">
        <f>Flags!CV7</f>
        <v>47</v>
      </c>
      <c r="CW33" s="1001">
        <f>Flags!CW7</f>
        <v>47</v>
      </c>
      <c r="CX33" s="1001">
        <f>Flags!CX7</f>
        <v>48</v>
      </c>
      <c r="CY33" s="1001">
        <f>Flags!CY7</f>
        <v>48</v>
      </c>
      <c r="CZ33" s="1001">
        <f>Flags!CZ7</f>
        <v>49</v>
      </c>
      <c r="DA33" s="1001">
        <f>Flags!DA7</f>
        <v>49</v>
      </c>
      <c r="DB33" s="1001">
        <f>Flags!DB7</f>
        <v>50</v>
      </c>
      <c r="DC33" s="1001">
        <f>Flags!DC7</f>
        <v>50</v>
      </c>
      <c r="DD33" s="1001">
        <f>Flags!DD7</f>
        <v>51</v>
      </c>
      <c r="DE33" s="1001">
        <f>Flags!DE7</f>
        <v>51</v>
      </c>
      <c r="DF33" s="1001">
        <f>Flags!DF7</f>
        <v>52</v>
      </c>
      <c r="DG33" s="1001">
        <f>Flags!DG7</f>
        <v>52</v>
      </c>
      <c r="DH33" s="1001">
        <f>Flags!DH7</f>
        <v>53</v>
      </c>
      <c r="DI33" s="1001">
        <f>Flags!DI7</f>
        <v>53</v>
      </c>
      <c r="DJ33" s="1001">
        <f>Flags!DJ7</f>
        <v>54</v>
      </c>
      <c r="DK33" s="1001">
        <f>Flags!DK7</f>
        <v>54</v>
      </c>
      <c r="DL33" s="1001">
        <f>Flags!DL7</f>
        <v>55</v>
      </c>
      <c r="DM33" s="1001">
        <f>Flags!DM7</f>
        <v>55</v>
      </c>
      <c r="DN33" s="1001">
        <f>Flags!DN7</f>
        <v>56</v>
      </c>
      <c r="DO33" s="1001">
        <f>Flags!DO7</f>
        <v>56</v>
      </c>
      <c r="DP33" s="1001">
        <f>Flags!DP7</f>
        <v>57</v>
      </c>
      <c r="DQ33" s="1001">
        <f>Flags!DQ7</f>
        <v>57</v>
      </c>
      <c r="DR33" s="1001">
        <f>Flags!DR7</f>
        <v>58</v>
      </c>
      <c r="DS33" s="1001">
        <f>Flags!DS7</f>
        <v>58</v>
      </c>
      <c r="DT33" s="1001">
        <f>Flags!DT7</f>
        <v>59</v>
      </c>
      <c r="DU33" s="1001">
        <f>Flags!DU7</f>
        <v>59</v>
      </c>
      <c r="DV33" s="1001">
        <f>Flags!DV7</f>
        <v>60</v>
      </c>
      <c r="DW33" s="1001">
        <f>Flags!DW7</f>
        <v>60</v>
      </c>
    </row>
    <row r="34" spans="1:127">
      <c r="A34" s="998" t="str">
        <f>Flags!A8</f>
        <v xml:space="preserve">Period </v>
      </c>
      <c r="E34" s="98"/>
      <c r="G34" s="1076">
        <f>Flags!G8</f>
        <v>0</v>
      </c>
      <c r="H34" s="1076">
        <f>Flags!H8</f>
        <v>1</v>
      </c>
      <c r="I34" s="1076">
        <f>Flags!I8</f>
        <v>2</v>
      </c>
      <c r="J34" s="1076">
        <f>Flags!J8</f>
        <v>3</v>
      </c>
      <c r="K34" s="1076">
        <f>Flags!K8</f>
        <v>4</v>
      </c>
      <c r="L34" s="1076">
        <f>Flags!L8</f>
        <v>5</v>
      </c>
      <c r="M34" s="1076">
        <f>Flags!M8</f>
        <v>6</v>
      </c>
      <c r="N34" s="1076">
        <f>Flags!N8</f>
        <v>7</v>
      </c>
      <c r="O34" s="1076">
        <f>Flags!O8</f>
        <v>8</v>
      </c>
      <c r="P34" s="1076">
        <f>Flags!P8</f>
        <v>9</v>
      </c>
      <c r="Q34" s="1076">
        <f>Flags!Q8</f>
        <v>10</v>
      </c>
      <c r="R34" s="1076">
        <f>Flags!R8</f>
        <v>11</v>
      </c>
      <c r="S34" s="1076">
        <f>Flags!S8</f>
        <v>12</v>
      </c>
      <c r="T34" s="1076">
        <f>Flags!T8</f>
        <v>13</v>
      </c>
      <c r="U34" s="1076">
        <f>Flags!U8</f>
        <v>14</v>
      </c>
      <c r="V34" s="1076">
        <f>Flags!V8</f>
        <v>15</v>
      </c>
      <c r="W34" s="1076">
        <f>Flags!W8</f>
        <v>16</v>
      </c>
      <c r="X34" s="1076">
        <f>Flags!X8</f>
        <v>17</v>
      </c>
      <c r="Y34" s="1076">
        <f>Flags!Y8</f>
        <v>18</v>
      </c>
      <c r="Z34" s="1076">
        <f>Flags!Z8</f>
        <v>19</v>
      </c>
      <c r="AA34" s="1076">
        <f>Flags!AA8</f>
        <v>20</v>
      </c>
      <c r="AB34" s="1076">
        <f>Flags!AB8</f>
        <v>21</v>
      </c>
      <c r="AC34" s="1076">
        <f>Flags!AC8</f>
        <v>22</v>
      </c>
      <c r="AD34" s="1076">
        <f>Flags!AD8</f>
        <v>23</v>
      </c>
      <c r="AE34" s="1076">
        <f>Flags!AE8</f>
        <v>24</v>
      </c>
      <c r="AF34" s="1076">
        <f>Flags!AF8</f>
        <v>25</v>
      </c>
      <c r="AG34" s="1076">
        <f>Flags!AG8</f>
        <v>26</v>
      </c>
      <c r="AH34" s="1076">
        <f>Flags!AH8</f>
        <v>27</v>
      </c>
      <c r="AI34" s="1076">
        <f>Flags!AI8</f>
        <v>28</v>
      </c>
      <c r="AJ34" s="1076">
        <f>Flags!AJ8</f>
        <v>29</v>
      </c>
      <c r="AK34" s="1076">
        <f>Flags!AK8</f>
        <v>30</v>
      </c>
      <c r="AL34" s="1076">
        <f>Flags!AL8</f>
        <v>31</v>
      </c>
      <c r="AM34" s="1076">
        <f>Flags!AM8</f>
        <v>32</v>
      </c>
      <c r="AN34" s="1076">
        <f>Flags!AN8</f>
        <v>33</v>
      </c>
      <c r="AO34" s="1076">
        <f>Flags!AO8</f>
        <v>34</v>
      </c>
      <c r="AP34" s="1076">
        <f>Flags!AP8</f>
        <v>35</v>
      </c>
      <c r="AQ34" s="1076">
        <f>Flags!AQ8</f>
        <v>36</v>
      </c>
      <c r="AR34" s="1076">
        <f>Flags!AR8</f>
        <v>37</v>
      </c>
      <c r="AS34" s="1076">
        <f>Flags!AS8</f>
        <v>38</v>
      </c>
      <c r="AT34" s="1076">
        <f>Flags!AT8</f>
        <v>39</v>
      </c>
      <c r="AU34" s="1076">
        <f>Flags!AU8</f>
        <v>40</v>
      </c>
      <c r="AV34" s="1076">
        <f>Flags!AV8</f>
        <v>41</v>
      </c>
      <c r="AW34" s="1076">
        <f>Flags!AW8</f>
        <v>42</v>
      </c>
      <c r="AX34" s="1076">
        <f>Flags!AX8</f>
        <v>43</v>
      </c>
      <c r="AY34" s="1076">
        <f>Flags!AY8</f>
        <v>44</v>
      </c>
      <c r="AZ34" s="1076">
        <f>Flags!AZ8</f>
        <v>45</v>
      </c>
      <c r="BA34" s="1076">
        <f>Flags!BA8</f>
        <v>46</v>
      </c>
      <c r="BB34" s="1076">
        <f>Flags!BB8</f>
        <v>47</v>
      </c>
      <c r="BC34" s="1076">
        <f>Flags!BC8</f>
        <v>48</v>
      </c>
      <c r="BD34" s="1076">
        <f>Flags!BD8</f>
        <v>49</v>
      </c>
      <c r="BE34" s="1076">
        <f>Flags!BE8</f>
        <v>50</v>
      </c>
      <c r="BF34" s="1076">
        <f>Flags!BF8</f>
        <v>51</v>
      </c>
      <c r="BG34" s="1076">
        <f>Flags!BG8</f>
        <v>52</v>
      </c>
      <c r="BH34" s="1076">
        <f>Flags!BH8</f>
        <v>53</v>
      </c>
      <c r="BI34" s="1076">
        <f>Flags!BI8</f>
        <v>54</v>
      </c>
      <c r="BJ34" s="1076">
        <f>Flags!BJ8</f>
        <v>55</v>
      </c>
      <c r="BK34" s="1076">
        <f>Flags!BK8</f>
        <v>56</v>
      </c>
      <c r="BL34" s="1076">
        <f>Flags!BL8</f>
        <v>57</v>
      </c>
      <c r="BM34" s="1076">
        <f>Flags!BM8</f>
        <v>58</v>
      </c>
      <c r="BN34" s="1076">
        <f>Flags!BN8</f>
        <v>59</v>
      </c>
      <c r="BO34" s="1076">
        <f>Flags!BO8</f>
        <v>60</v>
      </c>
      <c r="BP34" s="1076">
        <f>Flags!BP8</f>
        <v>61</v>
      </c>
      <c r="BQ34" s="1076">
        <f>Flags!BQ8</f>
        <v>62</v>
      </c>
      <c r="BR34" s="1076">
        <f>Flags!BR8</f>
        <v>63</v>
      </c>
      <c r="BS34" s="1076">
        <f>Flags!BS8</f>
        <v>64</v>
      </c>
      <c r="BT34" s="1076">
        <f>Flags!BT8</f>
        <v>65</v>
      </c>
      <c r="BU34" s="1076">
        <f>Flags!BU8</f>
        <v>66</v>
      </c>
      <c r="BV34" s="1076">
        <f>Flags!BV8</f>
        <v>67</v>
      </c>
      <c r="BW34" s="1076">
        <f>Flags!BW8</f>
        <v>68</v>
      </c>
      <c r="BX34" s="1076">
        <f>Flags!BX8</f>
        <v>69</v>
      </c>
      <c r="BY34" s="1076">
        <f>Flags!BY8</f>
        <v>70</v>
      </c>
      <c r="BZ34" s="1076">
        <f>Flags!BZ8</f>
        <v>71</v>
      </c>
      <c r="CA34" s="1076">
        <f>Flags!CA8</f>
        <v>72</v>
      </c>
      <c r="CB34" s="1076">
        <f>Flags!CB8</f>
        <v>73</v>
      </c>
      <c r="CC34" s="1076">
        <f>Flags!CC8</f>
        <v>74</v>
      </c>
      <c r="CD34" s="1076">
        <f>Flags!CD8</f>
        <v>75</v>
      </c>
      <c r="CE34" s="1076">
        <f>Flags!CE8</f>
        <v>76</v>
      </c>
      <c r="CF34" s="1076">
        <f>Flags!CF8</f>
        <v>77</v>
      </c>
      <c r="CG34" s="1076">
        <f>Flags!CG8</f>
        <v>78</v>
      </c>
      <c r="CH34" s="1076">
        <f>Flags!CH8</f>
        <v>79</v>
      </c>
      <c r="CI34" s="1076">
        <f>Flags!CI8</f>
        <v>80</v>
      </c>
      <c r="CJ34" s="1076">
        <f>Flags!CJ8</f>
        <v>81</v>
      </c>
      <c r="CK34" s="1076">
        <f>Flags!CK8</f>
        <v>82</v>
      </c>
      <c r="CL34" s="1076">
        <f>Flags!CL8</f>
        <v>83</v>
      </c>
      <c r="CM34" s="1076">
        <f>Flags!CM8</f>
        <v>84</v>
      </c>
      <c r="CN34" s="1076">
        <f>Flags!CN8</f>
        <v>85</v>
      </c>
      <c r="CO34" s="1076">
        <f>Flags!CO8</f>
        <v>86</v>
      </c>
      <c r="CP34" s="1076">
        <f>Flags!CP8</f>
        <v>87</v>
      </c>
      <c r="CQ34" s="1076">
        <f>Flags!CQ8</f>
        <v>88</v>
      </c>
      <c r="CR34" s="1076">
        <f>Flags!CR8</f>
        <v>89</v>
      </c>
      <c r="CS34" s="1076">
        <f>Flags!CS8</f>
        <v>90</v>
      </c>
      <c r="CT34" s="1076">
        <f>Flags!CT8</f>
        <v>91</v>
      </c>
      <c r="CU34" s="1076">
        <f>Flags!CU8</f>
        <v>92</v>
      </c>
      <c r="CV34" s="1076">
        <f>Flags!CV8</f>
        <v>93</v>
      </c>
      <c r="CW34" s="1076">
        <f>Flags!CW8</f>
        <v>94</v>
      </c>
      <c r="CX34" s="1076">
        <f>Flags!CX8</f>
        <v>95</v>
      </c>
      <c r="CY34" s="1076">
        <f>Flags!CY8</f>
        <v>96</v>
      </c>
      <c r="CZ34" s="1076">
        <f>Flags!CZ8</f>
        <v>97</v>
      </c>
      <c r="DA34" s="1076">
        <f>Flags!DA8</f>
        <v>98</v>
      </c>
      <c r="DB34" s="1076">
        <f>Flags!DB8</f>
        <v>99</v>
      </c>
      <c r="DC34" s="1076">
        <f>Flags!DC8</f>
        <v>100</v>
      </c>
      <c r="DD34" s="1076">
        <f>Flags!DD8</f>
        <v>101</v>
      </c>
      <c r="DE34" s="1076">
        <f>Flags!DE8</f>
        <v>102</v>
      </c>
      <c r="DF34" s="1076">
        <f>Flags!DF8</f>
        <v>103</v>
      </c>
      <c r="DG34" s="1076">
        <f>Flags!DG8</f>
        <v>104</v>
      </c>
      <c r="DH34" s="1076">
        <f>Flags!DH8</f>
        <v>105</v>
      </c>
      <c r="DI34" s="1076">
        <f>Flags!DI8</f>
        <v>106</v>
      </c>
      <c r="DJ34" s="1076">
        <f>Flags!DJ8</f>
        <v>107</v>
      </c>
      <c r="DK34" s="1076">
        <f>Flags!DK8</f>
        <v>108</v>
      </c>
      <c r="DL34" s="1076">
        <f>Flags!DL8</f>
        <v>109</v>
      </c>
      <c r="DM34" s="1076">
        <f>Flags!DM8</f>
        <v>110</v>
      </c>
      <c r="DN34" s="1076">
        <f>Flags!DN8</f>
        <v>111</v>
      </c>
      <c r="DO34" s="1076">
        <f>Flags!DO8</f>
        <v>112</v>
      </c>
      <c r="DP34" s="1076">
        <f>Flags!DP8</f>
        <v>113</v>
      </c>
      <c r="DQ34" s="1076">
        <f>Flags!DQ8</f>
        <v>114</v>
      </c>
      <c r="DR34" s="1076">
        <f>Flags!DR8</f>
        <v>115</v>
      </c>
      <c r="DS34" s="1076">
        <f>Flags!DS8</f>
        <v>116</v>
      </c>
      <c r="DT34" s="1076">
        <f>Flags!DT8</f>
        <v>117</v>
      </c>
      <c r="DU34" s="1076">
        <f>Flags!DU8</f>
        <v>118</v>
      </c>
      <c r="DV34" s="1076">
        <f>Flags!DV8</f>
        <v>119</v>
      </c>
      <c r="DW34" s="1076">
        <f>Flags!DW8</f>
        <v>120</v>
      </c>
    </row>
    <row r="36" spans="1:127">
      <c r="A36" s="649" t="str">
        <f>Inputs!A401</f>
        <v>Corporate Income Tax</v>
      </c>
      <c r="B36" s="650"/>
      <c r="C36" s="650"/>
      <c r="D36" s="650"/>
      <c r="E36" s="400">
        <f ca="1">ABS(SUM(IF(Inputs!$D$52=Inputs!$D$180,G38:DW38,G39:DW39))-SUM(G37:DW37))</f>
        <v>0</v>
      </c>
      <c r="F36" s="650"/>
    </row>
    <row r="37" spans="1:127" s="304" customFormat="1">
      <c r="A37" s="304" t="s">
        <v>1319</v>
      </c>
      <c r="B37" s="653"/>
      <c r="C37" s="653"/>
      <c r="D37" s="653"/>
      <c r="E37" s="653"/>
      <c r="F37" s="576"/>
      <c r="G37" s="1063">
        <f ca="1">'P&amp;L'!G43</f>
        <v>0</v>
      </c>
      <c r="H37" s="1063">
        <f ca="1">'P&amp;L'!H43</f>
        <v>0</v>
      </c>
      <c r="I37" s="1063">
        <f ca="1">'P&amp;L'!I43</f>
        <v>0</v>
      </c>
      <c r="J37" s="1063">
        <f ca="1">'P&amp;L'!J43</f>
        <v>0</v>
      </c>
      <c r="K37" s="1063">
        <f ca="1">'P&amp;L'!K43</f>
        <v>0</v>
      </c>
      <c r="L37" s="1063">
        <f ca="1">'P&amp;L'!L43</f>
        <v>0</v>
      </c>
      <c r="M37" s="1063">
        <f ca="1">'P&amp;L'!M43</f>
        <v>8.9040490955094818</v>
      </c>
      <c r="N37" s="1063">
        <f ca="1">'P&amp;L'!N43</f>
        <v>0</v>
      </c>
      <c r="O37" s="1063">
        <f ca="1">'P&amp;L'!O43</f>
        <v>31.336962777804274</v>
      </c>
      <c r="P37" s="1063">
        <f ca="1">'P&amp;L'!P43</f>
        <v>0</v>
      </c>
      <c r="Q37" s="1063">
        <f ca="1">'P&amp;L'!Q43</f>
        <v>54.454350041205764</v>
      </c>
      <c r="R37" s="1063">
        <f ca="1">'P&amp;L'!R43</f>
        <v>0</v>
      </c>
      <c r="S37" s="1063">
        <f ca="1">'P&amp;L'!S43</f>
        <v>78.215568397135684</v>
      </c>
      <c r="T37" s="1063">
        <f ca="1">'P&amp;L'!T43</f>
        <v>0</v>
      </c>
      <c r="U37" s="1063">
        <f ca="1">'P&amp;L'!U43</f>
        <v>104.29075994632126</v>
      </c>
      <c r="V37" s="1063">
        <f ca="1">'P&amp;L'!V43</f>
        <v>0</v>
      </c>
      <c r="W37" s="1063">
        <f ca="1">'P&amp;L'!W43</f>
        <v>131.51136796406126</v>
      </c>
      <c r="X37" s="1063">
        <f ca="1">'P&amp;L'!X43</f>
        <v>0</v>
      </c>
      <c r="Y37" s="1063">
        <f ca="1">'P&amp;L'!Y43</f>
        <v>160.43809095155504</v>
      </c>
      <c r="Z37" s="1063">
        <f ca="1">'P&amp;L'!Z43</f>
        <v>0</v>
      </c>
      <c r="AA37" s="1063">
        <f ca="1">'P&amp;L'!AA43</f>
        <v>190.87897685546332</v>
      </c>
      <c r="AB37" s="1063">
        <f ca="1">'P&amp;L'!AB43</f>
        <v>0</v>
      </c>
      <c r="AC37" s="1063">
        <f ca="1">'P&amp;L'!AC43</f>
        <v>184.43495072012698</v>
      </c>
      <c r="AD37" s="1063">
        <f ca="1">'P&amp;L'!AD43</f>
        <v>0</v>
      </c>
      <c r="AE37" s="1063">
        <f ca="1">'P&amp;L'!AE43</f>
        <v>217.1428458446205</v>
      </c>
      <c r="AF37" s="1063">
        <f ca="1">'P&amp;L'!AF43</f>
        <v>0</v>
      </c>
      <c r="AG37" s="1063">
        <f ca="1">'P&amp;L'!AG43</f>
        <v>285.10673595316121</v>
      </c>
      <c r="AH37" s="1063">
        <f ca="1">'P&amp;L'!AH43</f>
        <v>0</v>
      </c>
      <c r="AI37" s="1063">
        <f ca="1">'P&amp;L'!AI43</f>
        <v>301.61782354670004</v>
      </c>
      <c r="AJ37" s="1063">
        <f ca="1">'P&amp;L'!AJ43</f>
        <v>0</v>
      </c>
      <c r="AK37" s="1063">
        <f ca="1">'P&amp;L'!AK43</f>
        <v>303.21185389188378</v>
      </c>
      <c r="AL37" s="1063">
        <f ca="1">'P&amp;L'!AL43</f>
        <v>0</v>
      </c>
      <c r="AM37" s="1063">
        <f ca="1">'P&amp;L'!AM43</f>
        <v>296.00147132863373</v>
      </c>
      <c r="AN37" s="1063">
        <f ca="1">'P&amp;L'!AN43</f>
        <v>0</v>
      </c>
      <c r="AO37" s="1063">
        <f ca="1">'P&amp;L'!AO43</f>
        <v>307.13463387925572</v>
      </c>
      <c r="AP37" s="1063">
        <f ca="1">'P&amp;L'!AP43</f>
        <v>0</v>
      </c>
      <c r="AQ37" s="1063">
        <f ca="1">'P&amp;L'!AQ43</f>
        <v>318.09934509444628</v>
      </c>
      <c r="AR37" s="1063">
        <f ca="1">'P&amp;L'!AR43</f>
        <v>0</v>
      </c>
      <c r="AS37" s="1063">
        <f ca="1">'P&amp;L'!AS43</f>
        <v>328.90719150744792</v>
      </c>
      <c r="AT37" s="1063">
        <f ca="1">'P&amp;L'!AT43</f>
        <v>0</v>
      </c>
      <c r="AU37" s="1063">
        <f ca="1">'P&amp;L'!AU43</f>
        <v>339.7135147660253</v>
      </c>
      <c r="AV37" s="1063">
        <f ca="1">'P&amp;L'!AV43</f>
        <v>0</v>
      </c>
      <c r="AW37" s="1063">
        <f ca="1">'P&amp;L'!AW43</f>
        <v>634.47309204838393</v>
      </c>
      <c r="AX37" s="1063">
        <f ca="1">'P&amp;L'!AX43</f>
        <v>0</v>
      </c>
      <c r="AY37" s="1063">
        <f ca="1">'P&amp;L'!AY43</f>
        <v>647.51332661413426</v>
      </c>
      <c r="AZ37" s="1063">
        <f ca="1">'P&amp;L'!AZ43</f>
        <v>0</v>
      </c>
      <c r="BA37" s="1063">
        <f ca="1">'P&amp;L'!BA43</f>
        <v>657.85839401660292</v>
      </c>
      <c r="BB37" s="1063">
        <f ca="1">'P&amp;L'!BB43</f>
        <v>0</v>
      </c>
      <c r="BC37" s="1063">
        <f ca="1">'P&amp;L'!BC43</f>
        <v>670.59382761203005</v>
      </c>
      <c r="BD37" s="1063">
        <f ca="1">'P&amp;L'!BD43</f>
        <v>0</v>
      </c>
      <c r="BE37" s="1063">
        <f ca="1">'P&amp;L'!BE43</f>
        <v>683.23746400492189</v>
      </c>
      <c r="BF37" s="1063">
        <f ca="1">'P&amp;L'!BF43</f>
        <v>0</v>
      </c>
      <c r="BG37" s="1063">
        <f ca="1">'P&amp;L'!BG43</f>
        <v>691.69510998976193</v>
      </c>
      <c r="BH37" s="1063">
        <f ca="1">'P&amp;L'!BH43</f>
        <v>0</v>
      </c>
      <c r="BI37" s="1063">
        <f ca="1">'P&amp;L'!BI43</f>
        <v>698.25516247954351</v>
      </c>
      <c r="BJ37" s="1063">
        <f ca="1">'P&amp;L'!BJ43</f>
        <v>0</v>
      </c>
      <c r="BK37" s="1063">
        <f ca="1">'P&amp;L'!BK43</f>
        <v>702.00910795234142</v>
      </c>
      <c r="BL37" s="1063">
        <f ca="1">'P&amp;L'!BL43</f>
        <v>0</v>
      </c>
      <c r="BM37" s="1063">
        <f ca="1">'P&amp;L'!BM43</f>
        <v>705.33589939700096</v>
      </c>
      <c r="BN37" s="1063">
        <f ca="1">'P&amp;L'!BN43</f>
        <v>0</v>
      </c>
      <c r="BO37" s="1063">
        <f ca="1">'P&amp;L'!BO43</f>
        <v>710.71645376886977</v>
      </c>
      <c r="BP37" s="1063">
        <f>'P&amp;L'!BP43</f>
        <v>0</v>
      </c>
      <c r="BQ37" s="1063">
        <f>'P&amp;L'!BQ43</f>
        <v>0</v>
      </c>
      <c r="BR37" s="1063">
        <f>'P&amp;L'!BR43</f>
        <v>0</v>
      </c>
      <c r="BS37" s="1063">
        <f>'P&amp;L'!BS43</f>
        <v>0</v>
      </c>
      <c r="BT37" s="1063">
        <f>'P&amp;L'!BT43</f>
        <v>0</v>
      </c>
      <c r="BU37" s="1063">
        <f>'P&amp;L'!BU43</f>
        <v>0</v>
      </c>
      <c r="BV37" s="1063">
        <f>'P&amp;L'!BV43</f>
        <v>0</v>
      </c>
      <c r="BW37" s="1063">
        <f>'P&amp;L'!BW43</f>
        <v>0</v>
      </c>
      <c r="BX37" s="1063">
        <f>'P&amp;L'!BX43</f>
        <v>0</v>
      </c>
      <c r="BY37" s="1063">
        <f>'P&amp;L'!BY43</f>
        <v>0</v>
      </c>
      <c r="BZ37" s="1063">
        <f>'P&amp;L'!BZ43</f>
        <v>0</v>
      </c>
      <c r="CA37" s="1063">
        <f>'P&amp;L'!CA43</f>
        <v>0</v>
      </c>
      <c r="CB37" s="1063">
        <f>'P&amp;L'!CB43</f>
        <v>0</v>
      </c>
      <c r="CC37" s="1063">
        <f>'P&amp;L'!CC43</f>
        <v>0</v>
      </c>
      <c r="CD37" s="1063">
        <f>'P&amp;L'!CD43</f>
        <v>0</v>
      </c>
      <c r="CE37" s="1063">
        <f>'P&amp;L'!CE43</f>
        <v>0</v>
      </c>
      <c r="CF37" s="1063">
        <f>'P&amp;L'!CF43</f>
        <v>0</v>
      </c>
      <c r="CG37" s="1063">
        <f>'P&amp;L'!CG43</f>
        <v>0</v>
      </c>
      <c r="CH37" s="1063">
        <f>'P&amp;L'!CH43</f>
        <v>0</v>
      </c>
      <c r="CI37" s="1063">
        <f>'P&amp;L'!CI43</f>
        <v>0</v>
      </c>
      <c r="CJ37" s="1063">
        <f>'P&amp;L'!CJ43</f>
        <v>0</v>
      </c>
      <c r="CK37" s="1063">
        <f>'P&amp;L'!CK43</f>
        <v>0</v>
      </c>
      <c r="CL37" s="1063">
        <f>'P&amp;L'!CL43</f>
        <v>0</v>
      </c>
      <c r="CM37" s="1063">
        <f>'P&amp;L'!CM43</f>
        <v>0</v>
      </c>
      <c r="CN37" s="1063">
        <f>'P&amp;L'!CN43</f>
        <v>0</v>
      </c>
      <c r="CO37" s="1063">
        <f>'P&amp;L'!CO43</f>
        <v>0</v>
      </c>
      <c r="CP37" s="1063">
        <f>'P&amp;L'!CP43</f>
        <v>0</v>
      </c>
      <c r="CQ37" s="1063">
        <f>'P&amp;L'!CQ43</f>
        <v>0</v>
      </c>
      <c r="CR37" s="1063">
        <f>'P&amp;L'!CR43</f>
        <v>0</v>
      </c>
      <c r="CS37" s="1063">
        <f>'P&amp;L'!CS43</f>
        <v>0</v>
      </c>
      <c r="CT37" s="1063">
        <f>'P&amp;L'!CT43</f>
        <v>0</v>
      </c>
      <c r="CU37" s="1063">
        <f>'P&amp;L'!CU43</f>
        <v>0</v>
      </c>
      <c r="CV37" s="1063">
        <f>'P&amp;L'!CV43</f>
        <v>0</v>
      </c>
      <c r="CW37" s="1063">
        <f>'P&amp;L'!CW43</f>
        <v>0</v>
      </c>
      <c r="CX37" s="1063">
        <f>'P&amp;L'!CX43</f>
        <v>0</v>
      </c>
      <c r="CY37" s="1063">
        <f>'P&amp;L'!CY43</f>
        <v>0</v>
      </c>
      <c r="CZ37" s="1063">
        <f>'P&amp;L'!CZ43</f>
        <v>0</v>
      </c>
      <c r="DA37" s="1063">
        <f>'P&amp;L'!DA43</f>
        <v>0</v>
      </c>
      <c r="DB37" s="1063">
        <f>'P&amp;L'!DB43</f>
        <v>0</v>
      </c>
      <c r="DC37" s="1063">
        <f>'P&amp;L'!DC43</f>
        <v>0</v>
      </c>
      <c r="DD37" s="1063">
        <f>'P&amp;L'!DD43</f>
        <v>0</v>
      </c>
      <c r="DE37" s="1063">
        <f>'P&amp;L'!DE43</f>
        <v>0</v>
      </c>
      <c r="DF37" s="1063">
        <f>'P&amp;L'!DF43</f>
        <v>0</v>
      </c>
      <c r="DG37" s="1063">
        <f>'P&amp;L'!DG43</f>
        <v>0</v>
      </c>
      <c r="DH37" s="1063">
        <f>'P&amp;L'!DH43</f>
        <v>0</v>
      </c>
      <c r="DI37" s="1063">
        <f>'P&amp;L'!DI43</f>
        <v>0</v>
      </c>
      <c r="DJ37" s="1063">
        <f>'P&amp;L'!DJ43</f>
        <v>0</v>
      </c>
      <c r="DK37" s="1063">
        <f>'P&amp;L'!DK43</f>
        <v>0</v>
      </c>
      <c r="DL37" s="1063">
        <f>'P&amp;L'!DL43</f>
        <v>0</v>
      </c>
      <c r="DM37" s="1063">
        <f>'P&amp;L'!DM43</f>
        <v>0</v>
      </c>
      <c r="DN37" s="1063">
        <f>'P&amp;L'!DN43</f>
        <v>0</v>
      </c>
      <c r="DO37" s="1063">
        <f>'P&amp;L'!DO43</f>
        <v>0</v>
      </c>
      <c r="DP37" s="1063">
        <f>'P&amp;L'!DP43</f>
        <v>0</v>
      </c>
      <c r="DQ37" s="1063">
        <f>'P&amp;L'!DQ43</f>
        <v>0</v>
      </c>
      <c r="DR37" s="1063">
        <f>'P&amp;L'!DR43</f>
        <v>0</v>
      </c>
      <c r="DS37" s="1063">
        <f>'P&amp;L'!DS43</f>
        <v>0</v>
      </c>
      <c r="DT37" s="1063">
        <f>'P&amp;L'!DT43</f>
        <v>0</v>
      </c>
      <c r="DU37" s="1063">
        <f>'P&amp;L'!DU43</f>
        <v>0</v>
      </c>
      <c r="DV37" s="1063">
        <f>'P&amp;L'!DV43</f>
        <v>0</v>
      </c>
      <c r="DW37" s="1063">
        <f>'P&amp;L'!DW43</f>
        <v>0</v>
      </c>
    </row>
    <row r="38" spans="1:127" s="304" customFormat="1">
      <c r="A38" s="654" t="s">
        <v>1325</v>
      </c>
      <c r="B38" s="654"/>
      <c r="C38" s="654"/>
      <c r="G38" s="271">
        <v>0</v>
      </c>
      <c r="H38" s="271">
        <v>0</v>
      </c>
      <c r="I38" s="271">
        <v>0</v>
      </c>
      <c r="J38" s="271">
        <v>0</v>
      </c>
      <c r="K38" s="271">
        <v>0</v>
      </c>
      <c r="L38" s="271">
        <v>0</v>
      </c>
      <c r="M38" s="271">
        <v>8.9040490955094818</v>
      </c>
      <c r="N38" s="271">
        <v>0</v>
      </c>
      <c r="O38" s="271">
        <v>31.336962777804274</v>
      </c>
      <c r="P38" s="271">
        <v>0</v>
      </c>
      <c r="Q38" s="271">
        <v>54.454350041205764</v>
      </c>
      <c r="R38" s="271">
        <v>0</v>
      </c>
      <c r="S38" s="271">
        <v>78.215568397135684</v>
      </c>
      <c r="T38" s="271">
        <v>0</v>
      </c>
      <c r="U38" s="271">
        <v>104.29075994632126</v>
      </c>
      <c r="V38" s="271">
        <v>0</v>
      </c>
      <c r="W38" s="271">
        <v>131.51136796406126</v>
      </c>
      <c r="X38" s="271">
        <v>0</v>
      </c>
      <c r="Y38" s="271">
        <v>160.43809095155504</v>
      </c>
      <c r="Z38" s="271">
        <v>0</v>
      </c>
      <c r="AA38" s="271">
        <v>190.87897685546332</v>
      </c>
      <c r="AB38" s="271">
        <v>0</v>
      </c>
      <c r="AC38" s="271">
        <v>184.43495072012698</v>
      </c>
      <c r="AD38" s="271">
        <v>0</v>
      </c>
      <c r="AE38" s="271">
        <v>217.1428458446205</v>
      </c>
      <c r="AF38" s="271">
        <v>0</v>
      </c>
      <c r="AG38" s="271">
        <v>285.10673595316121</v>
      </c>
      <c r="AH38" s="271">
        <v>0</v>
      </c>
      <c r="AI38" s="271">
        <v>301.61782354670004</v>
      </c>
      <c r="AJ38" s="271">
        <v>0</v>
      </c>
      <c r="AK38" s="271">
        <v>303.21185389188378</v>
      </c>
      <c r="AL38" s="271">
        <v>0</v>
      </c>
      <c r="AM38" s="271">
        <v>296.00147132863373</v>
      </c>
      <c r="AN38" s="271">
        <v>0</v>
      </c>
      <c r="AO38" s="271">
        <v>307.13463387925572</v>
      </c>
      <c r="AP38" s="271">
        <v>0</v>
      </c>
      <c r="AQ38" s="271">
        <v>318.09934509444628</v>
      </c>
      <c r="AR38" s="271">
        <v>0</v>
      </c>
      <c r="AS38" s="271">
        <v>328.90719150744792</v>
      </c>
      <c r="AT38" s="271">
        <v>0</v>
      </c>
      <c r="AU38" s="271">
        <v>339.7135147660253</v>
      </c>
      <c r="AV38" s="271">
        <v>0</v>
      </c>
      <c r="AW38" s="271">
        <v>634.47309204838393</v>
      </c>
      <c r="AX38" s="271">
        <v>0</v>
      </c>
      <c r="AY38" s="271">
        <v>647.51332661413426</v>
      </c>
      <c r="AZ38" s="271">
        <v>0</v>
      </c>
      <c r="BA38" s="271">
        <v>657.85839401660292</v>
      </c>
      <c r="BB38" s="271">
        <v>0</v>
      </c>
      <c r="BC38" s="271">
        <v>670.59382761203005</v>
      </c>
      <c r="BD38" s="271">
        <v>0</v>
      </c>
      <c r="BE38" s="271">
        <v>683.23746400492189</v>
      </c>
      <c r="BF38" s="271">
        <v>0</v>
      </c>
      <c r="BG38" s="271">
        <v>691.69510998976193</v>
      </c>
      <c r="BH38" s="271">
        <v>0</v>
      </c>
      <c r="BI38" s="271">
        <v>698.25516247954351</v>
      </c>
      <c r="BJ38" s="271">
        <v>0</v>
      </c>
      <c r="BK38" s="271">
        <v>702.00910795234142</v>
      </c>
      <c r="BL38" s="271">
        <v>0</v>
      </c>
      <c r="BM38" s="271">
        <v>705.33589939700096</v>
      </c>
      <c r="BN38" s="271">
        <v>0</v>
      </c>
      <c r="BO38" s="271">
        <v>710.71645376886977</v>
      </c>
      <c r="BP38" s="271">
        <v>0</v>
      </c>
      <c r="BQ38" s="271">
        <v>0</v>
      </c>
      <c r="BR38" s="271">
        <v>0</v>
      </c>
      <c r="BS38" s="271">
        <v>0</v>
      </c>
      <c r="BT38" s="271">
        <v>0</v>
      </c>
      <c r="BU38" s="271">
        <v>0</v>
      </c>
      <c r="BV38" s="271">
        <v>0</v>
      </c>
      <c r="BW38" s="271">
        <v>0</v>
      </c>
      <c r="BX38" s="271">
        <v>0</v>
      </c>
      <c r="BY38" s="271">
        <v>0</v>
      </c>
      <c r="BZ38" s="271">
        <v>0</v>
      </c>
      <c r="CA38" s="271">
        <v>0</v>
      </c>
      <c r="CB38" s="271">
        <v>0</v>
      </c>
      <c r="CC38" s="271">
        <v>0</v>
      </c>
      <c r="CD38" s="271">
        <v>0</v>
      </c>
      <c r="CE38" s="271">
        <v>0</v>
      </c>
      <c r="CF38" s="271">
        <v>0</v>
      </c>
      <c r="CG38" s="271">
        <v>0</v>
      </c>
      <c r="CH38" s="271">
        <v>0</v>
      </c>
      <c r="CI38" s="271">
        <v>0</v>
      </c>
      <c r="CJ38" s="271">
        <v>0</v>
      </c>
      <c r="CK38" s="271">
        <v>0</v>
      </c>
      <c r="CL38" s="271">
        <v>0</v>
      </c>
      <c r="CM38" s="271">
        <v>0</v>
      </c>
      <c r="CN38" s="271">
        <v>0</v>
      </c>
      <c r="CO38" s="271">
        <v>0</v>
      </c>
      <c r="CP38" s="271">
        <v>0</v>
      </c>
      <c r="CQ38" s="271">
        <v>0</v>
      </c>
      <c r="CR38" s="271">
        <v>0</v>
      </c>
      <c r="CS38" s="271">
        <v>0</v>
      </c>
      <c r="CT38" s="271">
        <v>0</v>
      </c>
      <c r="CU38" s="271">
        <v>0</v>
      </c>
      <c r="CV38" s="271">
        <v>0</v>
      </c>
      <c r="CW38" s="271">
        <v>0</v>
      </c>
      <c r="CX38" s="271">
        <v>0</v>
      </c>
      <c r="CY38" s="271">
        <v>0</v>
      </c>
      <c r="CZ38" s="271">
        <v>0</v>
      </c>
      <c r="DA38" s="271">
        <v>0</v>
      </c>
      <c r="DB38" s="271">
        <v>0</v>
      </c>
      <c r="DC38" s="271">
        <v>0</v>
      </c>
      <c r="DD38" s="271">
        <v>0</v>
      </c>
      <c r="DE38" s="271">
        <v>0</v>
      </c>
      <c r="DF38" s="271">
        <v>0</v>
      </c>
      <c r="DG38" s="271">
        <v>0</v>
      </c>
      <c r="DH38" s="271">
        <v>0</v>
      </c>
      <c r="DI38" s="271">
        <v>0</v>
      </c>
      <c r="DJ38" s="271">
        <v>0</v>
      </c>
      <c r="DK38" s="271">
        <v>0</v>
      </c>
      <c r="DL38" s="271">
        <v>0</v>
      </c>
      <c r="DM38" s="271">
        <v>0</v>
      </c>
      <c r="DN38" s="271">
        <v>0</v>
      </c>
      <c r="DO38" s="271">
        <v>0</v>
      </c>
      <c r="DP38" s="271">
        <v>0</v>
      </c>
      <c r="DQ38" s="271">
        <v>0</v>
      </c>
      <c r="DR38" s="271">
        <v>0</v>
      </c>
      <c r="DS38" s="271">
        <v>0</v>
      </c>
      <c r="DT38" s="271">
        <v>0</v>
      </c>
      <c r="DU38" s="271">
        <v>0</v>
      </c>
      <c r="DV38" s="271">
        <v>0</v>
      </c>
      <c r="DW38" s="271">
        <v>0</v>
      </c>
    </row>
    <row r="39" spans="1:127" s="304" customFormat="1">
      <c r="A39" s="654" t="s">
        <v>1326</v>
      </c>
      <c r="B39" s="654"/>
      <c r="C39" s="654"/>
      <c r="D39" s="654"/>
      <c r="E39" s="654"/>
      <c r="F39" s="396"/>
      <c r="G39" s="271">
        <v>0</v>
      </c>
      <c r="H39" s="271">
        <v>0</v>
      </c>
      <c r="I39" s="271">
        <v>0</v>
      </c>
      <c r="J39" s="271">
        <v>0</v>
      </c>
      <c r="K39" s="271">
        <v>0</v>
      </c>
      <c r="L39" s="271">
        <v>0</v>
      </c>
      <c r="M39" s="271">
        <v>8.9040490955094818</v>
      </c>
      <c r="N39" s="271">
        <v>0</v>
      </c>
      <c r="O39" s="271">
        <v>31.336962777804263</v>
      </c>
      <c r="P39" s="271">
        <v>0</v>
      </c>
      <c r="Q39" s="271">
        <v>54.454350041205771</v>
      </c>
      <c r="R39" s="271">
        <v>0</v>
      </c>
      <c r="S39" s="271">
        <v>78.215568397135669</v>
      </c>
      <c r="T39" s="271">
        <v>0</v>
      </c>
      <c r="U39" s="271">
        <v>104.29075994632126</v>
      </c>
      <c r="V39" s="271">
        <v>0</v>
      </c>
      <c r="W39" s="271">
        <v>131.51136796406126</v>
      </c>
      <c r="X39" s="271">
        <v>0</v>
      </c>
      <c r="Y39" s="271">
        <v>160.43809095155507</v>
      </c>
      <c r="Z39" s="271">
        <v>0</v>
      </c>
      <c r="AA39" s="271">
        <v>190.87897685546332</v>
      </c>
      <c r="AB39" s="271">
        <v>0</v>
      </c>
      <c r="AC39" s="271">
        <v>184.43495072012698</v>
      </c>
      <c r="AD39" s="271">
        <v>0</v>
      </c>
      <c r="AE39" s="271">
        <v>217.14284584462052</v>
      </c>
      <c r="AF39" s="271">
        <v>0</v>
      </c>
      <c r="AG39" s="271">
        <v>140.25217323202986</v>
      </c>
      <c r="AH39" s="271">
        <v>0</v>
      </c>
      <c r="AI39" s="271">
        <v>151.28020587818779</v>
      </c>
      <c r="AJ39" s="271">
        <v>0</v>
      </c>
      <c r="AK39" s="271">
        <v>146.95901466301217</v>
      </c>
      <c r="AL39" s="271">
        <v>0</v>
      </c>
      <c r="AM39" s="271">
        <v>135.51063643669053</v>
      </c>
      <c r="AN39" s="271">
        <v>0</v>
      </c>
      <c r="AO39" s="271">
        <v>145.53646635888541</v>
      </c>
      <c r="AP39" s="271">
        <v>0</v>
      </c>
      <c r="AQ39" s="271">
        <v>155.50286509665563</v>
      </c>
      <c r="AR39" s="271">
        <v>0</v>
      </c>
      <c r="AS39" s="271">
        <v>165.38549470818108</v>
      </c>
      <c r="AT39" s="271">
        <v>0</v>
      </c>
      <c r="AU39" s="271">
        <v>175.28940508463967</v>
      </c>
      <c r="AV39" s="271">
        <v>0</v>
      </c>
      <c r="AW39" s="271">
        <v>464.2907225794886</v>
      </c>
      <c r="AX39" s="271">
        <v>0</v>
      </c>
      <c r="AY39" s="271">
        <v>468.05305783395983</v>
      </c>
      <c r="AZ39" s="271">
        <v>0</v>
      </c>
      <c r="BA39" s="271">
        <v>469.50252122886855</v>
      </c>
      <c r="BB39" s="271">
        <v>0</v>
      </c>
      <c r="BC39" s="271">
        <v>472.6095261376945</v>
      </c>
      <c r="BD39" s="271">
        <v>0</v>
      </c>
      <c r="BE39" s="271">
        <v>475.72582059903419</v>
      </c>
      <c r="BF39" s="271">
        <v>0</v>
      </c>
      <c r="BG39" s="271">
        <v>478.22013936198891</v>
      </c>
      <c r="BH39" s="271">
        <v>0</v>
      </c>
      <c r="BI39" s="271">
        <v>481.74792443197839</v>
      </c>
      <c r="BJ39" s="271">
        <v>0</v>
      </c>
      <c r="BK39" s="271">
        <v>483.09675583000939</v>
      </c>
      <c r="BL39" s="271">
        <v>0</v>
      </c>
      <c r="BM39" s="271">
        <v>484.08205725235024</v>
      </c>
      <c r="BN39" s="271">
        <v>0</v>
      </c>
      <c r="BO39" s="271">
        <v>486.59219968892285</v>
      </c>
      <c r="BP39" s="271">
        <v>0</v>
      </c>
      <c r="BQ39" s="271">
        <v>0</v>
      </c>
      <c r="BR39" s="271">
        <v>0</v>
      </c>
      <c r="BS39" s="271">
        <v>0</v>
      </c>
      <c r="BT39" s="271">
        <v>0</v>
      </c>
      <c r="BU39" s="271">
        <v>0</v>
      </c>
      <c r="BV39" s="271">
        <v>0</v>
      </c>
      <c r="BW39" s="271">
        <v>0</v>
      </c>
      <c r="BX39" s="271">
        <v>0</v>
      </c>
      <c r="BY39" s="271">
        <v>0</v>
      </c>
      <c r="BZ39" s="271">
        <v>0</v>
      </c>
      <c r="CA39" s="271">
        <v>0</v>
      </c>
      <c r="CB39" s="271">
        <v>0</v>
      </c>
      <c r="CC39" s="271">
        <v>0</v>
      </c>
      <c r="CD39" s="271">
        <v>0</v>
      </c>
      <c r="CE39" s="271">
        <v>0</v>
      </c>
      <c r="CF39" s="271">
        <v>0</v>
      </c>
      <c r="CG39" s="271">
        <v>0</v>
      </c>
      <c r="CH39" s="271">
        <v>0</v>
      </c>
      <c r="CI39" s="271">
        <v>0</v>
      </c>
      <c r="CJ39" s="271">
        <v>0</v>
      </c>
      <c r="CK39" s="271">
        <v>0</v>
      </c>
      <c r="CL39" s="271">
        <v>0</v>
      </c>
      <c r="CM39" s="271">
        <v>0</v>
      </c>
      <c r="CN39" s="271">
        <v>0</v>
      </c>
      <c r="CO39" s="271">
        <v>0</v>
      </c>
      <c r="CP39" s="271">
        <v>0</v>
      </c>
      <c r="CQ39" s="271">
        <v>0</v>
      </c>
      <c r="CR39" s="271">
        <v>0</v>
      </c>
      <c r="CS39" s="271">
        <v>0</v>
      </c>
      <c r="CT39" s="271">
        <v>0</v>
      </c>
      <c r="CU39" s="271">
        <v>0</v>
      </c>
      <c r="CV39" s="271">
        <v>0</v>
      </c>
      <c r="CW39" s="271">
        <v>0</v>
      </c>
      <c r="CX39" s="271">
        <v>0</v>
      </c>
      <c r="CY39" s="271">
        <v>0</v>
      </c>
      <c r="CZ39" s="271">
        <v>0</v>
      </c>
      <c r="DA39" s="271">
        <v>0</v>
      </c>
      <c r="DB39" s="271">
        <v>0</v>
      </c>
      <c r="DC39" s="271">
        <v>0</v>
      </c>
      <c r="DD39" s="271">
        <v>0</v>
      </c>
      <c r="DE39" s="271">
        <v>0</v>
      </c>
      <c r="DF39" s="271">
        <v>0</v>
      </c>
      <c r="DG39" s="271">
        <v>0</v>
      </c>
      <c r="DH39" s="271">
        <v>0</v>
      </c>
      <c r="DI39" s="271">
        <v>0</v>
      </c>
      <c r="DJ39" s="271">
        <v>0</v>
      </c>
      <c r="DK39" s="271">
        <v>0</v>
      </c>
      <c r="DL39" s="271">
        <v>0</v>
      </c>
      <c r="DM39" s="271">
        <v>0</v>
      </c>
      <c r="DN39" s="271">
        <v>0</v>
      </c>
      <c r="DO39" s="271">
        <v>0</v>
      </c>
      <c r="DP39" s="271">
        <v>0</v>
      </c>
      <c r="DQ39" s="271">
        <v>0</v>
      </c>
      <c r="DR39" s="271">
        <v>0</v>
      </c>
      <c r="DS39" s="271">
        <v>0</v>
      </c>
      <c r="DT39" s="271">
        <v>0</v>
      </c>
      <c r="DU39" s="271">
        <v>0</v>
      </c>
      <c r="DV39" s="271">
        <v>0</v>
      </c>
      <c r="DW39" s="271">
        <v>0</v>
      </c>
    </row>
    <row r="40" spans="1:127">
      <c r="A40" s="304" t="s">
        <v>1320</v>
      </c>
      <c r="G40" s="459">
        <f t="shared" ref="G40:AL40" si="0">IF(Production_Scenario=base_scenario,G38,G39)</f>
        <v>0</v>
      </c>
      <c r="H40" s="459">
        <f t="shared" si="0"/>
        <v>0</v>
      </c>
      <c r="I40" s="459">
        <f t="shared" si="0"/>
        <v>0</v>
      </c>
      <c r="J40" s="459">
        <f t="shared" si="0"/>
        <v>0</v>
      </c>
      <c r="K40" s="459">
        <f t="shared" si="0"/>
        <v>0</v>
      </c>
      <c r="L40" s="459">
        <f t="shared" si="0"/>
        <v>0</v>
      </c>
      <c r="M40" s="459">
        <f t="shared" si="0"/>
        <v>8.9040490955094818</v>
      </c>
      <c r="N40" s="459">
        <f t="shared" si="0"/>
        <v>0</v>
      </c>
      <c r="O40" s="459">
        <f t="shared" si="0"/>
        <v>31.336962777804274</v>
      </c>
      <c r="P40" s="459">
        <f t="shared" si="0"/>
        <v>0</v>
      </c>
      <c r="Q40" s="459">
        <f t="shared" si="0"/>
        <v>54.454350041205764</v>
      </c>
      <c r="R40" s="459">
        <f t="shared" si="0"/>
        <v>0</v>
      </c>
      <c r="S40" s="459">
        <f t="shared" si="0"/>
        <v>78.215568397135684</v>
      </c>
      <c r="T40" s="459">
        <f t="shared" si="0"/>
        <v>0</v>
      </c>
      <c r="U40" s="459">
        <f t="shared" si="0"/>
        <v>104.29075994632126</v>
      </c>
      <c r="V40" s="459">
        <f t="shared" si="0"/>
        <v>0</v>
      </c>
      <c r="W40" s="459">
        <f t="shared" si="0"/>
        <v>131.51136796406126</v>
      </c>
      <c r="X40" s="459">
        <f t="shared" si="0"/>
        <v>0</v>
      </c>
      <c r="Y40" s="459">
        <f t="shared" si="0"/>
        <v>160.43809095155504</v>
      </c>
      <c r="Z40" s="459">
        <f t="shared" si="0"/>
        <v>0</v>
      </c>
      <c r="AA40" s="459">
        <f t="shared" si="0"/>
        <v>190.87897685546332</v>
      </c>
      <c r="AB40" s="459">
        <f t="shared" si="0"/>
        <v>0</v>
      </c>
      <c r="AC40" s="459">
        <f t="shared" si="0"/>
        <v>184.43495072012698</v>
      </c>
      <c r="AD40" s="459">
        <f t="shared" si="0"/>
        <v>0</v>
      </c>
      <c r="AE40" s="459">
        <f t="shared" si="0"/>
        <v>217.1428458446205</v>
      </c>
      <c r="AF40" s="459">
        <f t="shared" si="0"/>
        <v>0</v>
      </c>
      <c r="AG40" s="459">
        <f t="shared" si="0"/>
        <v>285.10673595316121</v>
      </c>
      <c r="AH40" s="459">
        <f t="shared" si="0"/>
        <v>0</v>
      </c>
      <c r="AI40" s="459">
        <f t="shared" si="0"/>
        <v>301.61782354670004</v>
      </c>
      <c r="AJ40" s="459">
        <f t="shared" si="0"/>
        <v>0</v>
      </c>
      <c r="AK40" s="459">
        <f t="shared" si="0"/>
        <v>303.21185389188378</v>
      </c>
      <c r="AL40" s="459">
        <f t="shared" si="0"/>
        <v>0</v>
      </c>
      <c r="AM40" s="459">
        <f t="shared" ref="AM40:BR40" si="1">IF(Production_Scenario=base_scenario,AM38,AM39)</f>
        <v>296.00147132863373</v>
      </c>
      <c r="AN40" s="459">
        <f t="shared" si="1"/>
        <v>0</v>
      </c>
      <c r="AO40" s="459">
        <f t="shared" si="1"/>
        <v>307.13463387925572</v>
      </c>
      <c r="AP40" s="459">
        <f t="shared" si="1"/>
        <v>0</v>
      </c>
      <c r="AQ40" s="459">
        <f t="shared" si="1"/>
        <v>318.09934509444628</v>
      </c>
      <c r="AR40" s="459">
        <f t="shared" si="1"/>
        <v>0</v>
      </c>
      <c r="AS40" s="459">
        <f t="shared" si="1"/>
        <v>328.90719150744792</v>
      </c>
      <c r="AT40" s="459">
        <f t="shared" si="1"/>
        <v>0</v>
      </c>
      <c r="AU40" s="459">
        <f t="shared" si="1"/>
        <v>339.7135147660253</v>
      </c>
      <c r="AV40" s="459">
        <f t="shared" si="1"/>
        <v>0</v>
      </c>
      <c r="AW40" s="459">
        <f t="shared" si="1"/>
        <v>634.47309204838393</v>
      </c>
      <c r="AX40" s="459">
        <f t="shared" si="1"/>
        <v>0</v>
      </c>
      <c r="AY40" s="459">
        <f t="shared" si="1"/>
        <v>647.51332661413426</v>
      </c>
      <c r="AZ40" s="459">
        <f t="shared" si="1"/>
        <v>0</v>
      </c>
      <c r="BA40" s="459">
        <f t="shared" si="1"/>
        <v>657.85839401660292</v>
      </c>
      <c r="BB40" s="459">
        <f t="shared" si="1"/>
        <v>0</v>
      </c>
      <c r="BC40" s="459">
        <f t="shared" si="1"/>
        <v>670.59382761203005</v>
      </c>
      <c r="BD40" s="459">
        <f t="shared" si="1"/>
        <v>0</v>
      </c>
      <c r="BE40" s="459">
        <f t="shared" si="1"/>
        <v>683.23746400492189</v>
      </c>
      <c r="BF40" s="459">
        <f t="shared" si="1"/>
        <v>0</v>
      </c>
      <c r="BG40" s="459">
        <f t="shared" si="1"/>
        <v>691.69510998976193</v>
      </c>
      <c r="BH40" s="459">
        <f t="shared" si="1"/>
        <v>0</v>
      </c>
      <c r="BI40" s="459">
        <f t="shared" si="1"/>
        <v>698.25516247954351</v>
      </c>
      <c r="BJ40" s="459">
        <f t="shared" si="1"/>
        <v>0</v>
      </c>
      <c r="BK40" s="459">
        <f t="shared" si="1"/>
        <v>702.00910795234142</v>
      </c>
      <c r="BL40" s="459">
        <f t="shared" si="1"/>
        <v>0</v>
      </c>
      <c r="BM40" s="459">
        <f t="shared" si="1"/>
        <v>705.33589939700096</v>
      </c>
      <c r="BN40" s="459">
        <f t="shared" si="1"/>
        <v>0</v>
      </c>
      <c r="BO40" s="459">
        <f t="shared" si="1"/>
        <v>710.71645376886977</v>
      </c>
      <c r="BP40" s="459">
        <f t="shared" si="1"/>
        <v>0</v>
      </c>
      <c r="BQ40" s="459">
        <f t="shared" si="1"/>
        <v>0</v>
      </c>
      <c r="BR40" s="459">
        <f t="shared" si="1"/>
        <v>0</v>
      </c>
      <c r="BS40" s="459">
        <f t="shared" ref="BS40:CX40" si="2">IF(Production_Scenario=base_scenario,BS38,BS39)</f>
        <v>0</v>
      </c>
      <c r="BT40" s="459">
        <f t="shared" si="2"/>
        <v>0</v>
      </c>
      <c r="BU40" s="459">
        <f t="shared" si="2"/>
        <v>0</v>
      </c>
      <c r="BV40" s="459">
        <f t="shared" si="2"/>
        <v>0</v>
      </c>
      <c r="BW40" s="459">
        <f t="shared" si="2"/>
        <v>0</v>
      </c>
      <c r="BX40" s="459">
        <f t="shared" si="2"/>
        <v>0</v>
      </c>
      <c r="BY40" s="459">
        <f t="shared" si="2"/>
        <v>0</v>
      </c>
      <c r="BZ40" s="459">
        <f t="shared" si="2"/>
        <v>0</v>
      </c>
      <c r="CA40" s="459">
        <f t="shared" si="2"/>
        <v>0</v>
      </c>
      <c r="CB40" s="459">
        <f t="shared" si="2"/>
        <v>0</v>
      </c>
      <c r="CC40" s="459">
        <f t="shared" si="2"/>
        <v>0</v>
      </c>
      <c r="CD40" s="459">
        <f t="shared" si="2"/>
        <v>0</v>
      </c>
      <c r="CE40" s="459">
        <f t="shared" si="2"/>
        <v>0</v>
      </c>
      <c r="CF40" s="459">
        <f t="shared" si="2"/>
        <v>0</v>
      </c>
      <c r="CG40" s="459">
        <f t="shared" si="2"/>
        <v>0</v>
      </c>
      <c r="CH40" s="459">
        <f t="shared" si="2"/>
        <v>0</v>
      </c>
      <c r="CI40" s="459">
        <f t="shared" si="2"/>
        <v>0</v>
      </c>
      <c r="CJ40" s="459">
        <f t="shared" si="2"/>
        <v>0</v>
      </c>
      <c r="CK40" s="459">
        <f t="shared" si="2"/>
        <v>0</v>
      </c>
      <c r="CL40" s="459">
        <f t="shared" si="2"/>
        <v>0</v>
      </c>
      <c r="CM40" s="459">
        <f t="shared" si="2"/>
        <v>0</v>
      </c>
      <c r="CN40" s="459">
        <f t="shared" si="2"/>
        <v>0</v>
      </c>
      <c r="CO40" s="459">
        <f t="shared" si="2"/>
        <v>0</v>
      </c>
      <c r="CP40" s="459">
        <f t="shared" si="2"/>
        <v>0</v>
      </c>
      <c r="CQ40" s="459">
        <f t="shared" si="2"/>
        <v>0</v>
      </c>
      <c r="CR40" s="459">
        <f t="shared" si="2"/>
        <v>0</v>
      </c>
      <c r="CS40" s="459">
        <f t="shared" si="2"/>
        <v>0</v>
      </c>
      <c r="CT40" s="459">
        <f t="shared" si="2"/>
        <v>0</v>
      </c>
      <c r="CU40" s="459">
        <f t="shared" si="2"/>
        <v>0</v>
      </c>
      <c r="CV40" s="459">
        <f t="shared" si="2"/>
        <v>0</v>
      </c>
      <c r="CW40" s="459">
        <f t="shared" si="2"/>
        <v>0</v>
      </c>
      <c r="CX40" s="459">
        <f t="shared" si="2"/>
        <v>0</v>
      </c>
      <c r="CY40" s="459">
        <f t="shared" ref="CY40:DW40" si="3">IF(Production_Scenario=base_scenario,CY38,CY39)</f>
        <v>0</v>
      </c>
      <c r="CZ40" s="459">
        <f t="shared" si="3"/>
        <v>0</v>
      </c>
      <c r="DA40" s="459">
        <f t="shared" si="3"/>
        <v>0</v>
      </c>
      <c r="DB40" s="459">
        <f t="shared" si="3"/>
        <v>0</v>
      </c>
      <c r="DC40" s="459">
        <f t="shared" si="3"/>
        <v>0</v>
      </c>
      <c r="DD40" s="459">
        <f t="shared" si="3"/>
        <v>0</v>
      </c>
      <c r="DE40" s="459">
        <f t="shared" si="3"/>
        <v>0</v>
      </c>
      <c r="DF40" s="459">
        <f t="shared" si="3"/>
        <v>0</v>
      </c>
      <c r="DG40" s="459">
        <f t="shared" si="3"/>
        <v>0</v>
      </c>
      <c r="DH40" s="459">
        <f t="shared" si="3"/>
        <v>0</v>
      </c>
      <c r="DI40" s="459">
        <f t="shared" si="3"/>
        <v>0</v>
      </c>
      <c r="DJ40" s="459">
        <f t="shared" si="3"/>
        <v>0</v>
      </c>
      <c r="DK40" s="459">
        <f t="shared" si="3"/>
        <v>0</v>
      </c>
      <c r="DL40" s="459">
        <f t="shared" si="3"/>
        <v>0</v>
      </c>
      <c r="DM40" s="459">
        <f t="shared" si="3"/>
        <v>0</v>
      </c>
      <c r="DN40" s="459">
        <f t="shared" si="3"/>
        <v>0</v>
      </c>
      <c r="DO40" s="459">
        <f t="shared" si="3"/>
        <v>0</v>
      </c>
      <c r="DP40" s="459">
        <f t="shared" si="3"/>
        <v>0</v>
      </c>
      <c r="DQ40" s="459">
        <f t="shared" si="3"/>
        <v>0</v>
      </c>
      <c r="DR40" s="459">
        <f t="shared" si="3"/>
        <v>0</v>
      </c>
      <c r="DS40" s="459">
        <f t="shared" si="3"/>
        <v>0</v>
      </c>
      <c r="DT40" s="459">
        <f t="shared" si="3"/>
        <v>0</v>
      </c>
      <c r="DU40" s="459">
        <f t="shared" si="3"/>
        <v>0</v>
      </c>
      <c r="DV40" s="459">
        <f t="shared" si="3"/>
        <v>0</v>
      </c>
      <c r="DW40" s="459">
        <f t="shared" si="3"/>
        <v>0</v>
      </c>
    </row>
    <row r="42" spans="1:127">
      <c r="A42" s="649" t="s">
        <v>1327</v>
      </c>
      <c r="B42" s="650"/>
      <c r="C42" s="650"/>
      <c r="D42" s="650"/>
      <c r="E42" s="400">
        <f>ABS(SUM(IF(Production_Scenario=base_scenario,localtax_in,localtax_sizing_in))-SUM(localtax_out))</f>
        <v>0</v>
      </c>
      <c r="F42" s="650"/>
    </row>
    <row r="43" spans="1:127" s="304" customFormat="1">
      <c r="A43" s="304" t="s">
        <v>1319</v>
      </c>
      <c r="B43" s="311"/>
      <c r="C43" s="311"/>
      <c r="D43" s="311"/>
      <c r="E43" s="311"/>
      <c r="F43" s="311"/>
      <c r="G43" s="945">
        <f>SUM(CF!G74:G74)</f>
        <v>0</v>
      </c>
      <c r="H43" s="945">
        <f>SUM(CF!H74:H74)</f>
        <v>0</v>
      </c>
      <c r="I43" s="945">
        <f>SUM(CF!I74:I74)</f>
        <v>0</v>
      </c>
      <c r="J43" s="945">
        <f>SUM(CF!J74:J74)</f>
        <v>0</v>
      </c>
      <c r="K43" s="945">
        <f>SUM(CF!K74:K74)</f>
        <v>0</v>
      </c>
      <c r="L43" s="945">
        <f>SUM(CF!L74:L74)</f>
        <v>0</v>
      </c>
      <c r="M43" s="945">
        <f>SUM(CF!M74:M74)</f>
        <v>0</v>
      </c>
      <c r="N43" s="945">
        <f>SUM(CF!N74:N74)</f>
        <v>0</v>
      </c>
      <c r="O43" s="945">
        <f>SUM(CF!O74:O74)</f>
        <v>0</v>
      </c>
      <c r="P43" s="945">
        <f>SUM(CF!P74:P74)</f>
        <v>0</v>
      </c>
      <c r="Q43" s="945">
        <f>SUM(CF!Q74:Q74)</f>
        <v>0</v>
      </c>
      <c r="R43" s="945">
        <f>SUM(CF!R74:R74)</f>
        <v>0</v>
      </c>
      <c r="S43" s="945">
        <f>SUM(CF!S74:S74)</f>
        <v>0</v>
      </c>
      <c r="T43" s="945">
        <f>SUM(CF!T74:T74)</f>
        <v>0</v>
      </c>
      <c r="U43" s="945">
        <f>SUM(CF!U74:U74)</f>
        <v>0</v>
      </c>
      <c r="V43" s="945">
        <f>SUM(CF!V74:V74)</f>
        <v>0</v>
      </c>
      <c r="W43" s="945">
        <f>SUM(CF!W74:W74)</f>
        <v>0</v>
      </c>
      <c r="X43" s="945">
        <f>SUM(CF!X74:X74)</f>
        <v>0</v>
      </c>
      <c r="Y43" s="945">
        <f>SUM(CF!Y74:Y74)</f>
        <v>0</v>
      </c>
      <c r="Z43" s="945">
        <f>SUM(CF!Z74:Z74)</f>
        <v>0</v>
      </c>
      <c r="AA43" s="945">
        <f>SUM(CF!AA74:AA74)</f>
        <v>0</v>
      </c>
      <c r="AB43" s="945">
        <f>SUM(CF!AB74:AB74)</f>
        <v>0</v>
      </c>
      <c r="AC43" s="945">
        <f>SUM(CF!AC74:AC74)</f>
        <v>0</v>
      </c>
      <c r="AD43" s="945">
        <f>SUM(CF!AD74:AD74)</f>
        <v>0</v>
      </c>
      <c r="AE43" s="945">
        <f>SUM(CF!AE74:AE74)</f>
        <v>0</v>
      </c>
      <c r="AF43" s="945">
        <f>SUM(CF!AF74:AF74)</f>
        <v>0</v>
      </c>
      <c r="AG43" s="945">
        <f>SUM(CF!AG74:AG74)</f>
        <v>0</v>
      </c>
      <c r="AH43" s="945">
        <f>SUM(CF!AH74:AH74)</f>
        <v>0</v>
      </c>
      <c r="AI43" s="945">
        <f>SUM(CF!AI74:AI74)</f>
        <v>0</v>
      </c>
      <c r="AJ43" s="945">
        <f>SUM(CF!AJ74:AJ74)</f>
        <v>0</v>
      </c>
      <c r="AK43" s="945">
        <f>SUM(CF!AK74:AK74)</f>
        <v>0</v>
      </c>
      <c r="AL43" s="945">
        <f>SUM(CF!AL74:AL74)</f>
        <v>0</v>
      </c>
      <c r="AM43" s="945">
        <f>SUM(CF!AM74:AM74)</f>
        <v>0</v>
      </c>
      <c r="AN43" s="945">
        <f>SUM(CF!AN74:AN74)</f>
        <v>0</v>
      </c>
      <c r="AO43" s="945">
        <f>SUM(CF!AO74:AO74)</f>
        <v>0</v>
      </c>
      <c r="AP43" s="945">
        <f>SUM(CF!AP74:AP74)</f>
        <v>0</v>
      </c>
      <c r="AQ43" s="945">
        <f>SUM(CF!AQ74:AQ74)</f>
        <v>0</v>
      </c>
      <c r="AR43" s="945">
        <f>SUM(CF!AR74:AR74)</f>
        <v>0</v>
      </c>
      <c r="AS43" s="945">
        <f>SUM(CF!AS74:AS74)</f>
        <v>0</v>
      </c>
      <c r="AT43" s="945">
        <f>SUM(CF!AT74:AT74)</f>
        <v>0</v>
      </c>
      <c r="AU43" s="945">
        <f>SUM(CF!AU74:AU74)</f>
        <v>0</v>
      </c>
      <c r="AV43" s="945">
        <f>SUM(CF!AV74:AV74)</f>
        <v>0</v>
      </c>
      <c r="AW43" s="945">
        <f>SUM(CF!AW74:AW74)</f>
        <v>0</v>
      </c>
      <c r="AX43" s="945">
        <f>SUM(CF!AX74:AX74)</f>
        <v>0</v>
      </c>
      <c r="AY43" s="945">
        <f>SUM(CF!AY74:AY74)</f>
        <v>0</v>
      </c>
      <c r="AZ43" s="945">
        <f>SUM(CF!AZ74:AZ74)</f>
        <v>0</v>
      </c>
      <c r="BA43" s="945">
        <f>SUM(CF!BA74:BA74)</f>
        <v>0</v>
      </c>
      <c r="BB43" s="945">
        <f>SUM(CF!BB74:BB74)</f>
        <v>0</v>
      </c>
      <c r="BC43" s="945">
        <f>SUM(CF!BC74:BC74)</f>
        <v>0</v>
      </c>
      <c r="BD43" s="945">
        <f>SUM(CF!BD74:BD74)</f>
        <v>0</v>
      </c>
      <c r="BE43" s="945">
        <f>SUM(CF!BE74:BE74)</f>
        <v>0</v>
      </c>
      <c r="BF43" s="945">
        <f>SUM(CF!BF74:BF74)</f>
        <v>0</v>
      </c>
      <c r="BG43" s="945">
        <f>SUM(CF!BG74:BG74)</f>
        <v>0</v>
      </c>
      <c r="BH43" s="945">
        <f>SUM(CF!BH74:BH74)</f>
        <v>0</v>
      </c>
      <c r="BI43" s="945">
        <f>SUM(CF!BI74:BI74)</f>
        <v>0</v>
      </c>
      <c r="BJ43" s="945">
        <f>SUM(CF!BJ74:BJ74)</f>
        <v>0</v>
      </c>
      <c r="BK43" s="945">
        <f>SUM(CF!BK74:BK74)</f>
        <v>0</v>
      </c>
      <c r="BL43" s="945">
        <f>SUM(CF!BL74:BL74)</f>
        <v>0</v>
      </c>
      <c r="BM43" s="945">
        <f>SUM(CF!BM74:BM74)</f>
        <v>0</v>
      </c>
      <c r="BN43" s="945">
        <f>SUM(CF!BN74:BN74)</f>
        <v>0</v>
      </c>
      <c r="BO43" s="945">
        <f>SUM(CF!BO74:BO74)</f>
        <v>0</v>
      </c>
      <c r="BP43" s="945">
        <f>SUM(CF!BP74:BP74)</f>
        <v>0</v>
      </c>
      <c r="BQ43" s="945">
        <f>SUM(CF!BQ74:BQ74)</f>
        <v>0</v>
      </c>
      <c r="BR43" s="945">
        <f>SUM(CF!BR74:BR74)</f>
        <v>0</v>
      </c>
      <c r="BS43" s="945">
        <f>SUM(CF!BS74:BS74)</f>
        <v>0</v>
      </c>
      <c r="BT43" s="945">
        <f>SUM(CF!BT74:BT74)</f>
        <v>0</v>
      </c>
      <c r="BU43" s="945">
        <f>SUM(CF!BU74:BU74)</f>
        <v>0</v>
      </c>
      <c r="BV43" s="945">
        <f>SUM(CF!BV74:BV74)</f>
        <v>0</v>
      </c>
      <c r="BW43" s="945">
        <f>SUM(CF!BW74:BW74)</f>
        <v>0</v>
      </c>
      <c r="BX43" s="945">
        <f>SUM(CF!BX74:BX74)</f>
        <v>0</v>
      </c>
      <c r="BY43" s="945">
        <f>SUM(CF!BY74:BY74)</f>
        <v>0</v>
      </c>
      <c r="BZ43" s="945">
        <f>SUM(CF!BZ74:BZ74)</f>
        <v>0</v>
      </c>
      <c r="CA43" s="945">
        <f>SUM(CF!CA74:CA74)</f>
        <v>0</v>
      </c>
      <c r="CB43" s="945">
        <f>SUM(CF!CB74:CB74)</f>
        <v>0</v>
      </c>
      <c r="CC43" s="945">
        <f>SUM(CF!CC74:CC74)</f>
        <v>0</v>
      </c>
      <c r="CD43" s="945">
        <f>SUM(CF!CD74:CD74)</f>
        <v>0</v>
      </c>
      <c r="CE43" s="945">
        <f>SUM(CF!CE74:CE74)</f>
        <v>0</v>
      </c>
      <c r="CF43" s="945">
        <f>SUM(CF!CF74:CF74)</f>
        <v>0</v>
      </c>
      <c r="CG43" s="945">
        <f>SUM(CF!CG74:CG74)</f>
        <v>0</v>
      </c>
      <c r="CH43" s="945">
        <f>SUM(CF!CH74:CH74)</f>
        <v>0</v>
      </c>
      <c r="CI43" s="945">
        <f>SUM(CF!CI74:CI74)</f>
        <v>0</v>
      </c>
      <c r="CJ43" s="945">
        <f>SUM(CF!CJ74:CJ74)</f>
        <v>0</v>
      </c>
      <c r="CK43" s="945">
        <f>SUM(CF!CK74:CK74)</f>
        <v>0</v>
      </c>
      <c r="CL43" s="945">
        <f>SUM(CF!CL74:CL74)</f>
        <v>0</v>
      </c>
      <c r="CM43" s="945">
        <f>SUM(CF!CM74:CM74)</f>
        <v>0</v>
      </c>
      <c r="CN43" s="945">
        <f>SUM(CF!CN74:CN74)</f>
        <v>0</v>
      </c>
      <c r="CO43" s="945">
        <f>SUM(CF!CO74:CO74)</f>
        <v>0</v>
      </c>
      <c r="CP43" s="945">
        <f>SUM(CF!CP74:CP74)</f>
        <v>0</v>
      </c>
      <c r="CQ43" s="945">
        <f>SUM(CF!CQ74:CQ74)</f>
        <v>0</v>
      </c>
      <c r="CR43" s="945">
        <f>SUM(CF!CR74:CR74)</f>
        <v>0</v>
      </c>
      <c r="CS43" s="945">
        <f>SUM(CF!CS74:CS74)</f>
        <v>0</v>
      </c>
      <c r="CT43" s="945">
        <f>SUM(CF!CT74:CT74)</f>
        <v>0</v>
      </c>
      <c r="CU43" s="945">
        <f>SUM(CF!CU74:CU74)</f>
        <v>0</v>
      </c>
      <c r="CV43" s="945">
        <f>SUM(CF!CV74:CV74)</f>
        <v>0</v>
      </c>
      <c r="CW43" s="945">
        <f>SUM(CF!CW74:CW74)</f>
        <v>0</v>
      </c>
      <c r="CX43" s="945">
        <f>SUM(CF!CX74:CX74)</f>
        <v>0</v>
      </c>
      <c r="CY43" s="945">
        <f>SUM(CF!CY74:CY74)</f>
        <v>0</v>
      </c>
      <c r="CZ43" s="945">
        <f>SUM(CF!CZ74:CZ74)</f>
        <v>0</v>
      </c>
      <c r="DA43" s="945">
        <f>SUM(CF!DA74:DA74)</f>
        <v>0</v>
      </c>
      <c r="DB43" s="945">
        <f>SUM(CF!DB74:DB74)</f>
        <v>0</v>
      </c>
      <c r="DC43" s="945">
        <f>SUM(CF!DC74:DC74)</f>
        <v>0</v>
      </c>
      <c r="DD43" s="945">
        <f>SUM(CF!DD74:DD74)</f>
        <v>0</v>
      </c>
      <c r="DE43" s="945">
        <f>SUM(CF!DE74:DE74)</f>
        <v>0</v>
      </c>
      <c r="DF43" s="945">
        <f>SUM(CF!DF74:DF74)</f>
        <v>0</v>
      </c>
      <c r="DG43" s="945">
        <f>SUM(CF!DG74:DG74)</f>
        <v>0</v>
      </c>
      <c r="DH43" s="945">
        <f>SUM(CF!DH74:DH74)</f>
        <v>0</v>
      </c>
      <c r="DI43" s="945">
        <f>SUM(CF!DI74:DI74)</f>
        <v>0</v>
      </c>
      <c r="DJ43" s="945">
        <f>SUM(CF!DJ74:DJ74)</f>
        <v>0</v>
      </c>
      <c r="DK43" s="945">
        <f>SUM(CF!DK74:DK74)</f>
        <v>0</v>
      </c>
      <c r="DL43" s="945">
        <f>SUM(CF!DL74:DL74)</f>
        <v>0</v>
      </c>
      <c r="DM43" s="945">
        <f>SUM(CF!DM74:DM74)</f>
        <v>0</v>
      </c>
      <c r="DN43" s="945">
        <f>SUM(CF!DN74:DN74)</f>
        <v>0</v>
      </c>
      <c r="DO43" s="945">
        <f>SUM(CF!DO74:DO74)</f>
        <v>0</v>
      </c>
      <c r="DP43" s="945">
        <f>SUM(CF!DP74:DP74)</f>
        <v>0</v>
      </c>
      <c r="DQ43" s="945">
        <f>SUM(CF!DQ74:DQ74)</f>
        <v>0</v>
      </c>
      <c r="DR43" s="945">
        <f>SUM(CF!DR74:DR74)</f>
        <v>0</v>
      </c>
      <c r="DS43" s="945">
        <f>SUM(CF!DS74:DS74)</f>
        <v>0</v>
      </c>
      <c r="DT43" s="945">
        <f>SUM(CF!DT74:DT74)</f>
        <v>0</v>
      </c>
      <c r="DU43" s="945">
        <f>SUM(CF!DU74:DU74)</f>
        <v>0</v>
      </c>
      <c r="DV43" s="945">
        <f>SUM(CF!DV74:DV74)</f>
        <v>0</v>
      </c>
      <c r="DW43" s="945">
        <f>SUM(CF!DW74:DW74)</f>
        <v>0</v>
      </c>
    </row>
    <row r="44" spans="1:127" s="304" customFormat="1">
      <c r="A44" s="654" t="s">
        <v>1328</v>
      </c>
      <c r="F44" s="493"/>
      <c r="G44" s="271">
        <v>0</v>
      </c>
      <c r="H44" s="271">
        <v>0</v>
      </c>
      <c r="I44" s="271">
        <v>0</v>
      </c>
      <c r="J44" s="271">
        <v>0</v>
      </c>
      <c r="K44" s="271">
        <v>0</v>
      </c>
      <c r="L44" s="271">
        <v>0</v>
      </c>
      <c r="M44" s="271">
        <v>0</v>
      </c>
      <c r="N44" s="271">
        <v>0</v>
      </c>
      <c r="O44" s="271">
        <v>0</v>
      </c>
      <c r="P44" s="271">
        <v>0</v>
      </c>
      <c r="Q44" s="271">
        <v>0</v>
      </c>
      <c r="R44" s="271">
        <v>0</v>
      </c>
      <c r="S44" s="271">
        <v>0</v>
      </c>
      <c r="T44" s="271">
        <v>0</v>
      </c>
      <c r="U44" s="271">
        <v>0</v>
      </c>
      <c r="V44" s="271">
        <v>0</v>
      </c>
      <c r="W44" s="271">
        <v>0</v>
      </c>
      <c r="X44" s="271">
        <v>0</v>
      </c>
      <c r="Y44" s="271">
        <v>0</v>
      </c>
      <c r="Z44" s="271">
        <v>0</v>
      </c>
      <c r="AA44" s="271">
        <v>0</v>
      </c>
      <c r="AB44" s="271">
        <v>0</v>
      </c>
      <c r="AC44" s="271">
        <v>0</v>
      </c>
      <c r="AD44" s="271">
        <v>0</v>
      </c>
      <c r="AE44" s="271">
        <v>0</v>
      </c>
      <c r="AF44" s="271">
        <v>0</v>
      </c>
      <c r="AG44" s="271">
        <v>0</v>
      </c>
      <c r="AH44" s="271">
        <v>0</v>
      </c>
      <c r="AI44" s="271">
        <v>0</v>
      </c>
      <c r="AJ44" s="271">
        <v>0</v>
      </c>
      <c r="AK44" s="271">
        <v>0</v>
      </c>
      <c r="AL44" s="271">
        <v>0</v>
      </c>
      <c r="AM44" s="271">
        <v>0</v>
      </c>
      <c r="AN44" s="271">
        <v>0</v>
      </c>
      <c r="AO44" s="271">
        <v>0</v>
      </c>
      <c r="AP44" s="271">
        <v>0</v>
      </c>
      <c r="AQ44" s="271">
        <v>0</v>
      </c>
      <c r="AR44" s="271">
        <v>0</v>
      </c>
      <c r="AS44" s="271">
        <v>0</v>
      </c>
      <c r="AT44" s="271">
        <v>0</v>
      </c>
      <c r="AU44" s="271">
        <v>0</v>
      </c>
      <c r="AV44" s="271">
        <v>0</v>
      </c>
      <c r="AW44" s="271">
        <v>0</v>
      </c>
      <c r="AX44" s="271">
        <v>0</v>
      </c>
      <c r="AY44" s="271">
        <v>0</v>
      </c>
      <c r="AZ44" s="271">
        <v>0</v>
      </c>
      <c r="BA44" s="271">
        <v>0</v>
      </c>
      <c r="BB44" s="271">
        <v>0</v>
      </c>
      <c r="BC44" s="271">
        <v>0</v>
      </c>
      <c r="BD44" s="271">
        <v>0</v>
      </c>
      <c r="BE44" s="271">
        <v>0</v>
      </c>
      <c r="BF44" s="271">
        <v>0</v>
      </c>
      <c r="BG44" s="271">
        <v>0</v>
      </c>
      <c r="BH44" s="271">
        <v>0</v>
      </c>
      <c r="BI44" s="271">
        <v>0</v>
      </c>
      <c r="BJ44" s="271">
        <v>0</v>
      </c>
      <c r="BK44" s="271">
        <v>0</v>
      </c>
      <c r="BL44" s="271">
        <v>0</v>
      </c>
      <c r="BM44" s="271">
        <v>0</v>
      </c>
      <c r="BN44" s="271">
        <v>0</v>
      </c>
      <c r="BO44" s="271">
        <v>0</v>
      </c>
      <c r="BP44" s="271">
        <v>0</v>
      </c>
      <c r="BQ44" s="271">
        <v>0</v>
      </c>
      <c r="BR44" s="271">
        <v>0</v>
      </c>
      <c r="BS44" s="271">
        <v>0</v>
      </c>
      <c r="BT44" s="271">
        <v>0</v>
      </c>
      <c r="BU44" s="271">
        <v>0</v>
      </c>
      <c r="BV44" s="271">
        <v>0</v>
      </c>
      <c r="BW44" s="271">
        <v>0</v>
      </c>
      <c r="BX44" s="271">
        <v>0</v>
      </c>
      <c r="BY44" s="271">
        <v>0</v>
      </c>
      <c r="BZ44" s="271">
        <v>0</v>
      </c>
      <c r="CA44" s="271">
        <v>0</v>
      </c>
      <c r="CB44" s="271">
        <v>0</v>
      </c>
      <c r="CC44" s="271">
        <v>0</v>
      </c>
      <c r="CD44" s="271">
        <v>0</v>
      </c>
      <c r="CE44" s="271">
        <v>0</v>
      </c>
      <c r="CF44" s="271">
        <v>0</v>
      </c>
      <c r="CG44" s="271">
        <v>0</v>
      </c>
      <c r="CH44" s="271">
        <v>0</v>
      </c>
      <c r="CI44" s="271">
        <v>0</v>
      </c>
      <c r="CJ44" s="271">
        <v>0</v>
      </c>
      <c r="CK44" s="271">
        <v>0</v>
      </c>
      <c r="CL44" s="271">
        <v>0</v>
      </c>
      <c r="CM44" s="271">
        <v>0</v>
      </c>
      <c r="CN44" s="271">
        <v>0</v>
      </c>
      <c r="CO44" s="271">
        <v>0</v>
      </c>
      <c r="CP44" s="271">
        <v>0</v>
      </c>
      <c r="CQ44" s="271">
        <v>0</v>
      </c>
      <c r="CR44" s="271">
        <v>0</v>
      </c>
      <c r="CS44" s="271">
        <v>0</v>
      </c>
      <c r="CT44" s="271">
        <v>0</v>
      </c>
      <c r="CU44" s="271">
        <v>0</v>
      </c>
      <c r="CV44" s="271">
        <v>0</v>
      </c>
      <c r="CW44" s="271">
        <v>0</v>
      </c>
      <c r="CX44" s="271">
        <v>0</v>
      </c>
      <c r="CY44" s="271">
        <v>0</v>
      </c>
      <c r="CZ44" s="271">
        <v>0</v>
      </c>
      <c r="DA44" s="271">
        <v>0</v>
      </c>
      <c r="DB44" s="271">
        <v>0</v>
      </c>
      <c r="DC44" s="271">
        <v>0</v>
      </c>
      <c r="DD44" s="271">
        <v>0</v>
      </c>
      <c r="DE44" s="271">
        <v>0</v>
      </c>
      <c r="DF44" s="271">
        <v>0</v>
      </c>
      <c r="DG44" s="271">
        <v>0</v>
      </c>
      <c r="DH44" s="271">
        <v>0</v>
      </c>
      <c r="DI44" s="271">
        <v>0</v>
      </c>
      <c r="DJ44" s="271">
        <v>0</v>
      </c>
      <c r="DK44" s="271">
        <v>0</v>
      </c>
      <c r="DL44" s="271">
        <v>0</v>
      </c>
      <c r="DM44" s="271">
        <v>0</v>
      </c>
      <c r="DN44" s="271">
        <v>0</v>
      </c>
      <c r="DO44" s="271">
        <v>0</v>
      </c>
      <c r="DP44" s="271">
        <v>0</v>
      </c>
      <c r="DQ44" s="271">
        <v>0</v>
      </c>
      <c r="DR44" s="271">
        <v>0</v>
      </c>
      <c r="DS44" s="271">
        <v>0</v>
      </c>
      <c r="DT44" s="271">
        <v>0</v>
      </c>
      <c r="DU44" s="271">
        <v>0</v>
      </c>
      <c r="DV44" s="271">
        <v>0</v>
      </c>
      <c r="DW44" s="271">
        <v>0</v>
      </c>
    </row>
    <row r="45" spans="1:127" s="304" customFormat="1">
      <c r="A45" s="654" t="s">
        <v>1329</v>
      </c>
      <c r="B45" s="396"/>
      <c r="C45" s="396"/>
      <c r="D45" s="396"/>
      <c r="E45" s="396"/>
      <c r="F45" s="493"/>
      <c r="G45" s="271">
        <v>0</v>
      </c>
      <c r="H45" s="271">
        <v>0</v>
      </c>
      <c r="I45" s="271">
        <v>0</v>
      </c>
      <c r="J45" s="271">
        <v>0</v>
      </c>
      <c r="K45" s="271">
        <v>0</v>
      </c>
      <c r="L45" s="271">
        <v>0</v>
      </c>
      <c r="M45" s="271">
        <v>0</v>
      </c>
      <c r="N45" s="271">
        <v>0</v>
      </c>
      <c r="O45" s="271">
        <v>0</v>
      </c>
      <c r="P45" s="271">
        <v>0</v>
      </c>
      <c r="Q45" s="271">
        <v>0</v>
      </c>
      <c r="R45" s="271">
        <v>0</v>
      </c>
      <c r="S45" s="271">
        <v>0</v>
      </c>
      <c r="T45" s="271">
        <v>0</v>
      </c>
      <c r="U45" s="271">
        <v>0</v>
      </c>
      <c r="V45" s="271">
        <v>0</v>
      </c>
      <c r="W45" s="271">
        <v>0</v>
      </c>
      <c r="X45" s="271">
        <v>0</v>
      </c>
      <c r="Y45" s="271">
        <v>0</v>
      </c>
      <c r="Z45" s="271">
        <v>0</v>
      </c>
      <c r="AA45" s="271">
        <v>0</v>
      </c>
      <c r="AB45" s="271">
        <v>0</v>
      </c>
      <c r="AC45" s="271">
        <v>0</v>
      </c>
      <c r="AD45" s="271">
        <v>0</v>
      </c>
      <c r="AE45" s="271">
        <v>0</v>
      </c>
      <c r="AF45" s="271">
        <v>0</v>
      </c>
      <c r="AG45" s="271">
        <v>0</v>
      </c>
      <c r="AH45" s="271">
        <v>0</v>
      </c>
      <c r="AI45" s="271">
        <v>0</v>
      </c>
      <c r="AJ45" s="271">
        <v>0</v>
      </c>
      <c r="AK45" s="271">
        <v>0</v>
      </c>
      <c r="AL45" s="271">
        <v>0</v>
      </c>
      <c r="AM45" s="271">
        <v>0</v>
      </c>
      <c r="AN45" s="271">
        <v>0</v>
      </c>
      <c r="AO45" s="271">
        <v>0</v>
      </c>
      <c r="AP45" s="271">
        <v>0</v>
      </c>
      <c r="AQ45" s="271">
        <v>0</v>
      </c>
      <c r="AR45" s="271">
        <v>0</v>
      </c>
      <c r="AS45" s="271">
        <v>0</v>
      </c>
      <c r="AT45" s="271">
        <v>0</v>
      </c>
      <c r="AU45" s="271">
        <v>0</v>
      </c>
      <c r="AV45" s="271">
        <v>0</v>
      </c>
      <c r="AW45" s="271">
        <v>0</v>
      </c>
      <c r="AX45" s="271">
        <v>0</v>
      </c>
      <c r="AY45" s="271">
        <v>0</v>
      </c>
      <c r="AZ45" s="271">
        <v>0</v>
      </c>
      <c r="BA45" s="271">
        <v>0</v>
      </c>
      <c r="BB45" s="271">
        <v>0</v>
      </c>
      <c r="BC45" s="271">
        <v>0</v>
      </c>
      <c r="BD45" s="271">
        <v>0</v>
      </c>
      <c r="BE45" s="271">
        <v>0</v>
      </c>
      <c r="BF45" s="271">
        <v>0</v>
      </c>
      <c r="BG45" s="271">
        <v>0</v>
      </c>
      <c r="BH45" s="271">
        <v>0</v>
      </c>
      <c r="BI45" s="271">
        <v>0</v>
      </c>
      <c r="BJ45" s="271">
        <v>0</v>
      </c>
      <c r="BK45" s="271">
        <v>0</v>
      </c>
      <c r="BL45" s="271">
        <v>0</v>
      </c>
      <c r="BM45" s="271">
        <v>0</v>
      </c>
      <c r="BN45" s="271">
        <v>0</v>
      </c>
      <c r="BO45" s="271">
        <v>0</v>
      </c>
      <c r="BP45" s="271">
        <v>0</v>
      </c>
      <c r="BQ45" s="271">
        <v>0</v>
      </c>
      <c r="BR45" s="271">
        <v>0</v>
      </c>
      <c r="BS45" s="271">
        <v>0</v>
      </c>
      <c r="BT45" s="271">
        <v>0</v>
      </c>
      <c r="BU45" s="271">
        <v>0</v>
      </c>
      <c r="BV45" s="271">
        <v>0</v>
      </c>
      <c r="BW45" s="271">
        <v>0</v>
      </c>
      <c r="BX45" s="271">
        <v>0</v>
      </c>
      <c r="BY45" s="271">
        <v>0</v>
      </c>
      <c r="BZ45" s="271">
        <v>0</v>
      </c>
      <c r="CA45" s="271">
        <v>0</v>
      </c>
      <c r="CB45" s="271">
        <v>0</v>
      </c>
      <c r="CC45" s="271">
        <v>0</v>
      </c>
      <c r="CD45" s="271">
        <v>0</v>
      </c>
      <c r="CE45" s="271">
        <v>0</v>
      </c>
      <c r="CF45" s="271">
        <v>0</v>
      </c>
      <c r="CG45" s="271">
        <v>0</v>
      </c>
      <c r="CH45" s="271">
        <v>0</v>
      </c>
      <c r="CI45" s="271">
        <v>0</v>
      </c>
      <c r="CJ45" s="271">
        <v>0</v>
      </c>
      <c r="CK45" s="271">
        <v>0</v>
      </c>
      <c r="CL45" s="271">
        <v>0</v>
      </c>
      <c r="CM45" s="271">
        <v>0</v>
      </c>
      <c r="CN45" s="271">
        <v>0</v>
      </c>
      <c r="CO45" s="271">
        <v>0</v>
      </c>
      <c r="CP45" s="271">
        <v>0</v>
      </c>
      <c r="CQ45" s="271">
        <v>0</v>
      </c>
      <c r="CR45" s="271">
        <v>0</v>
      </c>
      <c r="CS45" s="271">
        <v>0</v>
      </c>
      <c r="CT45" s="271">
        <v>0</v>
      </c>
      <c r="CU45" s="271">
        <v>0</v>
      </c>
      <c r="CV45" s="271">
        <v>0</v>
      </c>
      <c r="CW45" s="271">
        <v>0</v>
      </c>
      <c r="CX45" s="271">
        <v>0</v>
      </c>
      <c r="CY45" s="271">
        <v>0</v>
      </c>
      <c r="CZ45" s="271">
        <v>0</v>
      </c>
      <c r="DA45" s="271">
        <v>0</v>
      </c>
      <c r="DB45" s="271">
        <v>0</v>
      </c>
      <c r="DC45" s="271">
        <v>0</v>
      </c>
      <c r="DD45" s="271">
        <v>0</v>
      </c>
      <c r="DE45" s="271">
        <v>0</v>
      </c>
      <c r="DF45" s="271">
        <v>0</v>
      </c>
      <c r="DG45" s="271">
        <v>0</v>
      </c>
      <c r="DH45" s="271">
        <v>0</v>
      </c>
      <c r="DI45" s="271">
        <v>0</v>
      </c>
      <c r="DJ45" s="271">
        <v>0</v>
      </c>
      <c r="DK45" s="271">
        <v>0</v>
      </c>
      <c r="DL45" s="271">
        <v>0</v>
      </c>
      <c r="DM45" s="271">
        <v>0</v>
      </c>
      <c r="DN45" s="271">
        <v>0</v>
      </c>
      <c r="DO45" s="271">
        <v>0</v>
      </c>
      <c r="DP45" s="271">
        <v>0</v>
      </c>
      <c r="DQ45" s="271">
        <v>0</v>
      </c>
      <c r="DR45" s="271">
        <v>0</v>
      </c>
      <c r="DS45" s="271">
        <v>0</v>
      </c>
      <c r="DT45" s="271">
        <v>0</v>
      </c>
      <c r="DU45" s="271">
        <v>0</v>
      </c>
      <c r="DV45" s="271">
        <v>0</v>
      </c>
      <c r="DW45" s="271">
        <v>0</v>
      </c>
    </row>
    <row r="46" spans="1:127">
      <c r="A46" s="304" t="s">
        <v>1320</v>
      </c>
      <c r="G46" s="459">
        <f>+IF(Production_Scenario=base_scenario,G44,G45)</f>
        <v>0</v>
      </c>
      <c r="H46" s="459">
        <f>+IF(Inputs!$D$52=Inputs!$D$180,H44,H45)</f>
        <v>0</v>
      </c>
      <c r="I46" s="459">
        <f>+IF(Inputs!$D$52=Inputs!$D$180,I44,I45)</f>
        <v>0</v>
      </c>
      <c r="J46" s="459">
        <f>+IF(Inputs!$D$52=Inputs!$D$180,J44,J45)</f>
        <v>0</v>
      </c>
      <c r="K46" s="459">
        <f>+IF(Inputs!$D$52=Inputs!$D$180,K44,K45)</f>
        <v>0</v>
      </c>
      <c r="L46" s="459">
        <f>+IF(Inputs!$D$52=Inputs!$D$180,L44,L45)</f>
        <v>0</v>
      </c>
      <c r="M46" s="459">
        <f>+IF(Inputs!$D$52=Inputs!$D$180,M44,M45)</f>
        <v>0</v>
      </c>
      <c r="N46" s="459">
        <f>+IF(Inputs!$D$52=Inputs!$D$180,N44,N45)</f>
        <v>0</v>
      </c>
      <c r="O46" s="459">
        <f>+IF(Inputs!$D$52=Inputs!$D$180,O44,O45)</f>
        <v>0</v>
      </c>
      <c r="P46" s="459">
        <f>+IF(Inputs!$D$52=Inputs!$D$180,P44,P45)</f>
        <v>0</v>
      </c>
      <c r="Q46" s="459">
        <f>+IF(Inputs!$D$52=Inputs!$D$180,Q44,Q45)</f>
        <v>0</v>
      </c>
      <c r="R46" s="459">
        <f>+IF(Inputs!$D$52=Inputs!$D$180,R44,R45)</f>
        <v>0</v>
      </c>
      <c r="S46" s="459">
        <f>+IF(Inputs!$D$52=Inputs!$D$180,S44,S45)</f>
        <v>0</v>
      </c>
      <c r="T46" s="459">
        <f>+IF(Inputs!$D$52=Inputs!$D$180,T44,T45)</f>
        <v>0</v>
      </c>
      <c r="U46" s="459">
        <f>+IF(Inputs!$D$52=Inputs!$D$180,U44,U45)</f>
        <v>0</v>
      </c>
      <c r="V46" s="459">
        <f>+IF(Inputs!$D$52=Inputs!$D$180,V44,V45)</f>
        <v>0</v>
      </c>
      <c r="W46" s="459">
        <f>+IF(Inputs!$D$52=Inputs!$D$180,W44,W45)</f>
        <v>0</v>
      </c>
      <c r="X46" s="459">
        <f>+IF(Inputs!$D$52=Inputs!$D$180,X44,X45)</f>
        <v>0</v>
      </c>
      <c r="Y46" s="459">
        <f>+IF(Inputs!$D$52=Inputs!$D$180,Y44,Y45)</f>
        <v>0</v>
      </c>
      <c r="Z46" s="459">
        <f>+IF(Inputs!$D$52=Inputs!$D$180,Z44,Z45)</f>
        <v>0</v>
      </c>
      <c r="AA46" s="459">
        <f>+IF(Inputs!$D$52=Inputs!$D$180,AA44,AA45)</f>
        <v>0</v>
      </c>
      <c r="AB46" s="459">
        <f>+IF(Inputs!$D$52=Inputs!$D$180,AB44,AB45)</f>
        <v>0</v>
      </c>
      <c r="AC46" s="459">
        <f>+IF(Inputs!$D$52=Inputs!$D$180,AC44,AC45)</f>
        <v>0</v>
      </c>
      <c r="AD46" s="459">
        <f>+IF(Inputs!$D$52=Inputs!$D$180,AD44,AD45)</f>
        <v>0</v>
      </c>
      <c r="AE46" s="459">
        <f>+IF(Inputs!$D$52=Inputs!$D$180,AE44,AE45)</f>
        <v>0</v>
      </c>
      <c r="AF46" s="459">
        <f>+IF(Inputs!$D$52=Inputs!$D$180,AF44,AF45)</f>
        <v>0</v>
      </c>
      <c r="AG46" s="459">
        <f>+IF(Inputs!$D$52=Inputs!$D$180,AG44,AG45)</f>
        <v>0</v>
      </c>
      <c r="AH46" s="459">
        <f>+IF(Inputs!$D$52=Inputs!$D$180,AH44,AH45)</f>
        <v>0</v>
      </c>
      <c r="AI46" s="459">
        <f>+IF(Inputs!$D$52=Inputs!$D$180,AI44,AI45)</f>
        <v>0</v>
      </c>
      <c r="AJ46" s="459">
        <f>+IF(Inputs!$D$52=Inputs!$D$180,AJ44,AJ45)</f>
        <v>0</v>
      </c>
      <c r="AK46" s="459">
        <f>+IF(Inputs!$D$52=Inputs!$D$180,AK44,AK45)</f>
        <v>0</v>
      </c>
      <c r="AL46" s="459">
        <f>+IF(Inputs!$D$52=Inputs!$D$180,AL44,AL45)</f>
        <v>0</v>
      </c>
      <c r="AM46" s="459">
        <f>+IF(Inputs!$D$52=Inputs!$D$180,AM44,AM45)</f>
        <v>0</v>
      </c>
      <c r="AN46" s="459">
        <f>+IF(Inputs!$D$52=Inputs!$D$180,AN44,AN45)</f>
        <v>0</v>
      </c>
      <c r="AO46" s="459">
        <f>+IF(Inputs!$D$52=Inputs!$D$180,AO44,AO45)</f>
        <v>0</v>
      </c>
      <c r="AP46" s="459">
        <f>+IF(Inputs!$D$52=Inputs!$D$180,AP44,AP45)</f>
        <v>0</v>
      </c>
      <c r="AQ46" s="459">
        <f>+IF(Inputs!$D$52=Inputs!$D$180,AQ44,AQ45)</f>
        <v>0</v>
      </c>
      <c r="AR46" s="459">
        <f>+IF(Inputs!$D$52=Inputs!$D$180,AR44,AR45)</f>
        <v>0</v>
      </c>
      <c r="AS46" s="459">
        <f>+IF(Inputs!$D$52=Inputs!$D$180,AS44,AS45)</f>
        <v>0</v>
      </c>
      <c r="AT46" s="459">
        <f>+IF(Inputs!$D$52=Inputs!$D$180,AT44,AT45)</f>
        <v>0</v>
      </c>
      <c r="AU46" s="459">
        <f>+IF(Inputs!$D$52=Inputs!$D$180,AU44,AU45)</f>
        <v>0</v>
      </c>
      <c r="AV46" s="459">
        <f>+IF(Inputs!$D$52=Inputs!$D$180,AV44,AV45)</f>
        <v>0</v>
      </c>
      <c r="AW46" s="459">
        <f>+IF(Inputs!$D$52=Inputs!$D$180,AW44,AW45)</f>
        <v>0</v>
      </c>
      <c r="AX46" s="459">
        <f>+IF(Inputs!$D$52=Inputs!$D$180,AX44,AX45)</f>
        <v>0</v>
      </c>
      <c r="AY46" s="459">
        <f>+IF(Inputs!$D$52=Inputs!$D$180,AY44,AY45)</f>
        <v>0</v>
      </c>
      <c r="AZ46" s="459">
        <f>+IF(Inputs!$D$52=Inputs!$D$180,AZ44,AZ45)</f>
        <v>0</v>
      </c>
      <c r="BA46" s="459">
        <f>+IF(Inputs!$D$52=Inputs!$D$180,BA44,BA45)</f>
        <v>0</v>
      </c>
      <c r="BB46" s="459">
        <f>+IF(Inputs!$D$52=Inputs!$D$180,BB44,BB45)</f>
        <v>0</v>
      </c>
      <c r="BC46" s="459">
        <f>+IF(Inputs!$D$52=Inputs!$D$180,BC44,BC45)</f>
        <v>0</v>
      </c>
      <c r="BD46" s="459">
        <f>+IF(Inputs!$D$52=Inputs!$D$180,BD44,BD45)</f>
        <v>0</v>
      </c>
      <c r="BE46" s="459">
        <f>+IF(Inputs!$D$52=Inputs!$D$180,BE44,BE45)</f>
        <v>0</v>
      </c>
      <c r="BF46" s="459">
        <f>+IF(Inputs!$D$52=Inputs!$D$180,BF44,BF45)</f>
        <v>0</v>
      </c>
      <c r="BG46" s="459">
        <f>+IF(Inputs!$D$52=Inputs!$D$180,BG44,BG45)</f>
        <v>0</v>
      </c>
      <c r="BH46" s="459">
        <f>+IF(Inputs!$D$52=Inputs!$D$180,BH44,BH45)</f>
        <v>0</v>
      </c>
      <c r="BI46" s="459">
        <f>+IF(Inputs!$D$52=Inputs!$D$180,BI44,BI45)</f>
        <v>0</v>
      </c>
      <c r="BJ46" s="459">
        <f>+IF(Inputs!$D$52=Inputs!$D$180,BJ44,BJ45)</f>
        <v>0</v>
      </c>
      <c r="BK46" s="459">
        <f>+IF(Inputs!$D$52=Inputs!$D$180,BK44,BK45)</f>
        <v>0</v>
      </c>
      <c r="BL46" s="459">
        <f>+IF(Inputs!$D$52=Inputs!$D$180,BL44,BL45)</f>
        <v>0</v>
      </c>
      <c r="BM46" s="459">
        <f>+IF(Inputs!$D$52=Inputs!$D$180,BM44,BM45)</f>
        <v>0</v>
      </c>
      <c r="BN46" s="459">
        <f>+IF(Inputs!$D$52=Inputs!$D$180,BN44,BN45)</f>
        <v>0</v>
      </c>
      <c r="BO46" s="459">
        <f>+IF(Inputs!$D$52=Inputs!$D$180,BO44,BO45)</f>
        <v>0</v>
      </c>
      <c r="BP46" s="459">
        <f>+IF(Inputs!$D$52=Inputs!$D$180,BP44,BP45)</f>
        <v>0</v>
      </c>
      <c r="BQ46" s="459">
        <f>+IF(Inputs!$D$52=Inputs!$D$180,BQ44,BQ45)</f>
        <v>0</v>
      </c>
      <c r="BR46" s="459">
        <f>+IF(Inputs!$D$52=Inputs!$D$180,BR44,BR45)</f>
        <v>0</v>
      </c>
      <c r="BS46" s="459">
        <f>+IF(Inputs!$D$52=Inputs!$D$180,BS44,BS45)</f>
        <v>0</v>
      </c>
      <c r="BT46" s="459">
        <f>+IF(Inputs!$D$52=Inputs!$D$180,BT44,BT45)</f>
        <v>0</v>
      </c>
      <c r="BU46" s="459">
        <f>+IF(Inputs!$D$52=Inputs!$D$180,BU44,BU45)</f>
        <v>0</v>
      </c>
      <c r="BV46" s="459">
        <f>+IF(Inputs!$D$52=Inputs!$D$180,BV44,BV45)</f>
        <v>0</v>
      </c>
      <c r="BW46" s="459">
        <f>+IF(Inputs!$D$52=Inputs!$D$180,BW44,BW45)</f>
        <v>0</v>
      </c>
      <c r="BX46" s="459">
        <f>+IF(Inputs!$D$52=Inputs!$D$180,BX44,BX45)</f>
        <v>0</v>
      </c>
      <c r="BY46" s="459">
        <f>+IF(Inputs!$D$52=Inputs!$D$180,BY44,BY45)</f>
        <v>0</v>
      </c>
      <c r="BZ46" s="459">
        <f>+IF(Inputs!$D$52=Inputs!$D$180,BZ44,BZ45)</f>
        <v>0</v>
      </c>
      <c r="CA46" s="459">
        <f>+IF(Inputs!$D$52=Inputs!$D$180,CA44,CA45)</f>
        <v>0</v>
      </c>
      <c r="CB46" s="459">
        <f>+IF(Inputs!$D$52=Inputs!$D$180,CB44,CB45)</f>
        <v>0</v>
      </c>
      <c r="CC46" s="459">
        <f>+IF(Inputs!$D$52=Inputs!$D$180,CC44,CC45)</f>
        <v>0</v>
      </c>
      <c r="CD46" s="459">
        <f>+IF(Inputs!$D$52=Inputs!$D$180,CD44,CD45)</f>
        <v>0</v>
      </c>
      <c r="CE46" s="459">
        <f>+IF(Inputs!$D$52=Inputs!$D$180,CE44,CE45)</f>
        <v>0</v>
      </c>
      <c r="CF46" s="459">
        <f>+IF(Inputs!$D$52=Inputs!$D$180,CF44,CF45)</f>
        <v>0</v>
      </c>
      <c r="CG46" s="459">
        <f>+IF(Inputs!$D$52=Inputs!$D$180,CG44,CG45)</f>
        <v>0</v>
      </c>
      <c r="CH46" s="459">
        <f>+IF(Inputs!$D$52=Inputs!$D$180,CH44,CH45)</f>
        <v>0</v>
      </c>
      <c r="CI46" s="459">
        <f>+IF(Inputs!$D$52=Inputs!$D$180,CI44,CI45)</f>
        <v>0</v>
      </c>
      <c r="CJ46" s="459">
        <f>+IF(Inputs!$D$52=Inputs!$D$180,CJ44,CJ45)</f>
        <v>0</v>
      </c>
      <c r="CK46" s="459">
        <f>+IF(Inputs!$D$52=Inputs!$D$180,CK44,CK45)</f>
        <v>0</v>
      </c>
      <c r="CL46" s="459">
        <f>+IF(Inputs!$D$52=Inputs!$D$180,CL44,CL45)</f>
        <v>0</v>
      </c>
      <c r="CM46" s="459">
        <f>+IF(Inputs!$D$52=Inputs!$D$180,CM44,CM45)</f>
        <v>0</v>
      </c>
      <c r="CN46" s="459">
        <f>+IF(Inputs!$D$52=Inputs!$D$180,CN44,CN45)</f>
        <v>0</v>
      </c>
      <c r="CO46" s="459">
        <f>+IF(Inputs!$D$52=Inputs!$D$180,CO44,CO45)</f>
        <v>0</v>
      </c>
      <c r="CP46" s="459">
        <f>+IF(Inputs!$D$52=Inputs!$D$180,CP44,CP45)</f>
        <v>0</v>
      </c>
      <c r="CQ46" s="459">
        <f>+IF(Inputs!$D$52=Inputs!$D$180,CQ44,CQ45)</f>
        <v>0</v>
      </c>
      <c r="CR46" s="459">
        <f>+IF(Inputs!$D$52=Inputs!$D$180,CR44,CR45)</f>
        <v>0</v>
      </c>
      <c r="CS46" s="459">
        <f>+IF(Inputs!$D$52=Inputs!$D$180,CS44,CS45)</f>
        <v>0</v>
      </c>
      <c r="CT46" s="459">
        <f>+IF(Inputs!$D$52=Inputs!$D$180,CT44,CT45)</f>
        <v>0</v>
      </c>
      <c r="CU46" s="459">
        <f>+IF(Inputs!$D$52=Inputs!$D$180,CU44,CU45)</f>
        <v>0</v>
      </c>
      <c r="CV46" s="459">
        <f>+IF(Inputs!$D$52=Inputs!$D$180,CV44,CV45)</f>
        <v>0</v>
      </c>
      <c r="CW46" s="459">
        <f>+IF(Inputs!$D$52=Inputs!$D$180,CW44,CW45)</f>
        <v>0</v>
      </c>
      <c r="CX46" s="459">
        <f>+IF(Inputs!$D$52=Inputs!$D$180,CX44,CX45)</f>
        <v>0</v>
      </c>
      <c r="CY46" s="459">
        <f>+IF(Inputs!$D$52=Inputs!$D$180,CY44,CY45)</f>
        <v>0</v>
      </c>
      <c r="CZ46" s="459">
        <f>+IF(Inputs!$D$52=Inputs!$D$180,CZ44,CZ45)</f>
        <v>0</v>
      </c>
      <c r="DA46" s="459">
        <f>+IF(Inputs!$D$52=Inputs!$D$180,DA44,DA45)</f>
        <v>0</v>
      </c>
      <c r="DB46" s="459">
        <f>+IF(Inputs!$D$52=Inputs!$D$180,DB44,DB45)</f>
        <v>0</v>
      </c>
      <c r="DC46" s="459">
        <f>+IF(Inputs!$D$52=Inputs!$D$180,DC44,DC45)</f>
        <v>0</v>
      </c>
      <c r="DD46" s="459">
        <f>+IF(Inputs!$D$52=Inputs!$D$180,DD44,DD45)</f>
        <v>0</v>
      </c>
      <c r="DE46" s="459">
        <f>+IF(Inputs!$D$52=Inputs!$D$180,DE44,DE45)</f>
        <v>0</v>
      </c>
      <c r="DF46" s="459">
        <f>+IF(Inputs!$D$52=Inputs!$D$180,DF44,DF45)</f>
        <v>0</v>
      </c>
      <c r="DG46" s="459">
        <f>+IF(Inputs!$D$52=Inputs!$D$180,DG44,DG45)</f>
        <v>0</v>
      </c>
      <c r="DH46" s="459">
        <f>+IF(Inputs!$D$52=Inputs!$D$180,DH44,DH45)</f>
        <v>0</v>
      </c>
      <c r="DI46" s="459">
        <f>+IF(Inputs!$D$52=Inputs!$D$180,DI44,DI45)</f>
        <v>0</v>
      </c>
      <c r="DJ46" s="459">
        <f>+IF(Inputs!$D$52=Inputs!$D$180,DJ44,DJ45)</f>
        <v>0</v>
      </c>
      <c r="DK46" s="459">
        <f>+IF(Inputs!$D$52=Inputs!$D$180,DK44,DK45)</f>
        <v>0</v>
      </c>
      <c r="DL46" s="459">
        <f>+IF(Inputs!$D$52=Inputs!$D$180,DL44,DL45)</f>
        <v>0</v>
      </c>
      <c r="DM46" s="459">
        <f>+IF(Inputs!$D$52=Inputs!$D$180,DM44,DM45)</f>
        <v>0</v>
      </c>
      <c r="DN46" s="459">
        <f>+IF(Inputs!$D$52=Inputs!$D$180,DN44,DN45)</f>
        <v>0</v>
      </c>
      <c r="DO46" s="459">
        <f>+IF(Inputs!$D$52=Inputs!$D$180,DO44,DO45)</f>
        <v>0</v>
      </c>
      <c r="DP46" s="459">
        <f>+IF(Inputs!$D$52=Inputs!$D$180,DP44,DP45)</f>
        <v>0</v>
      </c>
      <c r="DQ46" s="459">
        <f>+IF(Inputs!$D$52=Inputs!$D$180,DQ44,DQ45)</f>
        <v>0</v>
      </c>
      <c r="DR46" s="459">
        <f>+IF(Inputs!$D$52=Inputs!$D$180,DR44,DR45)</f>
        <v>0</v>
      </c>
      <c r="DS46" s="459">
        <f>+IF(Inputs!$D$52=Inputs!$D$180,DS44,DS45)</f>
        <v>0</v>
      </c>
      <c r="DT46" s="459">
        <f>+IF(Inputs!$D$52=Inputs!$D$180,DT44,DT45)</f>
        <v>0</v>
      </c>
      <c r="DU46" s="459">
        <f>+IF(Inputs!$D$52=Inputs!$D$180,DU44,DU45)</f>
        <v>0</v>
      </c>
      <c r="DV46" s="459">
        <f>+IF(Inputs!$D$52=Inputs!$D$180,DV44,DV45)</f>
        <v>0</v>
      </c>
      <c r="DW46" s="459">
        <f>+IF(Inputs!$D$52=Inputs!$D$180,DW44,DW45)</f>
        <v>0</v>
      </c>
    </row>
    <row r="48" spans="1:127">
      <c r="A48" s="649" t="s">
        <v>1330</v>
      </c>
      <c r="B48" s="650"/>
      <c r="C48" s="650"/>
      <c r="D48" s="650"/>
      <c r="E48" s="655">
        <f ca="1">IF(Inputs!$D$52=Inputs!$A$177,ABS(ROUND(SUM(G50:DW50)-SUM(G49:DW49),5)),0)</f>
        <v>0</v>
      </c>
      <c r="F48" s="650"/>
    </row>
    <row r="49" spans="1:127">
      <c r="A49" s="652" t="s">
        <v>1319</v>
      </c>
      <c r="G49" s="1063">
        <f>CF!G79</f>
        <v>0</v>
      </c>
      <c r="H49" s="1063">
        <f ca="1">CF!H79</f>
        <v>2575.0034247825092</v>
      </c>
      <c r="I49" s="1063">
        <f ca="1">CF!I79</f>
        <v>2533.0196732914906</v>
      </c>
      <c r="J49" s="1063">
        <f ca="1">CF!J79</f>
        <v>2576.6037713428454</v>
      </c>
      <c r="K49" s="1063">
        <f ca="1">CF!K79</f>
        <v>2610.8185963428691</v>
      </c>
      <c r="L49" s="1063">
        <f ca="1">CF!L79</f>
        <v>2637.7504890658502</v>
      </c>
      <c r="M49" s="1063">
        <f ca="1">CF!M79</f>
        <v>2648.8765041975066</v>
      </c>
      <c r="N49" s="1063">
        <f ca="1">CF!N79</f>
        <v>2677.4501512146035</v>
      </c>
      <c r="O49" s="1063">
        <f ca="1">CF!O79</f>
        <v>2666.4995224653298</v>
      </c>
      <c r="P49" s="1063">
        <f ca="1">CF!P79</f>
        <v>2717.7436256413152</v>
      </c>
      <c r="Q49" s="1063">
        <f ca="1">CF!Q79</f>
        <v>2684.0381741747533</v>
      </c>
      <c r="R49" s="1063">
        <f ca="1">CF!R79</f>
        <v>2751.1021773897965</v>
      </c>
      <c r="S49" s="1063">
        <f ca="1">CF!S79</f>
        <v>2709.262597095757</v>
      </c>
      <c r="T49" s="1063">
        <f ca="1">CF!T79</f>
        <v>2800.1462544677497</v>
      </c>
      <c r="U49" s="1063">
        <f ca="1">CF!U79</f>
        <v>2717.3488695410761</v>
      </c>
      <c r="V49" s="1063">
        <f ca="1">CF!V79</f>
        <v>2842.2728269724084</v>
      </c>
      <c r="W49" s="1063">
        <f ca="1">CF!W79</f>
        <v>2732.6369828387387</v>
      </c>
      <c r="X49" s="1063">
        <f ca="1">CF!X79</f>
        <v>2885.0280510217112</v>
      </c>
      <c r="Y49" s="1063">
        <f ca="1">CF!Y79</f>
        <v>2746.8544013598657</v>
      </c>
      <c r="Z49" s="1063">
        <f ca="1">CF!Z79</f>
        <v>2920.4197890044052</v>
      </c>
      <c r="AA49" s="1063">
        <f ca="1">CF!AA79</f>
        <v>2768.3989189396939</v>
      </c>
      <c r="AB49" s="1063">
        <f ca="1">CF!AB79</f>
        <v>2776.9576052840412</v>
      </c>
      <c r="AC49" s="1063">
        <f ca="1">CF!AC79</f>
        <v>2618.7732842489913</v>
      </c>
      <c r="AD49" s="1063">
        <f ca="1">CF!AD79</f>
        <v>2821.6533572835297</v>
      </c>
      <c r="AE49" s="1063">
        <f ca="1">CF!AE79</f>
        <v>2631.171117666127</v>
      </c>
      <c r="AF49" s="1063">
        <f ca="1">CF!AF79</f>
        <v>2992.5247732037515</v>
      </c>
      <c r="AG49" s="1063">
        <f ca="1">CF!AG79</f>
        <v>2694.7971679399302</v>
      </c>
      <c r="AH49" s="1063">
        <f ca="1">CF!AH79</f>
        <v>2991.7390288891047</v>
      </c>
      <c r="AI49" s="1063">
        <f ca="1">CF!AI79</f>
        <v>2667.8429553653973</v>
      </c>
      <c r="AJ49" s="1063">
        <f ca="1">CF!AJ79</f>
        <v>2994.5482101550338</v>
      </c>
      <c r="AK49" s="1063">
        <f ca="1">CF!AK79</f>
        <v>2545.4162284351887</v>
      </c>
      <c r="AL49" s="1063">
        <f ca="1">CF!AL79</f>
        <v>2866.7009595780269</v>
      </c>
      <c r="AM49" s="1063">
        <f ca="1">CF!AM79</f>
        <v>2608.3700359429458</v>
      </c>
      <c r="AN49" s="1063">
        <f ca="1">CF!AN79</f>
        <v>2922.8141129823598</v>
      </c>
      <c r="AO49" s="1063">
        <f ca="1">CF!AO79</f>
        <v>2652.4553454942106</v>
      </c>
      <c r="AP49" s="1063">
        <f ca="1">CF!AP79</f>
        <v>2970.2515213558436</v>
      </c>
      <c r="AQ49" s="1063">
        <f ca="1">CF!AQ79</f>
        <v>2703.7003380574424</v>
      </c>
      <c r="AR49" s="1063">
        <f ca="1">CF!AR79</f>
        <v>3032.5617059389888</v>
      </c>
      <c r="AS49" s="1063">
        <f ca="1">CF!AS79</f>
        <v>2738.6607711913121</v>
      </c>
      <c r="AT49" s="1063">
        <f ca="1">CF!AT79</f>
        <v>3087.0294677969923</v>
      </c>
      <c r="AU49" s="1063">
        <f ca="1">CF!AU79</f>
        <v>2781.4499186605049</v>
      </c>
      <c r="AV49" s="1063">
        <f ca="1">CF!AV79</f>
        <v>3143.7134037943556</v>
      </c>
      <c r="AW49" s="1063">
        <f ca="1">CF!AW79</f>
        <v>2566.5444246410993</v>
      </c>
      <c r="AX49" s="1063">
        <f ca="1">CF!AX79</f>
        <v>3212.641439658667</v>
      </c>
      <c r="AY49" s="1063">
        <f ca="1">CF!AY79</f>
        <v>2614.9784998685413</v>
      </c>
      <c r="AZ49" s="1063">
        <f ca="1">CF!AZ79</f>
        <v>3274.1680082495322</v>
      </c>
      <c r="BA49" s="1063">
        <f ca="1">CF!BA79</f>
        <v>2646.5575378998938</v>
      </c>
      <c r="BB49" s="1063">
        <f ca="1">CF!BB79</f>
        <v>3325.3898767289238</v>
      </c>
      <c r="BC49" s="1063">
        <f ca="1">CF!BC79</f>
        <v>2709.9545717793458</v>
      </c>
      <c r="BD49" s="1063">
        <f ca="1">CF!BD79</f>
        <v>3402.0908817008876</v>
      </c>
      <c r="BE49" s="1063">
        <f ca="1">CF!BE79</f>
        <v>2747.0462943434081</v>
      </c>
      <c r="BF49" s="1063">
        <f ca="1">CF!BF79</f>
        <v>3442.6250710426143</v>
      </c>
      <c r="BG49" s="1063">
        <f ca="1">CF!BG79</f>
        <v>2782.6309188652426</v>
      </c>
      <c r="BH49" s="1063">
        <f ca="1">CF!BH79</f>
        <v>3486.5071580853587</v>
      </c>
      <c r="BI49" s="1063">
        <f ca="1">CF!BI79</f>
        <v>2797.7893042305323</v>
      </c>
      <c r="BJ49" s="1063">
        <f ca="1">CF!BJ79</f>
        <v>3517.833692193351</v>
      </c>
      <c r="BK49" s="1063">
        <f ca="1">CF!BK79</f>
        <v>2800.2482793777217</v>
      </c>
      <c r="BL49" s="1063">
        <f ca="1">CF!BL79</f>
        <v>3523.7089432490652</v>
      </c>
      <c r="BM49" s="1063">
        <f ca="1">CF!BM79</f>
        <v>2824.314151323942</v>
      </c>
      <c r="BN49" s="1063">
        <f ca="1">CF!BN79</f>
        <v>3541.3183097872079</v>
      </c>
      <c r="BO49" s="1063">
        <f ca="1">CF!BO79</f>
        <v>2855.1297741326198</v>
      </c>
      <c r="BP49" s="1063">
        <f>CF!BP79</f>
        <v>0</v>
      </c>
      <c r="BQ49" s="1063">
        <f>CF!BQ79</f>
        <v>0</v>
      </c>
      <c r="BR49" s="1063">
        <f>CF!BR79</f>
        <v>0</v>
      </c>
      <c r="BS49" s="1063">
        <f>CF!BS79</f>
        <v>0</v>
      </c>
      <c r="BT49" s="1063">
        <f>CF!BT79</f>
        <v>0</v>
      </c>
      <c r="BU49" s="1063">
        <f>CF!BU79</f>
        <v>0</v>
      </c>
      <c r="BV49" s="1063">
        <f>CF!BV79</f>
        <v>0</v>
      </c>
      <c r="BW49" s="1063">
        <f>CF!BW79</f>
        <v>0</v>
      </c>
      <c r="BX49" s="1063">
        <f>CF!BX79</f>
        <v>0</v>
      </c>
      <c r="BY49" s="1063">
        <f>CF!BY79</f>
        <v>0</v>
      </c>
      <c r="BZ49" s="1063">
        <f>CF!BZ79</f>
        <v>0</v>
      </c>
      <c r="CA49" s="1063">
        <f>CF!CA79</f>
        <v>0</v>
      </c>
      <c r="CB49" s="1063">
        <f>CF!CB79</f>
        <v>0</v>
      </c>
      <c r="CC49" s="1063">
        <f>CF!CC79</f>
        <v>0</v>
      </c>
      <c r="CD49" s="1063">
        <f>CF!CD79</f>
        <v>0</v>
      </c>
      <c r="CE49" s="1063">
        <f>CF!CE79</f>
        <v>0</v>
      </c>
      <c r="CF49" s="1063">
        <f>CF!CF79</f>
        <v>0</v>
      </c>
      <c r="CG49" s="1063">
        <f>CF!CG79</f>
        <v>0</v>
      </c>
      <c r="CH49" s="1063">
        <f>CF!CH79</f>
        <v>0</v>
      </c>
      <c r="CI49" s="1063">
        <f>CF!CI79</f>
        <v>0</v>
      </c>
      <c r="CJ49" s="1063">
        <f>CF!CJ79</f>
        <v>0</v>
      </c>
      <c r="CK49" s="1063">
        <f>CF!CK79</f>
        <v>0</v>
      </c>
      <c r="CL49" s="1063">
        <f>CF!CL79</f>
        <v>0</v>
      </c>
      <c r="CM49" s="1063">
        <f>CF!CM79</f>
        <v>0</v>
      </c>
      <c r="CN49" s="1063">
        <f>CF!CN79</f>
        <v>0</v>
      </c>
      <c r="CO49" s="1063">
        <f>CF!CO79</f>
        <v>0</v>
      </c>
      <c r="CP49" s="1063">
        <f>CF!CP79</f>
        <v>0</v>
      </c>
      <c r="CQ49" s="1063">
        <f>CF!CQ79</f>
        <v>0</v>
      </c>
      <c r="CR49" s="1063">
        <f>CF!CR79</f>
        <v>0</v>
      </c>
      <c r="CS49" s="1063">
        <f>CF!CS79</f>
        <v>0</v>
      </c>
      <c r="CT49" s="1063">
        <f>CF!CT79</f>
        <v>0</v>
      </c>
      <c r="CU49" s="1063">
        <f>CF!CU79</f>
        <v>0</v>
      </c>
      <c r="CV49" s="1063">
        <f>CF!CV79</f>
        <v>0</v>
      </c>
      <c r="CW49" s="1063">
        <f>CF!CW79</f>
        <v>0</v>
      </c>
      <c r="CX49" s="1063">
        <f>CF!CX79</f>
        <v>0</v>
      </c>
      <c r="CY49" s="1063">
        <f>CF!CY79</f>
        <v>0</v>
      </c>
      <c r="CZ49" s="1063">
        <f>CF!CZ79</f>
        <v>0</v>
      </c>
      <c r="DA49" s="1063">
        <f>CF!DA79</f>
        <v>0</v>
      </c>
      <c r="DB49" s="1063">
        <f>CF!DB79</f>
        <v>0</v>
      </c>
      <c r="DC49" s="1063">
        <f>CF!DC79</f>
        <v>0</v>
      </c>
      <c r="DD49" s="1063">
        <f>CF!DD79</f>
        <v>0</v>
      </c>
      <c r="DE49" s="1063">
        <f>CF!DE79</f>
        <v>0</v>
      </c>
      <c r="DF49" s="1063">
        <f>CF!DF79</f>
        <v>0</v>
      </c>
      <c r="DG49" s="1063">
        <f>CF!DG79</f>
        <v>0</v>
      </c>
      <c r="DH49" s="1063">
        <f>CF!DH79</f>
        <v>0</v>
      </c>
      <c r="DI49" s="1063">
        <f>CF!DI79</f>
        <v>0</v>
      </c>
      <c r="DJ49" s="1063">
        <f>CF!DJ79</f>
        <v>0</v>
      </c>
      <c r="DK49" s="1063">
        <f>CF!DK79</f>
        <v>0</v>
      </c>
      <c r="DL49" s="1063">
        <f>CF!DL79</f>
        <v>0</v>
      </c>
      <c r="DM49" s="1063">
        <f>CF!DM79</f>
        <v>0</v>
      </c>
      <c r="DN49" s="1063">
        <f>CF!DN79</f>
        <v>0</v>
      </c>
      <c r="DO49" s="1063">
        <f>CF!DO79</f>
        <v>0</v>
      </c>
      <c r="DP49" s="1063">
        <f>CF!DP79</f>
        <v>0</v>
      </c>
      <c r="DQ49" s="1063">
        <f>CF!DQ79</f>
        <v>0</v>
      </c>
      <c r="DR49" s="1063">
        <f>CF!DR79</f>
        <v>0</v>
      </c>
      <c r="DS49" s="1063">
        <f>CF!DS79</f>
        <v>0</v>
      </c>
      <c r="DT49" s="1063">
        <f>CF!DT79</f>
        <v>0</v>
      </c>
      <c r="DU49" s="1063">
        <f>CF!DU79</f>
        <v>0</v>
      </c>
      <c r="DV49" s="1063">
        <f>CF!DV79</f>
        <v>0</v>
      </c>
      <c r="DW49" s="1063">
        <f>CF!DW79</f>
        <v>0</v>
      </c>
    </row>
    <row r="50" spans="1:127">
      <c r="A50" s="652" t="s">
        <v>1320</v>
      </c>
      <c r="G50" s="271">
        <v>0</v>
      </c>
      <c r="H50" s="271">
        <v>2575.0034247825092</v>
      </c>
      <c r="I50" s="271">
        <v>2533.0196732914906</v>
      </c>
      <c r="J50" s="271">
        <v>2576.6037713428454</v>
      </c>
      <c r="K50" s="271">
        <v>2610.8185963428691</v>
      </c>
      <c r="L50" s="271">
        <v>2637.7504890658502</v>
      </c>
      <c r="M50" s="271">
        <v>2648.8702990221004</v>
      </c>
      <c r="N50" s="271">
        <v>2677.4501512146035</v>
      </c>
      <c r="O50" s="271">
        <v>2666.4939594869188</v>
      </c>
      <c r="P50" s="271">
        <v>2717.7436256413152</v>
      </c>
      <c r="Q50" s="271">
        <v>2684.0331992854285</v>
      </c>
      <c r="R50" s="271">
        <v>2751.1021773897965</v>
      </c>
      <c r="S50" s="271">
        <v>2709.2581546480474</v>
      </c>
      <c r="T50" s="271">
        <v>2800.1462544677497</v>
      </c>
      <c r="U50" s="271">
        <v>2717.3449199012562</v>
      </c>
      <c r="V50" s="271">
        <v>2842.2728269724084</v>
      </c>
      <c r="W50" s="271">
        <v>2732.6334600507289</v>
      </c>
      <c r="X50" s="271">
        <v>2885.0280510217112</v>
      </c>
      <c r="Y50" s="271">
        <v>2746.8512382486333</v>
      </c>
      <c r="Z50" s="271">
        <v>2920.4197890044052</v>
      </c>
      <c r="AA50" s="271">
        <v>2768.3960374438393</v>
      </c>
      <c r="AB50" s="271">
        <v>2776.9576052840412</v>
      </c>
      <c r="AC50" s="271">
        <v>2618.77060132006</v>
      </c>
      <c r="AD50" s="271">
        <v>2821.6533572835297</v>
      </c>
      <c r="AE50" s="271">
        <v>2631.1685333913961</v>
      </c>
      <c r="AF50" s="271">
        <v>2279.787086630985</v>
      </c>
      <c r="AG50" s="271">
        <v>2103.8436320117626</v>
      </c>
      <c r="AH50" s="271">
        <v>2248.7629420595358</v>
      </c>
      <c r="AI50" s="271">
        <v>2057.7804294903508</v>
      </c>
      <c r="AJ50" s="271">
        <v>2226.7693434287439</v>
      </c>
      <c r="AK50" s="271">
        <v>1906.9195421016343</v>
      </c>
      <c r="AL50" s="271">
        <v>2062.0104786240358</v>
      </c>
      <c r="AM50" s="271">
        <v>1968.6430028694483</v>
      </c>
      <c r="AN50" s="271">
        <v>2112.5868900275618</v>
      </c>
      <c r="AO50" s="271">
        <v>2008.2990607656759</v>
      </c>
      <c r="AP50" s="271">
        <v>2156.6475130084063</v>
      </c>
      <c r="AQ50" s="271">
        <v>2053.9360264247639</v>
      </c>
      <c r="AR50" s="271">
        <v>2212.3179207371804</v>
      </c>
      <c r="AS50" s="271">
        <v>2087.2092851997186</v>
      </c>
      <c r="AT50" s="271">
        <v>2261.8623662998421</v>
      </c>
      <c r="AU50" s="271">
        <v>2126.8000330251843</v>
      </c>
      <c r="AV50" s="271">
        <v>2311.6215928904257</v>
      </c>
      <c r="AW50" s="271">
        <v>1866.9949103249712</v>
      </c>
      <c r="AX50" s="271">
        <v>2334.4256797676221</v>
      </c>
      <c r="AY50" s="271">
        <v>1878.0518407380155</v>
      </c>
      <c r="AZ50" s="271">
        <v>2348.8775466489715</v>
      </c>
      <c r="BA50" s="271">
        <v>1876.6451444108445</v>
      </c>
      <c r="BB50" s="271">
        <v>2355.1242252630013</v>
      </c>
      <c r="BC50" s="271">
        <v>1898.3615099762492</v>
      </c>
      <c r="BD50" s="271">
        <v>2379.8743443082985</v>
      </c>
      <c r="BE50" s="271">
        <v>1901.6580410830088</v>
      </c>
      <c r="BF50" s="271">
        <v>2379.4679591888057</v>
      </c>
      <c r="BG50" s="271">
        <v>1924.5132950690941</v>
      </c>
      <c r="BH50" s="271">
        <v>2404.5160343134335</v>
      </c>
      <c r="BI50" s="271">
        <v>1931.215285574372</v>
      </c>
      <c r="BJ50" s="271">
        <v>2421.2049439693114</v>
      </c>
      <c r="BK50" s="271">
        <v>1926.6658585007722</v>
      </c>
      <c r="BL50" s="271">
        <v>2417.5489317632077</v>
      </c>
      <c r="BM50" s="271">
        <v>1939.1895835079445</v>
      </c>
      <c r="BN50" s="271">
        <v>2424.1617038501654</v>
      </c>
      <c r="BO50" s="271">
        <v>1955.1680933501402</v>
      </c>
      <c r="BP50" s="271">
        <v>0</v>
      </c>
      <c r="BQ50" s="271">
        <v>0</v>
      </c>
      <c r="BR50" s="271">
        <v>0</v>
      </c>
      <c r="BS50" s="271">
        <v>0</v>
      </c>
      <c r="BT50" s="271">
        <v>0</v>
      </c>
      <c r="BU50" s="271">
        <v>0</v>
      </c>
      <c r="BV50" s="271">
        <v>0</v>
      </c>
      <c r="BW50" s="271">
        <v>0</v>
      </c>
      <c r="BX50" s="271">
        <v>0</v>
      </c>
      <c r="BY50" s="271">
        <v>0</v>
      </c>
      <c r="BZ50" s="271">
        <v>0</v>
      </c>
      <c r="CA50" s="271">
        <v>0</v>
      </c>
      <c r="CB50" s="271">
        <v>0</v>
      </c>
      <c r="CC50" s="271">
        <v>0</v>
      </c>
      <c r="CD50" s="271">
        <v>0</v>
      </c>
      <c r="CE50" s="271">
        <v>0</v>
      </c>
      <c r="CF50" s="271">
        <v>0</v>
      </c>
      <c r="CG50" s="271">
        <v>0</v>
      </c>
      <c r="CH50" s="271">
        <v>0</v>
      </c>
      <c r="CI50" s="271">
        <v>0</v>
      </c>
      <c r="CJ50" s="271">
        <v>0</v>
      </c>
      <c r="CK50" s="271">
        <v>0</v>
      </c>
      <c r="CL50" s="271">
        <v>0</v>
      </c>
      <c r="CM50" s="271">
        <v>0</v>
      </c>
      <c r="CN50" s="271">
        <v>0</v>
      </c>
      <c r="CO50" s="271">
        <v>0</v>
      </c>
      <c r="CP50" s="271">
        <v>0</v>
      </c>
      <c r="CQ50" s="271">
        <v>0</v>
      </c>
      <c r="CR50" s="271">
        <v>0</v>
      </c>
      <c r="CS50" s="271">
        <v>0</v>
      </c>
      <c r="CT50" s="271">
        <v>0</v>
      </c>
      <c r="CU50" s="271">
        <v>0</v>
      </c>
      <c r="CV50" s="271">
        <v>0</v>
      </c>
      <c r="CW50" s="271">
        <v>0</v>
      </c>
      <c r="CX50" s="271">
        <v>0</v>
      </c>
      <c r="CY50" s="271">
        <v>0</v>
      </c>
      <c r="CZ50" s="271">
        <v>0</v>
      </c>
      <c r="DA50" s="271">
        <v>0</v>
      </c>
      <c r="DB50" s="271">
        <v>0</v>
      </c>
      <c r="DC50" s="271">
        <v>0</v>
      </c>
      <c r="DD50" s="271">
        <v>0</v>
      </c>
      <c r="DE50" s="271">
        <v>0</v>
      </c>
      <c r="DF50" s="271">
        <v>0</v>
      </c>
      <c r="DG50" s="271">
        <v>0</v>
      </c>
      <c r="DH50" s="271">
        <v>0</v>
      </c>
      <c r="DI50" s="271">
        <v>0</v>
      </c>
      <c r="DJ50" s="271">
        <v>0</v>
      </c>
      <c r="DK50" s="271">
        <v>0</v>
      </c>
      <c r="DL50" s="271">
        <v>0</v>
      </c>
      <c r="DM50" s="271">
        <v>0</v>
      </c>
      <c r="DN50" s="271">
        <v>0</v>
      </c>
      <c r="DO50" s="271">
        <v>0</v>
      </c>
      <c r="DP50" s="271">
        <v>0</v>
      </c>
      <c r="DQ50" s="271">
        <v>0</v>
      </c>
      <c r="DR50" s="271">
        <v>0</v>
      </c>
      <c r="DS50" s="271">
        <v>0</v>
      </c>
      <c r="DT50" s="271">
        <v>0</v>
      </c>
      <c r="DU50" s="271">
        <v>0</v>
      </c>
      <c r="DV50" s="271">
        <v>0</v>
      </c>
      <c r="DW50" s="271">
        <v>0</v>
      </c>
    </row>
    <row r="51" spans="1:127" s="1165" customFormat="1">
      <c r="A51" s="1164"/>
      <c r="G51" s="1166"/>
      <c r="H51" s="1166"/>
      <c r="I51" s="1166"/>
      <c r="J51" s="1166"/>
      <c r="K51" s="1166"/>
      <c r="L51" s="1166"/>
      <c r="M51" s="1166"/>
      <c r="N51" s="1166"/>
      <c r="O51" s="1166"/>
      <c r="P51" s="1166"/>
      <c r="Q51" s="1166"/>
      <c r="R51" s="1166"/>
      <c r="S51" s="1166"/>
      <c r="T51" s="1166"/>
      <c r="U51" s="1166"/>
      <c r="V51" s="1166"/>
      <c r="W51" s="1166"/>
      <c r="X51" s="1166"/>
      <c r="Y51" s="1166"/>
      <c r="Z51" s="1166"/>
      <c r="AA51" s="1166"/>
      <c r="AB51" s="1166"/>
      <c r="AC51" s="1166"/>
      <c r="AD51" s="1166"/>
      <c r="AE51" s="1166"/>
      <c r="AF51" s="1166"/>
      <c r="AG51" s="1166"/>
      <c r="AH51" s="1166"/>
      <c r="AI51" s="1166"/>
      <c r="AJ51" s="1166"/>
      <c r="AK51" s="1166"/>
      <c r="AL51" s="1166"/>
      <c r="AM51" s="1166"/>
      <c r="AN51" s="1166"/>
      <c r="AO51" s="1166"/>
      <c r="AP51" s="1166"/>
      <c r="AQ51" s="1166"/>
      <c r="AR51" s="1166"/>
      <c r="AS51" s="1166"/>
      <c r="AT51" s="1166"/>
      <c r="AU51" s="1166"/>
      <c r="AV51" s="1166"/>
      <c r="AW51" s="1166"/>
      <c r="AX51" s="1166"/>
      <c r="AY51" s="1166"/>
      <c r="AZ51" s="1166"/>
      <c r="BA51" s="1166"/>
      <c r="BB51" s="1166"/>
      <c r="BC51" s="1166"/>
      <c r="BD51" s="1166"/>
      <c r="BE51" s="1166"/>
      <c r="BF51" s="1166"/>
      <c r="BG51" s="1166"/>
      <c r="BH51" s="1166"/>
      <c r="BI51" s="1166"/>
      <c r="BJ51" s="1166"/>
      <c r="BK51" s="1166"/>
      <c r="BL51" s="1166"/>
      <c r="BM51" s="1166"/>
      <c r="BN51" s="1166"/>
      <c r="BO51" s="1166"/>
      <c r="BP51" s="1166"/>
      <c r="BQ51" s="1166"/>
      <c r="BR51" s="1166"/>
      <c r="BS51" s="1166"/>
      <c r="BT51" s="1166"/>
      <c r="BU51" s="1166"/>
      <c r="BV51" s="1166"/>
      <c r="BW51" s="1166"/>
      <c r="BX51" s="1166"/>
      <c r="BY51" s="1166"/>
      <c r="BZ51" s="1166"/>
      <c r="CA51" s="1166"/>
      <c r="CB51" s="1166"/>
      <c r="CC51" s="1166"/>
      <c r="CD51" s="1166"/>
      <c r="CE51" s="1166"/>
      <c r="CF51" s="1166"/>
      <c r="CG51" s="1166"/>
      <c r="CH51" s="1166"/>
      <c r="CI51" s="1166"/>
      <c r="CJ51" s="1166"/>
      <c r="CK51" s="1166"/>
      <c r="CL51" s="1166"/>
      <c r="CM51" s="1166"/>
      <c r="CN51" s="1166"/>
      <c r="CO51" s="1166"/>
      <c r="CP51" s="1166"/>
      <c r="CQ51" s="1166"/>
      <c r="CR51" s="1166"/>
      <c r="CS51" s="1166"/>
      <c r="CT51" s="1166"/>
      <c r="CU51" s="1166"/>
      <c r="CV51" s="1166"/>
      <c r="CW51" s="1166"/>
      <c r="CX51" s="1166"/>
      <c r="CY51" s="1166"/>
      <c r="CZ51" s="1166"/>
      <c r="DA51" s="1166"/>
      <c r="DB51" s="1166"/>
      <c r="DC51" s="1166"/>
      <c r="DD51" s="1166"/>
      <c r="DE51" s="1166"/>
      <c r="DF51" s="1166"/>
      <c r="DG51" s="1166"/>
      <c r="DH51" s="1166"/>
      <c r="DI51" s="1166"/>
      <c r="DJ51" s="1166"/>
      <c r="DK51" s="1166"/>
      <c r="DL51" s="1166"/>
      <c r="DM51" s="1166"/>
      <c r="DN51" s="1166"/>
      <c r="DO51" s="1166"/>
      <c r="DP51" s="1166"/>
      <c r="DQ51" s="1166"/>
      <c r="DR51" s="1166"/>
      <c r="DS51" s="1166"/>
      <c r="DT51" s="1166"/>
      <c r="DU51" s="1166"/>
      <c r="DV51" s="1166"/>
      <c r="DW51" s="1166"/>
    </row>
    <row r="52" spans="1:127" s="1165" customFormat="1">
      <c r="A52" s="1182"/>
      <c r="B52" s="1182"/>
      <c r="C52" s="1182"/>
      <c r="D52" s="1182"/>
      <c r="E52" s="1182"/>
      <c r="F52" s="1182"/>
    </row>
    <row r="53" spans="1:127" s="1165" customFormat="1"/>
    <row r="54" spans="1:127">
      <c r="A54" s="1125"/>
      <c r="B54" s="1057"/>
    </row>
    <row r="55" spans="1:127">
      <c r="A55" s="1180"/>
      <c r="B55" s="1181"/>
    </row>
    <row r="56" spans="1:127">
      <c r="A56" s="1180"/>
      <c r="B56" s="1181"/>
    </row>
    <row r="57" spans="1:127">
      <c r="A57" s="1165"/>
      <c r="B57" s="1165"/>
    </row>
  </sheetData>
  <conditionalFormatting sqref="AL5:DW8">
    <cfRule type="expression" dxfId="39" priority="11">
      <formula>AL$33&gt;30</formula>
    </cfRule>
  </conditionalFormatting>
  <conditionalFormatting sqref="G5:AJ8">
    <cfRule type="expression" dxfId="38" priority="9">
      <formula>G$9&gt;30</formula>
    </cfRule>
  </conditionalFormatting>
  <conditionalFormatting sqref="G2:DW2">
    <cfRule type="expression" dxfId="37" priority="8">
      <formula>G$33&gt;30</formula>
    </cfRule>
  </conditionalFormatting>
  <hyperlinks>
    <hyperlink ref="E1" location="Sensitivity!D43" display="Sensitivity!D43" xr:uid="{00000000-0004-0000-0C00-000000000000}"/>
  </hyperlink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33" id="{00000000-000E-0000-0B00-0000420A0000}">
            <xm:f>G$33&gt;Inputs!$D$16</xm:f>
            <x14:dxf>
              <font>
                <color theme="0" tint="-0.14996795556505021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G4:DW4 G9:DW27 I28:DW28 G29:DW51</xm:sqref>
        </x14:conditionalFormatting>
        <x14:conditionalFormatting xmlns:xm="http://schemas.microsoft.com/office/excel/2006/main">
          <x14:cfRule type="iconSet" priority="28" id="{23FE1CB7-F4F7-4696-AE0B-D62302FF7A8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F39</xm:sqref>
        </x14:conditionalFormatting>
        <x14:conditionalFormatting xmlns:xm="http://schemas.microsoft.com/office/excel/2006/main">
          <x14:cfRule type="iconSet" priority="25" id="{853C15FB-6AC0-42DC-A153-FA61665383D5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E42 B45:E45</xm:sqref>
        </x14:conditionalFormatting>
        <x14:conditionalFormatting xmlns:xm="http://schemas.microsoft.com/office/excel/2006/main">
          <x14:cfRule type="iconSet" priority="453" id="{8F529412-BD89-47C1-9079-63B7DFA338FA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E36</xm:sqref>
        </x14:conditionalFormatting>
        <x14:conditionalFormatting xmlns:xm="http://schemas.microsoft.com/office/excel/2006/main">
          <x14:cfRule type="iconSet" priority="454" id="{47C2A3A2-D33C-411F-B361-715DDD503032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E48</xm:sqref>
        </x14:conditionalFormatting>
        <x14:conditionalFormatting xmlns:xm="http://schemas.microsoft.com/office/excel/2006/main">
          <x14:cfRule type="iconSet" priority="456" id="{CDBA310B-8305-471B-9241-A0FB29FD8361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E10</xm:sqref>
        </x14:conditionalFormatting>
        <x14:conditionalFormatting xmlns:xm="http://schemas.microsoft.com/office/excel/2006/main">
          <x14:cfRule type="iconSet" priority="457" id="{E4A8ADD3-F83F-4012-A40C-0D29C799C982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E23</xm:sqref>
        </x14:conditionalFormatting>
        <x14:conditionalFormatting xmlns:xm="http://schemas.microsoft.com/office/excel/2006/main">
          <x14:cfRule type="iconSet" priority="458" id="{ED82F637-5115-49EE-9347-CEC5B6A24DAC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E21</xm:sqref>
        </x14:conditionalFormatting>
        <x14:conditionalFormatting xmlns:xm="http://schemas.microsoft.com/office/excel/2006/main">
          <x14:cfRule type="iconSet" priority="459" id="{7055C9FE-99CE-4321-9E0C-89A6B6A21E45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E24:E25</xm:sqref>
        </x14:conditionalFormatting>
        <x14:conditionalFormatting xmlns:xm="http://schemas.microsoft.com/office/excel/2006/main">
          <x14:cfRule type="iconSet" priority="16" id="{9C85DC50-FD6E-4B5D-9E8E-1386AE3364B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 E3</xm:sqref>
        </x14:conditionalFormatting>
        <x14:conditionalFormatting xmlns:xm="http://schemas.microsoft.com/office/excel/2006/main">
          <x14:cfRule type="iconSet" priority="2625" id="{1833C909-42ED-4FE4-9B98-BD0C07666B70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E31:E34 E27 E29</xm:sqref>
        </x14:conditionalFormatting>
        <x14:conditionalFormatting xmlns:xm="http://schemas.microsoft.com/office/excel/2006/main">
          <x14:cfRule type="iconSet" priority="10" id="{6BE39179-A517-47E6-8F94-405FF7A9C9EF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E5:E8</xm:sqref>
        </x14:conditionalFormatting>
        <x14:conditionalFormatting xmlns:xm="http://schemas.microsoft.com/office/excel/2006/main">
          <x14:cfRule type="expression" priority="2" id="{25DF5E01-D40E-48C7-98FD-9E7AAF8C78BE}">
            <xm:f>G$33&gt;Inputs!$D$16</xm:f>
            <x14:dxf>
              <font>
                <color theme="0" tint="-0.14996795556505021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G28:H28</xm:sqref>
        </x14:conditionalFormatting>
        <x14:conditionalFormatting xmlns:xm="http://schemas.microsoft.com/office/excel/2006/main">
          <x14:cfRule type="iconSet" priority="1" id="{61E1D9BF-5A8C-4B3B-9A06-1359EE46C0C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E28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:EI92"/>
  <sheetViews>
    <sheetView showGridLines="0" workbookViewId="0">
      <pane xSplit="6" ySplit="2" topLeftCell="G3" activePane="bottomRight" state="frozen"/>
      <selection pane="bottomRight" activeCell="J13" sqref="J13"/>
      <selection pane="bottomLeft" activeCell="A3" sqref="A3"/>
      <selection pane="topRight" activeCell="F1" sqref="F1"/>
    </sheetView>
  </sheetViews>
  <sheetFormatPr defaultColWidth="11.42578125" defaultRowHeight="11.25"/>
  <cols>
    <col min="1" max="1" width="38.5703125" style="304" customWidth="1"/>
    <col min="2" max="2" width="7.85546875" style="673" bestFit="1" customWidth="1"/>
    <col min="3" max="3" width="7.85546875" style="673" customWidth="1"/>
    <col min="4" max="4" width="7.85546875" style="304" customWidth="1"/>
    <col min="5" max="6" width="2.5703125" style="304" customWidth="1"/>
    <col min="7" max="127" width="9.5703125" style="304" customWidth="1"/>
    <col min="128" max="128" width="2.5703125" style="304" customWidth="1"/>
    <col min="129" max="16384" width="11.42578125" style="304"/>
  </cols>
  <sheetData>
    <row r="1" spans="1:139">
      <c r="E1" s="894">
        <f ca="1">test_out</f>
        <v>11182.479442004989</v>
      </c>
    </row>
    <row r="2" spans="1:139">
      <c r="A2" s="915" t="s">
        <v>1331</v>
      </c>
      <c r="B2" s="981"/>
      <c r="C2" s="981"/>
      <c r="D2" s="915"/>
      <c r="E2" s="915"/>
      <c r="F2" s="915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  <c r="AB2" s="379"/>
      <c r="AC2" s="379"/>
      <c r="AD2" s="379"/>
      <c r="AE2" s="379"/>
      <c r="AF2" s="379"/>
      <c r="AG2" s="379"/>
      <c r="AH2" s="379"/>
      <c r="AI2" s="379"/>
      <c r="AJ2" s="379"/>
      <c r="AK2" s="379"/>
      <c r="AL2" s="379"/>
      <c r="AM2" s="379"/>
      <c r="AN2" s="379"/>
      <c r="AO2" s="379"/>
      <c r="AP2" s="379"/>
      <c r="AQ2" s="379"/>
      <c r="AR2" s="379"/>
      <c r="AS2" s="379"/>
      <c r="AT2" s="379"/>
      <c r="AU2" s="379"/>
      <c r="AV2" s="379"/>
      <c r="AW2" s="379"/>
      <c r="AX2" s="379"/>
      <c r="AY2" s="379"/>
      <c r="AZ2" s="379"/>
      <c r="BA2" s="379"/>
      <c r="BB2" s="379"/>
      <c r="BC2" s="379"/>
      <c r="BD2" s="379"/>
      <c r="BE2" s="379"/>
      <c r="BF2" s="379"/>
      <c r="BG2" s="379"/>
      <c r="BH2" s="379"/>
      <c r="BI2" s="379"/>
      <c r="BJ2" s="379"/>
      <c r="BK2" s="379"/>
      <c r="BL2" s="379"/>
      <c r="BM2" s="379"/>
      <c r="BN2" s="379"/>
      <c r="BO2" s="379"/>
      <c r="BP2" s="379"/>
      <c r="BQ2" s="379"/>
      <c r="BR2" s="379"/>
      <c r="BS2" s="379"/>
      <c r="BT2" s="379"/>
      <c r="BU2" s="379"/>
      <c r="BV2" s="379"/>
      <c r="BW2" s="379"/>
      <c r="BX2" s="379"/>
      <c r="BY2" s="379"/>
      <c r="BZ2" s="379"/>
      <c r="CA2" s="379"/>
      <c r="CB2" s="379"/>
      <c r="CC2" s="379"/>
      <c r="CD2" s="379"/>
      <c r="CE2" s="379"/>
      <c r="CF2" s="379"/>
      <c r="CG2" s="379"/>
      <c r="CH2" s="379"/>
      <c r="CI2" s="379"/>
      <c r="CJ2" s="379"/>
      <c r="CK2" s="379"/>
      <c r="CL2" s="379"/>
      <c r="CM2" s="379"/>
      <c r="CN2" s="379"/>
      <c r="CO2" s="379"/>
      <c r="CP2" s="379"/>
      <c r="CQ2" s="379"/>
      <c r="CR2" s="379"/>
      <c r="CS2" s="379"/>
      <c r="CT2" s="379"/>
      <c r="CU2" s="379"/>
      <c r="CV2" s="379"/>
      <c r="CW2" s="379"/>
      <c r="CX2" s="379"/>
      <c r="CY2" s="379"/>
      <c r="CZ2" s="379"/>
      <c r="DA2" s="379"/>
      <c r="DB2" s="379"/>
      <c r="DC2" s="379"/>
      <c r="DD2" s="379"/>
      <c r="DE2" s="379"/>
      <c r="DF2" s="379"/>
      <c r="DG2" s="379"/>
      <c r="DH2" s="379"/>
      <c r="DI2" s="379"/>
      <c r="DJ2" s="379"/>
      <c r="DK2" s="379"/>
      <c r="DL2" s="379"/>
      <c r="DM2" s="379"/>
      <c r="DN2" s="379"/>
      <c r="DO2" s="379"/>
      <c r="DP2" s="379"/>
      <c r="DQ2" s="379"/>
      <c r="DR2" s="379"/>
      <c r="DS2" s="379"/>
      <c r="DT2" s="379"/>
      <c r="DU2" s="379"/>
      <c r="DV2" s="379"/>
      <c r="DW2" s="379"/>
    </row>
    <row r="3" spans="1:139">
      <c r="A3" s="728"/>
    </row>
    <row r="4" spans="1:139">
      <c r="A4" s="915" t="s">
        <v>1332</v>
      </c>
      <c r="B4" s="981"/>
      <c r="C4" s="981"/>
      <c r="D4" s="915"/>
      <c r="E4" s="915"/>
      <c r="F4" s="915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  <c r="AC4" s="379"/>
      <c r="AD4" s="379"/>
      <c r="AE4" s="379"/>
      <c r="AF4" s="379"/>
      <c r="AG4" s="379"/>
      <c r="AH4" s="379"/>
      <c r="AI4" s="379"/>
      <c r="AJ4" s="379"/>
      <c r="AK4" s="379"/>
      <c r="AL4" s="379"/>
      <c r="AM4" s="379"/>
      <c r="AN4" s="379"/>
      <c r="AO4" s="379"/>
      <c r="AP4" s="379"/>
      <c r="AQ4" s="379"/>
      <c r="AR4" s="379"/>
      <c r="AS4" s="379"/>
      <c r="AT4" s="379"/>
      <c r="AU4" s="379"/>
      <c r="AV4" s="379"/>
      <c r="AW4" s="379"/>
      <c r="AX4" s="379"/>
      <c r="AY4" s="379"/>
      <c r="AZ4" s="379"/>
      <c r="BA4" s="379"/>
      <c r="BB4" s="379"/>
      <c r="BC4" s="379"/>
      <c r="BD4" s="379"/>
      <c r="BE4" s="379"/>
      <c r="BF4" s="379"/>
      <c r="BG4" s="379"/>
      <c r="BH4" s="379"/>
      <c r="BI4" s="379"/>
      <c r="BJ4" s="379"/>
      <c r="BK4" s="379"/>
      <c r="BL4" s="379"/>
      <c r="BM4" s="379"/>
      <c r="BN4" s="379"/>
      <c r="BO4" s="379"/>
      <c r="BP4" s="379"/>
      <c r="BQ4" s="379"/>
      <c r="BR4" s="379"/>
      <c r="BS4" s="379"/>
      <c r="BT4" s="379"/>
      <c r="BU4" s="379"/>
      <c r="BV4" s="379"/>
      <c r="BW4" s="379"/>
      <c r="BX4" s="379"/>
      <c r="BY4" s="379"/>
      <c r="BZ4" s="379"/>
      <c r="CA4" s="379"/>
      <c r="CB4" s="379"/>
      <c r="CC4" s="379"/>
      <c r="CD4" s="379"/>
      <c r="CE4" s="379"/>
      <c r="CF4" s="379"/>
      <c r="CG4" s="379"/>
      <c r="CH4" s="379"/>
      <c r="CI4" s="379"/>
      <c r="CJ4" s="379"/>
      <c r="CK4" s="379"/>
      <c r="CL4" s="379"/>
      <c r="CM4" s="379"/>
      <c r="CN4" s="379"/>
      <c r="CO4" s="379"/>
      <c r="CP4" s="379"/>
      <c r="CQ4" s="379"/>
      <c r="CR4" s="379"/>
      <c r="CS4" s="379"/>
      <c r="CT4" s="379"/>
      <c r="CU4" s="379"/>
      <c r="CV4" s="379"/>
      <c r="CW4" s="379"/>
      <c r="CX4" s="379"/>
      <c r="CY4" s="379"/>
      <c r="CZ4" s="379"/>
      <c r="DA4" s="379"/>
      <c r="DB4" s="379"/>
      <c r="DC4" s="379"/>
      <c r="DD4" s="379"/>
      <c r="DE4" s="379"/>
      <c r="DF4" s="379"/>
      <c r="DG4" s="379"/>
      <c r="DH4" s="379"/>
      <c r="DI4" s="379"/>
      <c r="DJ4" s="379"/>
      <c r="DK4" s="379"/>
      <c r="DL4" s="379"/>
      <c r="DM4" s="379"/>
      <c r="DN4" s="379"/>
      <c r="DO4" s="379"/>
      <c r="DP4" s="379"/>
      <c r="DQ4" s="379"/>
      <c r="DR4" s="379"/>
      <c r="DS4" s="379"/>
      <c r="DT4" s="379"/>
      <c r="DU4" s="379"/>
      <c r="DV4" s="379"/>
      <c r="DW4" s="379"/>
    </row>
    <row r="5" spans="1:139">
      <c r="A5" s="728" t="s">
        <v>1333</v>
      </c>
      <c r="B5" s="983">
        <f>Inputs!$D$9</f>
        <v>47298</v>
      </c>
      <c r="C5" s="983"/>
      <c r="D5" s="486"/>
      <c r="E5" s="486"/>
      <c r="G5" s="972">
        <f>IF(MAX($G$7:G7)=0,$B$5,F6+1)</f>
        <v>47298</v>
      </c>
      <c r="H5" s="972">
        <f>IF(MAX($G$7:H7)=0,$B$5,G6+1)</f>
        <v>47665</v>
      </c>
      <c r="I5" s="972">
        <f>IF(MAX($G$7:I7)=0,$B$5,H6+1)</f>
        <v>47849</v>
      </c>
      <c r="J5" s="972">
        <f>IF(MAX($G$7:J7)=0,$B$5,I6+1)</f>
        <v>48030</v>
      </c>
      <c r="K5" s="972">
        <f>IF(MAX($G$7:K7)=0,$B$5,J6+1)</f>
        <v>48214</v>
      </c>
      <c r="L5" s="972">
        <f>IF(MAX($G$7:L7)=0,$B$5,K6+1)</f>
        <v>48396</v>
      </c>
      <c r="M5" s="972">
        <f>IF(MAX($G$7:M7)=0,$B$5,L6+1)</f>
        <v>48580</v>
      </c>
      <c r="N5" s="972">
        <f>IF(MAX($G$7:N7)=0,$B$5,M6+1)</f>
        <v>48761</v>
      </c>
      <c r="O5" s="972">
        <f>IF(MAX($G$7:O7)=0,$B$5,N6+1)</f>
        <v>48945</v>
      </c>
      <c r="P5" s="972">
        <f>IF(MAX($G$7:P7)=0,$B$5,O6+1)</f>
        <v>49126</v>
      </c>
      <c r="Q5" s="972">
        <f>IF(MAX($G$7:Q7)=0,$B$5,P6+1)</f>
        <v>49310</v>
      </c>
      <c r="R5" s="972">
        <f>IF(MAX($G$7:R7)=0,$B$5,Q6+1)</f>
        <v>49491</v>
      </c>
      <c r="S5" s="972">
        <f>IF(MAX($G$7:S7)=0,$B$5,R6+1)</f>
        <v>49675</v>
      </c>
      <c r="T5" s="972">
        <f>IF(MAX($G$7:T7)=0,$B$5,S6+1)</f>
        <v>49857</v>
      </c>
      <c r="U5" s="972">
        <f>IF(MAX($G$7:U7)=0,$B$5,T6+1)</f>
        <v>50041</v>
      </c>
      <c r="V5" s="972">
        <f>IF(MAX($G$7:V7)=0,$B$5,U6+1)</f>
        <v>50222</v>
      </c>
      <c r="W5" s="972">
        <f>IF(MAX($G$7:W7)=0,$B$5,V6+1)</f>
        <v>50406</v>
      </c>
      <c r="X5" s="972">
        <f>IF(MAX($G$7:X7)=0,$B$5,W6+1)</f>
        <v>50587</v>
      </c>
      <c r="Y5" s="972">
        <f>IF(MAX($G$7:Y7)=0,$B$5,X6+1)</f>
        <v>50771</v>
      </c>
      <c r="Z5" s="972">
        <f>IF(MAX($G$7:Z7)=0,$B$5,Y6+1)</f>
        <v>50952</v>
      </c>
      <c r="AA5" s="972">
        <f>IF(MAX($G$7:AA7)=0,$B$5,Z6+1)</f>
        <v>51136</v>
      </c>
      <c r="AB5" s="972">
        <f>IF(MAX($G$7:AB7)=0,$B$5,AA6+1)</f>
        <v>51318</v>
      </c>
      <c r="AC5" s="972">
        <f>IF(MAX($G$7:AC7)=0,$B$5,AB6+1)</f>
        <v>51502</v>
      </c>
      <c r="AD5" s="972">
        <f>IF(MAX($G$7:AD7)=0,$B$5,AC6+1)</f>
        <v>51683</v>
      </c>
      <c r="AE5" s="972">
        <f>IF(MAX($G$7:AE7)=0,$B$5,AD6+1)</f>
        <v>51867</v>
      </c>
      <c r="AF5" s="972">
        <f>IF(MAX($G$7:AF7)=0,$B$5,AE6+1)</f>
        <v>52048</v>
      </c>
      <c r="AG5" s="972">
        <f>IF(MAX($G$7:AG7)=0,$B$5,AF6+1)</f>
        <v>52232</v>
      </c>
      <c r="AH5" s="972">
        <f>IF(MAX($G$7:AH7)=0,$B$5,AG6+1)</f>
        <v>52413</v>
      </c>
      <c r="AI5" s="972">
        <f>IF(MAX($G$7:AI7)=0,$B$5,AH6+1)</f>
        <v>52597</v>
      </c>
      <c r="AJ5" s="972">
        <f>IF(MAX($G$7:AJ7)=0,$B$5,AI6+1)</f>
        <v>52779</v>
      </c>
      <c r="AK5" s="972">
        <f>IF(MAX($G$7:AK7)=0,$B$5,AJ6+1)</f>
        <v>52963</v>
      </c>
      <c r="AL5" s="972">
        <f>IF(MAX($G$7:AL7)=0,$B$5,AK6+1)</f>
        <v>53144</v>
      </c>
      <c r="AM5" s="972">
        <f>IF(MAX($G$7:AM7)=0,$B$5,AL6+1)</f>
        <v>53328</v>
      </c>
      <c r="AN5" s="972">
        <f>IF(MAX($G$7:AN7)=0,$B$5,AM6+1)</f>
        <v>53509</v>
      </c>
      <c r="AO5" s="972">
        <f>IF(MAX($G$7:AO7)=0,$B$5,AN6+1)</f>
        <v>53693</v>
      </c>
      <c r="AP5" s="972">
        <f>IF(MAX($G$7:AP7)=0,$B$5,AO6+1)</f>
        <v>53874</v>
      </c>
      <c r="AQ5" s="972">
        <f>IF(MAX($G$7:AQ7)=0,$B$5,AP6+1)</f>
        <v>54058</v>
      </c>
      <c r="AR5" s="972">
        <f>IF(MAX($G$7:AR7)=0,$B$5,AQ6+1)</f>
        <v>54240</v>
      </c>
      <c r="AS5" s="972">
        <f>IF(MAX($G$7:AS7)=0,$B$5,AR6+1)</f>
        <v>54424</v>
      </c>
      <c r="AT5" s="972">
        <f>IF(MAX($G$7:AT7)=0,$B$5,AS6+1)</f>
        <v>54605</v>
      </c>
      <c r="AU5" s="972">
        <f>IF(MAX($G$7:AU7)=0,$B$5,AT6+1)</f>
        <v>54789</v>
      </c>
      <c r="AV5" s="972">
        <f>IF(MAX($G$7:AV7)=0,$B$5,AU6+1)</f>
        <v>54970</v>
      </c>
      <c r="AW5" s="972">
        <f>IF(MAX($G$7:AW7)=0,$B$5,AV6+1)</f>
        <v>55154</v>
      </c>
      <c r="AX5" s="972">
        <f>IF(MAX($G$7:AX7)=0,$B$5,AW6+1)</f>
        <v>55335</v>
      </c>
      <c r="AY5" s="972">
        <f>IF(MAX($G$7:AY7)=0,$B$5,AX6+1)</f>
        <v>55519</v>
      </c>
      <c r="AZ5" s="972">
        <f>IF(MAX($G$7:AZ7)=0,$B$5,AY6+1)</f>
        <v>55701</v>
      </c>
      <c r="BA5" s="972">
        <f>IF(MAX($G$7:BA7)=0,$B$5,AZ6+1)</f>
        <v>55885</v>
      </c>
      <c r="BB5" s="972">
        <f>IF(MAX($G$7:BB7)=0,$B$5,BA6+1)</f>
        <v>56066</v>
      </c>
      <c r="BC5" s="972">
        <f>IF(MAX($G$7:BC7)=0,$B$5,BB6+1)</f>
        <v>56250</v>
      </c>
      <c r="BD5" s="972">
        <f>IF(MAX($G$7:BD7)=0,$B$5,BC6+1)</f>
        <v>56431</v>
      </c>
      <c r="BE5" s="972">
        <f>IF(MAX($G$7:BE7)=0,$B$5,BD6+1)</f>
        <v>56615</v>
      </c>
      <c r="BF5" s="972">
        <f>IF(MAX($G$7:BF7)=0,$B$5,BE6+1)</f>
        <v>56796</v>
      </c>
      <c r="BG5" s="972">
        <f>IF(MAX($G$7:BG7)=0,$B$5,BF6+1)</f>
        <v>56980</v>
      </c>
      <c r="BH5" s="972">
        <f>IF(MAX($G$7:BH7)=0,$B$5,BG6+1)</f>
        <v>57162</v>
      </c>
      <c r="BI5" s="972">
        <f>IF(MAX($G$7:BI7)=0,$B$5,BH6+1)</f>
        <v>57346</v>
      </c>
      <c r="BJ5" s="972">
        <f>IF(MAX($G$7:BJ7)=0,$B$5,BI6+1)</f>
        <v>57527</v>
      </c>
      <c r="BK5" s="972">
        <f>IF(MAX($G$7:BK7)=0,$B$5,BJ6+1)</f>
        <v>57711</v>
      </c>
      <c r="BL5" s="972">
        <f>IF(MAX($G$7:BL7)=0,$B$5,BK6+1)</f>
        <v>57892</v>
      </c>
      <c r="BM5" s="972">
        <f>IF(MAX($G$7:BM7)=0,$B$5,BL6+1)</f>
        <v>58076</v>
      </c>
      <c r="BN5" s="972">
        <f>IF(MAX($G$7:BN7)=0,$B$5,BM6+1)</f>
        <v>58257</v>
      </c>
      <c r="BO5" s="972">
        <f>IF(MAX($G$7:BO7)=0,$B$5,BN6+1)</f>
        <v>58441</v>
      </c>
      <c r="BP5" s="972">
        <f>IF(MAX($G$7:BP7)=0,$B$5,BO6+1)</f>
        <v>58623</v>
      </c>
      <c r="BQ5" s="972">
        <f>IF(MAX($G$7:BQ7)=0,$B$5,BP6+1)</f>
        <v>58807</v>
      </c>
      <c r="BR5" s="972">
        <f>IF(MAX($G$7:BR7)=0,$B$5,BQ6+1)</f>
        <v>58988</v>
      </c>
      <c r="BS5" s="972">
        <f>IF(MAX($G$7:BS7)=0,$B$5,BR6+1)</f>
        <v>59172</v>
      </c>
      <c r="BT5" s="972">
        <f>IF(MAX($G$7:BT7)=0,$B$5,BS6+1)</f>
        <v>59353</v>
      </c>
      <c r="BU5" s="972">
        <f>IF(MAX($G$7:BU7)=0,$B$5,BT6+1)</f>
        <v>59537</v>
      </c>
      <c r="BV5" s="972">
        <f>IF(MAX($G$7:BV7)=0,$B$5,BU6+1)</f>
        <v>59718</v>
      </c>
      <c r="BW5" s="972">
        <f>IF(MAX($G$7:BW7)=0,$B$5,BV6+1)</f>
        <v>59902</v>
      </c>
      <c r="BX5" s="972">
        <f>IF(MAX($G$7:BX7)=0,$B$5,BW6+1)</f>
        <v>60084</v>
      </c>
      <c r="BY5" s="972">
        <f>IF(MAX($G$7:BY7)=0,$B$5,BX6+1)</f>
        <v>60268</v>
      </c>
      <c r="BZ5" s="972">
        <f>IF(MAX($G$7:BZ7)=0,$B$5,BY6+1)</f>
        <v>60449</v>
      </c>
      <c r="CA5" s="972">
        <f>IF(MAX($G$7:CA7)=0,$B$5,BZ6+1)</f>
        <v>60633</v>
      </c>
      <c r="CB5" s="972">
        <f>IF(MAX($G$7:CB7)=0,$B$5,CA6+1)</f>
        <v>60814</v>
      </c>
      <c r="CC5" s="972">
        <f>IF(MAX($G$7:CC7)=0,$B$5,CB6+1)</f>
        <v>60998</v>
      </c>
      <c r="CD5" s="972">
        <f>IF(MAX($G$7:CD7)=0,$B$5,CC6+1)</f>
        <v>61179</v>
      </c>
      <c r="CE5" s="972">
        <f>IF(MAX($G$7:CE7)=0,$B$5,CD6+1)</f>
        <v>61363</v>
      </c>
      <c r="CF5" s="972">
        <f>IF(MAX($G$7:CF7)=0,$B$5,CE6+1)</f>
        <v>61545</v>
      </c>
      <c r="CG5" s="972">
        <f>IF(MAX($G$7:CG7)=0,$B$5,CF6+1)</f>
        <v>61729</v>
      </c>
      <c r="CH5" s="972">
        <f>IF(MAX($G$7:CH7)=0,$B$5,CG6+1)</f>
        <v>61910</v>
      </c>
      <c r="CI5" s="972">
        <f>IF(MAX($G$7:CI7)=0,$B$5,CH6+1)</f>
        <v>62094</v>
      </c>
      <c r="CJ5" s="972">
        <f>IF(MAX($G$7:CJ7)=0,$B$5,CI6+1)</f>
        <v>62275</v>
      </c>
      <c r="CK5" s="972">
        <f>IF(MAX($G$7:CK7)=0,$B$5,CJ6+1)</f>
        <v>62459</v>
      </c>
      <c r="CL5" s="972">
        <f>IF(MAX($G$7:CL7)=0,$B$5,CK6+1)</f>
        <v>62640</v>
      </c>
      <c r="CM5" s="972">
        <f>IF(MAX($G$7:CM7)=0,$B$5,CL6+1)</f>
        <v>62824</v>
      </c>
      <c r="CN5" s="972">
        <f>IF(MAX($G$7:CN7)=0,$B$5,CM6+1)</f>
        <v>63006</v>
      </c>
      <c r="CO5" s="972">
        <f>IF(MAX($G$7:CO7)=0,$B$5,CN6+1)</f>
        <v>63190</v>
      </c>
      <c r="CP5" s="972">
        <f>IF(MAX($G$7:CP7)=0,$B$5,CO6+1)</f>
        <v>63371</v>
      </c>
      <c r="CQ5" s="972">
        <f>IF(MAX($G$7:CQ7)=0,$B$5,CP6+1)</f>
        <v>63555</v>
      </c>
      <c r="CR5" s="972">
        <f>IF(MAX($G$7:CR7)=0,$B$5,CQ6+1)</f>
        <v>63736</v>
      </c>
      <c r="CS5" s="972">
        <f>IF(MAX($G$7:CS7)=0,$B$5,CR6+1)</f>
        <v>63920</v>
      </c>
      <c r="CT5" s="972">
        <f>IF(MAX($G$7:CT7)=0,$B$5,CS6+1)</f>
        <v>64101</v>
      </c>
      <c r="CU5" s="972">
        <f>IF(MAX($G$7:CU7)=0,$B$5,CT6+1)</f>
        <v>64285</v>
      </c>
      <c r="CV5" s="972">
        <f>IF(MAX($G$7:CV7)=0,$B$5,CU6+1)</f>
        <v>64467</v>
      </c>
      <c r="CW5" s="972">
        <f>IF(MAX($G$7:CW7)=0,$B$5,CV6+1)</f>
        <v>64651</v>
      </c>
      <c r="CX5" s="972">
        <f>IF(MAX($G$7:CX7)=0,$B$5,CW6+1)</f>
        <v>64832</v>
      </c>
      <c r="CY5" s="972">
        <f>IF(MAX($G$7:CY7)=0,$B$5,CX6+1)</f>
        <v>65016</v>
      </c>
      <c r="CZ5" s="972">
        <f>IF(MAX($G$7:CZ7)=0,$B$5,CY6+1)</f>
        <v>65197</v>
      </c>
      <c r="DA5" s="972">
        <f>IF(MAX($G$7:DA7)=0,$B$5,CZ6+1)</f>
        <v>65381</v>
      </c>
      <c r="DB5" s="972">
        <f>IF(MAX($G$7:DB7)=0,$B$5,DA6+1)</f>
        <v>65562</v>
      </c>
      <c r="DC5" s="972">
        <f>IF(MAX($G$7:DC7)=0,$B$5,DB6+1)</f>
        <v>65746</v>
      </c>
      <c r="DD5" s="972">
        <f>IF(MAX($G$7:DD7)=0,$B$5,DC6+1)</f>
        <v>65928</v>
      </c>
      <c r="DE5" s="972">
        <f>IF(MAX($G$7:DE7)=0,$B$5,DD6+1)</f>
        <v>66112</v>
      </c>
      <c r="DF5" s="972">
        <f>IF(MAX($G$7:DF7)=0,$B$5,DE6+1)</f>
        <v>66293</v>
      </c>
      <c r="DG5" s="972">
        <f>IF(MAX($G$7:DG7)=0,$B$5,DF6+1)</f>
        <v>66477</v>
      </c>
      <c r="DH5" s="972">
        <f>IF(MAX($G$7:DH7)=0,$B$5,DG6+1)</f>
        <v>66658</v>
      </c>
      <c r="DI5" s="972">
        <f>IF(MAX($G$7:DI7)=0,$B$5,DH6+1)</f>
        <v>66842</v>
      </c>
      <c r="DJ5" s="972">
        <f>IF(MAX($G$7:DJ7)=0,$B$5,DI6+1)</f>
        <v>67023</v>
      </c>
      <c r="DK5" s="972">
        <f>IF(MAX($G$7:DK7)=0,$B$5,DJ6+1)</f>
        <v>67207</v>
      </c>
      <c r="DL5" s="972">
        <f>IF(MAX($G$7:DL7)=0,$B$5,DK6+1)</f>
        <v>67389</v>
      </c>
      <c r="DM5" s="972">
        <f>IF(MAX($G$7:DM7)=0,$B$5,DL6+1)</f>
        <v>67573</v>
      </c>
      <c r="DN5" s="972">
        <f>IF(MAX($G$7:DN7)=0,$B$5,DM6+1)</f>
        <v>67754</v>
      </c>
      <c r="DO5" s="972">
        <f>IF(MAX($G$7:DO7)=0,$B$5,DN6+1)</f>
        <v>67938</v>
      </c>
      <c r="DP5" s="972">
        <f>IF(MAX($G$7:DP7)=0,$B$5,DO6+1)</f>
        <v>68119</v>
      </c>
      <c r="DQ5" s="972">
        <f>IF(MAX($G$7:DQ7)=0,$B$5,DP6+1)</f>
        <v>68303</v>
      </c>
      <c r="DR5" s="972">
        <f>IF(MAX($G$7:DR7)=0,$B$5,DQ6+1)</f>
        <v>68484</v>
      </c>
      <c r="DS5" s="972">
        <f>IF(MAX($G$7:DS7)=0,$B$5,DR6+1)</f>
        <v>68668</v>
      </c>
      <c r="DT5" s="972">
        <f>IF(MAX($G$7:DT7)=0,$B$5,DS6+1)</f>
        <v>68850</v>
      </c>
      <c r="DU5" s="972">
        <f>IF(MAX($G$7:DU7)=0,$B$5,DT6+1)</f>
        <v>69034</v>
      </c>
      <c r="DV5" s="972">
        <f>IF(MAX($G$7:DV7)=0,$B$5,DU6+1)</f>
        <v>69215</v>
      </c>
      <c r="DW5" s="972">
        <f>IF(MAX($G$7:DW7)=0,$B$5,DV6+1)</f>
        <v>69399</v>
      </c>
      <c r="DX5" s="579"/>
      <c r="DY5" s="579"/>
      <c r="DZ5" s="579"/>
      <c r="EA5" s="579"/>
      <c r="EB5" s="579"/>
      <c r="EC5" s="579"/>
      <c r="ED5" s="579"/>
      <c r="EE5" s="579"/>
      <c r="EF5" s="579"/>
      <c r="EG5" s="579"/>
      <c r="EH5" s="579"/>
      <c r="EI5" s="579"/>
    </row>
    <row r="6" spans="1:139">
      <c r="A6" s="304" t="s">
        <v>1334</v>
      </c>
      <c r="B6" s="983">
        <f>Inputs!$D$11+1</f>
        <v>47664</v>
      </c>
      <c r="C6" s="983"/>
      <c r="D6" s="486"/>
      <c r="E6" s="486"/>
      <c r="G6" s="972">
        <f t="shared" ref="G6:AL6" si="0">IF(G7=0,$B6,DATE(YEAR(G5),MONTH(G5)+monthsinyear/$B$7,DAY(G5)-1))</f>
        <v>47664</v>
      </c>
      <c r="H6" s="972">
        <f t="shared" si="0"/>
        <v>47848</v>
      </c>
      <c r="I6" s="972">
        <f t="shared" si="0"/>
        <v>48029</v>
      </c>
      <c r="J6" s="972">
        <f t="shared" si="0"/>
        <v>48213</v>
      </c>
      <c r="K6" s="972">
        <f t="shared" si="0"/>
        <v>48395</v>
      </c>
      <c r="L6" s="972">
        <f t="shared" si="0"/>
        <v>48579</v>
      </c>
      <c r="M6" s="972">
        <f t="shared" si="0"/>
        <v>48760</v>
      </c>
      <c r="N6" s="972">
        <f t="shared" si="0"/>
        <v>48944</v>
      </c>
      <c r="O6" s="972">
        <f t="shared" si="0"/>
        <v>49125</v>
      </c>
      <c r="P6" s="972">
        <f t="shared" si="0"/>
        <v>49309</v>
      </c>
      <c r="Q6" s="972">
        <f t="shared" si="0"/>
        <v>49490</v>
      </c>
      <c r="R6" s="972">
        <f t="shared" si="0"/>
        <v>49674</v>
      </c>
      <c r="S6" s="972">
        <f t="shared" si="0"/>
        <v>49856</v>
      </c>
      <c r="T6" s="972">
        <f t="shared" si="0"/>
        <v>50040</v>
      </c>
      <c r="U6" s="972">
        <f t="shared" si="0"/>
        <v>50221</v>
      </c>
      <c r="V6" s="972">
        <f t="shared" si="0"/>
        <v>50405</v>
      </c>
      <c r="W6" s="972">
        <f t="shared" si="0"/>
        <v>50586</v>
      </c>
      <c r="X6" s="972">
        <f t="shared" si="0"/>
        <v>50770</v>
      </c>
      <c r="Y6" s="972">
        <f t="shared" si="0"/>
        <v>50951</v>
      </c>
      <c r="Z6" s="972">
        <f t="shared" si="0"/>
        <v>51135</v>
      </c>
      <c r="AA6" s="972">
        <f t="shared" si="0"/>
        <v>51317</v>
      </c>
      <c r="AB6" s="972">
        <f t="shared" si="0"/>
        <v>51501</v>
      </c>
      <c r="AC6" s="972">
        <f t="shared" si="0"/>
        <v>51682</v>
      </c>
      <c r="AD6" s="972">
        <f t="shared" si="0"/>
        <v>51866</v>
      </c>
      <c r="AE6" s="972">
        <f t="shared" si="0"/>
        <v>52047</v>
      </c>
      <c r="AF6" s="972">
        <f t="shared" si="0"/>
        <v>52231</v>
      </c>
      <c r="AG6" s="972">
        <f t="shared" si="0"/>
        <v>52412</v>
      </c>
      <c r="AH6" s="972">
        <f t="shared" si="0"/>
        <v>52596</v>
      </c>
      <c r="AI6" s="972">
        <f t="shared" si="0"/>
        <v>52778</v>
      </c>
      <c r="AJ6" s="972">
        <f t="shared" si="0"/>
        <v>52962</v>
      </c>
      <c r="AK6" s="972">
        <f t="shared" si="0"/>
        <v>53143</v>
      </c>
      <c r="AL6" s="972">
        <f t="shared" si="0"/>
        <v>53327</v>
      </c>
      <c r="AM6" s="972">
        <f t="shared" ref="AM6:BR6" si="1">IF(AM7=0,$B6,DATE(YEAR(AM5),MONTH(AM5)+monthsinyear/$B$7,DAY(AM5)-1))</f>
        <v>53508</v>
      </c>
      <c r="AN6" s="972">
        <f t="shared" si="1"/>
        <v>53692</v>
      </c>
      <c r="AO6" s="972">
        <f t="shared" si="1"/>
        <v>53873</v>
      </c>
      <c r="AP6" s="972">
        <f t="shared" si="1"/>
        <v>54057</v>
      </c>
      <c r="AQ6" s="972">
        <f t="shared" si="1"/>
        <v>54239</v>
      </c>
      <c r="AR6" s="972">
        <f t="shared" si="1"/>
        <v>54423</v>
      </c>
      <c r="AS6" s="972">
        <f t="shared" si="1"/>
        <v>54604</v>
      </c>
      <c r="AT6" s="972">
        <f t="shared" si="1"/>
        <v>54788</v>
      </c>
      <c r="AU6" s="972">
        <f t="shared" si="1"/>
        <v>54969</v>
      </c>
      <c r="AV6" s="972">
        <f t="shared" si="1"/>
        <v>55153</v>
      </c>
      <c r="AW6" s="972">
        <f t="shared" si="1"/>
        <v>55334</v>
      </c>
      <c r="AX6" s="972">
        <f t="shared" si="1"/>
        <v>55518</v>
      </c>
      <c r="AY6" s="972">
        <f t="shared" si="1"/>
        <v>55700</v>
      </c>
      <c r="AZ6" s="972">
        <f t="shared" si="1"/>
        <v>55884</v>
      </c>
      <c r="BA6" s="972">
        <f t="shared" si="1"/>
        <v>56065</v>
      </c>
      <c r="BB6" s="972">
        <f t="shared" si="1"/>
        <v>56249</v>
      </c>
      <c r="BC6" s="972">
        <f t="shared" si="1"/>
        <v>56430</v>
      </c>
      <c r="BD6" s="972">
        <f t="shared" si="1"/>
        <v>56614</v>
      </c>
      <c r="BE6" s="972">
        <f t="shared" si="1"/>
        <v>56795</v>
      </c>
      <c r="BF6" s="972">
        <f t="shared" si="1"/>
        <v>56979</v>
      </c>
      <c r="BG6" s="972">
        <f t="shared" si="1"/>
        <v>57161</v>
      </c>
      <c r="BH6" s="972">
        <f t="shared" si="1"/>
        <v>57345</v>
      </c>
      <c r="BI6" s="972">
        <f t="shared" si="1"/>
        <v>57526</v>
      </c>
      <c r="BJ6" s="972">
        <f t="shared" si="1"/>
        <v>57710</v>
      </c>
      <c r="BK6" s="972">
        <f t="shared" si="1"/>
        <v>57891</v>
      </c>
      <c r="BL6" s="972">
        <f t="shared" si="1"/>
        <v>58075</v>
      </c>
      <c r="BM6" s="972">
        <f t="shared" si="1"/>
        <v>58256</v>
      </c>
      <c r="BN6" s="972">
        <f t="shared" si="1"/>
        <v>58440</v>
      </c>
      <c r="BO6" s="972">
        <f t="shared" si="1"/>
        <v>58622</v>
      </c>
      <c r="BP6" s="972">
        <f t="shared" si="1"/>
        <v>58806</v>
      </c>
      <c r="BQ6" s="972">
        <f t="shared" si="1"/>
        <v>58987</v>
      </c>
      <c r="BR6" s="972">
        <f t="shared" si="1"/>
        <v>59171</v>
      </c>
      <c r="BS6" s="972">
        <f t="shared" ref="BS6:CX6" si="2">IF(BS7=0,$B6,DATE(YEAR(BS5),MONTH(BS5)+monthsinyear/$B$7,DAY(BS5)-1))</f>
        <v>59352</v>
      </c>
      <c r="BT6" s="972">
        <f t="shared" si="2"/>
        <v>59536</v>
      </c>
      <c r="BU6" s="972">
        <f t="shared" si="2"/>
        <v>59717</v>
      </c>
      <c r="BV6" s="972">
        <f t="shared" si="2"/>
        <v>59901</v>
      </c>
      <c r="BW6" s="972">
        <f t="shared" si="2"/>
        <v>60083</v>
      </c>
      <c r="BX6" s="972">
        <f t="shared" si="2"/>
        <v>60267</v>
      </c>
      <c r="BY6" s="972">
        <f t="shared" si="2"/>
        <v>60448</v>
      </c>
      <c r="BZ6" s="972">
        <f t="shared" si="2"/>
        <v>60632</v>
      </c>
      <c r="CA6" s="972">
        <f t="shared" si="2"/>
        <v>60813</v>
      </c>
      <c r="CB6" s="972">
        <f t="shared" si="2"/>
        <v>60997</v>
      </c>
      <c r="CC6" s="972">
        <f t="shared" si="2"/>
        <v>61178</v>
      </c>
      <c r="CD6" s="972">
        <f t="shared" si="2"/>
        <v>61362</v>
      </c>
      <c r="CE6" s="972">
        <f t="shared" si="2"/>
        <v>61544</v>
      </c>
      <c r="CF6" s="972">
        <f t="shared" si="2"/>
        <v>61728</v>
      </c>
      <c r="CG6" s="972">
        <f t="shared" si="2"/>
        <v>61909</v>
      </c>
      <c r="CH6" s="972">
        <f t="shared" si="2"/>
        <v>62093</v>
      </c>
      <c r="CI6" s="972">
        <f t="shared" si="2"/>
        <v>62274</v>
      </c>
      <c r="CJ6" s="972">
        <f t="shared" si="2"/>
        <v>62458</v>
      </c>
      <c r="CK6" s="972">
        <f t="shared" si="2"/>
        <v>62639</v>
      </c>
      <c r="CL6" s="972">
        <f t="shared" si="2"/>
        <v>62823</v>
      </c>
      <c r="CM6" s="972">
        <f t="shared" si="2"/>
        <v>63005</v>
      </c>
      <c r="CN6" s="972">
        <f t="shared" si="2"/>
        <v>63189</v>
      </c>
      <c r="CO6" s="972">
        <f t="shared" si="2"/>
        <v>63370</v>
      </c>
      <c r="CP6" s="972">
        <f t="shared" si="2"/>
        <v>63554</v>
      </c>
      <c r="CQ6" s="972">
        <f t="shared" si="2"/>
        <v>63735</v>
      </c>
      <c r="CR6" s="972">
        <f t="shared" si="2"/>
        <v>63919</v>
      </c>
      <c r="CS6" s="972">
        <f t="shared" si="2"/>
        <v>64100</v>
      </c>
      <c r="CT6" s="972">
        <f t="shared" si="2"/>
        <v>64284</v>
      </c>
      <c r="CU6" s="972">
        <f t="shared" si="2"/>
        <v>64466</v>
      </c>
      <c r="CV6" s="972">
        <f t="shared" si="2"/>
        <v>64650</v>
      </c>
      <c r="CW6" s="972">
        <f t="shared" si="2"/>
        <v>64831</v>
      </c>
      <c r="CX6" s="972">
        <f t="shared" si="2"/>
        <v>65015</v>
      </c>
      <c r="CY6" s="972">
        <f t="shared" ref="CY6:DW6" si="3">IF(CY7=0,$B6,DATE(YEAR(CY5),MONTH(CY5)+monthsinyear/$B$7,DAY(CY5)-1))</f>
        <v>65196</v>
      </c>
      <c r="CZ6" s="972">
        <f t="shared" si="3"/>
        <v>65380</v>
      </c>
      <c r="DA6" s="972">
        <f t="shared" si="3"/>
        <v>65561</v>
      </c>
      <c r="DB6" s="972">
        <f t="shared" si="3"/>
        <v>65745</v>
      </c>
      <c r="DC6" s="972">
        <f t="shared" si="3"/>
        <v>65927</v>
      </c>
      <c r="DD6" s="972">
        <f t="shared" si="3"/>
        <v>66111</v>
      </c>
      <c r="DE6" s="972">
        <f t="shared" si="3"/>
        <v>66292</v>
      </c>
      <c r="DF6" s="972">
        <f t="shared" si="3"/>
        <v>66476</v>
      </c>
      <c r="DG6" s="972">
        <f t="shared" si="3"/>
        <v>66657</v>
      </c>
      <c r="DH6" s="972">
        <f t="shared" si="3"/>
        <v>66841</v>
      </c>
      <c r="DI6" s="972">
        <f t="shared" si="3"/>
        <v>67022</v>
      </c>
      <c r="DJ6" s="972">
        <f t="shared" si="3"/>
        <v>67206</v>
      </c>
      <c r="DK6" s="972">
        <f t="shared" si="3"/>
        <v>67388</v>
      </c>
      <c r="DL6" s="972">
        <f t="shared" si="3"/>
        <v>67572</v>
      </c>
      <c r="DM6" s="972">
        <f t="shared" si="3"/>
        <v>67753</v>
      </c>
      <c r="DN6" s="972">
        <f t="shared" si="3"/>
        <v>67937</v>
      </c>
      <c r="DO6" s="972">
        <f t="shared" si="3"/>
        <v>68118</v>
      </c>
      <c r="DP6" s="972">
        <f t="shared" si="3"/>
        <v>68302</v>
      </c>
      <c r="DQ6" s="972">
        <f t="shared" si="3"/>
        <v>68483</v>
      </c>
      <c r="DR6" s="972">
        <f t="shared" si="3"/>
        <v>68667</v>
      </c>
      <c r="DS6" s="972">
        <f t="shared" si="3"/>
        <v>68849</v>
      </c>
      <c r="DT6" s="972">
        <f t="shared" si="3"/>
        <v>69033</v>
      </c>
      <c r="DU6" s="972">
        <f t="shared" si="3"/>
        <v>69214</v>
      </c>
      <c r="DV6" s="972">
        <f t="shared" si="3"/>
        <v>69398</v>
      </c>
      <c r="DW6" s="972">
        <f t="shared" si="3"/>
        <v>69579</v>
      </c>
      <c r="DX6" s="579"/>
      <c r="DY6" s="579"/>
      <c r="DZ6" s="579"/>
      <c r="EA6" s="579"/>
      <c r="EB6" s="579"/>
      <c r="EC6" s="579"/>
      <c r="ED6" s="579"/>
      <c r="EE6" s="579"/>
      <c r="EF6" s="579"/>
      <c r="EG6" s="579"/>
      <c r="EH6" s="579"/>
      <c r="EI6" s="579"/>
    </row>
    <row r="7" spans="1:139">
      <c r="A7" s="304" t="s">
        <v>72</v>
      </c>
      <c r="B7" s="927">
        <f>VLOOKUP(Inputs!$D$18,Inputs!$B$480:$C$482,2)</f>
        <v>2</v>
      </c>
      <c r="D7" s="486"/>
      <c r="E7" s="486"/>
      <c r="G7" s="1001">
        <f t="shared" ref="G7:AL7" si="4">INT((G8-1)/$B$7)+1</f>
        <v>0</v>
      </c>
      <c r="H7" s="1001">
        <f>INT((H8-1)/$B$7)+1</f>
        <v>1</v>
      </c>
      <c r="I7" s="1001">
        <f t="shared" si="4"/>
        <v>1</v>
      </c>
      <c r="J7" s="1001">
        <f t="shared" si="4"/>
        <v>2</v>
      </c>
      <c r="K7" s="1001">
        <f t="shared" si="4"/>
        <v>2</v>
      </c>
      <c r="L7" s="1001">
        <f t="shared" si="4"/>
        <v>3</v>
      </c>
      <c r="M7" s="1001">
        <f t="shared" si="4"/>
        <v>3</v>
      </c>
      <c r="N7" s="1001">
        <f t="shared" si="4"/>
        <v>4</v>
      </c>
      <c r="O7" s="1001">
        <f t="shared" si="4"/>
        <v>4</v>
      </c>
      <c r="P7" s="1001">
        <f t="shared" si="4"/>
        <v>5</v>
      </c>
      <c r="Q7" s="1001">
        <f t="shared" si="4"/>
        <v>5</v>
      </c>
      <c r="R7" s="1001">
        <f t="shared" si="4"/>
        <v>6</v>
      </c>
      <c r="S7" s="1001">
        <f t="shared" si="4"/>
        <v>6</v>
      </c>
      <c r="T7" s="1001">
        <f t="shared" si="4"/>
        <v>7</v>
      </c>
      <c r="U7" s="1001">
        <f t="shared" si="4"/>
        <v>7</v>
      </c>
      <c r="V7" s="1001">
        <f t="shared" si="4"/>
        <v>8</v>
      </c>
      <c r="W7" s="1001">
        <f t="shared" si="4"/>
        <v>8</v>
      </c>
      <c r="X7" s="1001">
        <f t="shared" si="4"/>
        <v>9</v>
      </c>
      <c r="Y7" s="1001">
        <f t="shared" si="4"/>
        <v>9</v>
      </c>
      <c r="Z7" s="1001">
        <f t="shared" si="4"/>
        <v>10</v>
      </c>
      <c r="AA7" s="1001">
        <f t="shared" si="4"/>
        <v>10</v>
      </c>
      <c r="AB7" s="1001">
        <f t="shared" si="4"/>
        <v>11</v>
      </c>
      <c r="AC7" s="1001">
        <f t="shared" si="4"/>
        <v>11</v>
      </c>
      <c r="AD7" s="1001">
        <f t="shared" si="4"/>
        <v>12</v>
      </c>
      <c r="AE7" s="1001">
        <f t="shared" si="4"/>
        <v>12</v>
      </c>
      <c r="AF7" s="1001">
        <f t="shared" si="4"/>
        <v>13</v>
      </c>
      <c r="AG7" s="1001">
        <f t="shared" si="4"/>
        <v>13</v>
      </c>
      <c r="AH7" s="1001">
        <f t="shared" si="4"/>
        <v>14</v>
      </c>
      <c r="AI7" s="1001">
        <f t="shared" si="4"/>
        <v>14</v>
      </c>
      <c r="AJ7" s="1001">
        <f t="shared" si="4"/>
        <v>15</v>
      </c>
      <c r="AK7" s="1001">
        <f t="shared" si="4"/>
        <v>15</v>
      </c>
      <c r="AL7" s="1001">
        <f t="shared" si="4"/>
        <v>16</v>
      </c>
      <c r="AM7" s="1001">
        <f t="shared" ref="AM7:BR7" si="5">INT((AM8-1)/$B$7)+1</f>
        <v>16</v>
      </c>
      <c r="AN7" s="1001">
        <f t="shared" si="5"/>
        <v>17</v>
      </c>
      <c r="AO7" s="1001">
        <f t="shared" si="5"/>
        <v>17</v>
      </c>
      <c r="AP7" s="1001">
        <f t="shared" si="5"/>
        <v>18</v>
      </c>
      <c r="AQ7" s="1001">
        <f t="shared" si="5"/>
        <v>18</v>
      </c>
      <c r="AR7" s="1001">
        <f t="shared" si="5"/>
        <v>19</v>
      </c>
      <c r="AS7" s="1001">
        <f t="shared" si="5"/>
        <v>19</v>
      </c>
      <c r="AT7" s="1001">
        <f t="shared" si="5"/>
        <v>20</v>
      </c>
      <c r="AU7" s="1001">
        <f t="shared" si="5"/>
        <v>20</v>
      </c>
      <c r="AV7" s="1001">
        <f t="shared" si="5"/>
        <v>21</v>
      </c>
      <c r="AW7" s="1001">
        <f t="shared" si="5"/>
        <v>21</v>
      </c>
      <c r="AX7" s="1001">
        <f t="shared" si="5"/>
        <v>22</v>
      </c>
      <c r="AY7" s="1001">
        <f t="shared" si="5"/>
        <v>22</v>
      </c>
      <c r="AZ7" s="1001">
        <f t="shared" si="5"/>
        <v>23</v>
      </c>
      <c r="BA7" s="1001">
        <f t="shared" si="5"/>
        <v>23</v>
      </c>
      <c r="BB7" s="1001">
        <f t="shared" si="5"/>
        <v>24</v>
      </c>
      <c r="BC7" s="1001">
        <f t="shared" si="5"/>
        <v>24</v>
      </c>
      <c r="BD7" s="1001">
        <f t="shared" si="5"/>
        <v>25</v>
      </c>
      <c r="BE7" s="1001">
        <f t="shared" si="5"/>
        <v>25</v>
      </c>
      <c r="BF7" s="1001">
        <f t="shared" si="5"/>
        <v>26</v>
      </c>
      <c r="BG7" s="1001">
        <f t="shared" si="5"/>
        <v>26</v>
      </c>
      <c r="BH7" s="1001">
        <f t="shared" si="5"/>
        <v>27</v>
      </c>
      <c r="BI7" s="1001">
        <f t="shared" si="5"/>
        <v>27</v>
      </c>
      <c r="BJ7" s="1001">
        <f t="shared" si="5"/>
        <v>28</v>
      </c>
      <c r="BK7" s="1001">
        <f t="shared" si="5"/>
        <v>28</v>
      </c>
      <c r="BL7" s="1001">
        <f t="shared" si="5"/>
        <v>29</v>
      </c>
      <c r="BM7" s="1001">
        <f t="shared" si="5"/>
        <v>29</v>
      </c>
      <c r="BN7" s="1001">
        <f t="shared" si="5"/>
        <v>30</v>
      </c>
      <c r="BO7" s="1001">
        <f t="shared" si="5"/>
        <v>30</v>
      </c>
      <c r="BP7" s="1001">
        <f t="shared" si="5"/>
        <v>31</v>
      </c>
      <c r="BQ7" s="1001">
        <f t="shared" si="5"/>
        <v>31</v>
      </c>
      <c r="BR7" s="1001">
        <f t="shared" si="5"/>
        <v>32</v>
      </c>
      <c r="BS7" s="1001">
        <f t="shared" ref="BS7:CX7" si="6">INT((BS8-1)/$B$7)+1</f>
        <v>32</v>
      </c>
      <c r="BT7" s="1001">
        <f t="shared" si="6"/>
        <v>33</v>
      </c>
      <c r="BU7" s="1001">
        <f t="shared" si="6"/>
        <v>33</v>
      </c>
      <c r="BV7" s="1001">
        <f t="shared" si="6"/>
        <v>34</v>
      </c>
      <c r="BW7" s="1001">
        <f t="shared" si="6"/>
        <v>34</v>
      </c>
      <c r="BX7" s="1001">
        <f t="shared" si="6"/>
        <v>35</v>
      </c>
      <c r="BY7" s="1001">
        <f t="shared" si="6"/>
        <v>35</v>
      </c>
      <c r="BZ7" s="1001">
        <f t="shared" si="6"/>
        <v>36</v>
      </c>
      <c r="CA7" s="1001">
        <f t="shared" si="6"/>
        <v>36</v>
      </c>
      <c r="CB7" s="1001">
        <f t="shared" si="6"/>
        <v>37</v>
      </c>
      <c r="CC7" s="1001">
        <f t="shared" si="6"/>
        <v>37</v>
      </c>
      <c r="CD7" s="1001">
        <f t="shared" si="6"/>
        <v>38</v>
      </c>
      <c r="CE7" s="1001">
        <f t="shared" si="6"/>
        <v>38</v>
      </c>
      <c r="CF7" s="1001">
        <f t="shared" si="6"/>
        <v>39</v>
      </c>
      <c r="CG7" s="1001">
        <f t="shared" si="6"/>
        <v>39</v>
      </c>
      <c r="CH7" s="1001">
        <f t="shared" si="6"/>
        <v>40</v>
      </c>
      <c r="CI7" s="1001">
        <f t="shared" si="6"/>
        <v>40</v>
      </c>
      <c r="CJ7" s="1001">
        <f t="shared" si="6"/>
        <v>41</v>
      </c>
      <c r="CK7" s="1001">
        <f t="shared" si="6"/>
        <v>41</v>
      </c>
      <c r="CL7" s="1001">
        <f t="shared" si="6"/>
        <v>42</v>
      </c>
      <c r="CM7" s="1001">
        <f t="shared" si="6"/>
        <v>42</v>
      </c>
      <c r="CN7" s="1001">
        <f t="shared" si="6"/>
        <v>43</v>
      </c>
      <c r="CO7" s="1001">
        <f t="shared" si="6"/>
        <v>43</v>
      </c>
      <c r="CP7" s="1001">
        <f t="shared" si="6"/>
        <v>44</v>
      </c>
      <c r="CQ7" s="1001">
        <f t="shared" si="6"/>
        <v>44</v>
      </c>
      <c r="CR7" s="1001">
        <f t="shared" si="6"/>
        <v>45</v>
      </c>
      <c r="CS7" s="1001">
        <f t="shared" si="6"/>
        <v>45</v>
      </c>
      <c r="CT7" s="1001">
        <f t="shared" si="6"/>
        <v>46</v>
      </c>
      <c r="CU7" s="1001">
        <f t="shared" si="6"/>
        <v>46</v>
      </c>
      <c r="CV7" s="1001">
        <f t="shared" si="6"/>
        <v>47</v>
      </c>
      <c r="CW7" s="1001">
        <f t="shared" si="6"/>
        <v>47</v>
      </c>
      <c r="CX7" s="1001">
        <f t="shared" si="6"/>
        <v>48</v>
      </c>
      <c r="CY7" s="1001">
        <f t="shared" ref="CY7:DW7" si="7">INT((CY8-1)/$B$7)+1</f>
        <v>48</v>
      </c>
      <c r="CZ7" s="1001">
        <f t="shared" si="7"/>
        <v>49</v>
      </c>
      <c r="DA7" s="1001">
        <f t="shared" si="7"/>
        <v>49</v>
      </c>
      <c r="DB7" s="1001">
        <f t="shared" si="7"/>
        <v>50</v>
      </c>
      <c r="DC7" s="1001">
        <f t="shared" si="7"/>
        <v>50</v>
      </c>
      <c r="DD7" s="1001">
        <f t="shared" si="7"/>
        <v>51</v>
      </c>
      <c r="DE7" s="1001">
        <f t="shared" si="7"/>
        <v>51</v>
      </c>
      <c r="DF7" s="1001">
        <f t="shared" si="7"/>
        <v>52</v>
      </c>
      <c r="DG7" s="1001">
        <f t="shared" si="7"/>
        <v>52</v>
      </c>
      <c r="DH7" s="1001">
        <f t="shared" si="7"/>
        <v>53</v>
      </c>
      <c r="DI7" s="1001">
        <f t="shared" si="7"/>
        <v>53</v>
      </c>
      <c r="DJ7" s="1001">
        <f t="shared" si="7"/>
        <v>54</v>
      </c>
      <c r="DK7" s="1001">
        <f t="shared" si="7"/>
        <v>54</v>
      </c>
      <c r="DL7" s="1001">
        <f t="shared" si="7"/>
        <v>55</v>
      </c>
      <c r="DM7" s="1001">
        <f t="shared" si="7"/>
        <v>55</v>
      </c>
      <c r="DN7" s="1001">
        <f t="shared" si="7"/>
        <v>56</v>
      </c>
      <c r="DO7" s="1001">
        <f t="shared" si="7"/>
        <v>56</v>
      </c>
      <c r="DP7" s="1001">
        <f t="shared" si="7"/>
        <v>57</v>
      </c>
      <c r="DQ7" s="1001">
        <f t="shared" si="7"/>
        <v>57</v>
      </c>
      <c r="DR7" s="1001">
        <f t="shared" si="7"/>
        <v>58</v>
      </c>
      <c r="DS7" s="1001">
        <f t="shared" si="7"/>
        <v>58</v>
      </c>
      <c r="DT7" s="1001">
        <f t="shared" si="7"/>
        <v>59</v>
      </c>
      <c r="DU7" s="1001">
        <f t="shared" si="7"/>
        <v>59</v>
      </c>
      <c r="DV7" s="1001">
        <f t="shared" si="7"/>
        <v>60</v>
      </c>
      <c r="DW7" s="1001">
        <f t="shared" si="7"/>
        <v>60</v>
      </c>
      <c r="DX7" s="579"/>
      <c r="DY7" s="579"/>
      <c r="DZ7" s="579"/>
      <c r="EA7" s="579"/>
      <c r="EB7" s="579"/>
      <c r="EC7" s="579"/>
      <c r="ED7" s="579"/>
      <c r="EE7" s="579"/>
      <c r="EF7" s="579"/>
      <c r="EG7" s="579"/>
      <c r="EH7" s="579"/>
      <c r="EI7" s="579"/>
    </row>
    <row r="8" spans="1:139">
      <c r="A8" s="304" t="s">
        <v>1335</v>
      </c>
      <c r="C8" s="927"/>
      <c r="D8" s="486"/>
      <c r="E8" s="486"/>
      <c r="G8" s="1076">
        <f>F8</f>
        <v>0</v>
      </c>
      <c r="H8" s="1076">
        <f>G8+1</f>
        <v>1</v>
      </c>
      <c r="I8" s="1076">
        <f t="shared" ref="I8:BT8" si="8">H8+1</f>
        <v>2</v>
      </c>
      <c r="J8" s="1076">
        <f t="shared" si="8"/>
        <v>3</v>
      </c>
      <c r="K8" s="1076">
        <f t="shared" si="8"/>
        <v>4</v>
      </c>
      <c r="L8" s="1076">
        <f t="shared" si="8"/>
        <v>5</v>
      </c>
      <c r="M8" s="1076">
        <f t="shared" si="8"/>
        <v>6</v>
      </c>
      <c r="N8" s="1076">
        <f t="shared" si="8"/>
        <v>7</v>
      </c>
      <c r="O8" s="1076">
        <f t="shared" si="8"/>
        <v>8</v>
      </c>
      <c r="P8" s="1076">
        <f t="shared" si="8"/>
        <v>9</v>
      </c>
      <c r="Q8" s="1076">
        <f t="shared" si="8"/>
        <v>10</v>
      </c>
      <c r="R8" s="1076">
        <f t="shared" si="8"/>
        <v>11</v>
      </c>
      <c r="S8" s="1076">
        <f t="shared" si="8"/>
        <v>12</v>
      </c>
      <c r="T8" s="1076">
        <f t="shared" si="8"/>
        <v>13</v>
      </c>
      <c r="U8" s="1076">
        <f t="shared" si="8"/>
        <v>14</v>
      </c>
      <c r="V8" s="1076">
        <f t="shared" si="8"/>
        <v>15</v>
      </c>
      <c r="W8" s="1076">
        <f t="shared" si="8"/>
        <v>16</v>
      </c>
      <c r="X8" s="1076">
        <f t="shared" si="8"/>
        <v>17</v>
      </c>
      <c r="Y8" s="1076">
        <f t="shared" si="8"/>
        <v>18</v>
      </c>
      <c r="Z8" s="1076">
        <f t="shared" si="8"/>
        <v>19</v>
      </c>
      <c r="AA8" s="1076">
        <f t="shared" si="8"/>
        <v>20</v>
      </c>
      <c r="AB8" s="1076">
        <f t="shared" si="8"/>
        <v>21</v>
      </c>
      <c r="AC8" s="1076">
        <f t="shared" si="8"/>
        <v>22</v>
      </c>
      <c r="AD8" s="1076">
        <f t="shared" si="8"/>
        <v>23</v>
      </c>
      <c r="AE8" s="1076">
        <f t="shared" si="8"/>
        <v>24</v>
      </c>
      <c r="AF8" s="1076">
        <f t="shared" si="8"/>
        <v>25</v>
      </c>
      <c r="AG8" s="1076">
        <f t="shared" si="8"/>
        <v>26</v>
      </c>
      <c r="AH8" s="1076">
        <f t="shared" si="8"/>
        <v>27</v>
      </c>
      <c r="AI8" s="1076">
        <f t="shared" si="8"/>
        <v>28</v>
      </c>
      <c r="AJ8" s="1076">
        <f t="shared" si="8"/>
        <v>29</v>
      </c>
      <c r="AK8" s="1076">
        <f t="shared" si="8"/>
        <v>30</v>
      </c>
      <c r="AL8" s="1076">
        <f t="shared" si="8"/>
        <v>31</v>
      </c>
      <c r="AM8" s="1076">
        <f t="shared" si="8"/>
        <v>32</v>
      </c>
      <c r="AN8" s="1076">
        <f t="shared" si="8"/>
        <v>33</v>
      </c>
      <c r="AO8" s="1076">
        <f t="shared" si="8"/>
        <v>34</v>
      </c>
      <c r="AP8" s="1076">
        <f t="shared" si="8"/>
        <v>35</v>
      </c>
      <c r="AQ8" s="1076">
        <f t="shared" si="8"/>
        <v>36</v>
      </c>
      <c r="AR8" s="1076">
        <f t="shared" si="8"/>
        <v>37</v>
      </c>
      <c r="AS8" s="1076">
        <f t="shared" si="8"/>
        <v>38</v>
      </c>
      <c r="AT8" s="1076">
        <f t="shared" si="8"/>
        <v>39</v>
      </c>
      <c r="AU8" s="1076">
        <f t="shared" si="8"/>
        <v>40</v>
      </c>
      <c r="AV8" s="1076">
        <f t="shared" si="8"/>
        <v>41</v>
      </c>
      <c r="AW8" s="1076">
        <f t="shared" si="8"/>
        <v>42</v>
      </c>
      <c r="AX8" s="1076">
        <f t="shared" si="8"/>
        <v>43</v>
      </c>
      <c r="AY8" s="1076">
        <f t="shared" si="8"/>
        <v>44</v>
      </c>
      <c r="AZ8" s="1076">
        <f t="shared" si="8"/>
        <v>45</v>
      </c>
      <c r="BA8" s="1076">
        <f t="shared" si="8"/>
        <v>46</v>
      </c>
      <c r="BB8" s="1076">
        <f t="shared" si="8"/>
        <v>47</v>
      </c>
      <c r="BC8" s="1076">
        <f t="shared" si="8"/>
        <v>48</v>
      </c>
      <c r="BD8" s="1076">
        <f t="shared" si="8"/>
        <v>49</v>
      </c>
      <c r="BE8" s="1076">
        <f t="shared" si="8"/>
        <v>50</v>
      </c>
      <c r="BF8" s="1076">
        <f t="shared" si="8"/>
        <v>51</v>
      </c>
      <c r="BG8" s="1076">
        <f t="shared" si="8"/>
        <v>52</v>
      </c>
      <c r="BH8" s="1076">
        <f t="shared" si="8"/>
        <v>53</v>
      </c>
      <c r="BI8" s="1076">
        <f t="shared" si="8"/>
        <v>54</v>
      </c>
      <c r="BJ8" s="1076">
        <f t="shared" si="8"/>
        <v>55</v>
      </c>
      <c r="BK8" s="1076">
        <f t="shared" si="8"/>
        <v>56</v>
      </c>
      <c r="BL8" s="1076">
        <f t="shared" si="8"/>
        <v>57</v>
      </c>
      <c r="BM8" s="1076">
        <f t="shared" si="8"/>
        <v>58</v>
      </c>
      <c r="BN8" s="1076">
        <f t="shared" si="8"/>
        <v>59</v>
      </c>
      <c r="BO8" s="1076">
        <f t="shared" si="8"/>
        <v>60</v>
      </c>
      <c r="BP8" s="1076">
        <f t="shared" si="8"/>
        <v>61</v>
      </c>
      <c r="BQ8" s="1076">
        <f t="shared" si="8"/>
        <v>62</v>
      </c>
      <c r="BR8" s="1076">
        <f t="shared" si="8"/>
        <v>63</v>
      </c>
      <c r="BS8" s="1076">
        <f t="shared" si="8"/>
        <v>64</v>
      </c>
      <c r="BT8" s="1076">
        <f t="shared" si="8"/>
        <v>65</v>
      </c>
      <c r="BU8" s="1076">
        <f t="shared" ref="BU8:DW8" si="9">BT8+1</f>
        <v>66</v>
      </c>
      <c r="BV8" s="1076">
        <f t="shared" si="9"/>
        <v>67</v>
      </c>
      <c r="BW8" s="1076">
        <f t="shared" si="9"/>
        <v>68</v>
      </c>
      <c r="BX8" s="1076">
        <f t="shared" si="9"/>
        <v>69</v>
      </c>
      <c r="BY8" s="1076">
        <f t="shared" si="9"/>
        <v>70</v>
      </c>
      <c r="BZ8" s="1076">
        <f t="shared" si="9"/>
        <v>71</v>
      </c>
      <c r="CA8" s="1076">
        <f t="shared" si="9"/>
        <v>72</v>
      </c>
      <c r="CB8" s="1076">
        <f t="shared" si="9"/>
        <v>73</v>
      </c>
      <c r="CC8" s="1076">
        <f t="shared" si="9"/>
        <v>74</v>
      </c>
      <c r="CD8" s="1076">
        <f t="shared" si="9"/>
        <v>75</v>
      </c>
      <c r="CE8" s="1076">
        <f t="shared" si="9"/>
        <v>76</v>
      </c>
      <c r="CF8" s="1076">
        <f t="shared" si="9"/>
        <v>77</v>
      </c>
      <c r="CG8" s="1076">
        <f t="shared" si="9"/>
        <v>78</v>
      </c>
      <c r="CH8" s="1076">
        <f t="shared" si="9"/>
        <v>79</v>
      </c>
      <c r="CI8" s="1076">
        <f t="shared" si="9"/>
        <v>80</v>
      </c>
      <c r="CJ8" s="1076">
        <f t="shared" si="9"/>
        <v>81</v>
      </c>
      <c r="CK8" s="1076">
        <f t="shared" si="9"/>
        <v>82</v>
      </c>
      <c r="CL8" s="1076">
        <f t="shared" si="9"/>
        <v>83</v>
      </c>
      <c r="CM8" s="1076">
        <f t="shared" si="9"/>
        <v>84</v>
      </c>
      <c r="CN8" s="1076">
        <f t="shared" si="9"/>
        <v>85</v>
      </c>
      <c r="CO8" s="1076">
        <f t="shared" si="9"/>
        <v>86</v>
      </c>
      <c r="CP8" s="1076">
        <f t="shared" si="9"/>
        <v>87</v>
      </c>
      <c r="CQ8" s="1076">
        <f t="shared" si="9"/>
        <v>88</v>
      </c>
      <c r="CR8" s="1076">
        <f t="shared" si="9"/>
        <v>89</v>
      </c>
      <c r="CS8" s="1076">
        <f t="shared" si="9"/>
        <v>90</v>
      </c>
      <c r="CT8" s="1076">
        <f t="shared" si="9"/>
        <v>91</v>
      </c>
      <c r="CU8" s="1076">
        <f t="shared" si="9"/>
        <v>92</v>
      </c>
      <c r="CV8" s="1076">
        <f t="shared" si="9"/>
        <v>93</v>
      </c>
      <c r="CW8" s="1076">
        <f t="shared" si="9"/>
        <v>94</v>
      </c>
      <c r="CX8" s="1076">
        <f t="shared" si="9"/>
        <v>95</v>
      </c>
      <c r="CY8" s="1076">
        <f t="shared" si="9"/>
        <v>96</v>
      </c>
      <c r="CZ8" s="1076">
        <f t="shared" si="9"/>
        <v>97</v>
      </c>
      <c r="DA8" s="1076">
        <f t="shared" si="9"/>
        <v>98</v>
      </c>
      <c r="DB8" s="1076">
        <f t="shared" si="9"/>
        <v>99</v>
      </c>
      <c r="DC8" s="1076">
        <f t="shared" si="9"/>
        <v>100</v>
      </c>
      <c r="DD8" s="1076">
        <f t="shared" si="9"/>
        <v>101</v>
      </c>
      <c r="DE8" s="1076">
        <f t="shared" si="9"/>
        <v>102</v>
      </c>
      <c r="DF8" s="1076">
        <f t="shared" si="9"/>
        <v>103</v>
      </c>
      <c r="DG8" s="1076">
        <f t="shared" si="9"/>
        <v>104</v>
      </c>
      <c r="DH8" s="1076">
        <f t="shared" si="9"/>
        <v>105</v>
      </c>
      <c r="DI8" s="1076">
        <f t="shared" si="9"/>
        <v>106</v>
      </c>
      <c r="DJ8" s="1076">
        <f t="shared" si="9"/>
        <v>107</v>
      </c>
      <c r="DK8" s="1076">
        <f t="shared" si="9"/>
        <v>108</v>
      </c>
      <c r="DL8" s="1076">
        <f t="shared" si="9"/>
        <v>109</v>
      </c>
      <c r="DM8" s="1076">
        <f t="shared" si="9"/>
        <v>110</v>
      </c>
      <c r="DN8" s="1076">
        <f t="shared" si="9"/>
        <v>111</v>
      </c>
      <c r="DO8" s="1076">
        <f t="shared" si="9"/>
        <v>112</v>
      </c>
      <c r="DP8" s="1076">
        <f t="shared" si="9"/>
        <v>113</v>
      </c>
      <c r="DQ8" s="1076">
        <f t="shared" si="9"/>
        <v>114</v>
      </c>
      <c r="DR8" s="1076">
        <f t="shared" si="9"/>
        <v>115</v>
      </c>
      <c r="DS8" s="1076">
        <f t="shared" si="9"/>
        <v>116</v>
      </c>
      <c r="DT8" s="1076">
        <f t="shared" si="9"/>
        <v>117</v>
      </c>
      <c r="DU8" s="1076">
        <f t="shared" si="9"/>
        <v>118</v>
      </c>
      <c r="DV8" s="1076">
        <f t="shared" si="9"/>
        <v>119</v>
      </c>
      <c r="DW8" s="1076">
        <f t="shared" si="9"/>
        <v>120</v>
      </c>
      <c r="DX8" s="579"/>
      <c r="DY8" s="579"/>
      <c r="DZ8" s="579"/>
      <c r="EA8" s="579"/>
      <c r="EB8" s="579"/>
      <c r="EC8" s="579"/>
      <c r="ED8" s="579"/>
      <c r="EE8" s="579"/>
      <c r="EF8" s="579"/>
      <c r="EG8" s="579"/>
      <c r="EH8" s="579"/>
      <c r="EI8" s="579"/>
    </row>
    <row r="9" spans="1:139">
      <c r="A9" s="304" t="s">
        <v>1336</v>
      </c>
      <c r="B9" s="927"/>
      <c r="C9" s="927"/>
      <c r="D9" s="486"/>
      <c r="E9" s="486"/>
      <c r="G9" s="1002" t="b">
        <f t="shared" ref="G9:X9" si="10">IF(OR(AND(MOD(YEAR(G6),4)=0,MONTH(G6)&gt;2,OR(AND(MOD(YEAR(G5),4)=0,MONTH(G5)&lt;=2),MOD(YEAR(G5),4)&lt;&gt;0)),AND(MOD(YEAR(G6),4)=0,MONTH(G6)=2,DAY(G6)=29)),TRUE,FALSE)</f>
        <v>0</v>
      </c>
      <c r="H9" s="1002" t="b">
        <f t="shared" si="10"/>
        <v>0</v>
      </c>
      <c r="I9" s="1002" t="b">
        <f t="shared" si="10"/>
        <v>0</v>
      </c>
      <c r="J9" s="1002" t="b">
        <f t="shared" si="10"/>
        <v>0</v>
      </c>
      <c r="K9" s="1002" t="b">
        <f t="shared" si="10"/>
        <v>1</v>
      </c>
      <c r="L9" s="1002" t="b">
        <f t="shared" si="10"/>
        <v>0</v>
      </c>
      <c r="M9" s="1002" t="b">
        <f t="shared" si="10"/>
        <v>0</v>
      </c>
      <c r="N9" s="1002" t="b">
        <f t="shared" si="10"/>
        <v>0</v>
      </c>
      <c r="O9" s="1002" t="b">
        <f t="shared" si="10"/>
        <v>0</v>
      </c>
      <c r="P9" s="1002" t="b">
        <f t="shared" si="10"/>
        <v>0</v>
      </c>
      <c r="Q9" s="1002" t="b">
        <f t="shared" si="10"/>
        <v>0</v>
      </c>
      <c r="R9" s="1002" t="b">
        <f>IF(OR(AND(MOD(YEAR(R6),4)=0,MONTH(R6)&gt;2,OR(AND(MOD(YEAR(R5),4)=0,MONTH(R5)&lt;=2),MOD(YEAR(R5),4)&lt;&gt;0)),AND(MOD(YEAR(R6),4)=0,MONTH(R6)=2,DAY(R6)=29)),TRUE,FALSE)</f>
        <v>0</v>
      </c>
      <c r="S9" s="1002" t="b">
        <f t="shared" si="10"/>
        <v>1</v>
      </c>
      <c r="T9" s="1002" t="b">
        <f t="shared" si="10"/>
        <v>0</v>
      </c>
      <c r="U9" s="1002" t="b">
        <f t="shared" si="10"/>
        <v>0</v>
      </c>
      <c r="V9" s="1002" t="b">
        <f t="shared" si="10"/>
        <v>0</v>
      </c>
      <c r="W9" s="1002" t="b">
        <f t="shared" si="10"/>
        <v>0</v>
      </c>
      <c r="X9" s="1002" t="b">
        <f t="shared" si="10"/>
        <v>0</v>
      </c>
      <c r="Y9" s="1002" t="b">
        <f t="shared" ref="Y9:CB9" si="11">IF(OR(AND(MOD(YEAR(Y6),4)=0,MONTH(Y6)&gt;2,OR(AND(MOD(YEAR(Y5),4)=0,MONTH(Y5)&lt;=2),MOD(YEAR(Y5),4)&lt;&gt;0)),AND(MOD(YEAR(Y6),4)=0,MONTH(Y6)=2,DAY(Y6)=29)),TRUE,FALSE)</f>
        <v>0</v>
      </c>
      <c r="Z9" s="1002" t="b">
        <f t="shared" si="11"/>
        <v>0</v>
      </c>
      <c r="AA9" s="1002" t="b">
        <f t="shared" si="11"/>
        <v>1</v>
      </c>
      <c r="AB9" s="1002" t="b">
        <f t="shared" si="11"/>
        <v>0</v>
      </c>
      <c r="AC9" s="1002" t="b">
        <f t="shared" si="11"/>
        <v>0</v>
      </c>
      <c r="AD9" s="1002" t="b">
        <f t="shared" si="11"/>
        <v>0</v>
      </c>
      <c r="AE9" s="1002" t="b">
        <f t="shared" si="11"/>
        <v>0</v>
      </c>
      <c r="AF9" s="1002" t="b">
        <f t="shared" si="11"/>
        <v>0</v>
      </c>
      <c r="AG9" s="1002" t="b">
        <f t="shared" si="11"/>
        <v>0</v>
      </c>
      <c r="AH9" s="1002" t="b">
        <f t="shared" si="11"/>
        <v>0</v>
      </c>
      <c r="AI9" s="1002" t="b">
        <f t="shared" si="11"/>
        <v>1</v>
      </c>
      <c r="AJ9" s="1002" t="b">
        <f t="shared" si="11"/>
        <v>0</v>
      </c>
      <c r="AK9" s="1002" t="b">
        <f t="shared" si="11"/>
        <v>0</v>
      </c>
      <c r="AL9" s="1002" t="b">
        <f t="shared" si="11"/>
        <v>0</v>
      </c>
      <c r="AM9" s="1002" t="b">
        <f t="shared" si="11"/>
        <v>0</v>
      </c>
      <c r="AN9" s="1002" t="b">
        <f t="shared" si="11"/>
        <v>0</v>
      </c>
      <c r="AO9" s="1002" t="b">
        <f t="shared" si="11"/>
        <v>0</v>
      </c>
      <c r="AP9" s="1002" t="b">
        <f t="shared" si="11"/>
        <v>0</v>
      </c>
      <c r="AQ9" s="1002" t="b">
        <f t="shared" si="11"/>
        <v>1</v>
      </c>
      <c r="AR9" s="1002" t="b">
        <f t="shared" si="11"/>
        <v>0</v>
      </c>
      <c r="AS9" s="1002" t="b">
        <f t="shared" si="11"/>
        <v>0</v>
      </c>
      <c r="AT9" s="1002" t="b">
        <f t="shared" si="11"/>
        <v>0</v>
      </c>
      <c r="AU9" s="1002" t="b">
        <f t="shared" si="11"/>
        <v>0</v>
      </c>
      <c r="AV9" s="1002" t="b">
        <f t="shared" si="11"/>
        <v>0</v>
      </c>
      <c r="AW9" s="1002" t="b">
        <f t="shared" si="11"/>
        <v>0</v>
      </c>
      <c r="AX9" s="1002" t="b">
        <f t="shared" si="11"/>
        <v>0</v>
      </c>
      <c r="AY9" s="1002" t="b">
        <f t="shared" si="11"/>
        <v>1</v>
      </c>
      <c r="AZ9" s="1002" t="b">
        <f t="shared" si="11"/>
        <v>0</v>
      </c>
      <c r="BA9" s="1002" t="b">
        <f t="shared" si="11"/>
        <v>0</v>
      </c>
      <c r="BB9" s="1002" t="b">
        <f t="shared" si="11"/>
        <v>0</v>
      </c>
      <c r="BC9" s="1002" t="b">
        <f t="shared" si="11"/>
        <v>0</v>
      </c>
      <c r="BD9" s="1002" t="b">
        <f t="shared" si="11"/>
        <v>0</v>
      </c>
      <c r="BE9" s="1002" t="b">
        <f t="shared" si="11"/>
        <v>0</v>
      </c>
      <c r="BF9" s="1002" t="b">
        <f t="shared" si="11"/>
        <v>0</v>
      </c>
      <c r="BG9" s="1002" t="b">
        <f t="shared" si="11"/>
        <v>1</v>
      </c>
      <c r="BH9" s="1002" t="b">
        <f t="shared" si="11"/>
        <v>0</v>
      </c>
      <c r="BI9" s="1002" t="b">
        <f t="shared" si="11"/>
        <v>0</v>
      </c>
      <c r="BJ9" s="1002" t="b">
        <f t="shared" si="11"/>
        <v>0</v>
      </c>
      <c r="BK9" s="1002" t="b">
        <f t="shared" si="11"/>
        <v>0</v>
      </c>
      <c r="BL9" s="1002" t="b">
        <f t="shared" si="11"/>
        <v>0</v>
      </c>
      <c r="BM9" s="1002" t="b">
        <f t="shared" si="11"/>
        <v>0</v>
      </c>
      <c r="BN9" s="1002" t="b">
        <f t="shared" si="11"/>
        <v>0</v>
      </c>
      <c r="BO9" s="1002" t="b">
        <f t="shared" si="11"/>
        <v>1</v>
      </c>
      <c r="BP9" s="1002" t="b">
        <f t="shared" si="11"/>
        <v>0</v>
      </c>
      <c r="BQ9" s="1002" t="b">
        <f t="shared" si="11"/>
        <v>0</v>
      </c>
      <c r="BR9" s="1002" t="b">
        <f t="shared" si="11"/>
        <v>0</v>
      </c>
      <c r="BS9" s="1002" t="b">
        <f t="shared" si="11"/>
        <v>0</v>
      </c>
      <c r="BT9" s="1002" t="b">
        <f t="shared" si="11"/>
        <v>0</v>
      </c>
      <c r="BU9" s="1002" t="b">
        <f t="shared" si="11"/>
        <v>0</v>
      </c>
      <c r="BV9" s="1002" t="b">
        <f t="shared" si="11"/>
        <v>0</v>
      </c>
      <c r="BW9" s="1002" t="b">
        <f t="shared" si="11"/>
        <v>1</v>
      </c>
      <c r="BX9" s="1002" t="b">
        <f t="shared" si="11"/>
        <v>0</v>
      </c>
      <c r="BY9" s="1002" t="b">
        <f t="shared" si="11"/>
        <v>0</v>
      </c>
      <c r="BZ9" s="1002" t="b">
        <f t="shared" si="11"/>
        <v>0</v>
      </c>
      <c r="CA9" s="1002" t="b">
        <f t="shared" si="11"/>
        <v>0</v>
      </c>
      <c r="CB9" s="1002" t="b">
        <f t="shared" si="11"/>
        <v>0</v>
      </c>
      <c r="CC9" s="1002" t="b">
        <f t="shared" ref="CC9:DW9" si="12">IF(OR(AND(MOD(YEAR(CC6),4)=0,MONTH(CC6)&gt;2,OR(AND(MOD(YEAR(CC5),4)=0,MONTH(CC5)&lt;=2),MOD(YEAR(CC5),4)&lt;&gt;0)),AND(MOD(YEAR(CC6),4)=0,MONTH(CC6)=2,DAY(CC6)=29)),TRUE,FALSE)</f>
        <v>0</v>
      </c>
      <c r="CD9" s="1002" t="b">
        <f t="shared" si="12"/>
        <v>0</v>
      </c>
      <c r="CE9" s="1002" t="b">
        <f t="shared" si="12"/>
        <v>1</v>
      </c>
      <c r="CF9" s="1002" t="b">
        <f t="shared" si="12"/>
        <v>0</v>
      </c>
      <c r="CG9" s="1002" t="b">
        <f t="shared" si="12"/>
        <v>0</v>
      </c>
      <c r="CH9" s="1002" t="b">
        <f t="shared" si="12"/>
        <v>0</v>
      </c>
      <c r="CI9" s="1002" t="b">
        <f t="shared" si="12"/>
        <v>0</v>
      </c>
      <c r="CJ9" s="1002" t="b">
        <f t="shared" si="12"/>
        <v>0</v>
      </c>
      <c r="CK9" s="1002" t="b">
        <f t="shared" si="12"/>
        <v>0</v>
      </c>
      <c r="CL9" s="1002" t="b">
        <f t="shared" si="12"/>
        <v>0</v>
      </c>
      <c r="CM9" s="1002" t="b">
        <f t="shared" si="12"/>
        <v>1</v>
      </c>
      <c r="CN9" s="1002" t="b">
        <f t="shared" si="12"/>
        <v>0</v>
      </c>
      <c r="CO9" s="1002" t="b">
        <f t="shared" si="12"/>
        <v>0</v>
      </c>
      <c r="CP9" s="1002" t="b">
        <f t="shared" si="12"/>
        <v>0</v>
      </c>
      <c r="CQ9" s="1002" t="b">
        <f t="shared" si="12"/>
        <v>0</v>
      </c>
      <c r="CR9" s="1002" t="b">
        <f t="shared" si="12"/>
        <v>0</v>
      </c>
      <c r="CS9" s="1002" t="b">
        <f t="shared" si="12"/>
        <v>0</v>
      </c>
      <c r="CT9" s="1002" t="b">
        <f t="shared" si="12"/>
        <v>0</v>
      </c>
      <c r="CU9" s="1002" t="b">
        <f t="shared" si="12"/>
        <v>1</v>
      </c>
      <c r="CV9" s="1002" t="b">
        <f t="shared" si="12"/>
        <v>0</v>
      </c>
      <c r="CW9" s="1002" t="b">
        <f t="shared" si="12"/>
        <v>0</v>
      </c>
      <c r="CX9" s="1002" t="b">
        <f t="shared" si="12"/>
        <v>0</v>
      </c>
      <c r="CY9" s="1002" t="b">
        <f t="shared" si="12"/>
        <v>0</v>
      </c>
      <c r="CZ9" s="1002" t="b">
        <f t="shared" si="12"/>
        <v>0</v>
      </c>
      <c r="DA9" s="1002" t="b">
        <f t="shared" si="12"/>
        <v>0</v>
      </c>
      <c r="DB9" s="1002" t="b">
        <f t="shared" si="12"/>
        <v>0</v>
      </c>
      <c r="DC9" s="1002" t="b">
        <f t="shared" si="12"/>
        <v>1</v>
      </c>
      <c r="DD9" s="1002" t="b">
        <f t="shared" si="12"/>
        <v>0</v>
      </c>
      <c r="DE9" s="1002" t="b">
        <f t="shared" si="12"/>
        <v>0</v>
      </c>
      <c r="DF9" s="1002" t="b">
        <f t="shared" si="12"/>
        <v>0</v>
      </c>
      <c r="DG9" s="1002" t="b">
        <f t="shared" si="12"/>
        <v>0</v>
      </c>
      <c r="DH9" s="1002" t="b">
        <f t="shared" si="12"/>
        <v>0</v>
      </c>
      <c r="DI9" s="1002" t="b">
        <f t="shared" si="12"/>
        <v>0</v>
      </c>
      <c r="DJ9" s="1002" t="b">
        <f t="shared" si="12"/>
        <v>0</v>
      </c>
      <c r="DK9" s="1002" t="b">
        <f t="shared" si="12"/>
        <v>1</v>
      </c>
      <c r="DL9" s="1002" t="b">
        <f t="shared" si="12"/>
        <v>0</v>
      </c>
      <c r="DM9" s="1002" t="b">
        <f t="shared" si="12"/>
        <v>0</v>
      </c>
      <c r="DN9" s="1002" t="b">
        <f t="shared" si="12"/>
        <v>0</v>
      </c>
      <c r="DO9" s="1002" t="b">
        <f t="shared" si="12"/>
        <v>0</v>
      </c>
      <c r="DP9" s="1002" t="b">
        <f t="shared" si="12"/>
        <v>0</v>
      </c>
      <c r="DQ9" s="1002" t="b">
        <f t="shared" si="12"/>
        <v>0</v>
      </c>
      <c r="DR9" s="1002" t="b">
        <f t="shared" si="12"/>
        <v>0</v>
      </c>
      <c r="DS9" s="1002" t="b">
        <f t="shared" si="12"/>
        <v>1</v>
      </c>
      <c r="DT9" s="1002" t="b">
        <f t="shared" si="12"/>
        <v>0</v>
      </c>
      <c r="DU9" s="1002" t="b">
        <f t="shared" si="12"/>
        <v>0</v>
      </c>
      <c r="DV9" s="1002" t="b">
        <f t="shared" si="12"/>
        <v>0</v>
      </c>
      <c r="DW9" s="1002" t="b">
        <f t="shared" si="12"/>
        <v>0</v>
      </c>
      <c r="DX9" s="579"/>
      <c r="DY9" s="579"/>
      <c r="DZ9" s="579"/>
      <c r="EA9" s="579"/>
      <c r="EB9" s="579"/>
      <c r="EC9" s="579"/>
      <c r="ED9" s="579"/>
      <c r="EE9" s="579"/>
      <c r="EF9" s="579"/>
      <c r="EG9" s="579"/>
      <c r="EH9" s="579"/>
      <c r="EI9" s="579"/>
    </row>
    <row r="10" spans="1:139">
      <c r="A10" s="304" t="s">
        <v>1337</v>
      </c>
      <c r="B10" s="927"/>
      <c r="C10" s="927"/>
      <c r="D10" s="1214">
        <f>test_opperiod</f>
        <v>0</v>
      </c>
      <c r="E10" s="486"/>
      <c r="G10" s="1002" t="b">
        <f>IF(SUMIFS($G$7:$DW$7,$G$7:$DW$7,G7,$G$9:$DW$9,TRUE)&gt;0,TRUE,FALSE)</f>
        <v>0</v>
      </c>
      <c r="H10" s="1002" t="b">
        <f t="shared" ref="H10:BS10" si="13">IF(SUMIFS($G$7:$DW$7,$G$7:$DW$7,H7,$G$9:$DW$9,TRUE)&gt;0,TRUE,FALSE)</f>
        <v>0</v>
      </c>
      <c r="I10" s="1002" t="b">
        <f t="shared" si="13"/>
        <v>0</v>
      </c>
      <c r="J10" s="1002" t="b">
        <f t="shared" si="13"/>
        <v>1</v>
      </c>
      <c r="K10" s="1002" t="b">
        <f t="shared" si="13"/>
        <v>1</v>
      </c>
      <c r="L10" s="1002" t="b">
        <f t="shared" si="13"/>
        <v>0</v>
      </c>
      <c r="M10" s="1002" t="b">
        <f t="shared" si="13"/>
        <v>0</v>
      </c>
      <c r="N10" s="1002" t="b">
        <f t="shared" si="13"/>
        <v>0</v>
      </c>
      <c r="O10" s="1002" t="b">
        <f t="shared" si="13"/>
        <v>0</v>
      </c>
      <c r="P10" s="1002" t="b">
        <f>IF(SUMIFS($G$7:$DW$7,$G$7:$DW$7,P7,$G$9:$DW$9,TRUE)&gt;0,TRUE,FALSE)</f>
        <v>0</v>
      </c>
      <c r="Q10" s="1002" t="b">
        <f>IF(SUMIFS($G$7:$DW$7,$G$7:$DW$7,Q7,$G$9:$DW$9,TRUE)&gt;0,TRUE,FALSE)</f>
        <v>0</v>
      </c>
      <c r="R10" s="1002" t="b">
        <f t="shared" si="13"/>
        <v>1</v>
      </c>
      <c r="S10" s="1002" t="b">
        <f t="shared" si="13"/>
        <v>1</v>
      </c>
      <c r="T10" s="1002" t="b">
        <f t="shared" si="13"/>
        <v>0</v>
      </c>
      <c r="U10" s="1002" t="b">
        <f t="shared" si="13"/>
        <v>0</v>
      </c>
      <c r="V10" s="1002" t="b">
        <f t="shared" si="13"/>
        <v>0</v>
      </c>
      <c r="W10" s="1002" t="b">
        <f t="shared" si="13"/>
        <v>0</v>
      </c>
      <c r="X10" s="1002" t="b">
        <f t="shared" si="13"/>
        <v>0</v>
      </c>
      <c r="Y10" s="1002" t="b">
        <f t="shared" si="13"/>
        <v>0</v>
      </c>
      <c r="Z10" s="1002" t="b">
        <f t="shared" si="13"/>
        <v>1</v>
      </c>
      <c r="AA10" s="1002" t="b">
        <f t="shared" si="13"/>
        <v>1</v>
      </c>
      <c r="AB10" s="1002" t="b">
        <f t="shared" si="13"/>
        <v>0</v>
      </c>
      <c r="AC10" s="1002" t="b">
        <f t="shared" si="13"/>
        <v>0</v>
      </c>
      <c r="AD10" s="1002" t="b">
        <f t="shared" si="13"/>
        <v>0</v>
      </c>
      <c r="AE10" s="1002" t="b">
        <f t="shared" si="13"/>
        <v>0</v>
      </c>
      <c r="AF10" s="1002" t="b">
        <f t="shared" si="13"/>
        <v>0</v>
      </c>
      <c r="AG10" s="1002" t="b">
        <f t="shared" si="13"/>
        <v>0</v>
      </c>
      <c r="AH10" s="1002" t="b">
        <f t="shared" si="13"/>
        <v>1</v>
      </c>
      <c r="AI10" s="1002" t="b">
        <f t="shared" si="13"/>
        <v>1</v>
      </c>
      <c r="AJ10" s="1002" t="b">
        <f t="shared" si="13"/>
        <v>0</v>
      </c>
      <c r="AK10" s="1002" t="b">
        <f t="shared" si="13"/>
        <v>0</v>
      </c>
      <c r="AL10" s="1002" t="b">
        <f t="shared" si="13"/>
        <v>0</v>
      </c>
      <c r="AM10" s="1002" t="b">
        <f t="shared" si="13"/>
        <v>0</v>
      </c>
      <c r="AN10" s="1002" t="b">
        <f t="shared" si="13"/>
        <v>0</v>
      </c>
      <c r="AO10" s="1002" t="b">
        <f t="shared" si="13"/>
        <v>0</v>
      </c>
      <c r="AP10" s="1002" t="b">
        <f t="shared" si="13"/>
        <v>1</v>
      </c>
      <c r="AQ10" s="1002" t="b">
        <f t="shared" si="13"/>
        <v>1</v>
      </c>
      <c r="AR10" s="1002" t="b">
        <f t="shared" si="13"/>
        <v>0</v>
      </c>
      <c r="AS10" s="1002" t="b">
        <f t="shared" si="13"/>
        <v>0</v>
      </c>
      <c r="AT10" s="1002" t="b">
        <f t="shared" si="13"/>
        <v>0</v>
      </c>
      <c r="AU10" s="1002" t="b">
        <f t="shared" si="13"/>
        <v>0</v>
      </c>
      <c r="AV10" s="1002" t="b">
        <f t="shared" si="13"/>
        <v>0</v>
      </c>
      <c r="AW10" s="1002" t="b">
        <f t="shared" si="13"/>
        <v>0</v>
      </c>
      <c r="AX10" s="1002" t="b">
        <f t="shared" si="13"/>
        <v>1</v>
      </c>
      <c r="AY10" s="1002" t="b">
        <f t="shared" si="13"/>
        <v>1</v>
      </c>
      <c r="AZ10" s="1002" t="b">
        <f t="shared" si="13"/>
        <v>0</v>
      </c>
      <c r="BA10" s="1002" t="b">
        <f t="shared" si="13"/>
        <v>0</v>
      </c>
      <c r="BB10" s="1002" t="b">
        <f t="shared" si="13"/>
        <v>0</v>
      </c>
      <c r="BC10" s="1002" t="b">
        <f t="shared" si="13"/>
        <v>0</v>
      </c>
      <c r="BD10" s="1002" t="b">
        <f t="shared" si="13"/>
        <v>0</v>
      </c>
      <c r="BE10" s="1002" t="b">
        <f t="shared" si="13"/>
        <v>0</v>
      </c>
      <c r="BF10" s="1002" t="b">
        <f t="shared" si="13"/>
        <v>1</v>
      </c>
      <c r="BG10" s="1002" t="b">
        <f t="shared" si="13"/>
        <v>1</v>
      </c>
      <c r="BH10" s="1002" t="b">
        <f t="shared" si="13"/>
        <v>0</v>
      </c>
      <c r="BI10" s="1002" t="b">
        <f t="shared" si="13"/>
        <v>0</v>
      </c>
      <c r="BJ10" s="1002" t="b">
        <f t="shared" si="13"/>
        <v>0</v>
      </c>
      <c r="BK10" s="1002" t="b">
        <f t="shared" si="13"/>
        <v>0</v>
      </c>
      <c r="BL10" s="1002" t="b">
        <f t="shared" si="13"/>
        <v>0</v>
      </c>
      <c r="BM10" s="1002" t="b">
        <f t="shared" si="13"/>
        <v>0</v>
      </c>
      <c r="BN10" s="1002" t="b">
        <f t="shared" si="13"/>
        <v>1</v>
      </c>
      <c r="BO10" s="1002" t="b">
        <f t="shared" si="13"/>
        <v>1</v>
      </c>
      <c r="BP10" s="1002" t="b">
        <f t="shared" si="13"/>
        <v>0</v>
      </c>
      <c r="BQ10" s="1002" t="b">
        <f t="shared" si="13"/>
        <v>0</v>
      </c>
      <c r="BR10" s="1002" t="b">
        <f t="shared" si="13"/>
        <v>0</v>
      </c>
      <c r="BS10" s="1002" t="b">
        <f t="shared" si="13"/>
        <v>0</v>
      </c>
      <c r="BT10" s="1002" t="b">
        <f t="shared" ref="BT10:DW10" si="14">IF(SUMIFS($G$7:$DW$7,$G$7:$DW$7,BT7,$G$9:$DW$9,TRUE)&gt;0,TRUE,FALSE)</f>
        <v>0</v>
      </c>
      <c r="BU10" s="1002" t="b">
        <f t="shared" si="14"/>
        <v>0</v>
      </c>
      <c r="BV10" s="1002" t="b">
        <f t="shared" si="14"/>
        <v>1</v>
      </c>
      <c r="BW10" s="1002" t="b">
        <f t="shared" si="14"/>
        <v>1</v>
      </c>
      <c r="BX10" s="1002" t="b">
        <f t="shared" si="14"/>
        <v>0</v>
      </c>
      <c r="BY10" s="1002" t="b">
        <f t="shared" si="14"/>
        <v>0</v>
      </c>
      <c r="BZ10" s="1002" t="b">
        <f t="shared" si="14"/>
        <v>0</v>
      </c>
      <c r="CA10" s="1002" t="b">
        <f t="shared" si="14"/>
        <v>0</v>
      </c>
      <c r="CB10" s="1002" t="b">
        <f t="shared" si="14"/>
        <v>0</v>
      </c>
      <c r="CC10" s="1002" t="b">
        <f t="shared" si="14"/>
        <v>0</v>
      </c>
      <c r="CD10" s="1002" t="b">
        <f t="shared" si="14"/>
        <v>1</v>
      </c>
      <c r="CE10" s="1002" t="b">
        <f t="shared" si="14"/>
        <v>1</v>
      </c>
      <c r="CF10" s="1002" t="b">
        <f t="shared" si="14"/>
        <v>0</v>
      </c>
      <c r="CG10" s="1002" t="b">
        <f t="shared" si="14"/>
        <v>0</v>
      </c>
      <c r="CH10" s="1002" t="b">
        <f t="shared" si="14"/>
        <v>0</v>
      </c>
      <c r="CI10" s="1002" t="b">
        <f t="shared" si="14"/>
        <v>0</v>
      </c>
      <c r="CJ10" s="1002" t="b">
        <f t="shared" si="14"/>
        <v>0</v>
      </c>
      <c r="CK10" s="1002" t="b">
        <f t="shared" si="14"/>
        <v>0</v>
      </c>
      <c r="CL10" s="1002" t="b">
        <f t="shared" si="14"/>
        <v>1</v>
      </c>
      <c r="CM10" s="1002" t="b">
        <f t="shared" si="14"/>
        <v>1</v>
      </c>
      <c r="CN10" s="1002" t="b">
        <f t="shared" si="14"/>
        <v>0</v>
      </c>
      <c r="CO10" s="1002" t="b">
        <f t="shared" si="14"/>
        <v>0</v>
      </c>
      <c r="CP10" s="1002" t="b">
        <f t="shared" si="14"/>
        <v>0</v>
      </c>
      <c r="CQ10" s="1002" t="b">
        <f t="shared" si="14"/>
        <v>0</v>
      </c>
      <c r="CR10" s="1002" t="b">
        <f t="shared" si="14"/>
        <v>0</v>
      </c>
      <c r="CS10" s="1002" t="b">
        <f t="shared" si="14"/>
        <v>0</v>
      </c>
      <c r="CT10" s="1002" t="b">
        <f t="shared" si="14"/>
        <v>1</v>
      </c>
      <c r="CU10" s="1002" t="b">
        <f t="shared" si="14"/>
        <v>1</v>
      </c>
      <c r="CV10" s="1002" t="b">
        <f t="shared" si="14"/>
        <v>0</v>
      </c>
      <c r="CW10" s="1002" t="b">
        <f t="shared" si="14"/>
        <v>0</v>
      </c>
      <c r="CX10" s="1002" t="b">
        <f t="shared" si="14"/>
        <v>0</v>
      </c>
      <c r="CY10" s="1002" t="b">
        <f t="shared" si="14"/>
        <v>0</v>
      </c>
      <c r="CZ10" s="1002" t="b">
        <f t="shared" si="14"/>
        <v>0</v>
      </c>
      <c r="DA10" s="1002" t="b">
        <f t="shared" si="14"/>
        <v>0</v>
      </c>
      <c r="DB10" s="1002" t="b">
        <f t="shared" si="14"/>
        <v>1</v>
      </c>
      <c r="DC10" s="1002" t="b">
        <f t="shared" si="14"/>
        <v>1</v>
      </c>
      <c r="DD10" s="1002" t="b">
        <f t="shared" si="14"/>
        <v>0</v>
      </c>
      <c r="DE10" s="1002" t="b">
        <f t="shared" si="14"/>
        <v>0</v>
      </c>
      <c r="DF10" s="1002" t="b">
        <f t="shared" si="14"/>
        <v>0</v>
      </c>
      <c r="DG10" s="1002" t="b">
        <f t="shared" si="14"/>
        <v>0</v>
      </c>
      <c r="DH10" s="1002" t="b">
        <f t="shared" si="14"/>
        <v>0</v>
      </c>
      <c r="DI10" s="1002" t="b">
        <f t="shared" si="14"/>
        <v>0</v>
      </c>
      <c r="DJ10" s="1002" t="b">
        <f t="shared" si="14"/>
        <v>1</v>
      </c>
      <c r="DK10" s="1002" t="b">
        <f t="shared" si="14"/>
        <v>1</v>
      </c>
      <c r="DL10" s="1002" t="b">
        <f t="shared" si="14"/>
        <v>0</v>
      </c>
      <c r="DM10" s="1002" t="b">
        <f t="shared" si="14"/>
        <v>0</v>
      </c>
      <c r="DN10" s="1002" t="b">
        <f t="shared" si="14"/>
        <v>0</v>
      </c>
      <c r="DO10" s="1002" t="b">
        <f t="shared" si="14"/>
        <v>0</v>
      </c>
      <c r="DP10" s="1002" t="b">
        <f t="shared" si="14"/>
        <v>0</v>
      </c>
      <c r="DQ10" s="1002" t="b">
        <f t="shared" si="14"/>
        <v>0</v>
      </c>
      <c r="DR10" s="1002" t="b">
        <f t="shared" si="14"/>
        <v>1</v>
      </c>
      <c r="DS10" s="1002" t="b">
        <f t="shared" si="14"/>
        <v>1</v>
      </c>
      <c r="DT10" s="1002" t="b">
        <f t="shared" si="14"/>
        <v>0</v>
      </c>
      <c r="DU10" s="1002" t="b">
        <f t="shared" si="14"/>
        <v>0</v>
      </c>
      <c r="DV10" s="1002" t="b">
        <f t="shared" si="14"/>
        <v>0</v>
      </c>
      <c r="DW10" s="1002" t="b">
        <f t="shared" si="14"/>
        <v>0</v>
      </c>
      <c r="DX10" s="579"/>
      <c r="DY10" s="579"/>
      <c r="DZ10" s="579"/>
      <c r="EA10" s="579"/>
      <c r="EB10" s="579"/>
      <c r="EC10" s="579"/>
      <c r="ED10" s="579"/>
      <c r="EE10" s="579"/>
      <c r="EF10" s="579"/>
      <c r="EG10" s="579"/>
      <c r="EH10" s="579"/>
      <c r="EI10" s="579"/>
    </row>
    <row r="11" spans="1:139">
      <c r="B11" s="927"/>
      <c r="C11" s="927"/>
      <c r="D11" s="486"/>
      <c r="E11" s="486"/>
      <c r="G11" s="1003"/>
      <c r="H11" s="1003"/>
      <c r="I11" s="1003"/>
      <c r="J11" s="1003"/>
      <c r="K11" s="1003"/>
      <c r="L11" s="1003"/>
      <c r="M11" s="1003"/>
      <c r="N11" s="1003"/>
      <c r="O11" s="1003"/>
      <c r="P11" s="1003"/>
      <c r="Q11" s="1003"/>
      <c r="R11" s="1003"/>
      <c r="S11" s="1003"/>
      <c r="T11" s="1003"/>
      <c r="U11" s="1003"/>
      <c r="V11" s="1003"/>
      <c r="W11" s="1003"/>
      <c r="X11" s="1003"/>
      <c r="Y11" s="1003"/>
      <c r="Z11" s="1003"/>
      <c r="AA11" s="1003"/>
      <c r="AB11" s="1003"/>
      <c r="AC11" s="1003"/>
      <c r="AD11" s="1003"/>
      <c r="AE11" s="1003"/>
      <c r="AF11" s="1003"/>
      <c r="AG11" s="1003"/>
      <c r="AH11" s="1003"/>
      <c r="AI11" s="1003"/>
      <c r="AJ11" s="1003"/>
      <c r="AK11" s="1003"/>
      <c r="AL11" s="1003"/>
      <c r="AM11" s="1003"/>
      <c r="AN11" s="1003"/>
      <c r="AO11" s="1003"/>
      <c r="AP11" s="1003"/>
      <c r="AQ11" s="1003"/>
      <c r="AR11" s="1003"/>
      <c r="AS11" s="1003"/>
      <c r="AT11" s="1003"/>
      <c r="AU11" s="1003"/>
      <c r="AV11" s="1003"/>
      <c r="AW11" s="1003"/>
      <c r="AX11" s="1003"/>
      <c r="AY11" s="1003"/>
      <c r="AZ11" s="1003"/>
      <c r="BA11" s="1003"/>
      <c r="BB11" s="1003"/>
      <c r="BC11" s="1003"/>
      <c r="BD11" s="1003"/>
      <c r="BE11" s="1003"/>
      <c r="BF11" s="1003"/>
      <c r="BG11" s="1003"/>
      <c r="BH11" s="1003"/>
      <c r="BI11" s="1003"/>
      <c r="BJ11" s="1003"/>
      <c r="BK11" s="1003"/>
      <c r="BL11" s="1003"/>
      <c r="BM11" s="1003"/>
      <c r="BN11" s="1003"/>
      <c r="BO11" s="1003"/>
      <c r="BP11" s="1003"/>
      <c r="BQ11" s="1003"/>
      <c r="BR11" s="1003"/>
      <c r="BS11" s="1003"/>
      <c r="BT11" s="1003"/>
      <c r="BU11" s="1003"/>
      <c r="BV11" s="1003"/>
      <c r="BW11" s="1003"/>
      <c r="BX11" s="1003"/>
      <c r="BY11" s="1003"/>
      <c r="BZ11" s="1003"/>
      <c r="CA11" s="1003"/>
      <c r="CB11" s="1003"/>
      <c r="CC11" s="1003"/>
      <c r="CD11" s="1003"/>
      <c r="CE11" s="1003"/>
      <c r="CF11" s="1003"/>
      <c r="CG11" s="1003"/>
      <c r="CH11" s="1003"/>
      <c r="CI11" s="1003"/>
      <c r="CJ11" s="1003"/>
      <c r="CK11" s="1003"/>
      <c r="CL11" s="1003"/>
      <c r="CM11" s="1003"/>
      <c r="CN11" s="1003"/>
      <c r="CO11" s="1003"/>
      <c r="CP11" s="1003"/>
      <c r="CQ11" s="1003"/>
      <c r="CR11" s="1003"/>
      <c r="CS11" s="1003"/>
      <c r="CT11" s="1003"/>
      <c r="CU11" s="1003"/>
      <c r="CV11" s="1003"/>
      <c r="CW11" s="1003"/>
      <c r="CX11" s="1003"/>
      <c r="CY11" s="1003"/>
      <c r="CZ11" s="1003"/>
      <c r="DA11" s="1003"/>
      <c r="DB11" s="1003"/>
      <c r="DC11" s="1003"/>
      <c r="DD11" s="1003"/>
      <c r="DE11" s="1003"/>
      <c r="DF11" s="1003"/>
      <c r="DG11" s="1003"/>
      <c r="DH11" s="1003"/>
      <c r="DI11" s="1003"/>
      <c r="DJ11" s="1003"/>
      <c r="DK11" s="1003"/>
      <c r="DL11" s="1003"/>
      <c r="DM11" s="1003"/>
      <c r="DN11" s="1003"/>
      <c r="DO11" s="1003"/>
      <c r="DP11" s="1003"/>
      <c r="DQ11" s="1003"/>
      <c r="DR11" s="1003"/>
      <c r="DS11" s="1003"/>
      <c r="DT11" s="1003"/>
      <c r="DU11" s="1003"/>
      <c r="DV11" s="1003"/>
      <c r="DW11" s="1003"/>
      <c r="DX11" s="579"/>
      <c r="DY11" s="579"/>
      <c r="DZ11" s="579"/>
      <c r="EA11" s="579"/>
      <c r="EB11" s="579"/>
      <c r="EC11" s="579"/>
      <c r="ED11" s="579"/>
      <c r="EE11" s="579"/>
      <c r="EF11" s="579"/>
      <c r="EG11" s="579"/>
      <c r="EH11" s="579"/>
      <c r="EI11" s="579"/>
    </row>
    <row r="12" spans="1:139">
      <c r="A12" s="304" t="s">
        <v>242</v>
      </c>
      <c r="B12" s="927">
        <f>Inputs!D15</f>
        <v>30</v>
      </c>
      <c r="C12" s="927"/>
      <c r="D12" s="486"/>
      <c r="E12" s="486"/>
      <c r="G12" s="1002" t="b">
        <f>IF(AND(G$7&lt;=$B12,G$7&gt;0),TRUE,FALSE)</f>
        <v>0</v>
      </c>
      <c r="H12" s="1002" t="b">
        <f t="shared" ref="H12:W12" si="15">IF(AND(H$7&lt;=$B12,H$7&gt;0),TRUE,FALSE)</f>
        <v>1</v>
      </c>
      <c r="I12" s="1002" t="b">
        <f t="shared" si="15"/>
        <v>1</v>
      </c>
      <c r="J12" s="1002" t="b">
        <f t="shared" si="15"/>
        <v>1</v>
      </c>
      <c r="K12" s="1002" t="b">
        <f t="shared" si="15"/>
        <v>1</v>
      </c>
      <c r="L12" s="1002" t="b">
        <f t="shared" si="15"/>
        <v>1</v>
      </c>
      <c r="M12" s="1002" t="b">
        <f t="shared" si="15"/>
        <v>1</v>
      </c>
      <c r="N12" s="1002" t="b">
        <f t="shared" si="15"/>
        <v>1</v>
      </c>
      <c r="O12" s="1002" t="b">
        <f t="shared" si="15"/>
        <v>1</v>
      </c>
      <c r="P12" s="1002" t="b">
        <f t="shared" si="15"/>
        <v>1</v>
      </c>
      <c r="Q12" s="1002" t="b">
        <f t="shared" si="15"/>
        <v>1</v>
      </c>
      <c r="R12" s="1002" t="b">
        <f t="shared" si="15"/>
        <v>1</v>
      </c>
      <c r="S12" s="1002" t="b">
        <f t="shared" si="15"/>
        <v>1</v>
      </c>
      <c r="T12" s="1002" t="b">
        <f t="shared" si="15"/>
        <v>1</v>
      </c>
      <c r="U12" s="1002" t="b">
        <f t="shared" si="15"/>
        <v>1</v>
      </c>
      <c r="V12" s="1002" t="b">
        <f t="shared" si="15"/>
        <v>1</v>
      </c>
      <c r="W12" s="1002" t="b">
        <f t="shared" si="15"/>
        <v>1</v>
      </c>
      <c r="X12" s="1002" t="b">
        <f t="shared" ref="X12:BS12" si="16">IF(AND(X$7&lt;=$B12,X$7&gt;0),TRUE,FALSE)</f>
        <v>1</v>
      </c>
      <c r="Y12" s="1002" t="b">
        <f t="shared" si="16"/>
        <v>1</v>
      </c>
      <c r="Z12" s="1002" t="b">
        <f t="shared" si="16"/>
        <v>1</v>
      </c>
      <c r="AA12" s="1002" t="b">
        <f t="shared" si="16"/>
        <v>1</v>
      </c>
      <c r="AB12" s="1002" t="b">
        <f t="shared" si="16"/>
        <v>1</v>
      </c>
      <c r="AC12" s="1002" t="b">
        <f t="shared" si="16"/>
        <v>1</v>
      </c>
      <c r="AD12" s="1002" t="b">
        <f t="shared" si="16"/>
        <v>1</v>
      </c>
      <c r="AE12" s="1002" t="b">
        <f t="shared" si="16"/>
        <v>1</v>
      </c>
      <c r="AF12" s="1002" t="b">
        <f t="shared" si="16"/>
        <v>1</v>
      </c>
      <c r="AG12" s="1002" t="b">
        <f t="shared" si="16"/>
        <v>1</v>
      </c>
      <c r="AH12" s="1002" t="b">
        <f t="shared" si="16"/>
        <v>1</v>
      </c>
      <c r="AI12" s="1002" t="b">
        <f t="shared" si="16"/>
        <v>1</v>
      </c>
      <c r="AJ12" s="1002" t="b">
        <f t="shared" si="16"/>
        <v>1</v>
      </c>
      <c r="AK12" s="1002" t="b">
        <f t="shared" si="16"/>
        <v>1</v>
      </c>
      <c r="AL12" s="1002" t="b">
        <f t="shared" si="16"/>
        <v>1</v>
      </c>
      <c r="AM12" s="1002" t="b">
        <f t="shared" si="16"/>
        <v>1</v>
      </c>
      <c r="AN12" s="1002" t="b">
        <f t="shared" si="16"/>
        <v>1</v>
      </c>
      <c r="AO12" s="1002" t="b">
        <f t="shared" si="16"/>
        <v>1</v>
      </c>
      <c r="AP12" s="1002" t="b">
        <f t="shared" si="16"/>
        <v>1</v>
      </c>
      <c r="AQ12" s="1002" t="b">
        <f t="shared" si="16"/>
        <v>1</v>
      </c>
      <c r="AR12" s="1002" t="b">
        <f t="shared" si="16"/>
        <v>1</v>
      </c>
      <c r="AS12" s="1002" t="b">
        <f t="shared" si="16"/>
        <v>1</v>
      </c>
      <c r="AT12" s="1002" t="b">
        <f t="shared" si="16"/>
        <v>1</v>
      </c>
      <c r="AU12" s="1002" t="b">
        <f t="shared" si="16"/>
        <v>1</v>
      </c>
      <c r="AV12" s="1002" t="b">
        <f t="shared" si="16"/>
        <v>1</v>
      </c>
      <c r="AW12" s="1002" t="b">
        <f t="shared" si="16"/>
        <v>1</v>
      </c>
      <c r="AX12" s="1002" t="b">
        <f t="shared" si="16"/>
        <v>1</v>
      </c>
      <c r="AY12" s="1002" t="b">
        <f t="shared" si="16"/>
        <v>1</v>
      </c>
      <c r="AZ12" s="1002" t="b">
        <f t="shared" si="16"/>
        <v>1</v>
      </c>
      <c r="BA12" s="1002" t="b">
        <f t="shared" si="16"/>
        <v>1</v>
      </c>
      <c r="BB12" s="1002" t="b">
        <f t="shared" si="16"/>
        <v>1</v>
      </c>
      <c r="BC12" s="1002" t="b">
        <f t="shared" si="16"/>
        <v>1</v>
      </c>
      <c r="BD12" s="1002" t="b">
        <f t="shared" si="16"/>
        <v>1</v>
      </c>
      <c r="BE12" s="1002" t="b">
        <f t="shared" si="16"/>
        <v>1</v>
      </c>
      <c r="BF12" s="1002" t="b">
        <f t="shared" si="16"/>
        <v>1</v>
      </c>
      <c r="BG12" s="1002" t="b">
        <f t="shared" si="16"/>
        <v>1</v>
      </c>
      <c r="BH12" s="1002" t="b">
        <f t="shared" si="16"/>
        <v>1</v>
      </c>
      <c r="BI12" s="1002" t="b">
        <f t="shared" si="16"/>
        <v>1</v>
      </c>
      <c r="BJ12" s="1002" t="b">
        <f t="shared" si="16"/>
        <v>1</v>
      </c>
      <c r="BK12" s="1002" t="b">
        <f t="shared" si="16"/>
        <v>1</v>
      </c>
      <c r="BL12" s="1002" t="b">
        <f t="shared" si="16"/>
        <v>1</v>
      </c>
      <c r="BM12" s="1002" t="b">
        <f t="shared" si="16"/>
        <v>1</v>
      </c>
      <c r="BN12" s="1002" t="b">
        <f t="shared" si="16"/>
        <v>1</v>
      </c>
      <c r="BO12" s="1002" t="b">
        <f t="shared" si="16"/>
        <v>1</v>
      </c>
      <c r="BP12" s="1002" t="b">
        <f t="shared" si="16"/>
        <v>0</v>
      </c>
      <c r="BQ12" s="1002" t="b">
        <f t="shared" si="16"/>
        <v>0</v>
      </c>
      <c r="BR12" s="1002" t="b">
        <f t="shared" si="16"/>
        <v>0</v>
      </c>
      <c r="BS12" s="1002" t="b">
        <f t="shared" si="16"/>
        <v>0</v>
      </c>
      <c r="BT12" s="1002" t="b">
        <f t="shared" ref="BT12:DW12" si="17">IF(AND(BT$7&lt;=$B12,BT$7&gt;0),TRUE,FALSE)</f>
        <v>0</v>
      </c>
      <c r="BU12" s="1002" t="b">
        <f t="shared" si="17"/>
        <v>0</v>
      </c>
      <c r="BV12" s="1002" t="b">
        <f t="shared" si="17"/>
        <v>0</v>
      </c>
      <c r="BW12" s="1002" t="b">
        <f t="shared" si="17"/>
        <v>0</v>
      </c>
      <c r="BX12" s="1002" t="b">
        <f t="shared" si="17"/>
        <v>0</v>
      </c>
      <c r="BY12" s="1002" t="b">
        <f t="shared" si="17"/>
        <v>0</v>
      </c>
      <c r="BZ12" s="1002" t="b">
        <f t="shared" si="17"/>
        <v>0</v>
      </c>
      <c r="CA12" s="1002" t="b">
        <f t="shared" si="17"/>
        <v>0</v>
      </c>
      <c r="CB12" s="1002" t="b">
        <f t="shared" si="17"/>
        <v>0</v>
      </c>
      <c r="CC12" s="1002" t="b">
        <f t="shared" si="17"/>
        <v>0</v>
      </c>
      <c r="CD12" s="1002" t="b">
        <f t="shared" si="17"/>
        <v>0</v>
      </c>
      <c r="CE12" s="1002" t="b">
        <f t="shared" si="17"/>
        <v>0</v>
      </c>
      <c r="CF12" s="1002" t="b">
        <f t="shared" si="17"/>
        <v>0</v>
      </c>
      <c r="CG12" s="1002" t="b">
        <f t="shared" si="17"/>
        <v>0</v>
      </c>
      <c r="CH12" s="1002" t="b">
        <f t="shared" si="17"/>
        <v>0</v>
      </c>
      <c r="CI12" s="1002" t="b">
        <f t="shared" si="17"/>
        <v>0</v>
      </c>
      <c r="CJ12" s="1002" t="b">
        <f t="shared" si="17"/>
        <v>0</v>
      </c>
      <c r="CK12" s="1002" t="b">
        <f t="shared" si="17"/>
        <v>0</v>
      </c>
      <c r="CL12" s="1002" t="b">
        <f t="shared" si="17"/>
        <v>0</v>
      </c>
      <c r="CM12" s="1002" t="b">
        <f t="shared" si="17"/>
        <v>0</v>
      </c>
      <c r="CN12" s="1002" t="b">
        <f t="shared" si="17"/>
        <v>0</v>
      </c>
      <c r="CO12" s="1002" t="b">
        <f t="shared" si="17"/>
        <v>0</v>
      </c>
      <c r="CP12" s="1002" t="b">
        <f t="shared" si="17"/>
        <v>0</v>
      </c>
      <c r="CQ12" s="1002" t="b">
        <f t="shared" si="17"/>
        <v>0</v>
      </c>
      <c r="CR12" s="1002" t="b">
        <f t="shared" si="17"/>
        <v>0</v>
      </c>
      <c r="CS12" s="1002" t="b">
        <f t="shared" si="17"/>
        <v>0</v>
      </c>
      <c r="CT12" s="1002" t="b">
        <f t="shared" si="17"/>
        <v>0</v>
      </c>
      <c r="CU12" s="1002" t="b">
        <f t="shared" si="17"/>
        <v>0</v>
      </c>
      <c r="CV12" s="1002" t="b">
        <f t="shared" si="17"/>
        <v>0</v>
      </c>
      <c r="CW12" s="1002" t="b">
        <f t="shared" si="17"/>
        <v>0</v>
      </c>
      <c r="CX12" s="1002" t="b">
        <f t="shared" si="17"/>
        <v>0</v>
      </c>
      <c r="CY12" s="1002" t="b">
        <f t="shared" si="17"/>
        <v>0</v>
      </c>
      <c r="CZ12" s="1002" t="b">
        <f t="shared" si="17"/>
        <v>0</v>
      </c>
      <c r="DA12" s="1002" t="b">
        <f t="shared" si="17"/>
        <v>0</v>
      </c>
      <c r="DB12" s="1002" t="b">
        <f t="shared" si="17"/>
        <v>0</v>
      </c>
      <c r="DC12" s="1002" t="b">
        <f t="shared" si="17"/>
        <v>0</v>
      </c>
      <c r="DD12" s="1002" t="b">
        <f t="shared" si="17"/>
        <v>0</v>
      </c>
      <c r="DE12" s="1002" t="b">
        <f t="shared" si="17"/>
        <v>0</v>
      </c>
      <c r="DF12" s="1002" t="b">
        <f t="shared" si="17"/>
        <v>0</v>
      </c>
      <c r="DG12" s="1002" t="b">
        <f t="shared" si="17"/>
        <v>0</v>
      </c>
      <c r="DH12" s="1002" t="b">
        <f t="shared" si="17"/>
        <v>0</v>
      </c>
      <c r="DI12" s="1002" t="b">
        <f t="shared" si="17"/>
        <v>0</v>
      </c>
      <c r="DJ12" s="1002" t="b">
        <f t="shared" si="17"/>
        <v>0</v>
      </c>
      <c r="DK12" s="1002" t="b">
        <f t="shared" si="17"/>
        <v>0</v>
      </c>
      <c r="DL12" s="1002" t="b">
        <f t="shared" si="17"/>
        <v>0</v>
      </c>
      <c r="DM12" s="1002" t="b">
        <f t="shared" si="17"/>
        <v>0</v>
      </c>
      <c r="DN12" s="1002" t="b">
        <f t="shared" si="17"/>
        <v>0</v>
      </c>
      <c r="DO12" s="1002" t="b">
        <f t="shared" si="17"/>
        <v>0</v>
      </c>
      <c r="DP12" s="1002" t="b">
        <f t="shared" si="17"/>
        <v>0</v>
      </c>
      <c r="DQ12" s="1002" t="b">
        <f t="shared" si="17"/>
        <v>0</v>
      </c>
      <c r="DR12" s="1002" t="b">
        <f t="shared" si="17"/>
        <v>0</v>
      </c>
      <c r="DS12" s="1002" t="b">
        <f t="shared" si="17"/>
        <v>0</v>
      </c>
      <c r="DT12" s="1002" t="b">
        <f t="shared" si="17"/>
        <v>0</v>
      </c>
      <c r="DU12" s="1002" t="b">
        <f t="shared" si="17"/>
        <v>0</v>
      </c>
      <c r="DV12" s="1002" t="b">
        <f t="shared" si="17"/>
        <v>0</v>
      </c>
      <c r="DW12" s="1002" t="b">
        <f t="shared" si="17"/>
        <v>0</v>
      </c>
      <c r="DX12" s="905"/>
      <c r="DY12" s="579"/>
      <c r="DZ12" s="579"/>
      <c r="EA12" s="579"/>
      <c r="EB12" s="579"/>
      <c r="EC12" s="579"/>
      <c r="ED12" s="579"/>
      <c r="EE12" s="579"/>
      <c r="EF12" s="579"/>
      <c r="EG12" s="579"/>
      <c r="EH12" s="579"/>
      <c r="EI12" s="579"/>
    </row>
    <row r="13" spans="1:139">
      <c r="A13" s="304" t="s">
        <v>1338</v>
      </c>
      <c r="B13" s="927"/>
      <c r="C13" s="927"/>
      <c r="D13" s="486"/>
      <c r="E13" s="396">
        <f>(INT(SUM($G$13:$DW$13))-SUM($G$13:$DW$13))</f>
        <v>0</v>
      </c>
      <c r="G13" s="1218">
        <f t="shared" ref="G13:AL13" si="18">IF(G12,(G6-G5+1)/(equity_year+IF(G10,1,0)),0)</f>
        <v>0</v>
      </c>
      <c r="H13" s="1218">
        <f t="shared" si="18"/>
        <v>0.50410958904109593</v>
      </c>
      <c r="I13" s="1218">
        <f t="shared" si="18"/>
        <v>0.49589041095890413</v>
      </c>
      <c r="J13" s="1218">
        <f t="shared" si="18"/>
        <v>0.50273224043715847</v>
      </c>
      <c r="K13" s="1218">
        <f t="shared" si="18"/>
        <v>0.49726775956284153</v>
      </c>
      <c r="L13" s="1218">
        <f t="shared" si="18"/>
        <v>0.50410958904109593</v>
      </c>
      <c r="M13" s="1218">
        <f t="shared" si="18"/>
        <v>0.49589041095890413</v>
      </c>
      <c r="N13" s="1218">
        <f t="shared" si="18"/>
        <v>0.50410958904109593</v>
      </c>
      <c r="O13" s="1218">
        <f t="shared" si="18"/>
        <v>0.49589041095890413</v>
      </c>
      <c r="P13" s="1218">
        <f t="shared" si="18"/>
        <v>0.50410958904109593</v>
      </c>
      <c r="Q13" s="1218">
        <f t="shared" si="18"/>
        <v>0.49589041095890413</v>
      </c>
      <c r="R13" s="1218">
        <f t="shared" si="18"/>
        <v>0.50273224043715847</v>
      </c>
      <c r="S13" s="1218">
        <f t="shared" si="18"/>
        <v>0.49726775956284153</v>
      </c>
      <c r="T13" s="1218">
        <f t="shared" si="18"/>
        <v>0.50410958904109593</v>
      </c>
      <c r="U13" s="1218">
        <f t="shared" si="18"/>
        <v>0.49589041095890413</v>
      </c>
      <c r="V13" s="1218">
        <f t="shared" si="18"/>
        <v>0.50410958904109593</v>
      </c>
      <c r="W13" s="1218">
        <f t="shared" si="18"/>
        <v>0.49589041095890413</v>
      </c>
      <c r="X13" s="1218">
        <f t="shared" si="18"/>
        <v>0.50410958904109593</v>
      </c>
      <c r="Y13" s="1218">
        <f t="shared" si="18"/>
        <v>0.49589041095890413</v>
      </c>
      <c r="Z13" s="1218">
        <f t="shared" si="18"/>
        <v>0.50273224043715847</v>
      </c>
      <c r="AA13" s="1218">
        <f t="shared" si="18"/>
        <v>0.49726775956284153</v>
      </c>
      <c r="AB13" s="1218">
        <f t="shared" si="18"/>
        <v>0.50410958904109593</v>
      </c>
      <c r="AC13" s="1218">
        <f t="shared" si="18"/>
        <v>0.49589041095890413</v>
      </c>
      <c r="AD13" s="1218">
        <f t="shared" si="18"/>
        <v>0.50410958904109593</v>
      </c>
      <c r="AE13" s="1218">
        <f t="shared" si="18"/>
        <v>0.49589041095890413</v>
      </c>
      <c r="AF13" s="1218">
        <f t="shared" si="18"/>
        <v>0.50410958904109593</v>
      </c>
      <c r="AG13" s="1218">
        <f t="shared" si="18"/>
        <v>0.49589041095890413</v>
      </c>
      <c r="AH13" s="1218">
        <f t="shared" si="18"/>
        <v>0.50273224043715847</v>
      </c>
      <c r="AI13" s="1218">
        <f t="shared" si="18"/>
        <v>0.49726775956284153</v>
      </c>
      <c r="AJ13" s="1218">
        <f t="shared" si="18"/>
        <v>0.50410958904109593</v>
      </c>
      <c r="AK13" s="1218">
        <f t="shared" si="18"/>
        <v>0.49589041095890413</v>
      </c>
      <c r="AL13" s="1216">
        <f t="shared" si="18"/>
        <v>0.50410958904109593</v>
      </c>
      <c r="AM13" s="1216">
        <f t="shared" ref="AM13:BR13" si="19">IF(AM12,(AM6-AM5+1)/(equity_year+IF(AM10,1,0)),0)</f>
        <v>0.49589041095890413</v>
      </c>
      <c r="AN13" s="1216">
        <f t="shared" si="19"/>
        <v>0.50410958904109593</v>
      </c>
      <c r="AO13" s="1216">
        <f t="shared" si="19"/>
        <v>0.49589041095890413</v>
      </c>
      <c r="AP13" s="1216">
        <f t="shared" si="19"/>
        <v>0.50273224043715847</v>
      </c>
      <c r="AQ13" s="1216">
        <f t="shared" si="19"/>
        <v>0.49726775956284153</v>
      </c>
      <c r="AR13" s="1216">
        <f t="shared" si="19"/>
        <v>0.50410958904109593</v>
      </c>
      <c r="AS13" s="1216">
        <f t="shared" si="19"/>
        <v>0.49589041095890413</v>
      </c>
      <c r="AT13" s="1216">
        <f t="shared" si="19"/>
        <v>0.50410958904109593</v>
      </c>
      <c r="AU13" s="1216">
        <f t="shared" si="19"/>
        <v>0.49589041095890413</v>
      </c>
      <c r="AV13" s="1216">
        <f t="shared" si="19"/>
        <v>0.50410958904109593</v>
      </c>
      <c r="AW13" s="1216">
        <f t="shared" si="19"/>
        <v>0.49589041095890413</v>
      </c>
      <c r="AX13" s="1216">
        <f t="shared" si="19"/>
        <v>0.50273224043715847</v>
      </c>
      <c r="AY13" s="1216">
        <f t="shared" si="19"/>
        <v>0.49726775956284153</v>
      </c>
      <c r="AZ13" s="1216">
        <f t="shared" si="19"/>
        <v>0.50410958904109593</v>
      </c>
      <c r="BA13" s="1216">
        <f t="shared" si="19"/>
        <v>0.49589041095890413</v>
      </c>
      <c r="BB13" s="1216">
        <f t="shared" si="19"/>
        <v>0.50410958904109593</v>
      </c>
      <c r="BC13" s="1216">
        <f t="shared" si="19"/>
        <v>0.49589041095890413</v>
      </c>
      <c r="BD13" s="1216">
        <f t="shared" si="19"/>
        <v>0.50410958904109593</v>
      </c>
      <c r="BE13" s="1216">
        <f t="shared" si="19"/>
        <v>0.49589041095890413</v>
      </c>
      <c r="BF13" s="1216">
        <f t="shared" si="19"/>
        <v>0.50273224043715847</v>
      </c>
      <c r="BG13" s="1216">
        <f t="shared" si="19"/>
        <v>0.49726775956284153</v>
      </c>
      <c r="BH13" s="1216">
        <f t="shared" si="19"/>
        <v>0.50410958904109593</v>
      </c>
      <c r="BI13" s="1216">
        <f t="shared" si="19"/>
        <v>0.49589041095890413</v>
      </c>
      <c r="BJ13" s="1216">
        <f t="shared" si="19"/>
        <v>0.50410958904109593</v>
      </c>
      <c r="BK13" s="1216">
        <f t="shared" si="19"/>
        <v>0.49589041095890413</v>
      </c>
      <c r="BL13" s="1216">
        <f t="shared" si="19"/>
        <v>0.50410958904109593</v>
      </c>
      <c r="BM13" s="1216">
        <f t="shared" si="19"/>
        <v>0.49589041095890413</v>
      </c>
      <c r="BN13" s="1216">
        <f t="shared" si="19"/>
        <v>0.50273224043715847</v>
      </c>
      <c r="BO13" s="1216">
        <f t="shared" si="19"/>
        <v>0.49726775956284153</v>
      </c>
      <c r="BP13" s="1216">
        <f t="shared" si="19"/>
        <v>0</v>
      </c>
      <c r="BQ13" s="1216">
        <f t="shared" si="19"/>
        <v>0</v>
      </c>
      <c r="BR13" s="1216">
        <f t="shared" si="19"/>
        <v>0</v>
      </c>
      <c r="BS13" s="1216">
        <f t="shared" ref="BS13:CX13" si="20">IF(BS12,(BS6-BS5+1)/(equity_year+IF(BS10,1,0)),0)</f>
        <v>0</v>
      </c>
      <c r="BT13" s="1216">
        <f t="shared" si="20"/>
        <v>0</v>
      </c>
      <c r="BU13" s="1216">
        <f t="shared" si="20"/>
        <v>0</v>
      </c>
      <c r="BV13" s="1216">
        <f t="shared" si="20"/>
        <v>0</v>
      </c>
      <c r="BW13" s="1216">
        <f t="shared" si="20"/>
        <v>0</v>
      </c>
      <c r="BX13" s="1216">
        <f t="shared" si="20"/>
        <v>0</v>
      </c>
      <c r="BY13" s="1216">
        <f t="shared" si="20"/>
        <v>0</v>
      </c>
      <c r="BZ13" s="1216">
        <f t="shared" si="20"/>
        <v>0</v>
      </c>
      <c r="CA13" s="1216">
        <f t="shared" si="20"/>
        <v>0</v>
      </c>
      <c r="CB13" s="1216">
        <f t="shared" si="20"/>
        <v>0</v>
      </c>
      <c r="CC13" s="1216">
        <f t="shared" si="20"/>
        <v>0</v>
      </c>
      <c r="CD13" s="1216">
        <f t="shared" si="20"/>
        <v>0</v>
      </c>
      <c r="CE13" s="1216">
        <f t="shared" si="20"/>
        <v>0</v>
      </c>
      <c r="CF13" s="1216">
        <f t="shared" si="20"/>
        <v>0</v>
      </c>
      <c r="CG13" s="1216">
        <f t="shared" si="20"/>
        <v>0</v>
      </c>
      <c r="CH13" s="1216">
        <f t="shared" si="20"/>
        <v>0</v>
      </c>
      <c r="CI13" s="1216">
        <f t="shared" si="20"/>
        <v>0</v>
      </c>
      <c r="CJ13" s="1216">
        <f t="shared" si="20"/>
        <v>0</v>
      </c>
      <c r="CK13" s="1216">
        <f t="shared" si="20"/>
        <v>0</v>
      </c>
      <c r="CL13" s="1216">
        <f t="shared" si="20"/>
        <v>0</v>
      </c>
      <c r="CM13" s="1216">
        <f t="shared" si="20"/>
        <v>0</v>
      </c>
      <c r="CN13" s="1216">
        <f t="shared" si="20"/>
        <v>0</v>
      </c>
      <c r="CO13" s="1216">
        <f t="shared" si="20"/>
        <v>0</v>
      </c>
      <c r="CP13" s="1216">
        <f t="shared" si="20"/>
        <v>0</v>
      </c>
      <c r="CQ13" s="1216">
        <f t="shared" si="20"/>
        <v>0</v>
      </c>
      <c r="CR13" s="1216">
        <f t="shared" si="20"/>
        <v>0</v>
      </c>
      <c r="CS13" s="1216">
        <f t="shared" si="20"/>
        <v>0</v>
      </c>
      <c r="CT13" s="1216">
        <f t="shared" si="20"/>
        <v>0</v>
      </c>
      <c r="CU13" s="1216">
        <f t="shared" si="20"/>
        <v>0</v>
      </c>
      <c r="CV13" s="1216">
        <f t="shared" si="20"/>
        <v>0</v>
      </c>
      <c r="CW13" s="1216">
        <f t="shared" si="20"/>
        <v>0</v>
      </c>
      <c r="CX13" s="1216">
        <f t="shared" si="20"/>
        <v>0</v>
      </c>
      <c r="CY13" s="1216">
        <f t="shared" ref="CY13:DW13" si="21">IF(CY12,(CY6-CY5+1)/(equity_year+IF(CY10,1,0)),0)</f>
        <v>0</v>
      </c>
      <c r="CZ13" s="1216">
        <f t="shared" si="21"/>
        <v>0</v>
      </c>
      <c r="DA13" s="1216">
        <f t="shared" si="21"/>
        <v>0</v>
      </c>
      <c r="DB13" s="1216">
        <f t="shared" si="21"/>
        <v>0</v>
      </c>
      <c r="DC13" s="1216">
        <f t="shared" si="21"/>
        <v>0</v>
      </c>
      <c r="DD13" s="1216">
        <f t="shared" si="21"/>
        <v>0</v>
      </c>
      <c r="DE13" s="1216">
        <f t="shared" si="21"/>
        <v>0</v>
      </c>
      <c r="DF13" s="1216">
        <f t="shared" si="21"/>
        <v>0</v>
      </c>
      <c r="DG13" s="1216">
        <f t="shared" si="21"/>
        <v>0</v>
      </c>
      <c r="DH13" s="1216">
        <f t="shared" si="21"/>
        <v>0</v>
      </c>
      <c r="DI13" s="1216">
        <f t="shared" si="21"/>
        <v>0</v>
      </c>
      <c r="DJ13" s="1216">
        <f t="shared" si="21"/>
        <v>0</v>
      </c>
      <c r="DK13" s="1216">
        <f t="shared" si="21"/>
        <v>0</v>
      </c>
      <c r="DL13" s="1216">
        <f t="shared" si="21"/>
        <v>0</v>
      </c>
      <c r="DM13" s="1216">
        <f t="shared" si="21"/>
        <v>0</v>
      </c>
      <c r="DN13" s="1216">
        <f t="shared" si="21"/>
        <v>0</v>
      </c>
      <c r="DO13" s="1216">
        <f t="shared" si="21"/>
        <v>0</v>
      </c>
      <c r="DP13" s="1216">
        <f t="shared" si="21"/>
        <v>0</v>
      </c>
      <c r="DQ13" s="1216">
        <f t="shared" si="21"/>
        <v>0</v>
      </c>
      <c r="DR13" s="1216">
        <f t="shared" si="21"/>
        <v>0</v>
      </c>
      <c r="DS13" s="1216">
        <f t="shared" si="21"/>
        <v>0</v>
      </c>
      <c r="DT13" s="1216">
        <f t="shared" si="21"/>
        <v>0</v>
      </c>
      <c r="DU13" s="1216">
        <f t="shared" si="21"/>
        <v>0</v>
      </c>
      <c r="DV13" s="1216">
        <f t="shared" si="21"/>
        <v>0</v>
      </c>
      <c r="DW13" s="1216">
        <f t="shared" si="21"/>
        <v>0</v>
      </c>
      <c r="DX13" s="579"/>
      <c r="DY13" s="579"/>
      <c r="DZ13" s="579"/>
      <c r="EA13" s="579"/>
      <c r="EB13" s="579"/>
      <c r="EC13" s="579"/>
      <c r="ED13" s="579"/>
      <c r="EE13" s="579"/>
      <c r="EF13" s="579"/>
      <c r="EG13" s="579"/>
      <c r="EH13" s="579"/>
      <c r="EI13" s="579"/>
    </row>
    <row r="14" spans="1:139">
      <c r="A14" s="304" t="s">
        <v>1339</v>
      </c>
      <c r="B14" s="927"/>
      <c r="C14" s="1162"/>
      <c r="D14" s="486"/>
      <c r="E14" s="396"/>
      <c r="G14" s="1003"/>
      <c r="H14" s="1003"/>
      <c r="I14" s="1003"/>
      <c r="J14" s="1003"/>
      <c r="K14" s="1003"/>
      <c r="L14" s="1003"/>
      <c r="M14" s="1003"/>
      <c r="N14" s="1003"/>
      <c r="O14" s="1003"/>
      <c r="P14" s="1003"/>
      <c r="Q14" s="1003"/>
      <c r="R14" s="1003"/>
      <c r="S14" s="1003"/>
      <c r="T14" s="1003"/>
      <c r="U14" s="1003"/>
      <c r="V14" s="1003"/>
      <c r="W14" s="1003"/>
      <c r="X14" s="1003"/>
      <c r="Y14" s="1003"/>
      <c r="Z14" s="1003"/>
      <c r="AA14" s="1003"/>
      <c r="AB14" s="1003"/>
      <c r="AC14" s="1003"/>
      <c r="AD14" s="1003"/>
      <c r="AE14" s="1003"/>
      <c r="AF14" s="1003"/>
      <c r="AG14" s="1003"/>
      <c r="AH14" s="1003"/>
      <c r="AI14" s="1003"/>
      <c r="AJ14" s="1003"/>
      <c r="AK14" s="1003"/>
      <c r="AL14" s="1003"/>
      <c r="AM14" s="1003"/>
      <c r="AN14" s="1003"/>
      <c r="AO14" s="1003"/>
      <c r="AP14" s="1003"/>
      <c r="AQ14" s="1003"/>
      <c r="AR14" s="1003"/>
      <c r="AS14" s="1003"/>
      <c r="AT14" s="1003"/>
      <c r="AU14" s="1003"/>
      <c r="AV14" s="1003"/>
      <c r="AW14" s="1003"/>
      <c r="AX14" s="1003"/>
      <c r="AY14" s="1003"/>
      <c r="AZ14" s="1003"/>
      <c r="BA14" s="1003"/>
      <c r="BB14" s="1003"/>
      <c r="BC14" s="1003"/>
      <c r="BD14" s="1003"/>
      <c r="BE14" s="1003"/>
      <c r="BF14" s="1003"/>
      <c r="BG14" s="1003"/>
      <c r="BH14" s="1003"/>
      <c r="BI14" s="1003"/>
      <c r="BJ14" s="1003"/>
      <c r="BK14" s="1003"/>
      <c r="BL14" s="1003"/>
      <c r="BM14" s="1003"/>
      <c r="BN14" s="1003"/>
      <c r="BO14" s="1003"/>
      <c r="BP14" s="1003"/>
      <c r="BQ14" s="1003"/>
      <c r="BR14" s="1003"/>
      <c r="BS14" s="1003"/>
      <c r="BT14" s="1003"/>
      <c r="BU14" s="1003"/>
      <c r="BV14" s="1003"/>
      <c r="BW14" s="1003"/>
      <c r="BX14" s="1003"/>
      <c r="BY14" s="1003"/>
      <c r="BZ14" s="1003"/>
      <c r="CA14" s="1003"/>
      <c r="CB14" s="1003"/>
      <c r="CC14" s="1003"/>
      <c r="CD14" s="1003"/>
      <c r="CE14" s="1003"/>
      <c r="CF14" s="1003"/>
      <c r="CG14" s="1003"/>
      <c r="CH14" s="1003"/>
      <c r="CI14" s="1003"/>
      <c r="CJ14" s="1003"/>
      <c r="CK14" s="1003"/>
      <c r="CL14" s="1003"/>
      <c r="CM14" s="1003"/>
      <c r="CN14" s="1003"/>
      <c r="CO14" s="1003"/>
      <c r="CP14" s="1003"/>
      <c r="CQ14" s="1003"/>
      <c r="CR14" s="1003"/>
      <c r="CS14" s="1003"/>
      <c r="CT14" s="1003"/>
      <c r="CU14" s="1003"/>
      <c r="CV14" s="1003"/>
      <c r="CW14" s="1003"/>
      <c r="CX14" s="1003"/>
      <c r="CY14" s="1003"/>
      <c r="CZ14" s="1003"/>
      <c r="DA14" s="1003"/>
      <c r="DB14" s="1003"/>
      <c r="DC14" s="1003"/>
      <c r="DD14" s="1003"/>
      <c r="DE14" s="1003"/>
      <c r="DF14" s="1003"/>
      <c r="DG14" s="1003"/>
      <c r="DH14" s="1003"/>
      <c r="DI14" s="1003"/>
      <c r="DJ14" s="1003"/>
      <c r="DK14" s="1003"/>
      <c r="DL14" s="1003"/>
      <c r="DM14" s="1003"/>
      <c r="DN14" s="1003"/>
      <c r="DO14" s="1003"/>
      <c r="DP14" s="1003"/>
      <c r="DQ14" s="1003"/>
      <c r="DR14" s="1003"/>
      <c r="DS14" s="1003"/>
      <c r="DT14" s="1003"/>
      <c r="DU14" s="1003"/>
      <c r="DV14" s="1003"/>
      <c r="DW14" s="1003"/>
      <c r="DX14" s="579"/>
      <c r="DY14" s="579"/>
      <c r="DZ14" s="579"/>
      <c r="EA14" s="579"/>
      <c r="EB14" s="579"/>
      <c r="EC14" s="579"/>
      <c r="ED14" s="579"/>
      <c r="EE14" s="579"/>
      <c r="EF14" s="579"/>
      <c r="EG14" s="579"/>
      <c r="EH14" s="579"/>
      <c r="EI14" s="579"/>
    </row>
    <row r="15" spans="1:139">
      <c r="A15" s="304" t="s">
        <v>1340</v>
      </c>
      <c r="B15" s="927"/>
      <c r="C15" s="1162"/>
      <c r="D15" s="486"/>
      <c r="E15" s="396"/>
      <c r="G15" s="1003">
        <f t="shared" ref="G15:AL15" si="22">IF(G7&lt;&gt;0,(G6-G5+1)/(equity_year+IF(G10,1,0)),0)</f>
        <v>0</v>
      </c>
      <c r="H15" s="1003">
        <f t="shared" si="22"/>
        <v>0.50410958904109593</v>
      </c>
      <c r="I15" s="1003">
        <f t="shared" si="22"/>
        <v>0.49589041095890413</v>
      </c>
      <c r="J15" s="1003">
        <f t="shared" si="22"/>
        <v>0.50273224043715847</v>
      </c>
      <c r="K15" s="1003">
        <f t="shared" si="22"/>
        <v>0.49726775956284153</v>
      </c>
      <c r="L15" s="1003">
        <f t="shared" si="22"/>
        <v>0.50410958904109593</v>
      </c>
      <c r="M15" s="1003">
        <f t="shared" si="22"/>
        <v>0.49589041095890413</v>
      </c>
      <c r="N15" s="1003">
        <f t="shared" si="22"/>
        <v>0.50410958904109593</v>
      </c>
      <c r="O15" s="1003">
        <f t="shared" si="22"/>
        <v>0.49589041095890413</v>
      </c>
      <c r="P15" s="1003">
        <f t="shared" si="22"/>
        <v>0.50410958904109593</v>
      </c>
      <c r="Q15" s="1003">
        <f t="shared" si="22"/>
        <v>0.49589041095890413</v>
      </c>
      <c r="R15" s="1003">
        <f t="shared" si="22"/>
        <v>0.50273224043715847</v>
      </c>
      <c r="S15" s="1003">
        <f t="shared" si="22"/>
        <v>0.49726775956284153</v>
      </c>
      <c r="T15" s="1003">
        <f t="shared" si="22"/>
        <v>0.50410958904109593</v>
      </c>
      <c r="U15" s="1003">
        <f t="shared" si="22"/>
        <v>0.49589041095890413</v>
      </c>
      <c r="V15" s="1003">
        <f t="shared" si="22"/>
        <v>0.50410958904109593</v>
      </c>
      <c r="W15" s="1003">
        <f t="shared" si="22"/>
        <v>0.49589041095890413</v>
      </c>
      <c r="X15" s="1003">
        <f t="shared" si="22"/>
        <v>0.50410958904109593</v>
      </c>
      <c r="Y15" s="1003">
        <f t="shared" si="22"/>
        <v>0.49589041095890413</v>
      </c>
      <c r="Z15" s="1003">
        <f t="shared" si="22"/>
        <v>0.50273224043715847</v>
      </c>
      <c r="AA15" s="1003">
        <f t="shared" si="22"/>
        <v>0.49726775956284153</v>
      </c>
      <c r="AB15" s="1003">
        <f t="shared" si="22"/>
        <v>0.50410958904109593</v>
      </c>
      <c r="AC15" s="1003">
        <f t="shared" si="22"/>
        <v>0.49589041095890413</v>
      </c>
      <c r="AD15" s="1003">
        <f t="shared" si="22"/>
        <v>0.50410958904109593</v>
      </c>
      <c r="AE15" s="1003">
        <f t="shared" si="22"/>
        <v>0.49589041095890413</v>
      </c>
      <c r="AF15" s="1003">
        <f t="shared" si="22"/>
        <v>0.50410958904109593</v>
      </c>
      <c r="AG15" s="1003">
        <f t="shared" si="22"/>
        <v>0.49589041095890413</v>
      </c>
      <c r="AH15" s="1003">
        <f t="shared" si="22"/>
        <v>0.50273224043715847</v>
      </c>
      <c r="AI15" s="1003">
        <f t="shared" si="22"/>
        <v>0.49726775956284153</v>
      </c>
      <c r="AJ15" s="1003">
        <f t="shared" si="22"/>
        <v>0.50410958904109593</v>
      </c>
      <c r="AK15" s="1003">
        <f t="shared" si="22"/>
        <v>0.49589041095890413</v>
      </c>
      <c r="AL15" s="1003">
        <f t="shared" si="22"/>
        <v>0.50410958904109593</v>
      </c>
      <c r="AM15" s="1003">
        <f t="shared" ref="AM15:BR15" si="23">IF(AM7&lt;&gt;0,(AM6-AM5+1)/(equity_year+IF(AM10,1,0)),0)</f>
        <v>0.49589041095890413</v>
      </c>
      <c r="AN15" s="1003">
        <f t="shared" si="23"/>
        <v>0.50410958904109593</v>
      </c>
      <c r="AO15" s="1003">
        <f t="shared" si="23"/>
        <v>0.49589041095890413</v>
      </c>
      <c r="AP15" s="1003">
        <f t="shared" si="23"/>
        <v>0.50273224043715847</v>
      </c>
      <c r="AQ15" s="1003">
        <f t="shared" si="23"/>
        <v>0.49726775956284153</v>
      </c>
      <c r="AR15" s="1003">
        <f t="shared" si="23"/>
        <v>0.50410958904109593</v>
      </c>
      <c r="AS15" s="1003">
        <f t="shared" si="23"/>
        <v>0.49589041095890413</v>
      </c>
      <c r="AT15" s="1003">
        <f t="shared" si="23"/>
        <v>0.50410958904109593</v>
      </c>
      <c r="AU15" s="1003">
        <f t="shared" si="23"/>
        <v>0.49589041095890413</v>
      </c>
      <c r="AV15" s="1003">
        <f t="shared" si="23"/>
        <v>0.50410958904109593</v>
      </c>
      <c r="AW15" s="1003">
        <f t="shared" si="23"/>
        <v>0.49589041095890413</v>
      </c>
      <c r="AX15" s="1003">
        <f t="shared" si="23"/>
        <v>0.50273224043715847</v>
      </c>
      <c r="AY15" s="1003">
        <f t="shared" si="23"/>
        <v>0.49726775956284153</v>
      </c>
      <c r="AZ15" s="1003">
        <f t="shared" si="23"/>
        <v>0.50410958904109593</v>
      </c>
      <c r="BA15" s="1003">
        <f t="shared" si="23"/>
        <v>0.49589041095890413</v>
      </c>
      <c r="BB15" s="1003">
        <f t="shared" si="23"/>
        <v>0.50410958904109593</v>
      </c>
      <c r="BC15" s="1003">
        <f t="shared" si="23"/>
        <v>0.49589041095890413</v>
      </c>
      <c r="BD15" s="1003">
        <f t="shared" si="23"/>
        <v>0.50410958904109593</v>
      </c>
      <c r="BE15" s="1003">
        <f t="shared" si="23"/>
        <v>0.49589041095890413</v>
      </c>
      <c r="BF15" s="1003">
        <f t="shared" si="23"/>
        <v>0.50273224043715847</v>
      </c>
      <c r="BG15" s="1003">
        <f t="shared" si="23"/>
        <v>0.49726775956284153</v>
      </c>
      <c r="BH15" s="1003">
        <f t="shared" si="23"/>
        <v>0.50410958904109593</v>
      </c>
      <c r="BI15" s="1003">
        <f t="shared" si="23"/>
        <v>0.49589041095890413</v>
      </c>
      <c r="BJ15" s="1003">
        <f t="shared" si="23"/>
        <v>0.50410958904109593</v>
      </c>
      <c r="BK15" s="1003">
        <f t="shared" si="23"/>
        <v>0.49589041095890413</v>
      </c>
      <c r="BL15" s="1003">
        <f t="shared" si="23"/>
        <v>0.50410958904109593</v>
      </c>
      <c r="BM15" s="1003">
        <f t="shared" si="23"/>
        <v>0.49589041095890413</v>
      </c>
      <c r="BN15" s="1003">
        <f t="shared" si="23"/>
        <v>0.50273224043715847</v>
      </c>
      <c r="BO15" s="1003">
        <f t="shared" si="23"/>
        <v>0.49726775956284153</v>
      </c>
      <c r="BP15" s="1003">
        <f t="shared" si="23"/>
        <v>0.50410958904109593</v>
      </c>
      <c r="BQ15" s="1003">
        <f t="shared" si="23"/>
        <v>0.49589041095890413</v>
      </c>
      <c r="BR15" s="1003">
        <f t="shared" si="23"/>
        <v>0.50410958904109593</v>
      </c>
      <c r="BS15" s="1003">
        <f t="shared" ref="BS15:CX15" si="24">IF(BS7&lt;&gt;0,(BS6-BS5+1)/(equity_year+IF(BS10,1,0)),0)</f>
        <v>0.49589041095890413</v>
      </c>
      <c r="BT15" s="1003">
        <f t="shared" si="24"/>
        <v>0.50410958904109593</v>
      </c>
      <c r="BU15" s="1003">
        <f t="shared" si="24"/>
        <v>0.49589041095890413</v>
      </c>
      <c r="BV15" s="1003">
        <f t="shared" si="24"/>
        <v>0.50273224043715847</v>
      </c>
      <c r="BW15" s="1003">
        <f t="shared" si="24"/>
        <v>0.49726775956284153</v>
      </c>
      <c r="BX15" s="1003">
        <f t="shared" si="24"/>
        <v>0.50410958904109593</v>
      </c>
      <c r="BY15" s="1003">
        <f t="shared" si="24"/>
        <v>0.49589041095890413</v>
      </c>
      <c r="BZ15" s="1003">
        <f t="shared" si="24"/>
        <v>0.50410958904109593</v>
      </c>
      <c r="CA15" s="1003">
        <f t="shared" si="24"/>
        <v>0.49589041095890413</v>
      </c>
      <c r="CB15" s="1003">
        <f t="shared" si="24"/>
        <v>0.50410958904109593</v>
      </c>
      <c r="CC15" s="1003">
        <f t="shared" si="24"/>
        <v>0.49589041095890413</v>
      </c>
      <c r="CD15" s="1003">
        <f t="shared" si="24"/>
        <v>0.50273224043715847</v>
      </c>
      <c r="CE15" s="1003">
        <f t="shared" si="24"/>
        <v>0.49726775956284153</v>
      </c>
      <c r="CF15" s="1003">
        <f t="shared" si="24"/>
        <v>0.50410958904109593</v>
      </c>
      <c r="CG15" s="1003">
        <f t="shared" si="24"/>
        <v>0.49589041095890413</v>
      </c>
      <c r="CH15" s="1003">
        <f t="shared" si="24"/>
        <v>0.50410958904109593</v>
      </c>
      <c r="CI15" s="1003">
        <f t="shared" si="24"/>
        <v>0.49589041095890413</v>
      </c>
      <c r="CJ15" s="1003">
        <f t="shared" si="24"/>
        <v>0.50410958904109593</v>
      </c>
      <c r="CK15" s="1003">
        <f t="shared" si="24"/>
        <v>0.49589041095890413</v>
      </c>
      <c r="CL15" s="1003">
        <f t="shared" si="24"/>
        <v>0.50273224043715847</v>
      </c>
      <c r="CM15" s="1003">
        <f t="shared" si="24"/>
        <v>0.49726775956284153</v>
      </c>
      <c r="CN15" s="1003">
        <f t="shared" si="24"/>
        <v>0.50410958904109593</v>
      </c>
      <c r="CO15" s="1003">
        <f t="shared" si="24"/>
        <v>0.49589041095890413</v>
      </c>
      <c r="CP15" s="1003">
        <f t="shared" si="24"/>
        <v>0.50410958904109593</v>
      </c>
      <c r="CQ15" s="1003">
        <f t="shared" si="24"/>
        <v>0.49589041095890413</v>
      </c>
      <c r="CR15" s="1003">
        <f t="shared" si="24"/>
        <v>0.50410958904109593</v>
      </c>
      <c r="CS15" s="1003">
        <f t="shared" si="24"/>
        <v>0.49589041095890413</v>
      </c>
      <c r="CT15" s="1003">
        <f t="shared" si="24"/>
        <v>0.50273224043715847</v>
      </c>
      <c r="CU15" s="1003">
        <f t="shared" si="24"/>
        <v>0.49726775956284153</v>
      </c>
      <c r="CV15" s="1003">
        <f t="shared" si="24"/>
        <v>0.50410958904109593</v>
      </c>
      <c r="CW15" s="1003">
        <f t="shared" si="24"/>
        <v>0.49589041095890413</v>
      </c>
      <c r="CX15" s="1003">
        <f t="shared" si="24"/>
        <v>0.50410958904109593</v>
      </c>
      <c r="CY15" s="1003">
        <f t="shared" ref="CY15:DW15" si="25">IF(CY7&lt;&gt;0,(CY6-CY5+1)/(equity_year+IF(CY10,1,0)),0)</f>
        <v>0.49589041095890413</v>
      </c>
      <c r="CZ15" s="1003">
        <f t="shared" si="25"/>
        <v>0.50410958904109593</v>
      </c>
      <c r="DA15" s="1003">
        <f t="shared" si="25"/>
        <v>0.49589041095890413</v>
      </c>
      <c r="DB15" s="1003">
        <f t="shared" si="25"/>
        <v>0.50273224043715847</v>
      </c>
      <c r="DC15" s="1003">
        <f t="shared" si="25"/>
        <v>0.49726775956284153</v>
      </c>
      <c r="DD15" s="1003">
        <f t="shared" si="25"/>
        <v>0.50410958904109593</v>
      </c>
      <c r="DE15" s="1003">
        <f t="shared" si="25"/>
        <v>0.49589041095890413</v>
      </c>
      <c r="DF15" s="1003">
        <f t="shared" si="25"/>
        <v>0.50410958904109593</v>
      </c>
      <c r="DG15" s="1003">
        <f t="shared" si="25"/>
        <v>0.49589041095890413</v>
      </c>
      <c r="DH15" s="1003">
        <f t="shared" si="25"/>
        <v>0.50410958904109593</v>
      </c>
      <c r="DI15" s="1003">
        <f t="shared" si="25"/>
        <v>0.49589041095890413</v>
      </c>
      <c r="DJ15" s="1003">
        <f t="shared" si="25"/>
        <v>0.50273224043715847</v>
      </c>
      <c r="DK15" s="1003">
        <f t="shared" si="25"/>
        <v>0.49726775956284153</v>
      </c>
      <c r="DL15" s="1003">
        <f t="shared" si="25"/>
        <v>0.50410958904109593</v>
      </c>
      <c r="DM15" s="1003">
        <f t="shared" si="25"/>
        <v>0.49589041095890413</v>
      </c>
      <c r="DN15" s="1003">
        <f t="shared" si="25"/>
        <v>0.50410958904109593</v>
      </c>
      <c r="DO15" s="1003">
        <f t="shared" si="25"/>
        <v>0.49589041095890413</v>
      </c>
      <c r="DP15" s="1003">
        <f t="shared" si="25"/>
        <v>0.50410958904109593</v>
      </c>
      <c r="DQ15" s="1003">
        <f t="shared" si="25"/>
        <v>0.49589041095890413</v>
      </c>
      <c r="DR15" s="1003">
        <f t="shared" si="25"/>
        <v>0.50273224043715847</v>
      </c>
      <c r="DS15" s="1003">
        <f t="shared" si="25"/>
        <v>0.49726775956284153</v>
      </c>
      <c r="DT15" s="1003">
        <f t="shared" si="25"/>
        <v>0.50410958904109593</v>
      </c>
      <c r="DU15" s="1003">
        <f t="shared" si="25"/>
        <v>0.49589041095890413</v>
      </c>
      <c r="DV15" s="1003">
        <f t="shared" si="25"/>
        <v>0.50410958904109593</v>
      </c>
      <c r="DW15" s="1003">
        <f t="shared" si="25"/>
        <v>0.49589041095890413</v>
      </c>
      <c r="DX15" s="579"/>
      <c r="DY15" s="579"/>
      <c r="DZ15" s="579"/>
      <c r="EA15" s="579"/>
      <c r="EB15" s="579"/>
      <c r="EC15" s="579"/>
      <c r="ED15" s="579"/>
      <c r="EE15" s="579"/>
      <c r="EF15" s="579"/>
      <c r="EG15" s="579"/>
      <c r="EH15" s="579"/>
      <c r="EI15" s="579"/>
    </row>
    <row r="16" spans="1:139">
      <c r="A16" s="304" t="s">
        <v>241</v>
      </c>
      <c r="B16" s="927">
        <f>Inputs!D14</f>
        <v>30</v>
      </c>
      <c r="C16" s="927"/>
      <c r="D16" s="486"/>
      <c r="E16" s="486"/>
      <c r="G16" s="1002" t="b">
        <f>IF(G$7&lt;=$B16,TRUE,FALSE)</f>
        <v>1</v>
      </c>
      <c r="H16" s="1002" t="b">
        <f t="shared" ref="H16:BS16" si="26">IF(H$7&lt;=$B16,TRUE,FALSE)</f>
        <v>1</v>
      </c>
      <c r="I16" s="1002" t="b">
        <f t="shared" si="26"/>
        <v>1</v>
      </c>
      <c r="J16" s="1002" t="b">
        <f t="shared" si="26"/>
        <v>1</v>
      </c>
      <c r="K16" s="1002" t="b">
        <f t="shared" si="26"/>
        <v>1</v>
      </c>
      <c r="L16" s="1002" t="b">
        <f t="shared" si="26"/>
        <v>1</v>
      </c>
      <c r="M16" s="1002" t="b">
        <f t="shared" si="26"/>
        <v>1</v>
      </c>
      <c r="N16" s="1002" t="b">
        <f t="shared" si="26"/>
        <v>1</v>
      </c>
      <c r="O16" s="1002" t="b">
        <f t="shared" si="26"/>
        <v>1</v>
      </c>
      <c r="P16" s="1002" t="b">
        <f t="shared" si="26"/>
        <v>1</v>
      </c>
      <c r="Q16" s="1002" t="b">
        <f t="shared" si="26"/>
        <v>1</v>
      </c>
      <c r="R16" s="1002" t="b">
        <f t="shared" si="26"/>
        <v>1</v>
      </c>
      <c r="S16" s="1002" t="b">
        <f t="shared" si="26"/>
        <v>1</v>
      </c>
      <c r="T16" s="1002" t="b">
        <f t="shared" si="26"/>
        <v>1</v>
      </c>
      <c r="U16" s="1002" t="b">
        <f t="shared" si="26"/>
        <v>1</v>
      </c>
      <c r="V16" s="1002" t="b">
        <f t="shared" si="26"/>
        <v>1</v>
      </c>
      <c r="W16" s="1002" t="b">
        <f t="shared" si="26"/>
        <v>1</v>
      </c>
      <c r="X16" s="1002" t="b">
        <f t="shared" si="26"/>
        <v>1</v>
      </c>
      <c r="Y16" s="1002" t="b">
        <f t="shared" si="26"/>
        <v>1</v>
      </c>
      <c r="Z16" s="1002" t="b">
        <f t="shared" si="26"/>
        <v>1</v>
      </c>
      <c r="AA16" s="1002" t="b">
        <f t="shared" si="26"/>
        <v>1</v>
      </c>
      <c r="AB16" s="1002" t="b">
        <f t="shared" si="26"/>
        <v>1</v>
      </c>
      <c r="AC16" s="1002" t="b">
        <f t="shared" si="26"/>
        <v>1</v>
      </c>
      <c r="AD16" s="1002" t="b">
        <f t="shared" si="26"/>
        <v>1</v>
      </c>
      <c r="AE16" s="1002" t="b">
        <f t="shared" si="26"/>
        <v>1</v>
      </c>
      <c r="AF16" s="1002" t="b">
        <f t="shared" si="26"/>
        <v>1</v>
      </c>
      <c r="AG16" s="1002" t="b">
        <f t="shared" si="26"/>
        <v>1</v>
      </c>
      <c r="AH16" s="1002" t="b">
        <f t="shared" si="26"/>
        <v>1</v>
      </c>
      <c r="AI16" s="1002" t="b">
        <f t="shared" si="26"/>
        <v>1</v>
      </c>
      <c r="AJ16" s="1002" t="b">
        <f t="shared" si="26"/>
        <v>1</v>
      </c>
      <c r="AK16" s="1002" t="b">
        <f t="shared" si="26"/>
        <v>1</v>
      </c>
      <c r="AL16" s="1002" t="b">
        <f t="shared" si="26"/>
        <v>1</v>
      </c>
      <c r="AM16" s="1002" t="b">
        <f t="shared" si="26"/>
        <v>1</v>
      </c>
      <c r="AN16" s="1002" t="b">
        <f t="shared" si="26"/>
        <v>1</v>
      </c>
      <c r="AO16" s="1002" t="b">
        <f t="shared" si="26"/>
        <v>1</v>
      </c>
      <c r="AP16" s="1002" t="b">
        <f t="shared" si="26"/>
        <v>1</v>
      </c>
      <c r="AQ16" s="1002" t="b">
        <f t="shared" si="26"/>
        <v>1</v>
      </c>
      <c r="AR16" s="1002" t="b">
        <f t="shared" si="26"/>
        <v>1</v>
      </c>
      <c r="AS16" s="1002" t="b">
        <f t="shared" si="26"/>
        <v>1</v>
      </c>
      <c r="AT16" s="1002" t="b">
        <f t="shared" si="26"/>
        <v>1</v>
      </c>
      <c r="AU16" s="1002" t="b">
        <f t="shared" si="26"/>
        <v>1</v>
      </c>
      <c r="AV16" s="1002" t="b">
        <f t="shared" si="26"/>
        <v>1</v>
      </c>
      <c r="AW16" s="1002" t="b">
        <f t="shared" si="26"/>
        <v>1</v>
      </c>
      <c r="AX16" s="1002" t="b">
        <f t="shared" si="26"/>
        <v>1</v>
      </c>
      <c r="AY16" s="1002" t="b">
        <f t="shared" si="26"/>
        <v>1</v>
      </c>
      <c r="AZ16" s="1002" t="b">
        <f t="shared" si="26"/>
        <v>1</v>
      </c>
      <c r="BA16" s="1002" t="b">
        <f t="shared" si="26"/>
        <v>1</v>
      </c>
      <c r="BB16" s="1002" t="b">
        <f t="shared" si="26"/>
        <v>1</v>
      </c>
      <c r="BC16" s="1002" t="b">
        <f t="shared" si="26"/>
        <v>1</v>
      </c>
      <c r="BD16" s="1002" t="b">
        <f t="shared" si="26"/>
        <v>1</v>
      </c>
      <c r="BE16" s="1002" t="b">
        <f t="shared" si="26"/>
        <v>1</v>
      </c>
      <c r="BF16" s="1002" t="b">
        <f t="shared" si="26"/>
        <v>1</v>
      </c>
      <c r="BG16" s="1002" t="b">
        <f t="shared" si="26"/>
        <v>1</v>
      </c>
      <c r="BH16" s="1002" t="b">
        <f t="shared" si="26"/>
        <v>1</v>
      </c>
      <c r="BI16" s="1002" t="b">
        <f t="shared" si="26"/>
        <v>1</v>
      </c>
      <c r="BJ16" s="1002" t="b">
        <f t="shared" si="26"/>
        <v>1</v>
      </c>
      <c r="BK16" s="1002" t="b">
        <f t="shared" si="26"/>
        <v>1</v>
      </c>
      <c r="BL16" s="1002" t="b">
        <f t="shared" si="26"/>
        <v>1</v>
      </c>
      <c r="BM16" s="1002" t="b">
        <f t="shared" si="26"/>
        <v>1</v>
      </c>
      <c r="BN16" s="1002" t="b">
        <f t="shared" si="26"/>
        <v>1</v>
      </c>
      <c r="BO16" s="1002" t="b">
        <f t="shared" si="26"/>
        <v>1</v>
      </c>
      <c r="BP16" s="1002" t="b">
        <f t="shared" si="26"/>
        <v>0</v>
      </c>
      <c r="BQ16" s="1002" t="b">
        <f t="shared" si="26"/>
        <v>0</v>
      </c>
      <c r="BR16" s="1002" t="b">
        <f t="shared" si="26"/>
        <v>0</v>
      </c>
      <c r="BS16" s="1002" t="b">
        <f t="shared" si="26"/>
        <v>0</v>
      </c>
      <c r="BT16" s="1002" t="b">
        <f t="shared" ref="BT16:DW16" si="27">IF(BT$7&lt;=$B16,TRUE,FALSE)</f>
        <v>0</v>
      </c>
      <c r="BU16" s="1002" t="b">
        <f t="shared" si="27"/>
        <v>0</v>
      </c>
      <c r="BV16" s="1002" t="b">
        <f t="shared" si="27"/>
        <v>0</v>
      </c>
      <c r="BW16" s="1002" t="b">
        <f t="shared" si="27"/>
        <v>0</v>
      </c>
      <c r="BX16" s="1002" t="b">
        <f t="shared" si="27"/>
        <v>0</v>
      </c>
      <c r="BY16" s="1002" t="b">
        <f t="shared" si="27"/>
        <v>0</v>
      </c>
      <c r="BZ16" s="1002" t="b">
        <f t="shared" si="27"/>
        <v>0</v>
      </c>
      <c r="CA16" s="1002" t="b">
        <f t="shared" si="27"/>
        <v>0</v>
      </c>
      <c r="CB16" s="1002" t="b">
        <f t="shared" si="27"/>
        <v>0</v>
      </c>
      <c r="CC16" s="1002" t="b">
        <f t="shared" si="27"/>
        <v>0</v>
      </c>
      <c r="CD16" s="1002" t="b">
        <f t="shared" si="27"/>
        <v>0</v>
      </c>
      <c r="CE16" s="1002" t="b">
        <f t="shared" si="27"/>
        <v>0</v>
      </c>
      <c r="CF16" s="1002" t="b">
        <f t="shared" si="27"/>
        <v>0</v>
      </c>
      <c r="CG16" s="1002" t="b">
        <f t="shared" si="27"/>
        <v>0</v>
      </c>
      <c r="CH16" s="1002" t="b">
        <f t="shared" si="27"/>
        <v>0</v>
      </c>
      <c r="CI16" s="1002" t="b">
        <f t="shared" si="27"/>
        <v>0</v>
      </c>
      <c r="CJ16" s="1002" t="b">
        <f t="shared" si="27"/>
        <v>0</v>
      </c>
      <c r="CK16" s="1002" t="b">
        <f t="shared" si="27"/>
        <v>0</v>
      </c>
      <c r="CL16" s="1002" t="b">
        <f t="shared" si="27"/>
        <v>0</v>
      </c>
      <c r="CM16" s="1002" t="b">
        <f t="shared" si="27"/>
        <v>0</v>
      </c>
      <c r="CN16" s="1002" t="b">
        <f t="shared" si="27"/>
        <v>0</v>
      </c>
      <c r="CO16" s="1002" t="b">
        <f t="shared" si="27"/>
        <v>0</v>
      </c>
      <c r="CP16" s="1002" t="b">
        <f t="shared" si="27"/>
        <v>0</v>
      </c>
      <c r="CQ16" s="1002" t="b">
        <f t="shared" si="27"/>
        <v>0</v>
      </c>
      <c r="CR16" s="1002" t="b">
        <f t="shared" si="27"/>
        <v>0</v>
      </c>
      <c r="CS16" s="1002" t="b">
        <f t="shared" si="27"/>
        <v>0</v>
      </c>
      <c r="CT16" s="1002" t="b">
        <f t="shared" si="27"/>
        <v>0</v>
      </c>
      <c r="CU16" s="1002" t="b">
        <f t="shared" si="27"/>
        <v>0</v>
      </c>
      <c r="CV16" s="1002" t="b">
        <f t="shared" si="27"/>
        <v>0</v>
      </c>
      <c r="CW16" s="1002" t="b">
        <f t="shared" si="27"/>
        <v>0</v>
      </c>
      <c r="CX16" s="1002" t="b">
        <f t="shared" si="27"/>
        <v>0</v>
      </c>
      <c r="CY16" s="1002" t="b">
        <f t="shared" si="27"/>
        <v>0</v>
      </c>
      <c r="CZ16" s="1002" t="b">
        <f t="shared" si="27"/>
        <v>0</v>
      </c>
      <c r="DA16" s="1002" t="b">
        <f t="shared" si="27"/>
        <v>0</v>
      </c>
      <c r="DB16" s="1002" t="b">
        <f t="shared" si="27"/>
        <v>0</v>
      </c>
      <c r="DC16" s="1002" t="b">
        <f t="shared" si="27"/>
        <v>0</v>
      </c>
      <c r="DD16" s="1002" t="b">
        <f t="shared" si="27"/>
        <v>0</v>
      </c>
      <c r="DE16" s="1002" t="b">
        <f t="shared" si="27"/>
        <v>0</v>
      </c>
      <c r="DF16" s="1002" t="b">
        <f t="shared" si="27"/>
        <v>0</v>
      </c>
      <c r="DG16" s="1002" t="b">
        <f t="shared" si="27"/>
        <v>0</v>
      </c>
      <c r="DH16" s="1002" t="b">
        <f t="shared" si="27"/>
        <v>0</v>
      </c>
      <c r="DI16" s="1002" t="b">
        <f t="shared" si="27"/>
        <v>0</v>
      </c>
      <c r="DJ16" s="1002" t="b">
        <f t="shared" si="27"/>
        <v>0</v>
      </c>
      <c r="DK16" s="1002" t="b">
        <f t="shared" si="27"/>
        <v>0</v>
      </c>
      <c r="DL16" s="1002" t="b">
        <f t="shared" si="27"/>
        <v>0</v>
      </c>
      <c r="DM16" s="1002" t="b">
        <f t="shared" si="27"/>
        <v>0</v>
      </c>
      <c r="DN16" s="1002" t="b">
        <f t="shared" si="27"/>
        <v>0</v>
      </c>
      <c r="DO16" s="1002" t="b">
        <f t="shared" si="27"/>
        <v>0</v>
      </c>
      <c r="DP16" s="1002" t="b">
        <f t="shared" si="27"/>
        <v>0</v>
      </c>
      <c r="DQ16" s="1002" t="b">
        <f t="shared" si="27"/>
        <v>0</v>
      </c>
      <c r="DR16" s="1002" t="b">
        <f t="shared" si="27"/>
        <v>0</v>
      </c>
      <c r="DS16" s="1002" t="b">
        <f t="shared" si="27"/>
        <v>0</v>
      </c>
      <c r="DT16" s="1002" t="b">
        <f t="shared" si="27"/>
        <v>0</v>
      </c>
      <c r="DU16" s="1002" t="b">
        <f t="shared" si="27"/>
        <v>0</v>
      </c>
      <c r="DV16" s="1002" t="b">
        <f t="shared" si="27"/>
        <v>0</v>
      </c>
      <c r="DW16" s="1002" t="b">
        <f t="shared" si="27"/>
        <v>0</v>
      </c>
      <c r="DX16" s="579"/>
      <c r="DY16" s="579"/>
      <c r="DZ16" s="579"/>
      <c r="EA16" s="579"/>
      <c r="EB16" s="579"/>
      <c r="EC16" s="579"/>
      <c r="ED16" s="579"/>
      <c r="EE16" s="579"/>
      <c r="EF16" s="579"/>
      <c r="EG16" s="579"/>
      <c r="EH16" s="579"/>
      <c r="EI16" s="579"/>
    </row>
    <row r="17" spans="1:139">
      <c r="A17" s="304" t="s">
        <v>504</v>
      </c>
      <c r="B17" s="927">
        <f>Inputs!$D$81</f>
        <v>12</v>
      </c>
      <c r="C17" s="927"/>
      <c r="D17" s="486"/>
      <c r="E17" s="486"/>
      <c r="G17" s="1002" t="b">
        <f>IF(AND(G$7&lt;=$B17,G$7&gt;0),TRUE,FALSE)</f>
        <v>0</v>
      </c>
      <c r="H17" s="1002" t="b">
        <f t="shared" ref="H17:BS17" si="28">IF(AND(H$7&lt;=$B17,H$7&gt;0),TRUE,FALSE)</f>
        <v>1</v>
      </c>
      <c r="I17" s="1002" t="b">
        <f t="shared" si="28"/>
        <v>1</v>
      </c>
      <c r="J17" s="1002" t="b">
        <f t="shared" si="28"/>
        <v>1</v>
      </c>
      <c r="K17" s="1002" t="b">
        <f t="shared" si="28"/>
        <v>1</v>
      </c>
      <c r="L17" s="1002" t="b">
        <f t="shared" si="28"/>
        <v>1</v>
      </c>
      <c r="M17" s="1002" t="b">
        <f t="shared" si="28"/>
        <v>1</v>
      </c>
      <c r="N17" s="1002" t="b">
        <f t="shared" si="28"/>
        <v>1</v>
      </c>
      <c r="O17" s="1002" t="b">
        <f t="shared" si="28"/>
        <v>1</v>
      </c>
      <c r="P17" s="1002" t="b">
        <f t="shared" si="28"/>
        <v>1</v>
      </c>
      <c r="Q17" s="1002" t="b">
        <f t="shared" si="28"/>
        <v>1</v>
      </c>
      <c r="R17" s="1002" t="b">
        <f t="shared" si="28"/>
        <v>1</v>
      </c>
      <c r="S17" s="1002" t="b">
        <f t="shared" si="28"/>
        <v>1</v>
      </c>
      <c r="T17" s="1002" t="b">
        <f t="shared" si="28"/>
        <v>1</v>
      </c>
      <c r="U17" s="1002" t="b">
        <f t="shared" si="28"/>
        <v>1</v>
      </c>
      <c r="V17" s="1002" t="b">
        <f t="shared" si="28"/>
        <v>1</v>
      </c>
      <c r="W17" s="1002" t="b">
        <f t="shared" si="28"/>
        <v>1</v>
      </c>
      <c r="X17" s="1002" t="b">
        <f t="shared" si="28"/>
        <v>1</v>
      </c>
      <c r="Y17" s="1002" t="b">
        <f t="shared" si="28"/>
        <v>1</v>
      </c>
      <c r="Z17" s="1002" t="b">
        <f t="shared" si="28"/>
        <v>1</v>
      </c>
      <c r="AA17" s="1002" t="b">
        <f t="shared" si="28"/>
        <v>1</v>
      </c>
      <c r="AB17" s="1002" t="b">
        <f t="shared" si="28"/>
        <v>1</v>
      </c>
      <c r="AC17" s="1002" t="b">
        <f t="shared" si="28"/>
        <v>1</v>
      </c>
      <c r="AD17" s="1002" t="b">
        <f t="shared" si="28"/>
        <v>1</v>
      </c>
      <c r="AE17" s="1002" t="b">
        <f t="shared" si="28"/>
        <v>1</v>
      </c>
      <c r="AF17" s="1002" t="b">
        <f t="shared" si="28"/>
        <v>0</v>
      </c>
      <c r="AG17" s="1002" t="b">
        <f t="shared" si="28"/>
        <v>0</v>
      </c>
      <c r="AH17" s="1002" t="b">
        <f t="shared" si="28"/>
        <v>0</v>
      </c>
      <c r="AI17" s="1002" t="b">
        <f t="shared" si="28"/>
        <v>0</v>
      </c>
      <c r="AJ17" s="1002" t="b">
        <f t="shared" si="28"/>
        <v>0</v>
      </c>
      <c r="AK17" s="1002" t="b">
        <f t="shared" si="28"/>
        <v>0</v>
      </c>
      <c r="AL17" s="1002" t="b">
        <f t="shared" si="28"/>
        <v>0</v>
      </c>
      <c r="AM17" s="1002" t="b">
        <f t="shared" si="28"/>
        <v>0</v>
      </c>
      <c r="AN17" s="1002" t="b">
        <f t="shared" si="28"/>
        <v>0</v>
      </c>
      <c r="AO17" s="1002" t="b">
        <f t="shared" si="28"/>
        <v>0</v>
      </c>
      <c r="AP17" s="1002" t="b">
        <f t="shared" si="28"/>
        <v>0</v>
      </c>
      <c r="AQ17" s="1002" t="b">
        <f t="shared" si="28"/>
        <v>0</v>
      </c>
      <c r="AR17" s="1002" t="b">
        <f t="shared" si="28"/>
        <v>0</v>
      </c>
      <c r="AS17" s="1002" t="b">
        <f t="shared" si="28"/>
        <v>0</v>
      </c>
      <c r="AT17" s="1002" t="b">
        <f t="shared" si="28"/>
        <v>0</v>
      </c>
      <c r="AU17" s="1002" t="b">
        <f t="shared" si="28"/>
        <v>0</v>
      </c>
      <c r="AV17" s="1002" t="b">
        <f t="shared" si="28"/>
        <v>0</v>
      </c>
      <c r="AW17" s="1002" t="b">
        <f t="shared" si="28"/>
        <v>0</v>
      </c>
      <c r="AX17" s="1002" t="b">
        <f t="shared" si="28"/>
        <v>0</v>
      </c>
      <c r="AY17" s="1002" t="b">
        <f t="shared" si="28"/>
        <v>0</v>
      </c>
      <c r="AZ17" s="1002" t="b">
        <f t="shared" si="28"/>
        <v>0</v>
      </c>
      <c r="BA17" s="1002" t="b">
        <f t="shared" si="28"/>
        <v>0</v>
      </c>
      <c r="BB17" s="1002" t="b">
        <f t="shared" si="28"/>
        <v>0</v>
      </c>
      <c r="BC17" s="1002" t="b">
        <f t="shared" si="28"/>
        <v>0</v>
      </c>
      <c r="BD17" s="1002" t="b">
        <f t="shared" si="28"/>
        <v>0</v>
      </c>
      <c r="BE17" s="1002" t="b">
        <f t="shared" si="28"/>
        <v>0</v>
      </c>
      <c r="BF17" s="1002" t="b">
        <f t="shared" si="28"/>
        <v>0</v>
      </c>
      <c r="BG17" s="1002" t="b">
        <f t="shared" si="28"/>
        <v>0</v>
      </c>
      <c r="BH17" s="1002" t="b">
        <f t="shared" si="28"/>
        <v>0</v>
      </c>
      <c r="BI17" s="1002" t="b">
        <f t="shared" si="28"/>
        <v>0</v>
      </c>
      <c r="BJ17" s="1002" t="b">
        <f t="shared" si="28"/>
        <v>0</v>
      </c>
      <c r="BK17" s="1002" t="b">
        <f t="shared" si="28"/>
        <v>0</v>
      </c>
      <c r="BL17" s="1002" t="b">
        <f t="shared" si="28"/>
        <v>0</v>
      </c>
      <c r="BM17" s="1002" t="b">
        <f t="shared" si="28"/>
        <v>0</v>
      </c>
      <c r="BN17" s="1002" t="b">
        <f t="shared" si="28"/>
        <v>0</v>
      </c>
      <c r="BO17" s="1002" t="b">
        <f t="shared" si="28"/>
        <v>0</v>
      </c>
      <c r="BP17" s="1002" t="b">
        <f t="shared" si="28"/>
        <v>0</v>
      </c>
      <c r="BQ17" s="1002" t="b">
        <f t="shared" si="28"/>
        <v>0</v>
      </c>
      <c r="BR17" s="1002" t="b">
        <f t="shared" si="28"/>
        <v>0</v>
      </c>
      <c r="BS17" s="1002" t="b">
        <f t="shared" si="28"/>
        <v>0</v>
      </c>
      <c r="BT17" s="1002" t="b">
        <f t="shared" ref="BT17:DW17" si="29">IF(AND(BT$7&lt;=$B17,BT$7&gt;0),TRUE,FALSE)</f>
        <v>0</v>
      </c>
      <c r="BU17" s="1002" t="b">
        <f t="shared" si="29"/>
        <v>0</v>
      </c>
      <c r="BV17" s="1002" t="b">
        <f t="shared" si="29"/>
        <v>0</v>
      </c>
      <c r="BW17" s="1002" t="b">
        <f t="shared" si="29"/>
        <v>0</v>
      </c>
      <c r="BX17" s="1002" t="b">
        <f t="shared" si="29"/>
        <v>0</v>
      </c>
      <c r="BY17" s="1002" t="b">
        <f t="shared" si="29"/>
        <v>0</v>
      </c>
      <c r="BZ17" s="1002" t="b">
        <f t="shared" si="29"/>
        <v>0</v>
      </c>
      <c r="CA17" s="1002" t="b">
        <f t="shared" si="29"/>
        <v>0</v>
      </c>
      <c r="CB17" s="1002" t="b">
        <f t="shared" si="29"/>
        <v>0</v>
      </c>
      <c r="CC17" s="1002" t="b">
        <f t="shared" si="29"/>
        <v>0</v>
      </c>
      <c r="CD17" s="1002" t="b">
        <f t="shared" si="29"/>
        <v>0</v>
      </c>
      <c r="CE17" s="1002" t="b">
        <f t="shared" si="29"/>
        <v>0</v>
      </c>
      <c r="CF17" s="1002" t="b">
        <f t="shared" si="29"/>
        <v>0</v>
      </c>
      <c r="CG17" s="1002" t="b">
        <f t="shared" si="29"/>
        <v>0</v>
      </c>
      <c r="CH17" s="1002" t="b">
        <f t="shared" si="29"/>
        <v>0</v>
      </c>
      <c r="CI17" s="1002" t="b">
        <f t="shared" si="29"/>
        <v>0</v>
      </c>
      <c r="CJ17" s="1002" t="b">
        <f t="shared" si="29"/>
        <v>0</v>
      </c>
      <c r="CK17" s="1002" t="b">
        <f t="shared" si="29"/>
        <v>0</v>
      </c>
      <c r="CL17" s="1002" t="b">
        <f t="shared" si="29"/>
        <v>0</v>
      </c>
      <c r="CM17" s="1002" t="b">
        <f t="shared" si="29"/>
        <v>0</v>
      </c>
      <c r="CN17" s="1002" t="b">
        <f t="shared" si="29"/>
        <v>0</v>
      </c>
      <c r="CO17" s="1002" t="b">
        <f t="shared" si="29"/>
        <v>0</v>
      </c>
      <c r="CP17" s="1002" t="b">
        <f t="shared" si="29"/>
        <v>0</v>
      </c>
      <c r="CQ17" s="1002" t="b">
        <f t="shared" si="29"/>
        <v>0</v>
      </c>
      <c r="CR17" s="1002" t="b">
        <f t="shared" si="29"/>
        <v>0</v>
      </c>
      <c r="CS17" s="1002" t="b">
        <f t="shared" si="29"/>
        <v>0</v>
      </c>
      <c r="CT17" s="1002" t="b">
        <f t="shared" si="29"/>
        <v>0</v>
      </c>
      <c r="CU17" s="1002" t="b">
        <f t="shared" si="29"/>
        <v>0</v>
      </c>
      <c r="CV17" s="1002" t="b">
        <f t="shared" si="29"/>
        <v>0</v>
      </c>
      <c r="CW17" s="1002" t="b">
        <f t="shared" si="29"/>
        <v>0</v>
      </c>
      <c r="CX17" s="1002" t="b">
        <f t="shared" si="29"/>
        <v>0</v>
      </c>
      <c r="CY17" s="1002" t="b">
        <f t="shared" si="29"/>
        <v>0</v>
      </c>
      <c r="CZ17" s="1002" t="b">
        <f t="shared" si="29"/>
        <v>0</v>
      </c>
      <c r="DA17" s="1002" t="b">
        <f t="shared" si="29"/>
        <v>0</v>
      </c>
      <c r="DB17" s="1002" t="b">
        <f t="shared" si="29"/>
        <v>0</v>
      </c>
      <c r="DC17" s="1002" t="b">
        <f t="shared" si="29"/>
        <v>0</v>
      </c>
      <c r="DD17" s="1002" t="b">
        <f t="shared" si="29"/>
        <v>0</v>
      </c>
      <c r="DE17" s="1002" t="b">
        <f t="shared" si="29"/>
        <v>0</v>
      </c>
      <c r="DF17" s="1002" t="b">
        <f t="shared" si="29"/>
        <v>0</v>
      </c>
      <c r="DG17" s="1002" t="b">
        <f t="shared" si="29"/>
        <v>0</v>
      </c>
      <c r="DH17" s="1002" t="b">
        <f t="shared" si="29"/>
        <v>0</v>
      </c>
      <c r="DI17" s="1002" t="b">
        <f t="shared" si="29"/>
        <v>0</v>
      </c>
      <c r="DJ17" s="1002" t="b">
        <f t="shared" si="29"/>
        <v>0</v>
      </c>
      <c r="DK17" s="1002" t="b">
        <f t="shared" si="29"/>
        <v>0</v>
      </c>
      <c r="DL17" s="1002" t="b">
        <f t="shared" si="29"/>
        <v>0</v>
      </c>
      <c r="DM17" s="1002" t="b">
        <f t="shared" si="29"/>
        <v>0</v>
      </c>
      <c r="DN17" s="1002" t="b">
        <f t="shared" si="29"/>
        <v>0</v>
      </c>
      <c r="DO17" s="1002" t="b">
        <f t="shared" si="29"/>
        <v>0</v>
      </c>
      <c r="DP17" s="1002" t="b">
        <f t="shared" si="29"/>
        <v>0</v>
      </c>
      <c r="DQ17" s="1002" t="b">
        <f t="shared" si="29"/>
        <v>0</v>
      </c>
      <c r="DR17" s="1002" t="b">
        <f t="shared" si="29"/>
        <v>0</v>
      </c>
      <c r="DS17" s="1002" t="b">
        <f t="shared" si="29"/>
        <v>0</v>
      </c>
      <c r="DT17" s="1002" t="b">
        <f t="shared" si="29"/>
        <v>0</v>
      </c>
      <c r="DU17" s="1002" t="b">
        <f t="shared" si="29"/>
        <v>0</v>
      </c>
      <c r="DV17" s="1002" t="b">
        <f t="shared" si="29"/>
        <v>0</v>
      </c>
      <c r="DW17" s="1002" t="b">
        <f t="shared" si="29"/>
        <v>0</v>
      </c>
      <c r="DX17" s="905"/>
      <c r="DY17" s="579"/>
      <c r="DZ17" s="579"/>
      <c r="EA17" s="579"/>
      <c r="EB17" s="579"/>
      <c r="EC17" s="579"/>
      <c r="ED17" s="579"/>
      <c r="EE17" s="579"/>
      <c r="EF17" s="579"/>
      <c r="EG17" s="579"/>
      <c r="EH17" s="579"/>
      <c r="EI17" s="579"/>
    </row>
    <row r="18" spans="1:139">
      <c r="B18" s="927"/>
      <c r="C18" s="927"/>
      <c r="D18" s="486"/>
      <c r="E18" s="486"/>
      <c r="G18" s="1021"/>
      <c r="H18" s="1021"/>
      <c r="I18" s="1021"/>
      <c r="J18" s="1021"/>
      <c r="K18" s="1021"/>
      <c r="L18" s="1021"/>
      <c r="M18" s="1021"/>
      <c r="N18" s="1021"/>
      <c r="O18" s="1021"/>
      <c r="P18" s="1021"/>
      <c r="Q18" s="1021"/>
      <c r="R18" s="1021"/>
      <c r="S18" s="1021"/>
      <c r="T18" s="1021"/>
      <c r="U18" s="1021"/>
      <c r="V18" s="1021"/>
      <c r="W18" s="1021"/>
      <c r="X18" s="1021"/>
      <c r="Y18" s="1021"/>
      <c r="Z18" s="1021"/>
      <c r="AA18" s="1021"/>
      <c r="AB18" s="1021"/>
      <c r="AC18" s="1021"/>
      <c r="AD18" s="1021"/>
      <c r="AE18" s="1021"/>
      <c r="AF18" s="1021"/>
      <c r="AG18" s="1021"/>
      <c r="AH18" s="1021"/>
      <c r="AI18" s="1021"/>
      <c r="AJ18" s="1021"/>
      <c r="AK18" s="1021"/>
      <c r="AL18" s="1021"/>
      <c r="AM18" s="1021"/>
      <c r="AN18" s="1021"/>
      <c r="AO18" s="1021"/>
      <c r="AP18" s="1021"/>
      <c r="AQ18" s="1021"/>
      <c r="AR18" s="1021"/>
      <c r="AS18" s="1021"/>
      <c r="AT18" s="1021"/>
      <c r="AU18" s="1021"/>
      <c r="AV18" s="1021"/>
      <c r="AW18" s="1021"/>
      <c r="AX18" s="1021"/>
      <c r="AY18" s="1021"/>
      <c r="AZ18" s="1021"/>
      <c r="BA18" s="1021"/>
      <c r="BB18" s="1021"/>
      <c r="BC18" s="1021"/>
      <c r="BD18" s="1021"/>
      <c r="BE18" s="1021"/>
      <c r="BF18" s="1021"/>
      <c r="BG18" s="1021"/>
      <c r="BH18" s="1021"/>
      <c r="BI18" s="1021"/>
      <c r="BJ18" s="1021"/>
      <c r="BK18" s="1021"/>
      <c r="BL18" s="1021"/>
      <c r="BM18" s="1021"/>
      <c r="BN18" s="1021"/>
      <c r="BO18" s="1021"/>
      <c r="BP18" s="1021"/>
      <c r="BQ18" s="1021"/>
      <c r="BR18" s="1021"/>
      <c r="BS18" s="1021"/>
      <c r="BT18" s="1021"/>
      <c r="BU18" s="1021"/>
      <c r="BV18" s="1021"/>
      <c r="BW18" s="1021"/>
      <c r="BX18" s="1021"/>
      <c r="BY18" s="1021"/>
      <c r="BZ18" s="1021"/>
      <c r="CA18" s="1021"/>
      <c r="CB18" s="1021"/>
      <c r="CC18" s="1021"/>
      <c r="CD18" s="1021"/>
      <c r="CE18" s="1021"/>
      <c r="CF18" s="1021"/>
      <c r="CG18" s="1021"/>
      <c r="CH18" s="1021"/>
      <c r="CI18" s="1021"/>
      <c r="CJ18" s="1021"/>
      <c r="CK18" s="1021"/>
      <c r="CL18" s="1021"/>
      <c r="CM18" s="1021"/>
      <c r="CN18" s="1021"/>
      <c r="CO18" s="1021"/>
      <c r="CP18" s="1021"/>
      <c r="CQ18" s="1021"/>
      <c r="CR18" s="1021"/>
      <c r="CS18" s="1021"/>
      <c r="CT18" s="1021"/>
      <c r="CU18" s="1021"/>
      <c r="CV18" s="1021"/>
      <c r="CW18" s="1021"/>
      <c r="CX18" s="1021"/>
      <c r="CY18" s="1021"/>
      <c r="CZ18" s="1021"/>
      <c r="DA18" s="1021"/>
      <c r="DB18" s="1021"/>
      <c r="DC18" s="1021"/>
      <c r="DD18" s="1021"/>
      <c r="DE18" s="1021"/>
      <c r="DF18" s="1021"/>
      <c r="DG18" s="1021"/>
      <c r="DH18" s="1021"/>
      <c r="DI18" s="1021"/>
      <c r="DJ18" s="1021"/>
      <c r="DK18" s="1021"/>
      <c r="DL18" s="1021"/>
      <c r="DM18" s="1021"/>
      <c r="DN18" s="1021"/>
      <c r="DO18" s="1021"/>
      <c r="DP18" s="1021"/>
      <c r="DQ18" s="1021"/>
      <c r="DR18" s="1021"/>
      <c r="DS18" s="1021"/>
      <c r="DT18" s="1021"/>
      <c r="DU18" s="1021"/>
      <c r="DV18" s="1021"/>
      <c r="DW18" s="1021"/>
      <c r="DX18" s="905"/>
      <c r="DY18" s="579"/>
      <c r="DZ18" s="579"/>
      <c r="EA18" s="579"/>
      <c r="EB18" s="579"/>
      <c r="EC18" s="579"/>
      <c r="ED18" s="579"/>
      <c r="EE18" s="579"/>
      <c r="EF18" s="579"/>
      <c r="EG18" s="579"/>
      <c r="EH18" s="579"/>
      <c r="EI18" s="579"/>
    </row>
    <row r="19" spans="1:139">
      <c r="A19" s="304" t="s">
        <v>1341</v>
      </c>
      <c r="B19" s="927">
        <f>Inputs!$D$196</f>
        <v>14</v>
      </c>
      <c r="C19" s="927"/>
      <c r="D19" s="637"/>
      <c r="E19" s="637"/>
      <c r="F19" s="637"/>
      <c r="G19" s="1002" t="b">
        <f>IF(AND(G8&gt;0,G8&lt;=$B$19*$B$7),TRUE,FALSE)</f>
        <v>0</v>
      </c>
      <c r="H19" s="1002" t="b">
        <f t="shared" ref="H19:AL19" si="30">IF(AND(H8&gt;0,H8&lt;=$B$19*$B$7),TRUE,FALSE)</f>
        <v>1</v>
      </c>
      <c r="I19" s="1002" t="b">
        <f t="shared" si="30"/>
        <v>1</v>
      </c>
      <c r="J19" s="1002" t="b">
        <f t="shared" si="30"/>
        <v>1</v>
      </c>
      <c r="K19" s="1002" t="b">
        <f t="shared" si="30"/>
        <v>1</v>
      </c>
      <c r="L19" s="1002" t="b">
        <f t="shared" si="30"/>
        <v>1</v>
      </c>
      <c r="M19" s="1002" t="b">
        <f t="shared" si="30"/>
        <v>1</v>
      </c>
      <c r="N19" s="1002" t="b">
        <f t="shared" si="30"/>
        <v>1</v>
      </c>
      <c r="O19" s="1002" t="b">
        <f t="shared" si="30"/>
        <v>1</v>
      </c>
      <c r="P19" s="1002" t="b">
        <f t="shared" si="30"/>
        <v>1</v>
      </c>
      <c r="Q19" s="1002" t="b">
        <f t="shared" si="30"/>
        <v>1</v>
      </c>
      <c r="R19" s="1002" t="b">
        <f t="shared" si="30"/>
        <v>1</v>
      </c>
      <c r="S19" s="1002" t="b">
        <f t="shared" si="30"/>
        <v>1</v>
      </c>
      <c r="T19" s="1002" t="b">
        <f t="shared" si="30"/>
        <v>1</v>
      </c>
      <c r="U19" s="1002" t="b">
        <f t="shared" si="30"/>
        <v>1</v>
      </c>
      <c r="V19" s="1002" t="b">
        <f t="shared" si="30"/>
        <v>1</v>
      </c>
      <c r="W19" s="1002" t="b">
        <f t="shared" si="30"/>
        <v>1</v>
      </c>
      <c r="X19" s="1002" t="b">
        <f t="shared" si="30"/>
        <v>1</v>
      </c>
      <c r="Y19" s="1002" t="b">
        <f t="shared" si="30"/>
        <v>1</v>
      </c>
      <c r="Z19" s="1002" t="b">
        <f t="shared" si="30"/>
        <v>1</v>
      </c>
      <c r="AA19" s="1002" t="b">
        <f t="shared" si="30"/>
        <v>1</v>
      </c>
      <c r="AB19" s="1002" t="b">
        <f t="shared" si="30"/>
        <v>1</v>
      </c>
      <c r="AC19" s="1002" t="b">
        <f t="shared" si="30"/>
        <v>1</v>
      </c>
      <c r="AD19" s="1002" t="b">
        <f t="shared" si="30"/>
        <v>1</v>
      </c>
      <c r="AE19" s="1002" t="b">
        <f t="shared" si="30"/>
        <v>1</v>
      </c>
      <c r="AF19" s="1002" t="b">
        <f t="shared" si="30"/>
        <v>1</v>
      </c>
      <c r="AG19" s="1002" t="b">
        <f t="shared" si="30"/>
        <v>1</v>
      </c>
      <c r="AH19" s="1002" t="b">
        <f t="shared" si="30"/>
        <v>1</v>
      </c>
      <c r="AI19" s="1002" t="b">
        <f t="shared" si="30"/>
        <v>1</v>
      </c>
      <c r="AJ19" s="1002" t="b">
        <f t="shared" si="30"/>
        <v>0</v>
      </c>
      <c r="AK19" s="1002" t="b">
        <f t="shared" si="30"/>
        <v>0</v>
      </c>
      <c r="AL19" s="1002" t="b">
        <f t="shared" si="30"/>
        <v>0</v>
      </c>
      <c r="AM19" s="1002" t="b">
        <f t="shared" ref="AM19:BR19" si="31">IF(AND(AM8&gt;0,AM8&lt;=$B$19*$B$7),TRUE,FALSE)</f>
        <v>0</v>
      </c>
      <c r="AN19" s="1002" t="b">
        <f t="shared" si="31"/>
        <v>0</v>
      </c>
      <c r="AO19" s="1002" t="b">
        <f t="shared" si="31"/>
        <v>0</v>
      </c>
      <c r="AP19" s="1002" t="b">
        <f t="shared" si="31"/>
        <v>0</v>
      </c>
      <c r="AQ19" s="1002" t="b">
        <f t="shared" si="31"/>
        <v>0</v>
      </c>
      <c r="AR19" s="1002" t="b">
        <f t="shared" si="31"/>
        <v>0</v>
      </c>
      <c r="AS19" s="1002" t="b">
        <f t="shared" si="31"/>
        <v>0</v>
      </c>
      <c r="AT19" s="1002" t="b">
        <f t="shared" si="31"/>
        <v>0</v>
      </c>
      <c r="AU19" s="1002" t="b">
        <f t="shared" si="31"/>
        <v>0</v>
      </c>
      <c r="AV19" s="1002" t="b">
        <f t="shared" si="31"/>
        <v>0</v>
      </c>
      <c r="AW19" s="1002" t="b">
        <f t="shared" si="31"/>
        <v>0</v>
      </c>
      <c r="AX19" s="1002" t="b">
        <f t="shared" si="31"/>
        <v>0</v>
      </c>
      <c r="AY19" s="1002" t="b">
        <f t="shared" si="31"/>
        <v>0</v>
      </c>
      <c r="AZ19" s="1002" t="b">
        <f t="shared" si="31"/>
        <v>0</v>
      </c>
      <c r="BA19" s="1002" t="b">
        <f t="shared" si="31"/>
        <v>0</v>
      </c>
      <c r="BB19" s="1002" t="b">
        <f t="shared" si="31"/>
        <v>0</v>
      </c>
      <c r="BC19" s="1002" t="b">
        <f t="shared" si="31"/>
        <v>0</v>
      </c>
      <c r="BD19" s="1002" t="b">
        <f t="shared" si="31"/>
        <v>0</v>
      </c>
      <c r="BE19" s="1002" t="b">
        <f t="shared" si="31"/>
        <v>0</v>
      </c>
      <c r="BF19" s="1002" t="b">
        <f t="shared" si="31"/>
        <v>0</v>
      </c>
      <c r="BG19" s="1002" t="b">
        <f t="shared" si="31"/>
        <v>0</v>
      </c>
      <c r="BH19" s="1002" t="b">
        <f t="shared" si="31"/>
        <v>0</v>
      </c>
      <c r="BI19" s="1002" t="b">
        <f t="shared" si="31"/>
        <v>0</v>
      </c>
      <c r="BJ19" s="1002" t="b">
        <f t="shared" si="31"/>
        <v>0</v>
      </c>
      <c r="BK19" s="1002" t="b">
        <f t="shared" si="31"/>
        <v>0</v>
      </c>
      <c r="BL19" s="1002" t="b">
        <f t="shared" si="31"/>
        <v>0</v>
      </c>
      <c r="BM19" s="1002" t="b">
        <f t="shared" si="31"/>
        <v>0</v>
      </c>
      <c r="BN19" s="1002" t="b">
        <f t="shared" si="31"/>
        <v>0</v>
      </c>
      <c r="BO19" s="1002" t="b">
        <f t="shared" si="31"/>
        <v>0</v>
      </c>
      <c r="BP19" s="1002" t="b">
        <f t="shared" si="31"/>
        <v>0</v>
      </c>
      <c r="BQ19" s="1002" t="b">
        <f t="shared" si="31"/>
        <v>0</v>
      </c>
      <c r="BR19" s="1002" t="b">
        <f t="shared" si="31"/>
        <v>0</v>
      </c>
      <c r="BS19" s="1002" t="b">
        <f t="shared" ref="BS19:CX19" si="32">IF(AND(BS8&gt;0,BS8&lt;=$B$19*$B$7),TRUE,FALSE)</f>
        <v>0</v>
      </c>
      <c r="BT19" s="1002" t="b">
        <f t="shared" si="32"/>
        <v>0</v>
      </c>
      <c r="BU19" s="1002" t="b">
        <f t="shared" si="32"/>
        <v>0</v>
      </c>
      <c r="BV19" s="1002" t="b">
        <f t="shared" si="32"/>
        <v>0</v>
      </c>
      <c r="BW19" s="1002" t="b">
        <f t="shared" si="32"/>
        <v>0</v>
      </c>
      <c r="BX19" s="1002" t="b">
        <f t="shared" si="32"/>
        <v>0</v>
      </c>
      <c r="BY19" s="1002" t="b">
        <f t="shared" si="32"/>
        <v>0</v>
      </c>
      <c r="BZ19" s="1002" t="b">
        <f t="shared" si="32"/>
        <v>0</v>
      </c>
      <c r="CA19" s="1002" t="b">
        <f t="shared" si="32"/>
        <v>0</v>
      </c>
      <c r="CB19" s="1002" t="b">
        <f t="shared" si="32"/>
        <v>0</v>
      </c>
      <c r="CC19" s="1002" t="b">
        <f t="shared" si="32"/>
        <v>0</v>
      </c>
      <c r="CD19" s="1002" t="b">
        <f t="shared" si="32"/>
        <v>0</v>
      </c>
      <c r="CE19" s="1002" t="b">
        <f t="shared" si="32"/>
        <v>0</v>
      </c>
      <c r="CF19" s="1002" t="b">
        <f t="shared" si="32"/>
        <v>0</v>
      </c>
      <c r="CG19" s="1002" t="b">
        <f t="shared" si="32"/>
        <v>0</v>
      </c>
      <c r="CH19" s="1002" t="b">
        <f t="shared" si="32"/>
        <v>0</v>
      </c>
      <c r="CI19" s="1002" t="b">
        <f t="shared" si="32"/>
        <v>0</v>
      </c>
      <c r="CJ19" s="1002" t="b">
        <f t="shared" si="32"/>
        <v>0</v>
      </c>
      <c r="CK19" s="1002" t="b">
        <f t="shared" si="32"/>
        <v>0</v>
      </c>
      <c r="CL19" s="1002" t="b">
        <f t="shared" si="32"/>
        <v>0</v>
      </c>
      <c r="CM19" s="1002" t="b">
        <f t="shared" si="32"/>
        <v>0</v>
      </c>
      <c r="CN19" s="1002" t="b">
        <f t="shared" si="32"/>
        <v>0</v>
      </c>
      <c r="CO19" s="1002" t="b">
        <f t="shared" si="32"/>
        <v>0</v>
      </c>
      <c r="CP19" s="1002" t="b">
        <f t="shared" si="32"/>
        <v>0</v>
      </c>
      <c r="CQ19" s="1002" t="b">
        <f t="shared" si="32"/>
        <v>0</v>
      </c>
      <c r="CR19" s="1002" t="b">
        <f t="shared" si="32"/>
        <v>0</v>
      </c>
      <c r="CS19" s="1002" t="b">
        <f t="shared" si="32"/>
        <v>0</v>
      </c>
      <c r="CT19" s="1002" t="b">
        <f t="shared" si="32"/>
        <v>0</v>
      </c>
      <c r="CU19" s="1002" t="b">
        <f t="shared" si="32"/>
        <v>0</v>
      </c>
      <c r="CV19" s="1002" t="b">
        <f t="shared" si="32"/>
        <v>0</v>
      </c>
      <c r="CW19" s="1002" t="b">
        <f t="shared" si="32"/>
        <v>0</v>
      </c>
      <c r="CX19" s="1002" t="b">
        <f t="shared" si="32"/>
        <v>0</v>
      </c>
      <c r="CY19" s="1002" t="b">
        <f t="shared" ref="CY19:DW19" si="33">IF(AND(CY8&gt;0,CY8&lt;=$B$19*$B$7),TRUE,FALSE)</f>
        <v>0</v>
      </c>
      <c r="CZ19" s="1002" t="b">
        <f t="shared" si="33"/>
        <v>0</v>
      </c>
      <c r="DA19" s="1002" t="b">
        <f t="shared" si="33"/>
        <v>0</v>
      </c>
      <c r="DB19" s="1002" t="b">
        <f t="shared" si="33"/>
        <v>0</v>
      </c>
      <c r="DC19" s="1002" t="b">
        <f t="shared" si="33"/>
        <v>0</v>
      </c>
      <c r="DD19" s="1002" t="b">
        <f t="shared" si="33"/>
        <v>0</v>
      </c>
      <c r="DE19" s="1002" t="b">
        <f t="shared" si="33"/>
        <v>0</v>
      </c>
      <c r="DF19" s="1002" t="b">
        <f t="shared" si="33"/>
        <v>0</v>
      </c>
      <c r="DG19" s="1002" t="b">
        <f t="shared" si="33"/>
        <v>0</v>
      </c>
      <c r="DH19" s="1002" t="b">
        <f t="shared" si="33"/>
        <v>0</v>
      </c>
      <c r="DI19" s="1002" t="b">
        <f t="shared" si="33"/>
        <v>0</v>
      </c>
      <c r="DJ19" s="1002" t="b">
        <f t="shared" si="33"/>
        <v>0</v>
      </c>
      <c r="DK19" s="1002" t="b">
        <f t="shared" si="33"/>
        <v>0</v>
      </c>
      <c r="DL19" s="1002" t="b">
        <f t="shared" si="33"/>
        <v>0</v>
      </c>
      <c r="DM19" s="1002" t="b">
        <f t="shared" si="33"/>
        <v>0</v>
      </c>
      <c r="DN19" s="1002" t="b">
        <f t="shared" si="33"/>
        <v>0</v>
      </c>
      <c r="DO19" s="1002" t="b">
        <f t="shared" si="33"/>
        <v>0</v>
      </c>
      <c r="DP19" s="1002" t="b">
        <f t="shared" si="33"/>
        <v>0</v>
      </c>
      <c r="DQ19" s="1002" t="b">
        <f t="shared" si="33"/>
        <v>0</v>
      </c>
      <c r="DR19" s="1002" t="b">
        <f t="shared" si="33"/>
        <v>0</v>
      </c>
      <c r="DS19" s="1002" t="b">
        <f t="shared" si="33"/>
        <v>0</v>
      </c>
      <c r="DT19" s="1002" t="b">
        <f t="shared" si="33"/>
        <v>0</v>
      </c>
      <c r="DU19" s="1002" t="b">
        <f t="shared" si="33"/>
        <v>0</v>
      </c>
      <c r="DV19" s="1002" t="b">
        <f t="shared" si="33"/>
        <v>0</v>
      </c>
      <c r="DW19" s="1002" t="b">
        <f t="shared" si="33"/>
        <v>0</v>
      </c>
      <c r="DX19" s="579"/>
    </row>
    <row r="20" spans="1:139">
      <c r="A20" s="304" t="s">
        <v>1342</v>
      </c>
      <c r="B20" s="927">
        <f>Inputs!D241</f>
        <v>14</v>
      </c>
      <c r="C20" s="927"/>
      <c r="D20" s="637"/>
      <c r="E20" s="637"/>
      <c r="F20" s="637"/>
      <c r="G20" s="1002" t="b">
        <f>IF(AND(G19,(($B$22*Inputs!$C$482)/IF($B$7=Inputs!$C$480,Inputs!$C$482,IF($B$7=Inputs!$C$482,Inputs!$C$480,Inputs!$C$481))+1)&lt;=G8,G7&lt;=$B$20,Inputs!$C$238),TRUE,FALSE)</f>
        <v>0</v>
      </c>
      <c r="H20" s="1002" t="b">
        <f>IF(AND(H19,(($B$22*Inputs!$C$482)/IF($B$7=Inputs!$C$480,Inputs!$C$482,IF($B$7=Inputs!$C$482,Inputs!$C$480,Inputs!$C$481))+1)&lt;=H8,H7&lt;=$B$20,Inputs!$C$238),TRUE,FALSE)</f>
        <v>0</v>
      </c>
      <c r="I20" s="1002" t="b">
        <f>IF(AND(I19,(($B$22*Inputs!$C$482)/IF($B$7=Inputs!$C$480,Inputs!$C$482,IF($B$7=Inputs!$C$482,Inputs!$C$480,Inputs!$C$481))+1)&lt;=I8,I7&lt;=$B$20,Inputs!$C$238),TRUE,FALSE)</f>
        <v>0</v>
      </c>
      <c r="J20" s="1002" t="b">
        <f>IF(AND(J19,(($B$22*Inputs!$C$482)/IF($B$7=Inputs!$C$480,Inputs!$C$482,IF($B$7=Inputs!$C$482,Inputs!$C$480,Inputs!$C$481))+1)&lt;=J8,J7&lt;=$B$20,Inputs!$C$238),TRUE,FALSE)</f>
        <v>0</v>
      </c>
      <c r="K20" s="1002" t="b">
        <f>IF(AND(K19,(($B$22*Inputs!$C$482)/IF($B$7=Inputs!$C$480,Inputs!$C$482,IF($B$7=Inputs!$C$482,Inputs!$C$480,Inputs!$C$481))+1)&lt;=K8,K7&lt;=$B$20,Inputs!$C$238),TRUE,FALSE)</f>
        <v>0</v>
      </c>
      <c r="L20" s="1002" t="b">
        <f>IF(AND(L19,(($B$22*Inputs!$C$482)/IF($B$7=Inputs!$C$480,Inputs!$C$482,IF($B$7=Inputs!$C$482,Inputs!$C$480,Inputs!$C$481))+1)&lt;=L8,L7&lt;=$B$20,Inputs!$C$238),TRUE,FALSE)</f>
        <v>0</v>
      </c>
      <c r="M20" s="1002" t="b">
        <f>IF(AND(M19,(($B$22*Inputs!$C$482)/IF($B$7=Inputs!$C$480,Inputs!$C$482,IF($B$7=Inputs!$C$482,Inputs!$C$480,Inputs!$C$481))+1)&lt;=M8,M7&lt;=$B$20,Inputs!$C$238),TRUE,FALSE)</f>
        <v>0</v>
      </c>
      <c r="N20" s="1002" t="b">
        <f>IF(AND(N19,(($B$22*Inputs!$C$482)/IF($B$7=Inputs!$C$480,Inputs!$C$482,IF($B$7=Inputs!$C$482,Inputs!$C$480,Inputs!$C$481))+1)&lt;=N8,N7&lt;=$B$20,Inputs!$C$238),TRUE,FALSE)</f>
        <v>0</v>
      </c>
      <c r="O20" s="1002" t="b">
        <f>IF(AND(O19,(($B$22*Inputs!$C$482)/IF($B$7=Inputs!$C$480,Inputs!$C$482,IF($B$7=Inputs!$C$482,Inputs!$C$480,Inputs!$C$481))+1)&lt;=O8,O7&lt;=$B$20,Inputs!$C$238),TRUE,FALSE)</f>
        <v>0</v>
      </c>
      <c r="P20" s="1002" t="b">
        <f>IF(AND(P19,(($B$22*Inputs!$C$482)/IF($B$7=Inputs!$C$480,Inputs!$C$482,IF($B$7=Inputs!$C$482,Inputs!$C$480,Inputs!$C$481))+1)&lt;=P8,P7&lt;=$B$20,Inputs!$C$238),TRUE,FALSE)</f>
        <v>0</v>
      </c>
      <c r="Q20" s="1002" t="b">
        <f>IF(AND(Q19,(($B$22*Inputs!$C$482)/IF($B$7=Inputs!$C$480,Inputs!$C$482,IF($B$7=Inputs!$C$482,Inputs!$C$480,Inputs!$C$481))+1)&lt;=Q8,Q7&lt;=$B$20,Inputs!$C$238),TRUE,FALSE)</f>
        <v>0</v>
      </c>
      <c r="R20" s="1002" t="b">
        <f>IF(AND(R19,(($B$22*Inputs!$C$482)/IF($B$7=Inputs!$C$480,Inputs!$C$482,IF($B$7=Inputs!$C$482,Inputs!$C$480,Inputs!$C$481))+1)&lt;=R8,R7&lt;=$B$20,Inputs!$C$238),TRUE,FALSE)</f>
        <v>0</v>
      </c>
      <c r="S20" s="1002" t="b">
        <f>IF(AND(S19,(($B$22*Inputs!$C$482)/IF($B$7=Inputs!$C$480,Inputs!$C$482,IF($B$7=Inputs!$C$482,Inputs!$C$480,Inputs!$C$481))+1)&lt;=S8,S7&lt;=$B$20,Inputs!$C$238),TRUE,FALSE)</f>
        <v>0</v>
      </c>
      <c r="T20" s="1002" t="b">
        <f>IF(AND(T19,(($B$22*Inputs!$C$482)/IF($B$7=Inputs!$C$480,Inputs!$C$482,IF($B$7=Inputs!$C$482,Inputs!$C$480,Inputs!$C$481))+1)&lt;=T8,T7&lt;=$B$20,Inputs!$C$238),TRUE,FALSE)</f>
        <v>0</v>
      </c>
      <c r="U20" s="1002" t="b">
        <f>IF(AND(U19,(($B$22*Inputs!$C$482)/IF($B$7=Inputs!$C$480,Inputs!$C$482,IF($B$7=Inputs!$C$482,Inputs!$C$480,Inputs!$C$481))+1)&lt;=U8,U7&lt;=$B$20,Inputs!$C$238),TRUE,FALSE)</f>
        <v>0</v>
      </c>
      <c r="V20" s="1002" t="b">
        <f>IF(AND(V19,(($B$22*Inputs!$C$482)/IF($B$7=Inputs!$C$480,Inputs!$C$482,IF($B$7=Inputs!$C$482,Inputs!$C$480,Inputs!$C$481))+1)&lt;=V8,V7&lt;=$B$20,Inputs!$C$238),TRUE,FALSE)</f>
        <v>0</v>
      </c>
      <c r="W20" s="1002" t="b">
        <f>IF(AND(W19,(($B$22*Inputs!$C$482)/IF($B$7=Inputs!$C$480,Inputs!$C$482,IF($B$7=Inputs!$C$482,Inputs!$C$480,Inputs!$C$481))+1)&lt;=W8,W7&lt;=$B$20,Inputs!$C$238),TRUE,FALSE)</f>
        <v>0</v>
      </c>
      <c r="X20" s="1002" t="b">
        <f>IF(AND(X19,(($B$22*Inputs!$C$482)/IF($B$7=Inputs!$C$480,Inputs!$C$482,IF($B$7=Inputs!$C$482,Inputs!$C$480,Inputs!$C$481))+1)&lt;=X8,X7&lt;=$B$20,Inputs!$C$238),TRUE,FALSE)</f>
        <v>0</v>
      </c>
      <c r="Y20" s="1002" t="b">
        <f>IF(AND(Y19,(($B$22*Inputs!$C$482)/IF($B$7=Inputs!$C$480,Inputs!$C$482,IF($B$7=Inputs!$C$482,Inputs!$C$480,Inputs!$C$481))+1)&lt;=Y8,Y7&lt;=$B$20,Inputs!$C$238),TRUE,FALSE)</f>
        <v>0</v>
      </c>
      <c r="Z20" s="1002" t="b">
        <f>IF(AND(Z19,(($B$22*Inputs!$C$482)/IF($B$7=Inputs!$C$480,Inputs!$C$482,IF($B$7=Inputs!$C$482,Inputs!$C$480,Inputs!$C$481))+1)&lt;=Z8,Z7&lt;=$B$20,Inputs!$C$238),TRUE,FALSE)</f>
        <v>0</v>
      </c>
      <c r="AA20" s="1002" t="b">
        <f>IF(AND(AA19,(($B$22*Inputs!$C$482)/IF($B$7=Inputs!$C$480,Inputs!$C$482,IF($B$7=Inputs!$C$482,Inputs!$C$480,Inputs!$C$481))+1)&lt;=AA8,AA7&lt;=$B$20,Inputs!$C$238),TRUE,FALSE)</f>
        <v>0</v>
      </c>
      <c r="AB20" s="1002" t="b">
        <f>IF(AND(AB19,(($B$22*Inputs!$C$482)/IF($B$7=Inputs!$C$480,Inputs!$C$482,IF($B$7=Inputs!$C$482,Inputs!$C$480,Inputs!$C$481))+1)&lt;=AB8,AB7&lt;=$B$20,Inputs!$C$238),TRUE,FALSE)</f>
        <v>0</v>
      </c>
      <c r="AC20" s="1002" t="b">
        <f>IF(AND(AC19,(($B$22*Inputs!$C$482)/IF($B$7=Inputs!$C$480,Inputs!$C$482,IF($B$7=Inputs!$C$482,Inputs!$C$480,Inputs!$C$481))+1)&lt;=AC8,AC7&lt;=$B$20,Inputs!$C$238),TRUE,FALSE)</f>
        <v>0</v>
      </c>
      <c r="AD20" s="1002" t="b">
        <f>IF(AND(AD19,(($B$22*Inputs!$C$482)/IF($B$7=Inputs!$C$480,Inputs!$C$482,IF($B$7=Inputs!$C$482,Inputs!$C$480,Inputs!$C$481))+1)&lt;=AD8,AD7&lt;=$B$20,Inputs!$C$238),TRUE,FALSE)</f>
        <v>0</v>
      </c>
      <c r="AE20" s="1002" t="b">
        <f>IF(AND(AE19,(($B$22*Inputs!$C$482)/IF($B$7=Inputs!$C$480,Inputs!$C$482,IF($B$7=Inputs!$C$482,Inputs!$C$480,Inputs!$C$481))+1)&lt;=AE8,AE7&lt;=$B$20,Inputs!$C$238),TRUE,FALSE)</f>
        <v>0</v>
      </c>
      <c r="AF20" s="1002" t="b">
        <f>IF(AND(AF19,(($B$22*Inputs!$C$482)/IF($B$7=Inputs!$C$480,Inputs!$C$482,IF($B$7=Inputs!$C$482,Inputs!$C$480,Inputs!$C$481))+1)&lt;=AF8,AF7&lt;=$B$20,Inputs!$C$238),TRUE,FALSE)</f>
        <v>0</v>
      </c>
      <c r="AG20" s="1002" t="b">
        <f>IF(AND(AG19,(($B$22*Inputs!$C$482)/IF($B$7=Inputs!$C$480,Inputs!$C$482,IF($B$7=Inputs!$C$482,Inputs!$C$480,Inputs!$C$481))+1)&lt;=AG8,AG7&lt;=$B$20,Inputs!$C$238),TRUE,FALSE)</f>
        <v>0</v>
      </c>
      <c r="AH20" s="1002" t="b">
        <f>IF(AND(AH19,(($B$22*Inputs!$C$482)/IF($B$7=Inputs!$C$480,Inputs!$C$482,IF($B$7=Inputs!$C$482,Inputs!$C$480,Inputs!$C$481))+1)&lt;=AH8,AH7&lt;=$B$20,Inputs!$C$238),TRUE,FALSE)</f>
        <v>0</v>
      </c>
      <c r="AI20" s="1002" t="b">
        <f>IF(AND(AI19,(($B$22*Inputs!$C$482)/IF($B$7=Inputs!$C$480,Inputs!$C$482,IF($B$7=Inputs!$C$482,Inputs!$C$480,Inputs!$C$481))+1)&lt;=AI8,AI7&lt;=$B$20,Inputs!$C$238),TRUE,FALSE)</f>
        <v>0</v>
      </c>
      <c r="AJ20" s="1002" t="b">
        <f>IF(AND(AJ19,(($B$22*Inputs!$C$482)/IF($B$7=Inputs!$C$480,Inputs!$C$482,IF($B$7=Inputs!$C$482,Inputs!$C$480,Inputs!$C$481))+1)&lt;=AJ8,AJ7&lt;=$B$20,Inputs!$C$238),TRUE,FALSE)</f>
        <v>0</v>
      </c>
      <c r="AK20" s="1002" t="b">
        <f>IF(AND(AK19,(($B$22*Inputs!$C$482)/IF($B$7=Inputs!$C$480,Inputs!$C$482,IF($B$7=Inputs!$C$482,Inputs!$C$480,Inputs!$C$481))+1)&lt;=AK8,AK7&lt;=$B$20,Inputs!$C$238),TRUE,FALSE)</f>
        <v>0</v>
      </c>
      <c r="AL20" s="1002" t="b">
        <f>IF(AND(AL19,(($B$22*Inputs!$C$482)/IF($B$7=Inputs!$C$480,Inputs!$C$482,IF($B$7=Inputs!$C$482,Inputs!$C$480,Inputs!$C$481))+1)&lt;=AL8,AL7&lt;=$B$20,Inputs!$C$238),TRUE,FALSE)</f>
        <v>0</v>
      </c>
      <c r="AM20" s="1002" t="b">
        <f>IF(AND(AM19,(($B$22*Inputs!$C$482)/IF($B$7=Inputs!$C$480,Inputs!$C$482,IF($B$7=Inputs!$C$482,Inputs!$C$480,Inputs!$C$481))+1)&lt;=AM8,AM7&lt;=$B$20,Inputs!$C$238),TRUE,FALSE)</f>
        <v>0</v>
      </c>
      <c r="AN20" s="1002" t="b">
        <f>IF(AND(AN19,(($B$22*Inputs!$C$482)/IF($B$7=Inputs!$C$480,Inputs!$C$482,IF($B$7=Inputs!$C$482,Inputs!$C$480,Inputs!$C$481))+1)&lt;=AN8,AN7&lt;=$B$20,Inputs!$C$238),TRUE,FALSE)</f>
        <v>0</v>
      </c>
      <c r="AO20" s="1002" t="b">
        <f>IF(AND(AO19,(($B$22*Inputs!$C$482)/IF($B$7=Inputs!$C$480,Inputs!$C$482,IF($B$7=Inputs!$C$482,Inputs!$C$480,Inputs!$C$481))+1)&lt;=AO8,AO7&lt;=$B$20,Inputs!$C$238),TRUE,FALSE)</f>
        <v>0</v>
      </c>
      <c r="AP20" s="1002" t="b">
        <f>IF(AND(AP19,(($B$22*Inputs!$C$482)/IF($B$7=Inputs!$C$480,Inputs!$C$482,IF($B$7=Inputs!$C$482,Inputs!$C$480,Inputs!$C$481))+1)&lt;=AP8,AP7&lt;=$B$20,Inputs!$C$238),TRUE,FALSE)</f>
        <v>0</v>
      </c>
      <c r="AQ20" s="1002" t="b">
        <f>IF(AND(AQ19,(($B$22*Inputs!$C$482)/IF($B$7=Inputs!$C$480,Inputs!$C$482,IF($B$7=Inputs!$C$482,Inputs!$C$480,Inputs!$C$481))+1)&lt;=AQ8,AQ7&lt;=$B$20,Inputs!$C$238),TRUE,FALSE)</f>
        <v>0</v>
      </c>
      <c r="AR20" s="1002" t="b">
        <f>IF(AND(AR19,(($B$22*Inputs!$C$482)/IF($B$7=Inputs!$C$480,Inputs!$C$482,IF($B$7=Inputs!$C$482,Inputs!$C$480,Inputs!$C$481))+1)&lt;=AR8,AR7&lt;=$B$20,Inputs!$C$238),TRUE,FALSE)</f>
        <v>0</v>
      </c>
      <c r="AS20" s="1002" t="b">
        <f>IF(AND(AS19,(($B$22*Inputs!$C$482)/IF($B$7=Inputs!$C$480,Inputs!$C$482,IF($B$7=Inputs!$C$482,Inputs!$C$480,Inputs!$C$481))+1)&lt;=AS8,AS7&lt;=$B$20,Inputs!$C$238),TRUE,FALSE)</f>
        <v>0</v>
      </c>
      <c r="AT20" s="1002" t="b">
        <f>IF(AND(AT19,(($B$22*Inputs!$C$482)/IF($B$7=Inputs!$C$480,Inputs!$C$482,IF($B$7=Inputs!$C$482,Inputs!$C$480,Inputs!$C$481))+1)&lt;=AT8,AT7&lt;=$B$20,Inputs!$C$238),TRUE,FALSE)</f>
        <v>0</v>
      </c>
      <c r="AU20" s="1002" t="b">
        <f>IF(AND(AU19,(($B$22*Inputs!$C$482)/IF($B$7=Inputs!$C$480,Inputs!$C$482,IF($B$7=Inputs!$C$482,Inputs!$C$480,Inputs!$C$481))+1)&lt;=AU8,AU7&lt;=$B$20,Inputs!$C$238),TRUE,FALSE)</f>
        <v>0</v>
      </c>
      <c r="AV20" s="1002" t="b">
        <f>IF(AND(AV19,(($B$22*Inputs!$C$482)/IF($B$7=Inputs!$C$480,Inputs!$C$482,IF($B$7=Inputs!$C$482,Inputs!$C$480,Inputs!$C$481))+1)&lt;=AV8,AV7&lt;=$B$20,Inputs!$C$238),TRUE,FALSE)</f>
        <v>0</v>
      </c>
      <c r="AW20" s="1002" t="b">
        <f>IF(AND(AW19,(($B$22*Inputs!$C$482)/IF($B$7=Inputs!$C$480,Inputs!$C$482,IF($B$7=Inputs!$C$482,Inputs!$C$480,Inputs!$C$481))+1)&lt;=AW8,AW7&lt;=$B$20,Inputs!$C$238),TRUE,FALSE)</f>
        <v>0</v>
      </c>
      <c r="AX20" s="1002" t="b">
        <f>IF(AND(AX19,(($B$22*Inputs!$C$482)/IF($B$7=Inputs!$C$480,Inputs!$C$482,IF($B$7=Inputs!$C$482,Inputs!$C$480,Inputs!$C$481))+1)&lt;=AX8,AX7&lt;=$B$20,Inputs!$C$238),TRUE,FALSE)</f>
        <v>0</v>
      </c>
      <c r="AY20" s="1002" t="b">
        <f>IF(AND(AY19,(($B$22*Inputs!$C$482)/IF($B$7=Inputs!$C$480,Inputs!$C$482,IF($B$7=Inputs!$C$482,Inputs!$C$480,Inputs!$C$481))+1)&lt;=AY8,AY7&lt;=$B$20,Inputs!$C$238),TRUE,FALSE)</f>
        <v>0</v>
      </c>
      <c r="AZ20" s="1002" t="b">
        <f>IF(AND(AZ19,(($B$22*Inputs!$C$482)/IF($B$7=Inputs!$C$480,Inputs!$C$482,IF($B$7=Inputs!$C$482,Inputs!$C$480,Inputs!$C$481))+1)&lt;=AZ8,AZ7&lt;=$B$20,Inputs!$C$238),TRUE,FALSE)</f>
        <v>0</v>
      </c>
      <c r="BA20" s="1002" t="b">
        <f>IF(AND(BA19,(($B$22*Inputs!$C$482)/IF($B$7=Inputs!$C$480,Inputs!$C$482,IF($B$7=Inputs!$C$482,Inputs!$C$480,Inputs!$C$481))+1)&lt;=BA8,BA7&lt;=$B$20,Inputs!$C$238),TRUE,FALSE)</f>
        <v>0</v>
      </c>
      <c r="BB20" s="1002" t="b">
        <f>IF(AND(BB19,(($B$22*Inputs!$C$482)/IF($B$7=Inputs!$C$480,Inputs!$C$482,IF($B$7=Inputs!$C$482,Inputs!$C$480,Inputs!$C$481))+1)&lt;=BB8,BB7&lt;=$B$20,Inputs!$C$238),TRUE,FALSE)</f>
        <v>0</v>
      </c>
      <c r="BC20" s="1002" t="b">
        <f>IF(AND(BC19,(($B$22*Inputs!$C$482)/IF($B$7=Inputs!$C$480,Inputs!$C$482,IF($B$7=Inputs!$C$482,Inputs!$C$480,Inputs!$C$481))+1)&lt;=BC8,BC7&lt;=$B$20,Inputs!$C$238),TRUE,FALSE)</f>
        <v>0</v>
      </c>
      <c r="BD20" s="1002" t="b">
        <f>IF(AND(BD19,(($B$22*Inputs!$C$482)/IF($B$7=Inputs!$C$480,Inputs!$C$482,IF($B$7=Inputs!$C$482,Inputs!$C$480,Inputs!$C$481))+1)&lt;=BD8,BD7&lt;=$B$20,Inputs!$C$238),TRUE,FALSE)</f>
        <v>0</v>
      </c>
      <c r="BE20" s="1002" t="b">
        <f>IF(AND(BE19,(($B$22*Inputs!$C$482)/IF($B$7=Inputs!$C$480,Inputs!$C$482,IF($B$7=Inputs!$C$482,Inputs!$C$480,Inputs!$C$481))+1)&lt;=BE8,BE7&lt;=$B$20,Inputs!$C$238),TRUE,FALSE)</f>
        <v>0</v>
      </c>
      <c r="BF20" s="1002" t="b">
        <f>IF(AND(BF19,(($B$22*Inputs!$C$482)/IF($B$7=Inputs!$C$480,Inputs!$C$482,IF($B$7=Inputs!$C$482,Inputs!$C$480,Inputs!$C$481))+1)&lt;=BF8,BF7&lt;=$B$20,Inputs!$C$238),TRUE,FALSE)</f>
        <v>0</v>
      </c>
      <c r="BG20" s="1002" t="b">
        <f>IF(AND(BG19,(($B$22*Inputs!$C$482)/IF($B$7=Inputs!$C$480,Inputs!$C$482,IF($B$7=Inputs!$C$482,Inputs!$C$480,Inputs!$C$481))+1)&lt;=BG8,BG7&lt;=$B$20,Inputs!$C$238),TRUE,FALSE)</f>
        <v>0</v>
      </c>
      <c r="BH20" s="1002" t="b">
        <f>IF(AND(BH19,(($B$22*Inputs!$C$482)/IF($B$7=Inputs!$C$480,Inputs!$C$482,IF($B$7=Inputs!$C$482,Inputs!$C$480,Inputs!$C$481))+1)&lt;=BH8,BH7&lt;=$B$20,Inputs!$C$238),TRUE,FALSE)</f>
        <v>0</v>
      </c>
      <c r="BI20" s="1002" t="b">
        <f>IF(AND(BI19,(($B$22*Inputs!$C$482)/IF($B$7=Inputs!$C$480,Inputs!$C$482,IF($B$7=Inputs!$C$482,Inputs!$C$480,Inputs!$C$481))+1)&lt;=BI8,BI7&lt;=$B$20,Inputs!$C$238),TRUE,FALSE)</f>
        <v>0</v>
      </c>
      <c r="BJ20" s="1002" t="b">
        <f>IF(AND(BJ19,(($B$22*Inputs!$C$482)/IF($B$7=Inputs!$C$480,Inputs!$C$482,IF($B$7=Inputs!$C$482,Inputs!$C$480,Inputs!$C$481))+1)&lt;=BJ8,BJ7&lt;=$B$20,Inputs!$C$238),TRUE,FALSE)</f>
        <v>0</v>
      </c>
      <c r="BK20" s="1002" t="b">
        <f>IF(AND(BK19,(($B$22*Inputs!$C$482)/IF($B$7=Inputs!$C$480,Inputs!$C$482,IF($B$7=Inputs!$C$482,Inputs!$C$480,Inputs!$C$481))+1)&lt;=BK8,BK7&lt;=$B$20,Inputs!$C$238),TRUE,FALSE)</f>
        <v>0</v>
      </c>
      <c r="BL20" s="1002" t="b">
        <f>IF(AND(BL19,(($B$22*Inputs!$C$482)/IF($B$7=Inputs!$C$480,Inputs!$C$482,IF($B$7=Inputs!$C$482,Inputs!$C$480,Inputs!$C$481))+1)&lt;=BL8,BL7&lt;=$B$20,Inputs!$C$238),TRUE,FALSE)</f>
        <v>0</v>
      </c>
      <c r="BM20" s="1002" t="b">
        <f>IF(AND(BM19,(($B$22*Inputs!$C$482)/IF($B$7=Inputs!$C$480,Inputs!$C$482,IF($B$7=Inputs!$C$482,Inputs!$C$480,Inputs!$C$481))+1)&lt;=BM8,BM7&lt;=$B$20,Inputs!$C$238),TRUE,FALSE)</f>
        <v>0</v>
      </c>
      <c r="BN20" s="1002" t="b">
        <f>IF(AND(BN19,(($B$22*Inputs!$C$482)/IF($B$7=Inputs!$C$480,Inputs!$C$482,IF($B$7=Inputs!$C$482,Inputs!$C$480,Inputs!$C$481))+1)&lt;=BN8,BN7&lt;=$B$20,Inputs!$C$238),TRUE,FALSE)</f>
        <v>0</v>
      </c>
      <c r="BO20" s="1002" t="b">
        <f>IF(AND(BO19,(($B$22*Inputs!$C$482)/IF($B$7=Inputs!$C$480,Inputs!$C$482,IF($B$7=Inputs!$C$482,Inputs!$C$480,Inputs!$C$481))+1)&lt;=BO8,BO7&lt;=$B$20,Inputs!$C$238),TRUE,FALSE)</f>
        <v>0</v>
      </c>
      <c r="BP20" s="1002" t="b">
        <f>IF(AND(BP19,(($B$22*Inputs!$C$482)/IF($B$7=Inputs!$C$480,Inputs!$C$482,IF($B$7=Inputs!$C$482,Inputs!$C$480,Inputs!$C$481))+1)&lt;=BP8,BP7&lt;=$B$20,Inputs!$C$238),TRUE,FALSE)</f>
        <v>0</v>
      </c>
      <c r="BQ20" s="1002" t="b">
        <f>IF(AND(BQ19,(($B$22*Inputs!$C$482)/IF($B$7=Inputs!$C$480,Inputs!$C$482,IF($B$7=Inputs!$C$482,Inputs!$C$480,Inputs!$C$481))+1)&lt;=BQ8,BQ7&lt;=$B$20,Inputs!$C$238),TRUE,FALSE)</f>
        <v>0</v>
      </c>
      <c r="BR20" s="1002" t="b">
        <f>IF(AND(BR19,(($B$22*Inputs!$C$482)/IF($B$7=Inputs!$C$480,Inputs!$C$482,IF($B$7=Inputs!$C$482,Inputs!$C$480,Inputs!$C$481))+1)&lt;=BR8,BR7&lt;=$B$20,Inputs!$C$238),TRUE,FALSE)</f>
        <v>0</v>
      </c>
      <c r="BS20" s="1002" t="b">
        <f>IF(AND(BS19,(($B$22*Inputs!$C$482)/IF($B$7=Inputs!$C$480,Inputs!$C$482,IF($B$7=Inputs!$C$482,Inputs!$C$480,Inputs!$C$481))+1)&lt;=BS8,BS7&lt;=$B$20,Inputs!$C$238),TRUE,FALSE)</f>
        <v>0</v>
      </c>
      <c r="BT20" s="1002" t="b">
        <f>IF(AND(BT19,(($B$22*Inputs!$C$482)/IF($B$7=Inputs!$C$480,Inputs!$C$482,IF($B$7=Inputs!$C$482,Inputs!$C$480,Inputs!$C$481))+1)&lt;=BT8,BT7&lt;=$B$20,Inputs!$C$238),TRUE,FALSE)</f>
        <v>0</v>
      </c>
      <c r="BU20" s="1002" t="b">
        <f>IF(AND(BU19,(($B$22*Inputs!$C$482)/IF($B$7=Inputs!$C$480,Inputs!$C$482,IF($B$7=Inputs!$C$482,Inputs!$C$480,Inputs!$C$481))+1)&lt;=BU8,BU7&lt;=$B$20,Inputs!$C$238),TRUE,FALSE)</f>
        <v>0</v>
      </c>
      <c r="BV20" s="1002" t="b">
        <f>IF(AND(BV19,(($B$22*Inputs!$C$482)/IF($B$7=Inputs!$C$480,Inputs!$C$482,IF($B$7=Inputs!$C$482,Inputs!$C$480,Inputs!$C$481))+1)&lt;=BV8,BV7&lt;=$B$20,Inputs!$C$238),TRUE,FALSE)</f>
        <v>0</v>
      </c>
      <c r="BW20" s="1002" t="b">
        <f>IF(AND(BW19,(($B$22*Inputs!$C$482)/IF($B$7=Inputs!$C$480,Inputs!$C$482,IF($B$7=Inputs!$C$482,Inputs!$C$480,Inputs!$C$481))+1)&lt;=BW8,BW7&lt;=$B$20,Inputs!$C$238),TRUE,FALSE)</f>
        <v>0</v>
      </c>
      <c r="BX20" s="1002" t="b">
        <f>IF(AND(BX19,(($B$22*Inputs!$C$482)/IF($B$7=Inputs!$C$480,Inputs!$C$482,IF($B$7=Inputs!$C$482,Inputs!$C$480,Inputs!$C$481))+1)&lt;=BX8,BX7&lt;=$B$20,Inputs!$C$238),TRUE,FALSE)</f>
        <v>0</v>
      </c>
      <c r="BY20" s="1002" t="b">
        <f>IF(AND(BY19,(($B$22*Inputs!$C$482)/IF($B$7=Inputs!$C$480,Inputs!$C$482,IF($B$7=Inputs!$C$482,Inputs!$C$480,Inputs!$C$481))+1)&lt;=BY8,BY7&lt;=$B$20,Inputs!$C$238),TRUE,FALSE)</f>
        <v>0</v>
      </c>
      <c r="BZ20" s="1002" t="b">
        <f>IF(AND(BZ19,(($B$22*Inputs!$C$482)/IF($B$7=Inputs!$C$480,Inputs!$C$482,IF($B$7=Inputs!$C$482,Inputs!$C$480,Inputs!$C$481))+1)&lt;=BZ8,BZ7&lt;=$B$20,Inputs!$C$238),TRUE,FALSE)</f>
        <v>0</v>
      </c>
      <c r="CA20" s="1002" t="b">
        <f>IF(AND(CA19,(($B$22*Inputs!$C$482)/IF($B$7=Inputs!$C$480,Inputs!$C$482,IF($B$7=Inputs!$C$482,Inputs!$C$480,Inputs!$C$481))+1)&lt;=CA8,CA7&lt;=$B$20,Inputs!$C$238),TRUE,FALSE)</f>
        <v>0</v>
      </c>
      <c r="CB20" s="1002" t="b">
        <f>IF(AND(CB19,(($B$22*Inputs!$C$482)/IF($B$7=Inputs!$C$480,Inputs!$C$482,IF($B$7=Inputs!$C$482,Inputs!$C$480,Inputs!$C$481))+1)&lt;=CB8,CB7&lt;=$B$20,Inputs!$C$238),TRUE,FALSE)</f>
        <v>0</v>
      </c>
      <c r="CC20" s="1002" t="b">
        <f>IF(AND(CC19,(($B$22*Inputs!$C$482)/IF($B$7=Inputs!$C$480,Inputs!$C$482,IF($B$7=Inputs!$C$482,Inputs!$C$480,Inputs!$C$481))+1)&lt;=CC8,CC7&lt;=$B$20,Inputs!$C$238),TRUE,FALSE)</f>
        <v>0</v>
      </c>
      <c r="CD20" s="1002" t="b">
        <f>IF(AND(CD19,(($B$22*Inputs!$C$482)/IF($B$7=Inputs!$C$480,Inputs!$C$482,IF($B$7=Inputs!$C$482,Inputs!$C$480,Inputs!$C$481))+1)&lt;=CD8,CD7&lt;=$B$20,Inputs!$C$238),TRUE,FALSE)</f>
        <v>0</v>
      </c>
      <c r="CE20" s="1002" t="b">
        <f>IF(AND(CE19,(($B$22*Inputs!$C$482)/IF($B$7=Inputs!$C$480,Inputs!$C$482,IF($B$7=Inputs!$C$482,Inputs!$C$480,Inputs!$C$481))+1)&lt;=CE8,CE7&lt;=$B$20,Inputs!$C$238),TRUE,FALSE)</f>
        <v>0</v>
      </c>
      <c r="CF20" s="1002" t="b">
        <f>IF(AND(CF19,(($B$22*Inputs!$C$482)/IF($B$7=Inputs!$C$480,Inputs!$C$482,IF($B$7=Inputs!$C$482,Inputs!$C$480,Inputs!$C$481))+1)&lt;=CF8,CF7&lt;=$B$20,Inputs!$C$238),TRUE,FALSE)</f>
        <v>0</v>
      </c>
      <c r="CG20" s="1002" t="b">
        <f>IF(AND(CG19,(($B$22*Inputs!$C$482)/IF($B$7=Inputs!$C$480,Inputs!$C$482,IF($B$7=Inputs!$C$482,Inputs!$C$480,Inputs!$C$481))+1)&lt;=CG8,CG7&lt;=$B$20,Inputs!$C$238),TRUE,FALSE)</f>
        <v>0</v>
      </c>
      <c r="CH20" s="1002" t="b">
        <f>IF(AND(CH19,(($B$22*Inputs!$C$482)/IF($B$7=Inputs!$C$480,Inputs!$C$482,IF($B$7=Inputs!$C$482,Inputs!$C$480,Inputs!$C$481))+1)&lt;=CH8,CH7&lt;=$B$20,Inputs!$C$238),TRUE,FALSE)</f>
        <v>0</v>
      </c>
      <c r="CI20" s="1002" t="b">
        <f>IF(AND(CI19,(($B$22*Inputs!$C$482)/IF($B$7=Inputs!$C$480,Inputs!$C$482,IF($B$7=Inputs!$C$482,Inputs!$C$480,Inputs!$C$481))+1)&lt;=CI8,CI7&lt;=$B$20,Inputs!$C$238),TRUE,FALSE)</f>
        <v>0</v>
      </c>
      <c r="CJ20" s="1002" t="b">
        <f>IF(AND(CJ19,(($B$22*Inputs!$C$482)/IF($B$7=Inputs!$C$480,Inputs!$C$482,IF($B$7=Inputs!$C$482,Inputs!$C$480,Inputs!$C$481))+1)&lt;=CJ8,CJ7&lt;=$B$20,Inputs!$C$238),TRUE,FALSE)</f>
        <v>0</v>
      </c>
      <c r="CK20" s="1002" t="b">
        <f>IF(AND(CK19,(($B$22*Inputs!$C$482)/IF($B$7=Inputs!$C$480,Inputs!$C$482,IF($B$7=Inputs!$C$482,Inputs!$C$480,Inputs!$C$481))+1)&lt;=CK8,CK7&lt;=$B$20,Inputs!$C$238),TRUE,FALSE)</f>
        <v>0</v>
      </c>
      <c r="CL20" s="1002" t="b">
        <f>IF(AND(CL19,(($B$22*Inputs!$C$482)/IF($B$7=Inputs!$C$480,Inputs!$C$482,IF($B$7=Inputs!$C$482,Inputs!$C$480,Inputs!$C$481))+1)&lt;=CL8,CL7&lt;=$B$20,Inputs!$C$238),TRUE,FALSE)</f>
        <v>0</v>
      </c>
      <c r="CM20" s="1002" t="b">
        <f>IF(AND(CM19,(($B$22*Inputs!$C$482)/IF($B$7=Inputs!$C$480,Inputs!$C$482,IF($B$7=Inputs!$C$482,Inputs!$C$480,Inputs!$C$481))+1)&lt;=CM8,CM7&lt;=$B$20,Inputs!$C$238),TRUE,FALSE)</f>
        <v>0</v>
      </c>
      <c r="CN20" s="1002" t="b">
        <f>IF(AND(CN19,(($B$22*Inputs!$C$482)/IF($B$7=Inputs!$C$480,Inputs!$C$482,IF($B$7=Inputs!$C$482,Inputs!$C$480,Inputs!$C$481))+1)&lt;=CN8,CN7&lt;=$B$20,Inputs!$C$238),TRUE,FALSE)</f>
        <v>0</v>
      </c>
      <c r="CO20" s="1002" t="b">
        <f>IF(AND(CO19,(($B$22*Inputs!$C$482)/IF($B$7=Inputs!$C$480,Inputs!$C$482,IF($B$7=Inputs!$C$482,Inputs!$C$480,Inputs!$C$481))+1)&lt;=CO8,CO7&lt;=$B$20,Inputs!$C$238),TRUE,FALSE)</f>
        <v>0</v>
      </c>
      <c r="CP20" s="1002" t="b">
        <f>IF(AND(CP19,(($B$22*Inputs!$C$482)/IF($B$7=Inputs!$C$480,Inputs!$C$482,IF($B$7=Inputs!$C$482,Inputs!$C$480,Inputs!$C$481))+1)&lt;=CP8,CP7&lt;=$B$20,Inputs!$C$238),TRUE,FALSE)</f>
        <v>0</v>
      </c>
      <c r="CQ20" s="1002" t="b">
        <f>IF(AND(CQ19,(($B$22*Inputs!$C$482)/IF($B$7=Inputs!$C$480,Inputs!$C$482,IF($B$7=Inputs!$C$482,Inputs!$C$480,Inputs!$C$481))+1)&lt;=CQ8,CQ7&lt;=$B$20,Inputs!$C$238),TRUE,FALSE)</f>
        <v>0</v>
      </c>
      <c r="CR20" s="1002" t="b">
        <f>IF(AND(CR19,(($B$22*Inputs!$C$482)/IF($B$7=Inputs!$C$480,Inputs!$C$482,IF($B$7=Inputs!$C$482,Inputs!$C$480,Inputs!$C$481))+1)&lt;=CR8,CR7&lt;=$B$20,Inputs!$C$238),TRUE,FALSE)</f>
        <v>0</v>
      </c>
      <c r="CS20" s="1002" t="b">
        <f>IF(AND(CS19,(($B$22*Inputs!$C$482)/IF($B$7=Inputs!$C$480,Inputs!$C$482,IF($B$7=Inputs!$C$482,Inputs!$C$480,Inputs!$C$481))+1)&lt;=CS8,CS7&lt;=$B$20,Inputs!$C$238),TRUE,FALSE)</f>
        <v>0</v>
      </c>
      <c r="CT20" s="1002" t="b">
        <f>IF(AND(CT19,(($B$22*Inputs!$C$482)/IF($B$7=Inputs!$C$480,Inputs!$C$482,IF($B$7=Inputs!$C$482,Inputs!$C$480,Inputs!$C$481))+1)&lt;=CT8,CT7&lt;=$B$20,Inputs!$C$238),TRUE,FALSE)</f>
        <v>0</v>
      </c>
      <c r="CU20" s="1002" t="b">
        <f>IF(AND(CU19,(($B$22*Inputs!$C$482)/IF($B$7=Inputs!$C$480,Inputs!$C$482,IF($B$7=Inputs!$C$482,Inputs!$C$480,Inputs!$C$481))+1)&lt;=CU8,CU7&lt;=$B$20,Inputs!$C$238),TRUE,FALSE)</f>
        <v>0</v>
      </c>
      <c r="CV20" s="1002" t="b">
        <f>IF(AND(CV19,(($B$22*Inputs!$C$482)/IF($B$7=Inputs!$C$480,Inputs!$C$482,IF($B$7=Inputs!$C$482,Inputs!$C$480,Inputs!$C$481))+1)&lt;=CV8,CV7&lt;=$B$20,Inputs!$C$238),TRUE,FALSE)</f>
        <v>0</v>
      </c>
      <c r="CW20" s="1002" t="b">
        <f>IF(AND(CW19,(($B$22*Inputs!$C$482)/IF($B$7=Inputs!$C$480,Inputs!$C$482,IF($B$7=Inputs!$C$482,Inputs!$C$480,Inputs!$C$481))+1)&lt;=CW8,CW7&lt;=$B$20,Inputs!$C$238),TRUE,FALSE)</f>
        <v>0</v>
      </c>
      <c r="CX20" s="1002" t="b">
        <f>IF(AND(CX19,(($B$22*Inputs!$C$482)/IF($B$7=Inputs!$C$480,Inputs!$C$482,IF($B$7=Inputs!$C$482,Inputs!$C$480,Inputs!$C$481))+1)&lt;=CX8,CX7&lt;=$B$20,Inputs!$C$238),TRUE,FALSE)</f>
        <v>0</v>
      </c>
      <c r="CY20" s="1002" t="b">
        <f>IF(AND(CY19,(($B$22*Inputs!$C$482)/IF($B$7=Inputs!$C$480,Inputs!$C$482,IF($B$7=Inputs!$C$482,Inputs!$C$480,Inputs!$C$481))+1)&lt;=CY8,CY7&lt;=$B$20,Inputs!$C$238),TRUE,FALSE)</f>
        <v>0</v>
      </c>
      <c r="CZ20" s="1002" t="b">
        <f>IF(AND(CZ19,(($B$22*Inputs!$C$482)/IF($B$7=Inputs!$C$480,Inputs!$C$482,IF($B$7=Inputs!$C$482,Inputs!$C$480,Inputs!$C$481))+1)&lt;=CZ8,CZ7&lt;=$B$20,Inputs!$C$238),TRUE,FALSE)</f>
        <v>0</v>
      </c>
      <c r="DA20" s="1002" t="b">
        <f>IF(AND(DA19,(($B$22*Inputs!$C$482)/IF($B$7=Inputs!$C$480,Inputs!$C$482,IF($B$7=Inputs!$C$482,Inputs!$C$480,Inputs!$C$481))+1)&lt;=DA8,DA7&lt;=$B$20,Inputs!$C$238),TRUE,FALSE)</f>
        <v>0</v>
      </c>
      <c r="DB20" s="1002" t="b">
        <f>IF(AND(DB19,(($B$22*Inputs!$C$482)/IF($B$7=Inputs!$C$480,Inputs!$C$482,IF($B$7=Inputs!$C$482,Inputs!$C$480,Inputs!$C$481))+1)&lt;=DB8,DB7&lt;=$B$20,Inputs!$C$238),TRUE,FALSE)</f>
        <v>0</v>
      </c>
      <c r="DC20" s="1002" t="b">
        <f>IF(AND(DC19,(($B$22*Inputs!$C$482)/IF($B$7=Inputs!$C$480,Inputs!$C$482,IF($B$7=Inputs!$C$482,Inputs!$C$480,Inputs!$C$481))+1)&lt;=DC8,DC7&lt;=$B$20,Inputs!$C$238),TRUE,FALSE)</f>
        <v>0</v>
      </c>
      <c r="DD20" s="1002" t="b">
        <f>IF(AND(DD19,(($B$22*Inputs!$C$482)/IF($B$7=Inputs!$C$480,Inputs!$C$482,IF($B$7=Inputs!$C$482,Inputs!$C$480,Inputs!$C$481))+1)&lt;=DD8,DD7&lt;=$B$20,Inputs!$C$238),TRUE,FALSE)</f>
        <v>0</v>
      </c>
      <c r="DE20" s="1002" t="b">
        <f>IF(AND(DE19,(($B$22*Inputs!$C$482)/IF($B$7=Inputs!$C$480,Inputs!$C$482,IF($B$7=Inputs!$C$482,Inputs!$C$480,Inputs!$C$481))+1)&lt;=DE8,DE7&lt;=$B$20,Inputs!$C$238),TRUE,FALSE)</f>
        <v>0</v>
      </c>
      <c r="DF20" s="1002" t="b">
        <f>IF(AND(DF19,(($B$22*Inputs!$C$482)/IF($B$7=Inputs!$C$480,Inputs!$C$482,IF($B$7=Inputs!$C$482,Inputs!$C$480,Inputs!$C$481))+1)&lt;=DF8,DF7&lt;=$B$20,Inputs!$C$238),TRUE,FALSE)</f>
        <v>0</v>
      </c>
      <c r="DG20" s="1002" t="b">
        <f>IF(AND(DG19,(($B$22*Inputs!$C$482)/IF($B$7=Inputs!$C$480,Inputs!$C$482,IF($B$7=Inputs!$C$482,Inputs!$C$480,Inputs!$C$481))+1)&lt;=DG8,DG7&lt;=$B$20,Inputs!$C$238),TRUE,FALSE)</f>
        <v>0</v>
      </c>
      <c r="DH20" s="1002" t="b">
        <f>IF(AND(DH19,(($B$22*Inputs!$C$482)/IF($B$7=Inputs!$C$480,Inputs!$C$482,IF($B$7=Inputs!$C$482,Inputs!$C$480,Inputs!$C$481))+1)&lt;=DH8,DH7&lt;=$B$20,Inputs!$C$238),TRUE,FALSE)</f>
        <v>0</v>
      </c>
      <c r="DI20" s="1002" t="b">
        <f>IF(AND(DI19,(($B$22*Inputs!$C$482)/IF($B$7=Inputs!$C$480,Inputs!$C$482,IF($B$7=Inputs!$C$482,Inputs!$C$480,Inputs!$C$481))+1)&lt;=DI8,DI7&lt;=$B$20,Inputs!$C$238),TRUE,FALSE)</f>
        <v>0</v>
      </c>
      <c r="DJ20" s="1002" t="b">
        <f>IF(AND(DJ19,(($B$22*Inputs!$C$482)/IF($B$7=Inputs!$C$480,Inputs!$C$482,IF($B$7=Inputs!$C$482,Inputs!$C$480,Inputs!$C$481))+1)&lt;=DJ8,DJ7&lt;=$B$20,Inputs!$C$238),TRUE,FALSE)</f>
        <v>0</v>
      </c>
      <c r="DK20" s="1002" t="b">
        <f>IF(AND(DK19,(($B$22*Inputs!$C$482)/IF($B$7=Inputs!$C$480,Inputs!$C$482,IF($B$7=Inputs!$C$482,Inputs!$C$480,Inputs!$C$481))+1)&lt;=DK8,DK7&lt;=$B$20,Inputs!$C$238),TRUE,FALSE)</f>
        <v>0</v>
      </c>
      <c r="DL20" s="1002" t="b">
        <f>IF(AND(DL19,(($B$22*Inputs!$C$482)/IF($B$7=Inputs!$C$480,Inputs!$C$482,IF($B$7=Inputs!$C$482,Inputs!$C$480,Inputs!$C$481))+1)&lt;=DL8,DL7&lt;=$B$20,Inputs!$C$238),TRUE,FALSE)</f>
        <v>0</v>
      </c>
      <c r="DM20" s="1002" t="b">
        <f>IF(AND(DM19,(($B$22*Inputs!$C$482)/IF($B$7=Inputs!$C$480,Inputs!$C$482,IF($B$7=Inputs!$C$482,Inputs!$C$480,Inputs!$C$481))+1)&lt;=DM8,DM7&lt;=$B$20,Inputs!$C$238),TRUE,FALSE)</f>
        <v>0</v>
      </c>
      <c r="DN20" s="1002" t="b">
        <f>IF(AND(DN19,(($B$22*Inputs!$C$482)/IF($B$7=Inputs!$C$480,Inputs!$C$482,IF($B$7=Inputs!$C$482,Inputs!$C$480,Inputs!$C$481))+1)&lt;=DN8,DN7&lt;=$B$20,Inputs!$C$238),TRUE,FALSE)</f>
        <v>0</v>
      </c>
      <c r="DO20" s="1002" t="b">
        <f>IF(AND(DO19,(($B$22*Inputs!$C$482)/IF($B$7=Inputs!$C$480,Inputs!$C$482,IF($B$7=Inputs!$C$482,Inputs!$C$480,Inputs!$C$481))+1)&lt;=DO8,DO7&lt;=$B$20,Inputs!$C$238),TRUE,FALSE)</f>
        <v>0</v>
      </c>
      <c r="DP20" s="1002" t="b">
        <f>IF(AND(DP19,(($B$22*Inputs!$C$482)/IF($B$7=Inputs!$C$480,Inputs!$C$482,IF($B$7=Inputs!$C$482,Inputs!$C$480,Inputs!$C$481))+1)&lt;=DP8,DP7&lt;=$B$20,Inputs!$C$238),TRUE,FALSE)</f>
        <v>0</v>
      </c>
      <c r="DQ20" s="1002" t="b">
        <f>IF(AND(DQ19,(($B$22*Inputs!$C$482)/IF($B$7=Inputs!$C$480,Inputs!$C$482,IF($B$7=Inputs!$C$482,Inputs!$C$480,Inputs!$C$481))+1)&lt;=DQ8,DQ7&lt;=$B$20,Inputs!$C$238),TRUE,FALSE)</f>
        <v>0</v>
      </c>
      <c r="DR20" s="1002" t="b">
        <f>IF(AND(DR19,(($B$22*Inputs!$C$482)/IF($B$7=Inputs!$C$480,Inputs!$C$482,IF($B$7=Inputs!$C$482,Inputs!$C$480,Inputs!$C$481))+1)&lt;=DR8,DR7&lt;=$B$20,Inputs!$C$238),TRUE,FALSE)</f>
        <v>0</v>
      </c>
      <c r="DS20" s="1002" t="b">
        <f>IF(AND(DS19,(($B$22*Inputs!$C$482)/IF($B$7=Inputs!$C$480,Inputs!$C$482,IF($B$7=Inputs!$C$482,Inputs!$C$480,Inputs!$C$481))+1)&lt;=DS8,DS7&lt;=$B$20,Inputs!$C$238),TRUE,FALSE)</f>
        <v>0</v>
      </c>
      <c r="DT20" s="1002" t="b">
        <f>IF(AND(DT19,(($B$22*Inputs!$C$482)/IF($B$7=Inputs!$C$480,Inputs!$C$482,IF($B$7=Inputs!$C$482,Inputs!$C$480,Inputs!$C$481))+1)&lt;=DT8,DT7&lt;=$B$20,Inputs!$C$238),TRUE,FALSE)</f>
        <v>0</v>
      </c>
      <c r="DU20" s="1002" t="b">
        <f>IF(AND(DU19,(($B$22*Inputs!$C$482)/IF($B$7=Inputs!$C$480,Inputs!$C$482,IF($B$7=Inputs!$C$482,Inputs!$C$480,Inputs!$C$481))+1)&lt;=DU8,DU7&lt;=$B$20,Inputs!$C$238),TRUE,FALSE)</f>
        <v>0</v>
      </c>
      <c r="DV20" s="1002" t="b">
        <f>IF(AND(DV19,(($B$22*Inputs!$C$482)/IF($B$7=Inputs!$C$480,Inputs!$C$482,IF($B$7=Inputs!$C$482,Inputs!$C$480,Inputs!$C$481))+1)&lt;=DV8,DV7&lt;=$B$20,Inputs!$C$238),TRUE,FALSE)</f>
        <v>0</v>
      </c>
      <c r="DW20" s="1002" t="b">
        <f>IF(AND(DW19,(($B$22*Inputs!$C$482)/IF($B$7=Inputs!$C$480,Inputs!$C$482,IF($B$7=Inputs!$C$482,Inputs!$C$480,Inputs!$C$481))+1)&lt;=DW8,DW7&lt;=$B$20,Inputs!$C$238),TRUE,FALSE)</f>
        <v>0</v>
      </c>
      <c r="DX20" s="579"/>
    </row>
    <row r="21" spans="1:139">
      <c r="A21" s="304" t="s">
        <v>1343</v>
      </c>
      <c r="B21" s="927">
        <f>Inputs!$D$231</f>
        <v>14</v>
      </c>
      <c r="C21" s="927"/>
      <c r="D21" s="637"/>
      <c r="E21" s="637"/>
      <c r="F21" s="637"/>
      <c r="G21" s="1002" t="b">
        <f t="shared" ref="G21:AL21" si="34">IF(AND(G8&gt;0,G8&lt;=$B$21*$B$7),TRUE,FALSE)</f>
        <v>0</v>
      </c>
      <c r="H21" s="1002" t="b">
        <f t="shared" si="34"/>
        <v>1</v>
      </c>
      <c r="I21" s="1002" t="b">
        <f t="shared" si="34"/>
        <v>1</v>
      </c>
      <c r="J21" s="1002" t="b">
        <f t="shared" si="34"/>
        <v>1</v>
      </c>
      <c r="K21" s="1002" t="b">
        <f t="shared" si="34"/>
        <v>1</v>
      </c>
      <c r="L21" s="1002" t="b">
        <f t="shared" si="34"/>
        <v>1</v>
      </c>
      <c r="M21" s="1002" t="b">
        <f t="shared" si="34"/>
        <v>1</v>
      </c>
      <c r="N21" s="1002" t="b">
        <f t="shared" si="34"/>
        <v>1</v>
      </c>
      <c r="O21" s="1002" t="b">
        <f t="shared" si="34"/>
        <v>1</v>
      </c>
      <c r="P21" s="1002" t="b">
        <f t="shared" si="34"/>
        <v>1</v>
      </c>
      <c r="Q21" s="1002" t="b">
        <f t="shared" si="34"/>
        <v>1</v>
      </c>
      <c r="R21" s="1002" t="b">
        <f t="shared" si="34"/>
        <v>1</v>
      </c>
      <c r="S21" s="1002" t="b">
        <f t="shared" si="34"/>
        <v>1</v>
      </c>
      <c r="T21" s="1002" t="b">
        <f t="shared" si="34"/>
        <v>1</v>
      </c>
      <c r="U21" s="1002" t="b">
        <f t="shared" si="34"/>
        <v>1</v>
      </c>
      <c r="V21" s="1002" t="b">
        <f t="shared" si="34"/>
        <v>1</v>
      </c>
      <c r="W21" s="1002" t="b">
        <f t="shared" si="34"/>
        <v>1</v>
      </c>
      <c r="X21" s="1002" t="b">
        <f t="shared" si="34"/>
        <v>1</v>
      </c>
      <c r="Y21" s="1002" t="b">
        <f t="shared" si="34"/>
        <v>1</v>
      </c>
      <c r="Z21" s="1002" t="b">
        <f t="shared" si="34"/>
        <v>1</v>
      </c>
      <c r="AA21" s="1002" t="b">
        <f t="shared" si="34"/>
        <v>1</v>
      </c>
      <c r="AB21" s="1002" t="b">
        <f t="shared" si="34"/>
        <v>1</v>
      </c>
      <c r="AC21" s="1002" t="b">
        <f t="shared" si="34"/>
        <v>1</v>
      </c>
      <c r="AD21" s="1002" t="b">
        <f t="shared" si="34"/>
        <v>1</v>
      </c>
      <c r="AE21" s="1002" t="b">
        <f t="shared" si="34"/>
        <v>1</v>
      </c>
      <c r="AF21" s="1002" t="b">
        <f t="shared" si="34"/>
        <v>1</v>
      </c>
      <c r="AG21" s="1002" t="b">
        <f t="shared" si="34"/>
        <v>1</v>
      </c>
      <c r="AH21" s="1002" t="b">
        <f t="shared" si="34"/>
        <v>1</v>
      </c>
      <c r="AI21" s="1002" t="b">
        <f t="shared" si="34"/>
        <v>1</v>
      </c>
      <c r="AJ21" s="1002" t="b">
        <f t="shared" si="34"/>
        <v>0</v>
      </c>
      <c r="AK21" s="1002" t="b">
        <f t="shared" si="34"/>
        <v>0</v>
      </c>
      <c r="AL21" s="1002" t="b">
        <f t="shared" si="34"/>
        <v>0</v>
      </c>
      <c r="AM21" s="1002" t="b">
        <f t="shared" ref="AM21:BR21" si="35">IF(AND(AM8&gt;0,AM8&lt;=$B$21*$B$7),TRUE,FALSE)</f>
        <v>0</v>
      </c>
      <c r="AN21" s="1002" t="b">
        <f t="shared" si="35"/>
        <v>0</v>
      </c>
      <c r="AO21" s="1002" t="b">
        <f t="shared" si="35"/>
        <v>0</v>
      </c>
      <c r="AP21" s="1002" t="b">
        <f t="shared" si="35"/>
        <v>0</v>
      </c>
      <c r="AQ21" s="1002" t="b">
        <f t="shared" si="35"/>
        <v>0</v>
      </c>
      <c r="AR21" s="1002" t="b">
        <f t="shared" si="35"/>
        <v>0</v>
      </c>
      <c r="AS21" s="1002" t="b">
        <f t="shared" si="35"/>
        <v>0</v>
      </c>
      <c r="AT21" s="1002" t="b">
        <f t="shared" si="35"/>
        <v>0</v>
      </c>
      <c r="AU21" s="1002" t="b">
        <f t="shared" si="35"/>
        <v>0</v>
      </c>
      <c r="AV21" s="1002" t="b">
        <f t="shared" si="35"/>
        <v>0</v>
      </c>
      <c r="AW21" s="1002" t="b">
        <f t="shared" si="35"/>
        <v>0</v>
      </c>
      <c r="AX21" s="1002" t="b">
        <f t="shared" si="35"/>
        <v>0</v>
      </c>
      <c r="AY21" s="1002" t="b">
        <f t="shared" si="35"/>
        <v>0</v>
      </c>
      <c r="AZ21" s="1002" t="b">
        <f t="shared" si="35"/>
        <v>0</v>
      </c>
      <c r="BA21" s="1002" t="b">
        <f t="shared" si="35"/>
        <v>0</v>
      </c>
      <c r="BB21" s="1002" t="b">
        <f t="shared" si="35"/>
        <v>0</v>
      </c>
      <c r="BC21" s="1002" t="b">
        <f t="shared" si="35"/>
        <v>0</v>
      </c>
      <c r="BD21" s="1002" t="b">
        <f t="shared" si="35"/>
        <v>0</v>
      </c>
      <c r="BE21" s="1002" t="b">
        <f t="shared" si="35"/>
        <v>0</v>
      </c>
      <c r="BF21" s="1002" t="b">
        <f t="shared" si="35"/>
        <v>0</v>
      </c>
      <c r="BG21" s="1002" t="b">
        <f t="shared" si="35"/>
        <v>0</v>
      </c>
      <c r="BH21" s="1002" t="b">
        <f t="shared" si="35"/>
        <v>0</v>
      </c>
      <c r="BI21" s="1002" t="b">
        <f t="shared" si="35"/>
        <v>0</v>
      </c>
      <c r="BJ21" s="1002" t="b">
        <f t="shared" si="35"/>
        <v>0</v>
      </c>
      <c r="BK21" s="1002" t="b">
        <f t="shared" si="35"/>
        <v>0</v>
      </c>
      <c r="BL21" s="1002" t="b">
        <f t="shared" si="35"/>
        <v>0</v>
      </c>
      <c r="BM21" s="1002" t="b">
        <f t="shared" si="35"/>
        <v>0</v>
      </c>
      <c r="BN21" s="1002" t="b">
        <f t="shared" si="35"/>
        <v>0</v>
      </c>
      <c r="BO21" s="1002" t="b">
        <f t="shared" si="35"/>
        <v>0</v>
      </c>
      <c r="BP21" s="1002" t="b">
        <f t="shared" si="35"/>
        <v>0</v>
      </c>
      <c r="BQ21" s="1002" t="b">
        <f t="shared" si="35"/>
        <v>0</v>
      </c>
      <c r="BR21" s="1002" t="b">
        <f t="shared" si="35"/>
        <v>0</v>
      </c>
      <c r="BS21" s="1002" t="b">
        <f t="shared" ref="BS21:CX21" si="36">IF(AND(BS8&gt;0,BS8&lt;=$B$21*$B$7),TRUE,FALSE)</f>
        <v>0</v>
      </c>
      <c r="BT21" s="1002" t="b">
        <f t="shared" si="36"/>
        <v>0</v>
      </c>
      <c r="BU21" s="1002" t="b">
        <f t="shared" si="36"/>
        <v>0</v>
      </c>
      <c r="BV21" s="1002" t="b">
        <f t="shared" si="36"/>
        <v>0</v>
      </c>
      <c r="BW21" s="1002" t="b">
        <f t="shared" si="36"/>
        <v>0</v>
      </c>
      <c r="BX21" s="1002" t="b">
        <f t="shared" si="36"/>
        <v>0</v>
      </c>
      <c r="BY21" s="1002" t="b">
        <f t="shared" si="36"/>
        <v>0</v>
      </c>
      <c r="BZ21" s="1002" t="b">
        <f t="shared" si="36"/>
        <v>0</v>
      </c>
      <c r="CA21" s="1002" t="b">
        <f t="shared" si="36"/>
        <v>0</v>
      </c>
      <c r="CB21" s="1002" t="b">
        <f t="shared" si="36"/>
        <v>0</v>
      </c>
      <c r="CC21" s="1002" t="b">
        <f t="shared" si="36"/>
        <v>0</v>
      </c>
      <c r="CD21" s="1002" t="b">
        <f t="shared" si="36"/>
        <v>0</v>
      </c>
      <c r="CE21" s="1002" t="b">
        <f t="shared" si="36"/>
        <v>0</v>
      </c>
      <c r="CF21" s="1002" t="b">
        <f t="shared" si="36"/>
        <v>0</v>
      </c>
      <c r="CG21" s="1002" t="b">
        <f t="shared" si="36"/>
        <v>0</v>
      </c>
      <c r="CH21" s="1002" t="b">
        <f t="shared" si="36"/>
        <v>0</v>
      </c>
      <c r="CI21" s="1002" t="b">
        <f t="shared" si="36"/>
        <v>0</v>
      </c>
      <c r="CJ21" s="1002" t="b">
        <f t="shared" si="36"/>
        <v>0</v>
      </c>
      <c r="CK21" s="1002" t="b">
        <f t="shared" si="36"/>
        <v>0</v>
      </c>
      <c r="CL21" s="1002" t="b">
        <f t="shared" si="36"/>
        <v>0</v>
      </c>
      <c r="CM21" s="1002" t="b">
        <f t="shared" si="36"/>
        <v>0</v>
      </c>
      <c r="CN21" s="1002" t="b">
        <f t="shared" si="36"/>
        <v>0</v>
      </c>
      <c r="CO21" s="1002" t="b">
        <f t="shared" si="36"/>
        <v>0</v>
      </c>
      <c r="CP21" s="1002" t="b">
        <f t="shared" si="36"/>
        <v>0</v>
      </c>
      <c r="CQ21" s="1002" t="b">
        <f t="shared" si="36"/>
        <v>0</v>
      </c>
      <c r="CR21" s="1002" t="b">
        <f t="shared" si="36"/>
        <v>0</v>
      </c>
      <c r="CS21" s="1002" t="b">
        <f t="shared" si="36"/>
        <v>0</v>
      </c>
      <c r="CT21" s="1002" t="b">
        <f t="shared" si="36"/>
        <v>0</v>
      </c>
      <c r="CU21" s="1002" t="b">
        <f t="shared" si="36"/>
        <v>0</v>
      </c>
      <c r="CV21" s="1002" t="b">
        <f t="shared" si="36"/>
        <v>0</v>
      </c>
      <c r="CW21" s="1002" t="b">
        <f t="shared" si="36"/>
        <v>0</v>
      </c>
      <c r="CX21" s="1002" t="b">
        <f t="shared" si="36"/>
        <v>0</v>
      </c>
      <c r="CY21" s="1002" t="b">
        <f t="shared" ref="CY21:DW21" si="37">IF(AND(CY8&gt;0,CY8&lt;=$B$21*$B$7),TRUE,FALSE)</f>
        <v>0</v>
      </c>
      <c r="CZ21" s="1002" t="b">
        <f t="shared" si="37"/>
        <v>0</v>
      </c>
      <c r="DA21" s="1002" t="b">
        <f t="shared" si="37"/>
        <v>0</v>
      </c>
      <c r="DB21" s="1002" t="b">
        <f t="shared" si="37"/>
        <v>0</v>
      </c>
      <c r="DC21" s="1002" t="b">
        <f t="shared" si="37"/>
        <v>0</v>
      </c>
      <c r="DD21" s="1002" t="b">
        <f t="shared" si="37"/>
        <v>0</v>
      </c>
      <c r="DE21" s="1002" t="b">
        <f t="shared" si="37"/>
        <v>0</v>
      </c>
      <c r="DF21" s="1002" t="b">
        <f t="shared" si="37"/>
        <v>0</v>
      </c>
      <c r="DG21" s="1002" t="b">
        <f t="shared" si="37"/>
        <v>0</v>
      </c>
      <c r="DH21" s="1002" t="b">
        <f t="shared" si="37"/>
        <v>0</v>
      </c>
      <c r="DI21" s="1002" t="b">
        <f t="shared" si="37"/>
        <v>0</v>
      </c>
      <c r="DJ21" s="1002" t="b">
        <f t="shared" si="37"/>
        <v>0</v>
      </c>
      <c r="DK21" s="1002" t="b">
        <f t="shared" si="37"/>
        <v>0</v>
      </c>
      <c r="DL21" s="1002" t="b">
        <f t="shared" si="37"/>
        <v>0</v>
      </c>
      <c r="DM21" s="1002" t="b">
        <f t="shared" si="37"/>
        <v>0</v>
      </c>
      <c r="DN21" s="1002" t="b">
        <f t="shared" si="37"/>
        <v>0</v>
      </c>
      <c r="DO21" s="1002" t="b">
        <f t="shared" si="37"/>
        <v>0</v>
      </c>
      <c r="DP21" s="1002" t="b">
        <f t="shared" si="37"/>
        <v>0</v>
      </c>
      <c r="DQ21" s="1002" t="b">
        <f t="shared" si="37"/>
        <v>0</v>
      </c>
      <c r="DR21" s="1002" t="b">
        <f t="shared" si="37"/>
        <v>0</v>
      </c>
      <c r="DS21" s="1002" t="b">
        <f t="shared" si="37"/>
        <v>0</v>
      </c>
      <c r="DT21" s="1002" t="b">
        <f t="shared" si="37"/>
        <v>0</v>
      </c>
      <c r="DU21" s="1002" t="b">
        <f t="shared" si="37"/>
        <v>0</v>
      </c>
      <c r="DV21" s="1002" t="b">
        <f t="shared" si="37"/>
        <v>0</v>
      </c>
      <c r="DW21" s="1002" t="b">
        <f t="shared" si="37"/>
        <v>0</v>
      </c>
      <c r="DX21" s="579"/>
    </row>
    <row r="22" spans="1:139">
      <c r="A22" s="304" t="s">
        <v>1344</v>
      </c>
      <c r="B22" s="927">
        <f>Inputs!D239</f>
        <v>2</v>
      </c>
      <c r="C22" s="927"/>
      <c r="D22" s="637"/>
      <c r="E22" s="637"/>
      <c r="F22" s="637"/>
      <c r="G22" s="1002" t="b">
        <f>IF(AND(G19,(($B$22*Inputs!$C$482)/IF($B$7=Inputs!$C$480,Inputs!$C$482,IF($B$7=Inputs!$C$482,Inputs!$C$480,Inputs!$C$481))+1)=G8,Inputs!$C$238),TRUE,FALSE)</f>
        <v>0</v>
      </c>
      <c r="H22" s="1002" t="b">
        <f>IF(AND(H19,(($B$22*Inputs!$C$482)/IF($B$7=Inputs!$C$480,Inputs!$C$482,IF($B$7=Inputs!$C$482,Inputs!$C$480,Inputs!$C$481))+1)=H8,Inputs!$C$238),TRUE,FALSE)</f>
        <v>0</v>
      </c>
      <c r="I22" s="1002" t="b">
        <f>IF(AND(I19,(($B$22*Inputs!$C$482)/IF($B$7=Inputs!$C$480,Inputs!$C$482,IF($B$7=Inputs!$C$482,Inputs!$C$480,Inputs!$C$481))+1)=I8,Inputs!$C$238),TRUE,FALSE)</f>
        <v>0</v>
      </c>
      <c r="J22" s="1002" t="b">
        <f>IF(AND(J19,(($B$22*Inputs!$C$482)/IF($B$7=Inputs!$C$480,Inputs!$C$482,IF($B$7=Inputs!$C$482,Inputs!$C$480,Inputs!$C$481))+1)=J8,Inputs!$C$238),TRUE,FALSE)</f>
        <v>0</v>
      </c>
      <c r="K22" s="1002" t="b">
        <f>IF(AND(K19,(($B$22*Inputs!$C$482)/IF($B$7=Inputs!$C$480,Inputs!$C$482,IF($B$7=Inputs!$C$482,Inputs!$C$480,Inputs!$C$481))+1)=K8,Inputs!$C$238),TRUE,FALSE)</f>
        <v>0</v>
      </c>
      <c r="L22" s="1002" t="b">
        <f>IF(AND(L19,(($B$22*Inputs!$C$482)/IF($B$7=Inputs!$C$480,Inputs!$C$482,IF($B$7=Inputs!$C$482,Inputs!$C$480,Inputs!$C$481))+1)=L8,Inputs!$C$238),TRUE,FALSE)</f>
        <v>0</v>
      </c>
      <c r="M22" s="1002" t="b">
        <f>IF(AND(M19,(($B$22*Inputs!$C$482)/IF($B$7=Inputs!$C$480,Inputs!$C$482,IF($B$7=Inputs!$C$482,Inputs!$C$480,Inputs!$C$481))+1)=M8,Inputs!$C$238),TRUE,FALSE)</f>
        <v>0</v>
      </c>
      <c r="N22" s="1002" t="b">
        <f>IF(AND(N19,(($B$22*Inputs!$C$482)/IF($B$7=Inputs!$C$480,Inputs!$C$482,IF($B$7=Inputs!$C$482,Inputs!$C$480,Inputs!$C$481))+1)=N8,Inputs!$C$238),TRUE,FALSE)</f>
        <v>0</v>
      </c>
      <c r="O22" s="1002" t="b">
        <f>IF(AND(O19,(($B$22*Inputs!$C$482)/IF($B$7=Inputs!$C$480,Inputs!$C$482,IF($B$7=Inputs!$C$482,Inputs!$C$480,Inputs!$C$481))+1)=O8,Inputs!$C$238),TRUE,FALSE)</f>
        <v>0</v>
      </c>
      <c r="P22" s="1002" t="b">
        <f>IF(AND(P19,(($B$22*Inputs!$C$482)/IF($B$7=Inputs!$C$480,Inputs!$C$482,IF($B$7=Inputs!$C$482,Inputs!$C$480,Inputs!$C$481))+1)=P8,Inputs!$C$238),TRUE,FALSE)</f>
        <v>0</v>
      </c>
      <c r="Q22" s="1002" t="b">
        <f>IF(AND(Q19,(($B$22*Inputs!$C$482)/IF($B$7=Inputs!$C$480,Inputs!$C$482,IF($B$7=Inputs!$C$482,Inputs!$C$480,Inputs!$C$481))+1)=Q8,Inputs!$C$238),TRUE,FALSE)</f>
        <v>0</v>
      </c>
      <c r="R22" s="1002" t="b">
        <f>IF(AND(R19,(($B$22*Inputs!$C$482)/IF($B$7=Inputs!$C$480,Inputs!$C$482,IF($B$7=Inputs!$C$482,Inputs!$C$480,Inputs!$C$481))+1)=R8,Inputs!$C$238),TRUE,FALSE)</f>
        <v>0</v>
      </c>
      <c r="S22" s="1002" t="b">
        <f>IF(AND(S19,(($B$22*Inputs!$C$482)/IF($B$7=Inputs!$C$480,Inputs!$C$482,IF($B$7=Inputs!$C$482,Inputs!$C$480,Inputs!$C$481))+1)=S8,Inputs!$C$238),TRUE,FALSE)</f>
        <v>0</v>
      </c>
      <c r="T22" s="1002" t="b">
        <f>IF(AND(T19,(($B$22*Inputs!$C$482)/IF($B$7=Inputs!$C$480,Inputs!$C$482,IF($B$7=Inputs!$C$482,Inputs!$C$480,Inputs!$C$481))+1)=T8,Inputs!$C$238),TRUE,FALSE)</f>
        <v>0</v>
      </c>
      <c r="U22" s="1002" t="b">
        <f>IF(AND(U19,(($B$22*Inputs!$C$482)/IF($B$7=Inputs!$C$480,Inputs!$C$482,IF($B$7=Inputs!$C$482,Inputs!$C$480,Inputs!$C$481))+1)=U8,Inputs!$C$238),TRUE,FALSE)</f>
        <v>0</v>
      </c>
      <c r="V22" s="1002" t="b">
        <f>IF(AND(V19,(($B$22*Inputs!$C$482)/IF($B$7=Inputs!$C$480,Inputs!$C$482,IF($B$7=Inputs!$C$482,Inputs!$C$480,Inputs!$C$481))+1)=V8,Inputs!$C$238),TRUE,FALSE)</f>
        <v>0</v>
      </c>
      <c r="W22" s="1002" t="b">
        <f>IF(AND(W19,(($B$22*Inputs!$C$482)/IF($B$7=Inputs!$C$480,Inputs!$C$482,IF($B$7=Inputs!$C$482,Inputs!$C$480,Inputs!$C$481))+1)=W8,Inputs!$C$238),TRUE,FALSE)</f>
        <v>0</v>
      </c>
      <c r="X22" s="1002" t="b">
        <f>IF(AND(X19,(($B$22*Inputs!$C$482)/IF($B$7=Inputs!$C$480,Inputs!$C$482,IF($B$7=Inputs!$C$482,Inputs!$C$480,Inputs!$C$481))+1)=X8,Inputs!$C$238),TRUE,FALSE)</f>
        <v>0</v>
      </c>
      <c r="Y22" s="1002" t="b">
        <f>IF(AND(Y19,(($B$22*Inputs!$C$482)/IF($B$7=Inputs!$C$480,Inputs!$C$482,IF($B$7=Inputs!$C$482,Inputs!$C$480,Inputs!$C$481))+1)=Y8,Inputs!$C$238),TRUE,FALSE)</f>
        <v>0</v>
      </c>
      <c r="Z22" s="1002" t="b">
        <f>IF(AND(Z19,(($B$22*Inputs!$C$482)/IF($B$7=Inputs!$C$480,Inputs!$C$482,IF($B$7=Inputs!$C$482,Inputs!$C$480,Inputs!$C$481))+1)=Z8,Inputs!$C$238),TRUE,FALSE)</f>
        <v>0</v>
      </c>
      <c r="AA22" s="1002" t="b">
        <f>IF(AND(AA19,(($B$22*Inputs!$C$482)/IF($B$7=Inputs!$C$480,Inputs!$C$482,IF($B$7=Inputs!$C$482,Inputs!$C$480,Inputs!$C$481))+1)=AA8,Inputs!$C$238),TRUE,FALSE)</f>
        <v>0</v>
      </c>
      <c r="AB22" s="1002" t="b">
        <f>IF(AND(AB19,(($B$22*Inputs!$C$482)/IF($B$7=Inputs!$C$480,Inputs!$C$482,IF($B$7=Inputs!$C$482,Inputs!$C$480,Inputs!$C$481))+1)=AB8,Inputs!$C$238),TRUE,FALSE)</f>
        <v>0</v>
      </c>
      <c r="AC22" s="1002" t="b">
        <f>IF(AND(AC19,(($B$22*Inputs!$C$482)/IF($B$7=Inputs!$C$480,Inputs!$C$482,IF($B$7=Inputs!$C$482,Inputs!$C$480,Inputs!$C$481))+1)=AC8,Inputs!$C$238),TRUE,FALSE)</f>
        <v>0</v>
      </c>
      <c r="AD22" s="1002" t="b">
        <f>IF(AND(AD19,(($B$22*Inputs!$C$482)/IF($B$7=Inputs!$C$480,Inputs!$C$482,IF($B$7=Inputs!$C$482,Inputs!$C$480,Inputs!$C$481))+1)=AD8,Inputs!$C$238),TRUE,FALSE)</f>
        <v>0</v>
      </c>
      <c r="AE22" s="1002" t="b">
        <f>IF(AND(AE19,(($B$22*Inputs!$C$482)/IF($B$7=Inputs!$C$480,Inputs!$C$482,IF($B$7=Inputs!$C$482,Inputs!$C$480,Inputs!$C$481))+1)=AE8,Inputs!$C$238),TRUE,FALSE)</f>
        <v>0</v>
      </c>
      <c r="AF22" s="1002" t="b">
        <f>IF(AND(AF19,(($B$22*Inputs!$C$482)/IF($B$7=Inputs!$C$480,Inputs!$C$482,IF($B$7=Inputs!$C$482,Inputs!$C$480,Inputs!$C$481))+1)=AF8,Inputs!$C$238),TRUE,FALSE)</f>
        <v>0</v>
      </c>
      <c r="AG22" s="1002" t="b">
        <f>IF(AND(AG19,(($B$22*Inputs!$C$482)/IF($B$7=Inputs!$C$480,Inputs!$C$482,IF($B$7=Inputs!$C$482,Inputs!$C$480,Inputs!$C$481))+1)=AG8,Inputs!$C$238),TRUE,FALSE)</f>
        <v>0</v>
      </c>
      <c r="AH22" s="1002" t="b">
        <f>IF(AND(AH19,(($B$22*Inputs!$C$482)/IF($B$7=Inputs!$C$480,Inputs!$C$482,IF($B$7=Inputs!$C$482,Inputs!$C$480,Inputs!$C$481))+1)=AH8,Inputs!$C$238),TRUE,FALSE)</f>
        <v>0</v>
      </c>
      <c r="AI22" s="1002" t="b">
        <f>IF(AND(AI19,(($B$22*Inputs!$C$482)/IF($B$7=Inputs!$C$480,Inputs!$C$482,IF($B$7=Inputs!$C$482,Inputs!$C$480,Inputs!$C$481))+1)=AI8,Inputs!$C$238),TRUE,FALSE)</f>
        <v>0</v>
      </c>
      <c r="AJ22" s="1002" t="b">
        <f>IF(AND(AJ19,(($B$22*Inputs!$C$482)/IF($B$7=Inputs!$C$480,Inputs!$C$482,IF($B$7=Inputs!$C$482,Inputs!$C$480,Inputs!$C$481))+1)=AJ8,Inputs!$C$238),TRUE,FALSE)</f>
        <v>0</v>
      </c>
      <c r="AK22" s="1002" t="b">
        <f>IF(AND(AK19,(($B$22*Inputs!$C$482)/IF($B$7=Inputs!$C$480,Inputs!$C$482,IF($B$7=Inputs!$C$482,Inputs!$C$480,Inputs!$C$481))+1)=AK8,Inputs!$C$238),TRUE,FALSE)</f>
        <v>0</v>
      </c>
      <c r="AL22" s="1002" t="b">
        <f>IF(AND(AL19,(($B$22*Inputs!$C$482)/IF($B$7=Inputs!$C$480,Inputs!$C$482,IF($B$7=Inputs!$C$482,Inputs!$C$480,Inputs!$C$481))+1)=AL8,Inputs!$C$238),TRUE,FALSE)</f>
        <v>0</v>
      </c>
      <c r="AM22" s="1002" t="b">
        <f>IF(AND(AM19,(($B$22*Inputs!$C$482)/IF($B$7=Inputs!$C$480,Inputs!$C$482,IF($B$7=Inputs!$C$482,Inputs!$C$480,Inputs!$C$481))+1)=AM8,Inputs!$C$238),TRUE,FALSE)</f>
        <v>0</v>
      </c>
      <c r="AN22" s="1002" t="b">
        <f>IF(AND(AN19,(($B$22*Inputs!$C$482)/IF($B$7=Inputs!$C$480,Inputs!$C$482,IF($B$7=Inputs!$C$482,Inputs!$C$480,Inputs!$C$481))+1)=AN8,Inputs!$C$238),TRUE,FALSE)</f>
        <v>0</v>
      </c>
      <c r="AO22" s="1002" t="b">
        <f>IF(AND(AO19,(($B$22*Inputs!$C$482)/IF($B$7=Inputs!$C$480,Inputs!$C$482,IF($B$7=Inputs!$C$482,Inputs!$C$480,Inputs!$C$481))+1)=AO8,Inputs!$C$238),TRUE,FALSE)</f>
        <v>0</v>
      </c>
      <c r="AP22" s="1002" t="b">
        <f>IF(AND(AP19,(($B$22*Inputs!$C$482)/IF($B$7=Inputs!$C$480,Inputs!$C$482,IF($B$7=Inputs!$C$482,Inputs!$C$480,Inputs!$C$481))+1)=AP8,Inputs!$C$238),TRUE,FALSE)</f>
        <v>0</v>
      </c>
      <c r="AQ22" s="1002" t="b">
        <f>IF(AND(AQ19,(($B$22*Inputs!$C$482)/IF($B$7=Inputs!$C$480,Inputs!$C$482,IF($B$7=Inputs!$C$482,Inputs!$C$480,Inputs!$C$481))+1)=AQ8,Inputs!$C$238),TRUE,FALSE)</f>
        <v>0</v>
      </c>
      <c r="AR22" s="1002" t="b">
        <f>IF(AND(AR19,(($B$22*Inputs!$C$482)/IF($B$7=Inputs!$C$480,Inputs!$C$482,IF($B$7=Inputs!$C$482,Inputs!$C$480,Inputs!$C$481))+1)=AR8,Inputs!$C$238),TRUE,FALSE)</f>
        <v>0</v>
      </c>
      <c r="AS22" s="1002" t="b">
        <f>IF(AND(AS19,(($B$22*Inputs!$C$482)/IF($B$7=Inputs!$C$480,Inputs!$C$482,IF($B$7=Inputs!$C$482,Inputs!$C$480,Inputs!$C$481))+1)=AS8,Inputs!$C$238),TRUE,FALSE)</f>
        <v>0</v>
      </c>
      <c r="AT22" s="1002" t="b">
        <f>IF(AND(AT19,(($B$22*Inputs!$C$482)/IF($B$7=Inputs!$C$480,Inputs!$C$482,IF($B$7=Inputs!$C$482,Inputs!$C$480,Inputs!$C$481))+1)=AT8,Inputs!$C$238),TRUE,FALSE)</f>
        <v>0</v>
      </c>
      <c r="AU22" s="1002" t="b">
        <f>IF(AND(AU19,(($B$22*Inputs!$C$482)/IF($B$7=Inputs!$C$480,Inputs!$C$482,IF($B$7=Inputs!$C$482,Inputs!$C$480,Inputs!$C$481))+1)=AU8,Inputs!$C$238),TRUE,FALSE)</f>
        <v>0</v>
      </c>
      <c r="AV22" s="1002" t="b">
        <f>IF(AND(AV19,(($B$22*Inputs!$C$482)/IF($B$7=Inputs!$C$480,Inputs!$C$482,IF($B$7=Inputs!$C$482,Inputs!$C$480,Inputs!$C$481))+1)=AV8,Inputs!$C$238),TRUE,FALSE)</f>
        <v>0</v>
      </c>
      <c r="AW22" s="1002" t="b">
        <f>IF(AND(AW19,(($B$22*Inputs!$C$482)/IF($B$7=Inputs!$C$480,Inputs!$C$482,IF($B$7=Inputs!$C$482,Inputs!$C$480,Inputs!$C$481))+1)=AW8,Inputs!$C$238),TRUE,FALSE)</f>
        <v>0</v>
      </c>
      <c r="AX22" s="1002" t="b">
        <f>IF(AND(AX19,(($B$22*Inputs!$C$482)/IF($B$7=Inputs!$C$480,Inputs!$C$482,IF($B$7=Inputs!$C$482,Inputs!$C$480,Inputs!$C$481))+1)=AX8,Inputs!$C$238),TRUE,FALSE)</f>
        <v>0</v>
      </c>
      <c r="AY22" s="1002" t="b">
        <f>IF(AND(AY19,(($B$22*Inputs!$C$482)/IF($B$7=Inputs!$C$480,Inputs!$C$482,IF($B$7=Inputs!$C$482,Inputs!$C$480,Inputs!$C$481))+1)=AY8,Inputs!$C$238),TRUE,FALSE)</f>
        <v>0</v>
      </c>
      <c r="AZ22" s="1002" t="b">
        <f>IF(AND(AZ19,(($B$22*Inputs!$C$482)/IF($B$7=Inputs!$C$480,Inputs!$C$482,IF($B$7=Inputs!$C$482,Inputs!$C$480,Inputs!$C$481))+1)=AZ8,Inputs!$C$238),TRUE,FALSE)</f>
        <v>0</v>
      </c>
      <c r="BA22" s="1002" t="b">
        <f>IF(AND(BA19,(($B$22*Inputs!$C$482)/IF($B$7=Inputs!$C$480,Inputs!$C$482,IF($B$7=Inputs!$C$482,Inputs!$C$480,Inputs!$C$481))+1)=BA8,Inputs!$C$238),TRUE,FALSE)</f>
        <v>0</v>
      </c>
      <c r="BB22" s="1002" t="b">
        <f>IF(AND(BB19,(($B$22*Inputs!$C$482)/IF($B$7=Inputs!$C$480,Inputs!$C$482,IF($B$7=Inputs!$C$482,Inputs!$C$480,Inputs!$C$481))+1)=BB8,Inputs!$C$238),TRUE,FALSE)</f>
        <v>0</v>
      </c>
      <c r="BC22" s="1002" t="b">
        <f>IF(AND(BC19,(($B$22*Inputs!$C$482)/IF($B$7=Inputs!$C$480,Inputs!$C$482,IF($B$7=Inputs!$C$482,Inputs!$C$480,Inputs!$C$481))+1)=BC8,Inputs!$C$238),TRUE,FALSE)</f>
        <v>0</v>
      </c>
      <c r="BD22" s="1002" t="b">
        <f>IF(AND(BD19,(($B$22*Inputs!$C$482)/IF($B$7=Inputs!$C$480,Inputs!$C$482,IF($B$7=Inputs!$C$482,Inputs!$C$480,Inputs!$C$481))+1)=BD8,Inputs!$C$238),TRUE,FALSE)</f>
        <v>0</v>
      </c>
      <c r="BE22" s="1002" t="b">
        <f>IF(AND(BE19,(($B$22*Inputs!$C$482)/IF($B$7=Inputs!$C$480,Inputs!$C$482,IF($B$7=Inputs!$C$482,Inputs!$C$480,Inputs!$C$481))+1)=BE8,Inputs!$C$238),TRUE,FALSE)</f>
        <v>0</v>
      </c>
      <c r="BF22" s="1002" t="b">
        <f>IF(AND(BF19,(($B$22*Inputs!$C$482)/IF($B$7=Inputs!$C$480,Inputs!$C$482,IF($B$7=Inputs!$C$482,Inputs!$C$480,Inputs!$C$481))+1)=BF8,Inputs!$C$238),TRUE,FALSE)</f>
        <v>0</v>
      </c>
      <c r="BG22" s="1002" t="b">
        <f>IF(AND(BG19,(($B$22*Inputs!$C$482)/IF($B$7=Inputs!$C$480,Inputs!$C$482,IF($B$7=Inputs!$C$482,Inputs!$C$480,Inputs!$C$481))+1)=BG8,Inputs!$C$238),TRUE,FALSE)</f>
        <v>0</v>
      </c>
      <c r="BH22" s="1002" t="b">
        <f>IF(AND(BH19,(($B$22*Inputs!$C$482)/IF($B$7=Inputs!$C$480,Inputs!$C$482,IF($B$7=Inputs!$C$482,Inputs!$C$480,Inputs!$C$481))+1)=BH8,Inputs!$C$238),TRUE,FALSE)</f>
        <v>0</v>
      </c>
      <c r="BI22" s="1002" t="b">
        <f>IF(AND(BI19,(($B$22*Inputs!$C$482)/IF($B$7=Inputs!$C$480,Inputs!$C$482,IF($B$7=Inputs!$C$482,Inputs!$C$480,Inputs!$C$481))+1)=BI8,Inputs!$C$238),TRUE,FALSE)</f>
        <v>0</v>
      </c>
      <c r="BJ22" s="1002" t="b">
        <f>IF(AND(BJ19,(($B$22*Inputs!$C$482)/IF($B$7=Inputs!$C$480,Inputs!$C$482,IF($B$7=Inputs!$C$482,Inputs!$C$480,Inputs!$C$481))+1)=BJ8,Inputs!$C$238),TRUE,FALSE)</f>
        <v>0</v>
      </c>
      <c r="BK22" s="1002" t="b">
        <f>IF(AND(BK19,(($B$22*Inputs!$C$482)/IF($B$7=Inputs!$C$480,Inputs!$C$482,IF($B$7=Inputs!$C$482,Inputs!$C$480,Inputs!$C$481))+1)=BK8,Inputs!$C$238),TRUE,FALSE)</f>
        <v>0</v>
      </c>
      <c r="BL22" s="1002" t="b">
        <f>IF(AND(BL19,(($B$22*Inputs!$C$482)/IF($B$7=Inputs!$C$480,Inputs!$C$482,IF($B$7=Inputs!$C$482,Inputs!$C$480,Inputs!$C$481))+1)=BL8,Inputs!$C$238),TRUE,FALSE)</f>
        <v>0</v>
      </c>
      <c r="BM22" s="1002" t="b">
        <f>IF(AND(BM19,(($B$22*Inputs!$C$482)/IF($B$7=Inputs!$C$480,Inputs!$C$482,IF($B$7=Inputs!$C$482,Inputs!$C$480,Inputs!$C$481))+1)=BM8,Inputs!$C$238),TRUE,FALSE)</f>
        <v>0</v>
      </c>
      <c r="BN22" s="1002" t="b">
        <f>IF(AND(BN19,(($B$22*Inputs!$C$482)/IF($B$7=Inputs!$C$480,Inputs!$C$482,IF($B$7=Inputs!$C$482,Inputs!$C$480,Inputs!$C$481))+1)=BN8,Inputs!$C$238),TRUE,FALSE)</f>
        <v>0</v>
      </c>
      <c r="BO22" s="1002" t="b">
        <f>IF(AND(BO19,(($B$22*Inputs!$C$482)/IF($B$7=Inputs!$C$480,Inputs!$C$482,IF($B$7=Inputs!$C$482,Inputs!$C$480,Inputs!$C$481))+1)=BO8,Inputs!$C$238),TRUE,FALSE)</f>
        <v>0</v>
      </c>
      <c r="BP22" s="1002" t="b">
        <f>IF(AND(BP19,(($B$22*Inputs!$C$482)/IF($B$7=Inputs!$C$480,Inputs!$C$482,IF($B$7=Inputs!$C$482,Inputs!$C$480,Inputs!$C$481))+1)=BP8,Inputs!$C$238),TRUE,FALSE)</f>
        <v>0</v>
      </c>
      <c r="BQ22" s="1002" t="b">
        <f>IF(AND(BQ19,(($B$22*Inputs!$C$482)/IF($B$7=Inputs!$C$480,Inputs!$C$482,IF($B$7=Inputs!$C$482,Inputs!$C$480,Inputs!$C$481))+1)=BQ8,Inputs!$C$238),TRUE,FALSE)</f>
        <v>0</v>
      </c>
      <c r="BR22" s="1002" t="b">
        <f>IF(AND(BR19,(($B$22*Inputs!$C$482)/IF($B$7=Inputs!$C$480,Inputs!$C$482,IF($B$7=Inputs!$C$482,Inputs!$C$480,Inputs!$C$481))+1)=BR8,Inputs!$C$238),TRUE,FALSE)</f>
        <v>0</v>
      </c>
      <c r="BS22" s="1002" t="b">
        <f>IF(AND(BS19,(($B$22*Inputs!$C$482)/IF($B$7=Inputs!$C$480,Inputs!$C$482,IF($B$7=Inputs!$C$482,Inputs!$C$480,Inputs!$C$481))+1)=BS8,Inputs!$C$238),TRUE,FALSE)</f>
        <v>0</v>
      </c>
      <c r="BT22" s="1002" t="b">
        <f>IF(AND(BT19,(($B$22*Inputs!$C$482)/IF($B$7=Inputs!$C$480,Inputs!$C$482,IF($B$7=Inputs!$C$482,Inputs!$C$480,Inputs!$C$481))+1)=BT8,Inputs!$C$238),TRUE,FALSE)</f>
        <v>0</v>
      </c>
      <c r="BU22" s="1002" t="b">
        <f>IF(AND(BU19,(($B$22*Inputs!$C$482)/IF($B$7=Inputs!$C$480,Inputs!$C$482,IF($B$7=Inputs!$C$482,Inputs!$C$480,Inputs!$C$481))+1)=BU8,Inputs!$C$238),TRUE,FALSE)</f>
        <v>0</v>
      </c>
      <c r="BV22" s="1002" t="b">
        <f>IF(AND(BV19,(($B$22*Inputs!$C$482)/IF($B$7=Inputs!$C$480,Inputs!$C$482,IF($B$7=Inputs!$C$482,Inputs!$C$480,Inputs!$C$481))+1)=BV8,Inputs!$C$238),TRUE,FALSE)</f>
        <v>0</v>
      </c>
      <c r="BW22" s="1002" t="b">
        <f>IF(AND(BW19,(($B$22*Inputs!$C$482)/IF($B$7=Inputs!$C$480,Inputs!$C$482,IF($B$7=Inputs!$C$482,Inputs!$C$480,Inputs!$C$481))+1)=BW8,Inputs!$C$238),TRUE,FALSE)</f>
        <v>0</v>
      </c>
      <c r="BX22" s="1002" t="b">
        <f>IF(AND(BX19,(($B$22*Inputs!$C$482)/IF($B$7=Inputs!$C$480,Inputs!$C$482,IF($B$7=Inputs!$C$482,Inputs!$C$480,Inputs!$C$481))+1)=BX8,Inputs!$C$238),TRUE,FALSE)</f>
        <v>0</v>
      </c>
      <c r="BY22" s="1002" t="b">
        <f>IF(AND(BY19,(($B$22*Inputs!$C$482)/IF($B$7=Inputs!$C$480,Inputs!$C$482,IF($B$7=Inputs!$C$482,Inputs!$C$480,Inputs!$C$481))+1)=BY8,Inputs!$C$238),TRUE,FALSE)</f>
        <v>0</v>
      </c>
      <c r="BZ22" s="1002" t="b">
        <f>IF(AND(BZ19,(($B$22*Inputs!$C$482)/IF($B$7=Inputs!$C$480,Inputs!$C$482,IF($B$7=Inputs!$C$482,Inputs!$C$480,Inputs!$C$481))+1)=BZ8,Inputs!$C$238),TRUE,FALSE)</f>
        <v>0</v>
      </c>
      <c r="CA22" s="1002" t="b">
        <f>IF(AND(CA19,(($B$22*Inputs!$C$482)/IF($B$7=Inputs!$C$480,Inputs!$C$482,IF($B$7=Inputs!$C$482,Inputs!$C$480,Inputs!$C$481))+1)=CA8,Inputs!$C$238),TRUE,FALSE)</f>
        <v>0</v>
      </c>
      <c r="CB22" s="1002" t="b">
        <f>IF(AND(CB19,(($B$22*Inputs!$C$482)/IF($B$7=Inputs!$C$480,Inputs!$C$482,IF($B$7=Inputs!$C$482,Inputs!$C$480,Inputs!$C$481))+1)=CB8,Inputs!$C$238),TRUE,FALSE)</f>
        <v>0</v>
      </c>
      <c r="CC22" s="1002" t="b">
        <f>IF(AND(CC19,(($B$22*Inputs!$C$482)/IF($B$7=Inputs!$C$480,Inputs!$C$482,IF($B$7=Inputs!$C$482,Inputs!$C$480,Inputs!$C$481))+1)=CC8,Inputs!$C$238),TRUE,FALSE)</f>
        <v>0</v>
      </c>
      <c r="CD22" s="1002" t="b">
        <f>IF(AND(CD19,(($B$22*Inputs!$C$482)/IF($B$7=Inputs!$C$480,Inputs!$C$482,IF($B$7=Inputs!$C$482,Inputs!$C$480,Inputs!$C$481))+1)=CD8,Inputs!$C$238),TRUE,FALSE)</f>
        <v>0</v>
      </c>
      <c r="CE22" s="1002" t="b">
        <f>IF(AND(CE19,(($B$22*Inputs!$C$482)/IF($B$7=Inputs!$C$480,Inputs!$C$482,IF($B$7=Inputs!$C$482,Inputs!$C$480,Inputs!$C$481))+1)=CE8,Inputs!$C$238),TRUE,FALSE)</f>
        <v>0</v>
      </c>
      <c r="CF22" s="1002" t="b">
        <f>IF(AND(CF19,(($B$22*Inputs!$C$482)/IF($B$7=Inputs!$C$480,Inputs!$C$482,IF($B$7=Inputs!$C$482,Inputs!$C$480,Inputs!$C$481))+1)=CF8,Inputs!$C$238),TRUE,FALSE)</f>
        <v>0</v>
      </c>
      <c r="CG22" s="1002" t="b">
        <f>IF(AND(CG19,(($B$22*Inputs!$C$482)/IF($B$7=Inputs!$C$480,Inputs!$C$482,IF($B$7=Inputs!$C$482,Inputs!$C$480,Inputs!$C$481))+1)=CG8,Inputs!$C$238),TRUE,FALSE)</f>
        <v>0</v>
      </c>
      <c r="CH22" s="1002" t="b">
        <f>IF(AND(CH19,(($B$22*Inputs!$C$482)/IF($B$7=Inputs!$C$480,Inputs!$C$482,IF($B$7=Inputs!$C$482,Inputs!$C$480,Inputs!$C$481))+1)=CH8,Inputs!$C$238),TRUE,FALSE)</f>
        <v>0</v>
      </c>
      <c r="CI22" s="1002" t="b">
        <f>IF(AND(CI19,(($B$22*Inputs!$C$482)/IF($B$7=Inputs!$C$480,Inputs!$C$482,IF($B$7=Inputs!$C$482,Inputs!$C$480,Inputs!$C$481))+1)=CI8,Inputs!$C$238),TRUE,FALSE)</f>
        <v>0</v>
      </c>
      <c r="CJ22" s="1002" t="b">
        <f>IF(AND(CJ19,(($B$22*Inputs!$C$482)/IF($B$7=Inputs!$C$480,Inputs!$C$482,IF($B$7=Inputs!$C$482,Inputs!$C$480,Inputs!$C$481))+1)=CJ8,Inputs!$C$238),TRUE,FALSE)</f>
        <v>0</v>
      </c>
      <c r="CK22" s="1002" t="b">
        <f>IF(AND(CK19,(($B$22*Inputs!$C$482)/IF($B$7=Inputs!$C$480,Inputs!$C$482,IF($B$7=Inputs!$C$482,Inputs!$C$480,Inputs!$C$481))+1)=CK8,Inputs!$C$238),TRUE,FALSE)</f>
        <v>0</v>
      </c>
      <c r="CL22" s="1002" t="b">
        <f>IF(AND(CL19,(($B$22*Inputs!$C$482)/IF($B$7=Inputs!$C$480,Inputs!$C$482,IF($B$7=Inputs!$C$482,Inputs!$C$480,Inputs!$C$481))+1)=CL8,Inputs!$C$238),TRUE,FALSE)</f>
        <v>0</v>
      </c>
      <c r="CM22" s="1002" t="b">
        <f>IF(AND(CM19,(($B$22*Inputs!$C$482)/IF($B$7=Inputs!$C$480,Inputs!$C$482,IF($B$7=Inputs!$C$482,Inputs!$C$480,Inputs!$C$481))+1)=CM8,Inputs!$C$238),TRUE,FALSE)</f>
        <v>0</v>
      </c>
      <c r="CN22" s="1002" t="b">
        <f>IF(AND(CN19,(($B$22*Inputs!$C$482)/IF($B$7=Inputs!$C$480,Inputs!$C$482,IF($B$7=Inputs!$C$482,Inputs!$C$480,Inputs!$C$481))+1)=CN8,Inputs!$C$238),TRUE,FALSE)</f>
        <v>0</v>
      </c>
      <c r="CO22" s="1002" t="b">
        <f>IF(AND(CO19,(($B$22*Inputs!$C$482)/IF($B$7=Inputs!$C$480,Inputs!$C$482,IF($B$7=Inputs!$C$482,Inputs!$C$480,Inputs!$C$481))+1)=CO8,Inputs!$C$238),TRUE,FALSE)</f>
        <v>0</v>
      </c>
      <c r="CP22" s="1002" t="b">
        <f>IF(AND(CP19,(($B$22*Inputs!$C$482)/IF($B$7=Inputs!$C$480,Inputs!$C$482,IF($B$7=Inputs!$C$482,Inputs!$C$480,Inputs!$C$481))+1)=CP8,Inputs!$C$238),TRUE,FALSE)</f>
        <v>0</v>
      </c>
      <c r="CQ22" s="1002" t="b">
        <f>IF(AND(CQ19,(($B$22*Inputs!$C$482)/IF($B$7=Inputs!$C$480,Inputs!$C$482,IF($B$7=Inputs!$C$482,Inputs!$C$480,Inputs!$C$481))+1)=CQ8,Inputs!$C$238),TRUE,FALSE)</f>
        <v>0</v>
      </c>
      <c r="CR22" s="1002" t="b">
        <f>IF(AND(CR19,(($B$22*Inputs!$C$482)/IF($B$7=Inputs!$C$480,Inputs!$C$482,IF($B$7=Inputs!$C$482,Inputs!$C$480,Inputs!$C$481))+1)=CR8,Inputs!$C$238),TRUE,FALSE)</f>
        <v>0</v>
      </c>
      <c r="CS22" s="1002" t="b">
        <f>IF(AND(CS19,(($B$22*Inputs!$C$482)/IF($B$7=Inputs!$C$480,Inputs!$C$482,IF($B$7=Inputs!$C$482,Inputs!$C$480,Inputs!$C$481))+1)=CS8,Inputs!$C$238),TRUE,FALSE)</f>
        <v>0</v>
      </c>
      <c r="CT22" s="1002" t="b">
        <f>IF(AND(CT19,(($B$22*Inputs!$C$482)/IF($B$7=Inputs!$C$480,Inputs!$C$482,IF($B$7=Inputs!$C$482,Inputs!$C$480,Inputs!$C$481))+1)=CT8,Inputs!$C$238),TRUE,FALSE)</f>
        <v>0</v>
      </c>
      <c r="CU22" s="1002" t="b">
        <f>IF(AND(CU19,(($B$22*Inputs!$C$482)/IF($B$7=Inputs!$C$480,Inputs!$C$482,IF($B$7=Inputs!$C$482,Inputs!$C$480,Inputs!$C$481))+1)=CU8,Inputs!$C$238),TRUE,FALSE)</f>
        <v>0</v>
      </c>
      <c r="CV22" s="1002" t="b">
        <f>IF(AND(CV19,(($B$22*Inputs!$C$482)/IF($B$7=Inputs!$C$480,Inputs!$C$482,IF($B$7=Inputs!$C$482,Inputs!$C$480,Inputs!$C$481))+1)=CV8,Inputs!$C$238),TRUE,FALSE)</f>
        <v>0</v>
      </c>
      <c r="CW22" s="1002" t="b">
        <f>IF(AND(CW19,(($B$22*Inputs!$C$482)/IF($B$7=Inputs!$C$480,Inputs!$C$482,IF($B$7=Inputs!$C$482,Inputs!$C$480,Inputs!$C$481))+1)=CW8,Inputs!$C$238),TRUE,FALSE)</f>
        <v>0</v>
      </c>
      <c r="CX22" s="1002" t="b">
        <f>IF(AND(CX19,(($B$22*Inputs!$C$482)/IF($B$7=Inputs!$C$480,Inputs!$C$482,IF($B$7=Inputs!$C$482,Inputs!$C$480,Inputs!$C$481))+1)=CX8,Inputs!$C$238),TRUE,FALSE)</f>
        <v>0</v>
      </c>
      <c r="CY22" s="1002" t="b">
        <f>IF(AND(CY19,(($B$22*Inputs!$C$482)/IF($B$7=Inputs!$C$480,Inputs!$C$482,IF($B$7=Inputs!$C$482,Inputs!$C$480,Inputs!$C$481))+1)=CY8,Inputs!$C$238),TRUE,FALSE)</f>
        <v>0</v>
      </c>
      <c r="CZ22" s="1002" t="b">
        <f>IF(AND(CZ19,(($B$22*Inputs!$C$482)/IF($B$7=Inputs!$C$480,Inputs!$C$482,IF($B$7=Inputs!$C$482,Inputs!$C$480,Inputs!$C$481))+1)=CZ8,Inputs!$C$238),TRUE,FALSE)</f>
        <v>0</v>
      </c>
      <c r="DA22" s="1002" t="b">
        <f>IF(AND(DA19,(($B$22*Inputs!$C$482)/IF($B$7=Inputs!$C$480,Inputs!$C$482,IF($B$7=Inputs!$C$482,Inputs!$C$480,Inputs!$C$481))+1)=DA8,Inputs!$C$238),TRUE,FALSE)</f>
        <v>0</v>
      </c>
      <c r="DB22" s="1002" t="b">
        <f>IF(AND(DB19,(($B$22*Inputs!$C$482)/IF($B$7=Inputs!$C$480,Inputs!$C$482,IF($B$7=Inputs!$C$482,Inputs!$C$480,Inputs!$C$481))+1)=DB8,Inputs!$C$238),TRUE,FALSE)</f>
        <v>0</v>
      </c>
      <c r="DC22" s="1002" t="b">
        <f>IF(AND(DC19,(($B$22*Inputs!$C$482)/IF($B$7=Inputs!$C$480,Inputs!$C$482,IF($B$7=Inputs!$C$482,Inputs!$C$480,Inputs!$C$481))+1)=DC8,Inputs!$C$238),TRUE,FALSE)</f>
        <v>0</v>
      </c>
      <c r="DD22" s="1002" t="b">
        <f>IF(AND(DD19,(($B$22*Inputs!$C$482)/IF($B$7=Inputs!$C$480,Inputs!$C$482,IF($B$7=Inputs!$C$482,Inputs!$C$480,Inputs!$C$481))+1)=DD8,Inputs!$C$238),TRUE,FALSE)</f>
        <v>0</v>
      </c>
      <c r="DE22" s="1002" t="b">
        <f>IF(AND(DE19,(($B$22*Inputs!$C$482)/IF($B$7=Inputs!$C$480,Inputs!$C$482,IF($B$7=Inputs!$C$482,Inputs!$C$480,Inputs!$C$481))+1)=DE8,Inputs!$C$238),TRUE,FALSE)</f>
        <v>0</v>
      </c>
      <c r="DF22" s="1002" t="b">
        <f>IF(AND(DF19,(($B$22*Inputs!$C$482)/IF($B$7=Inputs!$C$480,Inputs!$C$482,IF($B$7=Inputs!$C$482,Inputs!$C$480,Inputs!$C$481))+1)=DF8,Inputs!$C$238),TRUE,FALSE)</f>
        <v>0</v>
      </c>
      <c r="DG22" s="1002" t="b">
        <f>IF(AND(DG19,(($B$22*Inputs!$C$482)/IF($B$7=Inputs!$C$480,Inputs!$C$482,IF($B$7=Inputs!$C$482,Inputs!$C$480,Inputs!$C$481))+1)=DG8,Inputs!$C$238),TRUE,FALSE)</f>
        <v>0</v>
      </c>
      <c r="DH22" s="1002" t="b">
        <f>IF(AND(DH19,(($B$22*Inputs!$C$482)/IF($B$7=Inputs!$C$480,Inputs!$C$482,IF($B$7=Inputs!$C$482,Inputs!$C$480,Inputs!$C$481))+1)=DH8,Inputs!$C$238),TRUE,FALSE)</f>
        <v>0</v>
      </c>
      <c r="DI22" s="1002" t="b">
        <f>IF(AND(DI19,(($B$22*Inputs!$C$482)/IF($B$7=Inputs!$C$480,Inputs!$C$482,IF($B$7=Inputs!$C$482,Inputs!$C$480,Inputs!$C$481))+1)=DI8,Inputs!$C$238),TRUE,FALSE)</f>
        <v>0</v>
      </c>
      <c r="DJ22" s="1002" t="b">
        <f>IF(AND(DJ19,(($B$22*Inputs!$C$482)/IF($B$7=Inputs!$C$480,Inputs!$C$482,IF($B$7=Inputs!$C$482,Inputs!$C$480,Inputs!$C$481))+1)=DJ8,Inputs!$C$238),TRUE,FALSE)</f>
        <v>0</v>
      </c>
      <c r="DK22" s="1002" t="b">
        <f>IF(AND(DK19,(($B$22*Inputs!$C$482)/IF($B$7=Inputs!$C$480,Inputs!$C$482,IF($B$7=Inputs!$C$482,Inputs!$C$480,Inputs!$C$481))+1)=DK8,Inputs!$C$238),TRUE,FALSE)</f>
        <v>0</v>
      </c>
      <c r="DL22" s="1002" t="b">
        <f>IF(AND(DL19,(($B$22*Inputs!$C$482)/IF($B$7=Inputs!$C$480,Inputs!$C$482,IF($B$7=Inputs!$C$482,Inputs!$C$480,Inputs!$C$481))+1)=DL8,Inputs!$C$238),TRUE,FALSE)</f>
        <v>0</v>
      </c>
      <c r="DM22" s="1002" t="b">
        <f>IF(AND(DM19,(($B$22*Inputs!$C$482)/IF($B$7=Inputs!$C$480,Inputs!$C$482,IF($B$7=Inputs!$C$482,Inputs!$C$480,Inputs!$C$481))+1)=DM8,Inputs!$C$238),TRUE,FALSE)</f>
        <v>0</v>
      </c>
      <c r="DN22" s="1002" t="b">
        <f>IF(AND(DN19,(($B$22*Inputs!$C$482)/IF($B$7=Inputs!$C$480,Inputs!$C$482,IF($B$7=Inputs!$C$482,Inputs!$C$480,Inputs!$C$481))+1)=DN8,Inputs!$C$238),TRUE,FALSE)</f>
        <v>0</v>
      </c>
      <c r="DO22" s="1002" t="b">
        <f>IF(AND(DO19,(($B$22*Inputs!$C$482)/IF($B$7=Inputs!$C$480,Inputs!$C$482,IF($B$7=Inputs!$C$482,Inputs!$C$480,Inputs!$C$481))+1)=DO8,Inputs!$C$238),TRUE,FALSE)</f>
        <v>0</v>
      </c>
      <c r="DP22" s="1002" t="b">
        <f>IF(AND(DP19,(($B$22*Inputs!$C$482)/IF($B$7=Inputs!$C$480,Inputs!$C$482,IF($B$7=Inputs!$C$482,Inputs!$C$480,Inputs!$C$481))+1)=DP8,Inputs!$C$238),TRUE,FALSE)</f>
        <v>0</v>
      </c>
      <c r="DQ22" s="1002" t="b">
        <f>IF(AND(DQ19,(($B$22*Inputs!$C$482)/IF($B$7=Inputs!$C$480,Inputs!$C$482,IF($B$7=Inputs!$C$482,Inputs!$C$480,Inputs!$C$481))+1)=DQ8,Inputs!$C$238),TRUE,FALSE)</f>
        <v>0</v>
      </c>
      <c r="DR22" s="1002" t="b">
        <f>IF(AND(DR19,(($B$22*Inputs!$C$482)/IF($B$7=Inputs!$C$480,Inputs!$C$482,IF($B$7=Inputs!$C$482,Inputs!$C$480,Inputs!$C$481))+1)=DR8,Inputs!$C$238),TRUE,FALSE)</f>
        <v>0</v>
      </c>
      <c r="DS22" s="1002" t="b">
        <f>IF(AND(DS19,(($B$22*Inputs!$C$482)/IF($B$7=Inputs!$C$480,Inputs!$C$482,IF($B$7=Inputs!$C$482,Inputs!$C$480,Inputs!$C$481))+1)=DS8,Inputs!$C$238),TRUE,FALSE)</f>
        <v>0</v>
      </c>
      <c r="DT22" s="1002" t="b">
        <f>IF(AND(DT19,(($B$22*Inputs!$C$482)/IF($B$7=Inputs!$C$480,Inputs!$C$482,IF($B$7=Inputs!$C$482,Inputs!$C$480,Inputs!$C$481))+1)=DT8,Inputs!$C$238),TRUE,FALSE)</f>
        <v>0</v>
      </c>
      <c r="DU22" s="1002" t="b">
        <f>IF(AND(DU19,(($B$22*Inputs!$C$482)/IF($B$7=Inputs!$C$480,Inputs!$C$482,IF($B$7=Inputs!$C$482,Inputs!$C$480,Inputs!$C$481))+1)=DU8,Inputs!$C$238),TRUE,FALSE)</f>
        <v>0</v>
      </c>
      <c r="DV22" s="1002" t="b">
        <f>IF(AND(DV19,(($B$22*Inputs!$C$482)/IF($B$7=Inputs!$C$480,Inputs!$C$482,IF($B$7=Inputs!$C$482,Inputs!$C$480,Inputs!$C$481))+1)=DV8,Inputs!$C$238),TRUE,FALSE)</f>
        <v>0</v>
      </c>
      <c r="DW22" s="1002" t="b">
        <f>IF(AND(DW19,(($B$22*Inputs!$C$482)/IF($B$7=Inputs!$C$480,Inputs!$C$482,IF($B$7=Inputs!$C$482,Inputs!$C$480,Inputs!$C$481))+1)=DW8,Inputs!$C$238),TRUE,FALSE)</f>
        <v>0</v>
      </c>
      <c r="DX22" s="579"/>
    </row>
    <row r="23" spans="1:139" s="310" customFormat="1">
      <c r="A23" s="304" t="s">
        <v>1225</v>
      </c>
      <c r="B23" s="983">
        <f>Inputs!$D$197</f>
        <v>52776</v>
      </c>
      <c r="C23" s="983"/>
      <c r="D23" s="581"/>
      <c r="E23" s="581"/>
      <c r="F23" s="329"/>
      <c r="G23" s="1005">
        <f t="shared" ref="G23:AL23" si="38">(G$6-G$5+1)/bank_year</f>
        <v>1.0194444444444444</v>
      </c>
      <c r="H23" s="1005">
        <f t="shared" si="38"/>
        <v>0.51111111111111107</v>
      </c>
      <c r="I23" s="1005">
        <f t="shared" si="38"/>
        <v>0.50277777777777777</v>
      </c>
      <c r="J23" s="1005">
        <f t="shared" si="38"/>
        <v>0.51111111111111107</v>
      </c>
      <c r="K23" s="1005">
        <f t="shared" si="38"/>
        <v>0.50555555555555554</v>
      </c>
      <c r="L23" s="1005">
        <f t="shared" si="38"/>
        <v>0.51111111111111107</v>
      </c>
      <c r="M23" s="1005">
        <f t="shared" si="38"/>
        <v>0.50277777777777777</v>
      </c>
      <c r="N23" s="1005">
        <f t="shared" si="38"/>
        <v>0.51111111111111107</v>
      </c>
      <c r="O23" s="1005">
        <f t="shared" si="38"/>
        <v>0.50277777777777777</v>
      </c>
      <c r="P23" s="1005">
        <f t="shared" si="38"/>
        <v>0.51111111111111107</v>
      </c>
      <c r="Q23" s="1005">
        <f t="shared" si="38"/>
        <v>0.50277777777777777</v>
      </c>
      <c r="R23" s="1005">
        <f t="shared" si="38"/>
        <v>0.51111111111111107</v>
      </c>
      <c r="S23" s="1005">
        <f t="shared" si="38"/>
        <v>0.50555555555555554</v>
      </c>
      <c r="T23" s="1005">
        <f t="shared" si="38"/>
        <v>0.51111111111111107</v>
      </c>
      <c r="U23" s="1005">
        <f t="shared" si="38"/>
        <v>0.50277777777777777</v>
      </c>
      <c r="V23" s="1005">
        <f t="shared" si="38"/>
        <v>0.51111111111111107</v>
      </c>
      <c r="W23" s="1005">
        <f t="shared" si="38"/>
        <v>0.50277777777777777</v>
      </c>
      <c r="X23" s="1005">
        <f t="shared" si="38"/>
        <v>0.51111111111111107</v>
      </c>
      <c r="Y23" s="1005">
        <f t="shared" si="38"/>
        <v>0.50277777777777777</v>
      </c>
      <c r="Z23" s="1005">
        <f t="shared" si="38"/>
        <v>0.51111111111111107</v>
      </c>
      <c r="AA23" s="1005">
        <f t="shared" si="38"/>
        <v>0.50555555555555554</v>
      </c>
      <c r="AB23" s="1005">
        <f t="shared" si="38"/>
        <v>0.51111111111111107</v>
      </c>
      <c r="AC23" s="1005">
        <f t="shared" si="38"/>
        <v>0.50277777777777777</v>
      </c>
      <c r="AD23" s="1005">
        <f t="shared" si="38"/>
        <v>0.51111111111111107</v>
      </c>
      <c r="AE23" s="1005">
        <f t="shared" si="38"/>
        <v>0.50277777777777777</v>
      </c>
      <c r="AF23" s="1005">
        <f t="shared" si="38"/>
        <v>0.51111111111111107</v>
      </c>
      <c r="AG23" s="1005">
        <f t="shared" si="38"/>
        <v>0.50277777777777777</v>
      </c>
      <c r="AH23" s="1005">
        <f t="shared" si="38"/>
        <v>0.51111111111111107</v>
      </c>
      <c r="AI23" s="1005">
        <f t="shared" si="38"/>
        <v>0.50555555555555554</v>
      </c>
      <c r="AJ23" s="1005">
        <f t="shared" si="38"/>
        <v>0.51111111111111107</v>
      </c>
      <c r="AK23" s="1005">
        <f t="shared" si="38"/>
        <v>0.50277777777777777</v>
      </c>
      <c r="AL23" s="1005">
        <f t="shared" si="38"/>
        <v>0.51111111111111107</v>
      </c>
      <c r="AM23" s="1005">
        <f t="shared" ref="AM23:BR23" si="39">(AM$6-AM$5+1)/bank_year</f>
        <v>0.50277777777777777</v>
      </c>
      <c r="AN23" s="1005">
        <f t="shared" si="39"/>
        <v>0.51111111111111107</v>
      </c>
      <c r="AO23" s="1005">
        <f t="shared" si="39"/>
        <v>0.50277777777777777</v>
      </c>
      <c r="AP23" s="1005">
        <f t="shared" si="39"/>
        <v>0.51111111111111107</v>
      </c>
      <c r="AQ23" s="1005">
        <f t="shared" si="39"/>
        <v>0.50555555555555554</v>
      </c>
      <c r="AR23" s="1005">
        <f t="shared" si="39"/>
        <v>0.51111111111111107</v>
      </c>
      <c r="AS23" s="1005">
        <f t="shared" si="39"/>
        <v>0.50277777777777777</v>
      </c>
      <c r="AT23" s="1005">
        <f t="shared" si="39"/>
        <v>0.51111111111111107</v>
      </c>
      <c r="AU23" s="1005">
        <f t="shared" si="39"/>
        <v>0.50277777777777777</v>
      </c>
      <c r="AV23" s="1005">
        <f t="shared" si="39"/>
        <v>0.51111111111111107</v>
      </c>
      <c r="AW23" s="1005">
        <f t="shared" si="39"/>
        <v>0.50277777777777777</v>
      </c>
      <c r="AX23" s="1005">
        <f t="shared" si="39"/>
        <v>0.51111111111111107</v>
      </c>
      <c r="AY23" s="1005">
        <f t="shared" si="39"/>
        <v>0.50555555555555554</v>
      </c>
      <c r="AZ23" s="1005">
        <f t="shared" si="39"/>
        <v>0.51111111111111107</v>
      </c>
      <c r="BA23" s="1005">
        <f t="shared" si="39"/>
        <v>0.50277777777777777</v>
      </c>
      <c r="BB23" s="1005">
        <f t="shared" si="39"/>
        <v>0.51111111111111107</v>
      </c>
      <c r="BC23" s="1005">
        <f t="shared" si="39"/>
        <v>0.50277777777777777</v>
      </c>
      <c r="BD23" s="1005">
        <f t="shared" si="39"/>
        <v>0.51111111111111107</v>
      </c>
      <c r="BE23" s="1005">
        <f t="shared" si="39"/>
        <v>0.50277777777777777</v>
      </c>
      <c r="BF23" s="1005">
        <f t="shared" si="39"/>
        <v>0.51111111111111107</v>
      </c>
      <c r="BG23" s="1005">
        <f t="shared" si="39"/>
        <v>0.50555555555555554</v>
      </c>
      <c r="BH23" s="1005">
        <f t="shared" si="39"/>
        <v>0.51111111111111107</v>
      </c>
      <c r="BI23" s="1005">
        <f t="shared" si="39"/>
        <v>0.50277777777777777</v>
      </c>
      <c r="BJ23" s="1005">
        <f t="shared" si="39"/>
        <v>0.51111111111111107</v>
      </c>
      <c r="BK23" s="1005">
        <f t="shared" si="39"/>
        <v>0.50277777777777777</v>
      </c>
      <c r="BL23" s="1005">
        <f t="shared" si="39"/>
        <v>0.51111111111111107</v>
      </c>
      <c r="BM23" s="1005">
        <f t="shared" si="39"/>
        <v>0.50277777777777777</v>
      </c>
      <c r="BN23" s="1005">
        <f t="shared" si="39"/>
        <v>0.51111111111111107</v>
      </c>
      <c r="BO23" s="1005">
        <f t="shared" si="39"/>
        <v>0.50555555555555554</v>
      </c>
      <c r="BP23" s="1005">
        <f t="shared" si="39"/>
        <v>0.51111111111111107</v>
      </c>
      <c r="BQ23" s="1005">
        <f t="shared" si="39"/>
        <v>0.50277777777777777</v>
      </c>
      <c r="BR23" s="1005">
        <f t="shared" si="39"/>
        <v>0.51111111111111107</v>
      </c>
      <c r="BS23" s="1005">
        <f t="shared" ref="BS23:CX23" si="40">(BS$6-BS$5+1)/bank_year</f>
        <v>0.50277777777777777</v>
      </c>
      <c r="BT23" s="1005">
        <f t="shared" si="40"/>
        <v>0.51111111111111107</v>
      </c>
      <c r="BU23" s="1005">
        <f t="shared" si="40"/>
        <v>0.50277777777777777</v>
      </c>
      <c r="BV23" s="1005">
        <f t="shared" si="40"/>
        <v>0.51111111111111107</v>
      </c>
      <c r="BW23" s="1005">
        <f t="shared" si="40"/>
        <v>0.50555555555555554</v>
      </c>
      <c r="BX23" s="1005">
        <f t="shared" si="40"/>
        <v>0.51111111111111107</v>
      </c>
      <c r="BY23" s="1005">
        <f t="shared" si="40"/>
        <v>0.50277777777777777</v>
      </c>
      <c r="BZ23" s="1005">
        <f t="shared" si="40"/>
        <v>0.51111111111111107</v>
      </c>
      <c r="CA23" s="1005">
        <f t="shared" si="40"/>
        <v>0.50277777777777777</v>
      </c>
      <c r="CB23" s="1005">
        <f t="shared" si="40"/>
        <v>0.51111111111111107</v>
      </c>
      <c r="CC23" s="1005">
        <f t="shared" si="40"/>
        <v>0.50277777777777777</v>
      </c>
      <c r="CD23" s="1005">
        <f t="shared" si="40"/>
        <v>0.51111111111111107</v>
      </c>
      <c r="CE23" s="1005">
        <f t="shared" si="40"/>
        <v>0.50555555555555554</v>
      </c>
      <c r="CF23" s="1005">
        <f t="shared" si="40"/>
        <v>0.51111111111111107</v>
      </c>
      <c r="CG23" s="1005">
        <f t="shared" si="40"/>
        <v>0.50277777777777777</v>
      </c>
      <c r="CH23" s="1005">
        <f t="shared" si="40"/>
        <v>0.51111111111111107</v>
      </c>
      <c r="CI23" s="1005">
        <f t="shared" si="40"/>
        <v>0.50277777777777777</v>
      </c>
      <c r="CJ23" s="1005">
        <f t="shared" si="40"/>
        <v>0.51111111111111107</v>
      </c>
      <c r="CK23" s="1005">
        <f t="shared" si="40"/>
        <v>0.50277777777777777</v>
      </c>
      <c r="CL23" s="1005">
        <f t="shared" si="40"/>
        <v>0.51111111111111107</v>
      </c>
      <c r="CM23" s="1005">
        <f t="shared" si="40"/>
        <v>0.50555555555555554</v>
      </c>
      <c r="CN23" s="1005">
        <f t="shared" si="40"/>
        <v>0.51111111111111107</v>
      </c>
      <c r="CO23" s="1005">
        <f t="shared" si="40"/>
        <v>0.50277777777777777</v>
      </c>
      <c r="CP23" s="1005">
        <f t="shared" si="40"/>
        <v>0.51111111111111107</v>
      </c>
      <c r="CQ23" s="1005">
        <f t="shared" si="40"/>
        <v>0.50277777777777777</v>
      </c>
      <c r="CR23" s="1005">
        <f t="shared" si="40"/>
        <v>0.51111111111111107</v>
      </c>
      <c r="CS23" s="1005">
        <f t="shared" si="40"/>
        <v>0.50277777777777777</v>
      </c>
      <c r="CT23" s="1005">
        <f t="shared" si="40"/>
        <v>0.51111111111111107</v>
      </c>
      <c r="CU23" s="1005">
        <f t="shared" si="40"/>
        <v>0.50555555555555554</v>
      </c>
      <c r="CV23" s="1005">
        <f t="shared" si="40"/>
        <v>0.51111111111111107</v>
      </c>
      <c r="CW23" s="1005">
        <f t="shared" si="40"/>
        <v>0.50277777777777777</v>
      </c>
      <c r="CX23" s="1005">
        <f t="shared" si="40"/>
        <v>0.51111111111111107</v>
      </c>
      <c r="CY23" s="1005">
        <f t="shared" ref="CY23:DW23" si="41">(CY$6-CY$5+1)/bank_year</f>
        <v>0.50277777777777777</v>
      </c>
      <c r="CZ23" s="1005">
        <f t="shared" si="41"/>
        <v>0.51111111111111107</v>
      </c>
      <c r="DA23" s="1005">
        <f t="shared" si="41"/>
        <v>0.50277777777777777</v>
      </c>
      <c r="DB23" s="1005">
        <f t="shared" si="41"/>
        <v>0.51111111111111107</v>
      </c>
      <c r="DC23" s="1005">
        <f t="shared" si="41"/>
        <v>0.50555555555555554</v>
      </c>
      <c r="DD23" s="1005">
        <f t="shared" si="41"/>
        <v>0.51111111111111107</v>
      </c>
      <c r="DE23" s="1005">
        <f t="shared" si="41"/>
        <v>0.50277777777777777</v>
      </c>
      <c r="DF23" s="1005">
        <f t="shared" si="41"/>
        <v>0.51111111111111107</v>
      </c>
      <c r="DG23" s="1005">
        <f t="shared" si="41"/>
        <v>0.50277777777777777</v>
      </c>
      <c r="DH23" s="1005">
        <f t="shared" si="41"/>
        <v>0.51111111111111107</v>
      </c>
      <c r="DI23" s="1005">
        <f t="shared" si="41"/>
        <v>0.50277777777777777</v>
      </c>
      <c r="DJ23" s="1005">
        <f t="shared" si="41"/>
        <v>0.51111111111111107</v>
      </c>
      <c r="DK23" s="1005">
        <f t="shared" si="41"/>
        <v>0.50555555555555554</v>
      </c>
      <c r="DL23" s="1005">
        <f t="shared" si="41"/>
        <v>0.51111111111111107</v>
      </c>
      <c r="DM23" s="1005">
        <f t="shared" si="41"/>
        <v>0.50277777777777777</v>
      </c>
      <c r="DN23" s="1005">
        <f t="shared" si="41"/>
        <v>0.51111111111111107</v>
      </c>
      <c r="DO23" s="1005">
        <f t="shared" si="41"/>
        <v>0.50277777777777777</v>
      </c>
      <c r="DP23" s="1005">
        <f t="shared" si="41"/>
        <v>0.51111111111111107</v>
      </c>
      <c r="DQ23" s="1005">
        <f t="shared" si="41"/>
        <v>0.50277777777777777</v>
      </c>
      <c r="DR23" s="1005">
        <f t="shared" si="41"/>
        <v>0.51111111111111107</v>
      </c>
      <c r="DS23" s="1005">
        <f t="shared" si="41"/>
        <v>0.50555555555555554</v>
      </c>
      <c r="DT23" s="1005">
        <f t="shared" si="41"/>
        <v>0.51111111111111107</v>
      </c>
      <c r="DU23" s="1005">
        <f t="shared" si="41"/>
        <v>0.50277777777777777</v>
      </c>
      <c r="DV23" s="1005">
        <f t="shared" si="41"/>
        <v>0.51111111111111107</v>
      </c>
      <c r="DW23" s="1005">
        <f t="shared" si="41"/>
        <v>0.50277777777777777</v>
      </c>
      <c r="DX23" s="579"/>
    </row>
    <row r="24" spans="1:139" s="310" customFormat="1">
      <c r="A24" s="304" t="s">
        <v>1345</v>
      </c>
      <c r="B24" s="983"/>
      <c r="C24" s="983"/>
      <c r="D24" s="581"/>
      <c r="E24" s="581"/>
      <c r="F24" s="329"/>
      <c r="G24" s="1022">
        <f t="shared" ref="G24:AL24" si="42">IF(AND(G$6&gt;=$B23,G$5&lt;$B23),($B23-G$5)/(G$6-G$5),1)*(G$7&gt;0)*(G$7&lt;$B19+(0.6/$B$7))</f>
        <v>0</v>
      </c>
      <c r="H24" s="1022">
        <f t="shared" si="42"/>
        <v>1</v>
      </c>
      <c r="I24" s="1022">
        <f t="shared" si="42"/>
        <v>1</v>
      </c>
      <c r="J24" s="1022">
        <f t="shared" si="42"/>
        <v>1</v>
      </c>
      <c r="K24" s="1022">
        <f t="shared" si="42"/>
        <v>1</v>
      </c>
      <c r="L24" s="1022">
        <f t="shared" si="42"/>
        <v>1</v>
      </c>
      <c r="M24" s="1022">
        <f t="shared" si="42"/>
        <v>1</v>
      </c>
      <c r="N24" s="1022">
        <f t="shared" si="42"/>
        <v>1</v>
      </c>
      <c r="O24" s="1022">
        <f t="shared" si="42"/>
        <v>1</v>
      </c>
      <c r="P24" s="1022">
        <f t="shared" si="42"/>
        <v>1</v>
      </c>
      <c r="Q24" s="1022">
        <f t="shared" si="42"/>
        <v>1</v>
      </c>
      <c r="R24" s="1022">
        <f t="shared" si="42"/>
        <v>1</v>
      </c>
      <c r="S24" s="1022">
        <f t="shared" si="42"/>
        <v>1</v>
      </c>
      <c r="T24" s="1022">
        <f t="shared" si="42"/>
        <v>1</v>
      </c>
      <c r="U24" s="1022">
        <f t="shared" si="42"/>
        <v>1</v>
      </c>
      <c r="V24" s="1022">
        <f t="shared" si="42"/>
        <v>1</v>
      </c>
      <c r="W24" s="1022">
        <f t="shared" si="42"/>
        <v>1</v>
      </c>
      <c r="X24" s="1022">
        <f t="shared" si="42"/>
        <v>1</v>
      </c>
      <c r="Y24" s="1022">
        <f t="shared" si="42"/>
        <v>1</v>
      </c>
      <c r="Z24" s="1022">
        <f t="shared" si="42"/>
        <v>1</v>
      </c>
      <c r="AA24" s="1022">
        <f t="shared" si="42"/>
        <v>1</v>
      </c>
      <c r="AB24" s="1022">
        <f t="shared" si="42"/>
        <v>1</v>
      </c>
      <c r="AC24" s="1022">
        <f t="shared" si="42"/>
        <v>1</v>
      </c>
      <c r="AD24" s="1022">
        <f t="shared" si="42"/>
        <v>1</v>
      </c>
      <c r="AE24" s="1022">
        <f t="shared" si="42"/>
        <v>1</v>
      </c>
      <c r="AF24" s="1022">
        <f t="shared" si="42"/>
        <v>1</v>
      </c>
      <c r="AG24" s="1022">
        <f t="shared" si="42"/>
        <v>1</v>
      </c>
      <c r="AH24" s="1022">
        <f t="shared" si="42"/>
        <v>1</v>
      </c>
      <c r="AI24" s="1022">
        <f t="shared" si="42"/>
        <v>0.98895027624309395</v>
      </c>
      <c r="AJ24" s="1022">
        <f t="shared" si="42"/>
        <v>0</v>
      </c>
      <c r="AK24" s="1022">
        <f t="shared" si="42"/>
        <v>0</v>
      </c>
      <c r="AL24" s="1022">
        <f t="shared" si="42"/>
        <v>0</v>
      </c>
      <c r="AM24" s="1022">
        <f t="shared" ref="AM24:BR24" si="43">IF(AND(AM$6&gt;=$B23,AM$5&lt;$B23),($B23-AM$5)/(AM$6-AM$5),1)*(AM$7&gt;0)*(AM$7&lt;$B19+(0.6/$B$7))</f>
        <v>0</v>
      </c>
      <c r="AN24" s="1022">
        <f t="shared" si="43"/>
        <v>0</v>
      </c>
      <c r="AO24" s="1022">
        <f t="shared" si="43"/>
        <v>0</v>
      </c>
      <c r="AP24" s="1022">
        <f t="shared" si="43"/>
        <v>0</v>
      </c>
      <c r="AQ24" s="1022">
        <f t="shared" si="43"/>
        <v>0</v>
      </c>
      <c r="AR24" s="1022">
        <f t="shared" si="43"/>
        <v>0</v>
      </c>
      <c r="AS24" s="1022">
        <f t="shared" si="43"/>
        <v>0</v>
      </c>
      <c r="AT24" s="1022">
        <f t="shared" si="43"/>
        <v>0</v>
      </c>
      <c r="AU24" s="1022">
        <f t="shared" si="43"/>
        <v>0</v>
      </c>
      <c r="AV24" s="1022">
        <f t="shared" si="43"/>
        <v>0</v>
      </c>
      <c r="AW24" s="1022">
        <f t="shared" si="43"/>
        <v>0</v>
      </c>
      <c r="AX24" s="1022">
        <f t="shared" si="43"/>
        <v>0</v>
      </c>
      <c r="AY24" s="1022">
        <f t="shared" si="43"/>
        <v>0</v>
      </c>
      <c r="AZ24" s="1022">
        <f t="shared" si="43"/>
        <v>0</v>
      </c>
      <c r="BA24" s="1022">
        <f t="shared" si="43"/>
        <v>0</v>
      </c>
      <c r="BB24" s="1022">
        <f t="shared" si="43"/>
        <v>0</v>
      </c>
      <c r="BC24" s="1022">
        <f t="shared" si="43"/>
        <v>0</v>
      </c>
      <c r="BD24" s="1022">
        <f t="shared" si="43"/>
        <v>0</v>
      </c>
      <c r="BE24" s="1022">
        <f t="shared" si="43"/>
        <v>0</v>
      </c>
      <c r="BF24" s="1022">
        <f t="shared" si="43"/>
        <v>0</v>
      </c>
      <c r="BG24" s="1022">
        <f t="shared" si="43"/>
        <v>0</v>
      </c>
      <c r="BH24" s="1022">
        <f t="shared" si="43"/>
        <v>0</v>
      </c>
      <c r="BI24" s="1022">
        <f t="shared" si="43"/>
        <v>0</v>
      </c>
      <c r="BJ24" s="1022">
        <f t="shared" si="43"/>
        <v>0</v>
      </c>
      <c r="BK24" s="1022">
        <f t="shared" si="43"/>
        <v>0</v>
      </c>
      <c r="BL24" s="1022">
        <f t="shared" si="43"/>
        <v>0</v>
      </c>
      <c r="BM24" s="1022">
        <f t="shared" si="43"/>
        <v>0</v>
      </c>
      <c r="BN24" s="1022">
        <f t="shared" si="43"/>
        <v>0</v>
      </c>
      <c r="BO24" s="1022">
        <f t="shared" si="43"/>
        <v>0</v>
      </c>
      <c r="BP24" s="1022">
        <f t="shared" si="43"/>
        <v>0</v>
      </c>
      <c r="BQ24" s="1022">
        <f t="shared" si="43"/>
        <v>0</v>
      </c>
      <c r="BR24" s="1022">
        <f t="shared" si="43"/>
        <v>0</v>
      </c>
      <c r="BS24" s="1022">
        <f t="shared" ref="BS24:CX24" si="44">IF(AND(BS$6&gt;=$B23,BS$5&lt;$B23),($B23-BS$5)/(BS$6-BS$5),1)*(BS$7&gt;0)*(BS$7&lt;$B19+(0.6/$B$7))</f>
        <v>0</v>
      </c>
      <c r="BT24" s="1022">
        <f t="shared" si="44"/>
        <v>0</v>
      </c>
      <c r="BU24" s="1022">
        <f t="shared" si="44"/>
        <v>0</v>
      </c>
      <c r="BV24" s="1022">
        <f t="shared" si="44"/>
        <v>0</v>
      </c>
      <c r="BW24" s="1022">
        <f t="shared" si="44"/>
        <v>0</v>
      </c>
      <c r="BX24" s="1022">
        <f t="shared" si="44"/>
        <v>0</v>
      </c>
      <c r="BY24" s="1022">
        <f t="shared" si="44"/>
        <v>0</v>
      </c>
      <c r="BZ24" s="1022">
        <f t="shared" si="44"/>
        <v>0</v>
      </c>
      <c r="CA24" s="1022">
        <f t="shared" si="44"/>
        <v>0</v>
      </c>
      <c r="CB24" s="1022">
        <f t="shared" si="44"/>
        <v>0</v>
      </c>
      <c r="CC24" s="1022">
        <f t="shared" si="44"/>
        <v>0</v>
      </c>
      <c r="CD24" s="1022">
        <f t="shared" si="44"/>
        <v>0</v>
      </c>
      <c r="CE24" s="1022">
        <f t="shared" si="44"/>
        <v>0</v>
      </c>
      <c r="CF24" s="1022">
        <f t="shared" si="44"/>
        <v>0</v>
      </c>
      <c r="CG24" s="1022">
        <f t="shared" si="44"/>
        <v>0</v>
      </c>
      <c r="CH24" s="1022">
        <f t="shared" si="44"/>
        <v>0</v>
      </c>
      <c r="CI24" s="1022">
        <f t="shared" si="44"/>
        <v>0</v>
      </c>
      <c r="CJ24" s="1022">
        <f t="shared" si="44"/>
        <v>0</v>
      </c>
      <c r="CK24" s="1022">
        <f t="shared" si="44"/>
        <v>0</v>
      </c>
      <c r="CL24" s="1022">
        <f t="shared" si="44"/>
        <v>0</v>
      </c>
      <c r="CM24" s="1022">
        <f t="shared" si="44"/>
        <v>0</v>
      </c>
      <c r="CN24" s="1022">
        <f t="shared" si="44"/>
        <v>0</v>
      </c>
      <c r="CO24" s="1022">
        <f t="shared" si="44"/>
        <v>0</v>
      </c>
      <c r="CP24" s="1022">
        <f t="shared" si="44"/>
        <v>0</v>
      </c>
      <c r="CQ24" s="1022">
        <f t="shared" si="44"/>
        <v>0</v>
      </c>
      <c r="CR24" s="1022">
        <f t="shared" si="44"/>
        <v>0</v>
      </c>
      <c r="CS24" s="1022">
        <f t="shared" si="44"/>
        <v>0</v>
      </c>
      <c r="CT24" s="1022">
        <f t="shared" si="44"/>
        <v>0</v>
      </c>
      <c r="CU24" s="1022">
        <f t="shared" si="44"/>
        <v>0</v>
      </c>
      <c r="CV24" s="1022">
        <f t="shared" si="44"/>
        <v>0</v>
      </c>
      <c r="CW24" s="1022">
        <f t="shared" si="44"/>
        <v>0</v>
      </c>
      <c r="CX24" s="1022">
        <f t="shared" si="44"/>
        <v>0</v>
      </c>
      <c r="CY24" s="1022">
        <f t="shared" ref="CY24:DW24" si="45">IF(AND(CY$6&gt;=$B23,CY$5&lt;$B23),($B23-CY$5)/(CY$6-CY$5),1)*(CY$7&gt;0)*(CY$7&lt;$B19+(0.6/$B$7))</f>
        <v>0</v>
      </c>
      <c r="CZ24" s="1022">
        <f t="shared" si="45"/>
        <v>0</v>
      </c>
      <c r="DA24" s="1022">
        <f t="shared" si="45"/>
        <v>0</v>
      </c>
      <c r="DB24" s="1022">
        <f t="shared" si="45"/>
        <v>0</v>
      </c>
      <c r="DC24" s="1022">
        <f t="shared" si="45"/>
        <v>0</v>
      </c>
      <c r="DD24" s="1022">
        <f t="shared" si="45"/>
        <v>0</v>
      </c>
      <c r="DE24" s="1022">
        <f t="shared" si="45"/>
        <v>0</v>
      </c>
      <c r="DF24" s="1022">
        <f t="shared" si="45"/>
        <v>0</v>
      </c>
      <c r="DG24" s="1022">
        <f t="shared" si="45"/>
        <v>0</v>
      </c>
      <c r="DH24" s="1022">
        <f t="shared" si="45"/>
        <v>0</v>
      </c>
      <c r="DI24" s="1022">
        <f t="shared" si="45"/>
        <v>0</v>
      </c>
      <c r="DJ24" s="1022">
        <f t="shared" si="45"/>
        <v>0</v>
      </c>
      <c r="DK24" s="1022">
        <f t="shared" si="45"/>
        <v>0</v>
      </c>
      <c r="DL24" s="1022">
        <f t="shared" si="45"/>
        <v>0</v>
      </c>
      <c r="DM24" s="1022">
        <f t="shared" si="45"/>
        <v>0</v>
      </c>
      <c r="DN24" s="1022">
        <f t="shared" si="45"/>
        <v>0</v>
      </c>
      <c r="DO24" s="1022">
        <f t="shared" si="45"/>
        <v>0</v>
      </c>
      <c r="DP24" s="1022">
        <f t="shared" si="45"/>
        <v>0</v>
      </c>
      <c r="DQ24" s="1022">
        <f t="shared" si="45"/>
        <v>0</v>
      </c>
      <c r="DR24" s="1022">
        <f t="shared" si="45"/>
        <v>0</v>
      </c>
      <c r="DS24" s="1022">
        <f t="shared" si="45"/>
        <v>0</v>
      </c>
      <c r="DT24" s="1022">
        <f t="shared" si="45"/>
        <v>0</v>
      </c>
      <c r="DU24" s="1022">
        <f t="shared" si="45"/>
        <v>0</v>
      </c>
      <c r="DV24" s="1022">
        <f t="shared" si="45"/>
        <v>0</v>
      </c>
      <c r="DW24" s="1022">
        <f t="shared" si="45"/>
        <v>0</v>
      </c>
      <c r="DX24" s="579"/>
    </row>
    <row r="25" spans="1:139">
      <c r="B25" s="927"/>
      <c r="C25" s="927"/>
      <c r="D25" s="584"/>
      <c r="E25" s="584"/>
      <c r="F25" s="585"/>
      <c r="G25" s="973"/>
      <c r="H25" s="973"/>
      <c r="I25" s="973"/>
      <c r="J25" s="973"/>
      <c r="K25" s="973"/>
      <c r="L25" s="973"/>
      <c r="M25" s="973"/>
      <c r="N25" s="973"/>
      <c r="O25" s="973"/>
      <c r="P25" s="973"/>
      <c r="Q25" s="973"/>
      <c r="R25" s="973"/>
      <c r="S25" s="973"/>
      <c r="T25" s="973"/>
      <c r="U25" s="973"/>
      <c r="V25" s="973"/>
      <c r="W25" s="973"/>
      <c r="X25" s="973"/>
      <c r="Y25" s="973"/>
      <c r="Z25" s="973"/>
      <c r="AA25" s="973"/>
      <c r="AB25" s="973"/>
      <c r="AC25" s="973"/>
      <c r="AD25" s="973"/>
      <c r="AE25" s="973"/>
      <c r="AF25" s="973"/>
      <c r="AG25" s="973"/>
      <c r="AH25" s="973"/>
      <c r="AI25" s="973"/>
      <c r="AJ25" s="973"/>
      <c r="AK25" s="973"/>
      <c r="AL25" s="973"/>
      <c r="AM25" s="973"/>
      <c r="AN25" s="973"/>
      <c r="AO25" s="973"/>
      <c r="AP25" s="973"/>
      <c r="AQ25" s="973"/>
      <c r="AR25" s="973"/>
      <c r="AS25" s="973"/>
      <c r="AT25" s="973"/>
      <c r="AU25" s="973"/>
      <c r="AV25" s="973"/>
      <c r="AW25" s="973"/>
      <c r="AX25" s="973"/>
      <c r="AY25" s="973"/>
      <c r="AZ25" s="973"/>
      <c r="BA25" s="973"/>
      <c r="BB25" s="973"/>
      <c r="BC25" s="973"/>
      <c r="BD25" s="973"/>
      <c r="BE25" s="973"/>
      <c r="BF25" s="973"/>
      <c r="BG25" s="973"/>
      <c r="BH25" s="973"/>
      <c r="BI25" s="973"/>
      <c r="BJ25" s="973"/>
      <c r="BK25" s="973"/>
      <c r="BL25" s="973"/>
      <c r="BM25" s="973"/>
      <c r="BN25" s="973"/>
      <c r="BO25" s="973"/>
      <c r="BP25" s="973"/>
      <c r="BQ25" s="973"/>
      <c r="BR25" s="973"/>
      <c r="BS25" s="973"/>
      <c r="BT25" s="973"/>
      <c r="BU25" s="973"/>
      <c r="BV25" s="973"/>
      <c r="BW25" s="973"/>
      <c r="BX25" s="973"/>
      <c r="BY25" s="973"/>
      <c r="BZ25" s="973"/>
      <c r="CA25" s="973"/>
      <c r="CB25" s="973"/>
      <c r="CC25" s="973"/>
      <c r="CD25" s="973"/>
      <c r="CE25" s="973"/>
      <c r="CF25" s="973"/>
      <c r="CG25" s="973"/>
      <c r="CH25" s="973"/>
      <c r="CI25" s="973"/>
      <c r="CJ25" s="973"/>
      <c r="CK25" s="973"/>
      <c r="CL25" s="973"/>
      <c r="CM25" s="973"/>
      <c r="CN25" s="973"/>
      <c r="CO25" s="973"/>
      <c r="CP25" s="973"/>
      <c r="CQ25" s="973"/>
      <c r="CR25" s="973"/>
      <c r="CS25" s="973"/>
      <c r="CT25" s="973"/>
      <c r="CU25" s="973"/>
      <c r="CV25" s="973"/>
      <c r="CW25" s="973"/>
      <c r="CX25" s="973"/>
      <c r="CY25" s="973"/>
      <c r="CZ25" s="973"/>
      <c r="DA25" s="973"/>
      <c r="DB25" s="973"/>
      <c r="DC25" s="973"/>
      <c r="DD25" s="973"/>
      <c r="DE25" s="973"/>
      <c r="DF25" s="973"/>
      <c r="DG25" s="973"/>
      <c r="DH25" s="973"/>
      <c r="DI25" s="973"/>
      <c r="DJ25" s="973"/>
      <c r="DK25" s="973"/>
      <c r="DL25" s="973"/>
      <c r="DM25" s="973"/>
      <c r="DN25" s="973"/>
      <c r="DO25" s="973"/>
      <c r="DP25" s="973"/>
      <c r="DQ25" s="973"/>
      <c r="DR25" s="973"/>
      <c r="DS25" s="973"/>
      <c r="DT25" s="973"/>
      <c r="DU25" s="973"/>
      <c r="DV25" s="973"/>
      <c r="DW25" s="973"/>
      <c r="DX25" s="579"/>
    </row>
    <row r="26" spans="1:139">
      <c r="A26" s="304" t="s">
        <v>1346</v>
      </c>
      <c r="B26" s="927">
        <f>Inputs!D259</f>
        <v>7</v>
      </c>
      <c r="C26" s="927"/>
      <c r="D26" s="588"/>
      <c r="E26" s="588"/>
      <c r="F26" s="906"/>
      <c r="G26" s="1002" t="b">
        <f t="shared" ref="G26:AL26" si="46">IF(AND(G8&gt;0,G8&lt;=$B$26*$B$7),TRUE,FALSE)</f>
        <v>0</v>
      </c>
      <c r="H26" s="1002" t="b">
        <f t="shared" si="46"/>
        <v>1</v>
      </c>
      <c r="I26" s="1002" t="b">
        <f t="shared" si="46"/>
        <v>1</v>
      </c>
      <c r="J26" s="1002" t="b">
        <f t="shared" si="46"/>
        <v>1</v>
      </c>
      <c r="K26" s="1002" t="b">
        <f t="shared" si="46"/>
        <v>1</v>
      </c>
      <c r="L26" s="1002" t="b">
        <f t="shared" si="46"/>
        <v>1</v>
      </c>
      <c r="M26" s="1002" t="b">
        <f t="shared" si="46"/>
        <v>1</v>
      </c>
      <c r="N26" s="1002" t="b">
        <f t="shared" si="46"/>
        <v>1</v>
      </c>
      <c r="O26" s="1002" t="b">
        <f t="shared" si="46"/>
        <v>1</v>
      </c>
      <c r="P26" s="1002" t="b">
        <f t="shared" si="46"/>
        <v>1</v>
      </c>
      <c r="Q26" s="1002" t="b">
        <f t="shared" si="46"/>
        <v>1</v>
      </c>
      <c r="R26" s="1002" t="b">
        <f t="shared" si="46"/>
        <v>1</v>
      </c>
      <c r="S26" s="1002" t="b">
        <f t="shared" si="46"/>
        <v>1</v>
      </c>
      <c r="T26" s="1002" t="b">
        <f t="shared" si="46"/>
        <v>1</v>
      </c>
      <c r="U26" s="1002" t="b">
        <f t="shared" si="46"/>
        <v>1</v>
      </c>
      <c r="V26" s="1002" t="b">
        <f t="shared" si="46"/>
        <v>0</v>
      </c>
      <c r="W26" s="1002" t="b">
        <f t="shared" si="46"/>
        <v>0</v>
      </c>
      <c r="X26" s="1002" t="b">
        <f t="shared" si="46"/>
        <v>0</v>
      </c>
      <c r="Y26" s="1002" t="b">
        <f t="shared" si="46"/>
        <v>0</v>
      </c>
      <c r="Z26" s="1002" t="b">
        <f t="shared" si="46"/>
        <v>0</v>
      </c>
      <c r="AA26" s="1002" t="b">
        <f t="shared" si="46"/>
        <v>0</v>
      </c>
      <c r="AB26" s="1002" t="b">
        <f t="shared" si="46"/>
        <v>0</v>
      </c>
      <c r="AC26" s="1002" t="b">
        <f t="shared" si="46"/>
        <v>0</v>
      </c>
      <c r="AD26" s="1002" t="b">
        <f t="shared" si="46"/>
        <v>0</v>
      </c>
      <c r="AE26" s="1002" t="b">
        <f t="shared" si="46"/>
        <v>0</v>
      </c>
      <c r="AF26" s="1002" t="b">
        <f t="shared" si="46"/>
        <v>0</v>
      </c>
      <c r="AG26" s="1002" t="b">
        <f t="shared" si="46"/>
        <v>0</v>
      </c>
      <c r="AH26" s="1002" t="b">
        <f t="shared" si="46"/>
        <v>0</v>
      </c>
      <c r="AI26" s="1002" t="b">
        <f t="shared" si="46"/>
        <v>0</v>
      </c>
      <c r="AJ26" s="1002" t="b">
        <f t="shared" si="46"/>
        <v>0</v>
      </c>
      <c r="AK26" s="1002" t="b">
        <f t="shared" si="46"/>
        <v>0</v>
      </c>
      <c r="AL26" s="1002" t="b">
        <f t="shared" si="46"/>
        <v>0</v>
      </c>
      <c r="AM26" s="1002" t="b">
        <f t="shared" ref="AM26:BR26" si="47">IF(AND(AM8&gt;0,AM8&lt;=$B$26*$B$7),TRUE,FALSE)</f>
        <v>0</v>
      </c>
      <c r="AN26" s="1002" t="b">
        <f t="shared" si="47"/>
        <v>0</v>
      </c>
      <c r="AO26" s="1002" t="b">
        <f t="shared" si="47"/>
        <v>0</v>
      </c>
      <c r="AP26" s="1002" t="b">
        <f t="shared" si="47"/>
        <v>0</v>
      </c>
      <c r="AQ26" s="1002" t="b">
        <f t="shared" si="47"/>
        <v>0</v>
      </c>
      <c r="AR26" s="1002" t="b">
        <f t="shared" si="47"/>
        <v>0</v>
      </c>
      <c r="AS26" s="1002" t="b">
        <f t="shared" si="47"/>
        <v>0</v>
      </c>
      <c r="AT26" s="1002" t="b">
        <f t="shared" si="47"/>
        <v>0</v>
      </c>
      <c r="AU26" s="1002" t="b">
        <f t="shared" si="47"/>
        <v>0</v>
      </c>
      <c r="AV26" s="1002" t="b">
        <f t="shared" si="47"/>
        <v>0</v>
      </c>
      <c r="AW26" s="1002" t="b">
        <f t="shared" si="47"/>
        <v>0</v>
      </c>
      <c r="AX26" s="1002" t="b">
        <f t="shared" si="47"/>
        <v>0</v>
      </c>
      <c r="AY26" s="1002" t="b">
        <f t="shared" si="47"/>
        <v>0</v>
      </c>
      <c r="AZ26" s="1002" t="b">
        <f t="shared" si="47"/>
        <v>0</v>
      </c>
      <c r="BA26" s="1002" t="b">
        <f t="shared" si="47"/>
        <v>0</v>
      </c>
      <c r="BB26" s="1002" t="b">
        <f t="shared" si="47"/>
        <v>0</v>
      </c>
      <c r="BC26" s="1002" t="b">
        <f t="shared" si="47"/>
        <v>0</v>
      </c>
      <c r="BD26" s="1002" t="b">
        <f t="shared" si="47"/>
        <v>0</v>
      </c>
      <c r="BE26" s="1002" t="b">
        <f t="shared" si="47"/>
        <v>0</v>
      </c>
      <c r="BF26" s="1002" t="b">
        <f t="shared" si="47"/>
        <v>0</v>
      </c>
      <c r="BG26" s="1002" t="b">
        <f t="shared" si="47"/>
        <v>0</v>
      </c>
      <c r="BH26" s="1002" t="b">
        <f t="shared" si="47"/>
        <v>0</v>
      </c>
      <c r="BI26" s="1002" t="b">
        <f t="shared" si="47"/>
        <v>0</v>
      </c>
      <c r="BJ26" s="1002" t="b">
        <f t="shared" si="47"/>
        <v>0</v>
      </c>
      <c r="BK26" s="1002" t="b">
        <f t="shared" si="47"/>
        <v>0</v>
      </c>
      <c r="BL26" s="1002" t="b">
        <f t="shared" si="47"/>
        <v>0</v>
      </c>
      <c r="BM26" s="1002" t="b">
        <f t="shared" si="47"/>
        <v>0</v>
      </c>
      <c r="BN26" s="1002" t="b">
        <f t="shared" si="47"/>
        <v>0</v>
      </c>
      <c r="BO26" s="1002" t="b">
        <f t="shared" si="47"/>
        <v>0</v>
      </c>
      <c r="BP26" s="1002" t="b">
        <f t="shared" si="47"/>
        <v>0</v>
      </c>
      <c r="BQ26" s="1002" t="b">
        <f t="shared" si="47"/>
        <v>0</v>
      </c>
      <c r="BR26" s="1002" t="b">
        <f t="shared" si="47"/>
        <v>0</v>
      </c>
      <c r="BS26" s="1002" t="b">
        <f t="shared" ref="BS26:CX26" si="48">IF(AND(BS8&gt;0,BS8&lt;=$B$26*$B$7),TRUE,FALSE)</f>
        <v>0</v>
      </c>
      <c r="BT26" s="1002" t="b">
        <f t="shared" si="48"/>
        <v>0</v>
      </c>
      <c r="BU26" s="1002" t="b">
        <f t="shared" si="48"/>
        <v>0</v>
      </c>
      <c r="BV26" s="1002" t="b">
        <f t="shared" si="48"/>
        <v>0</v>
      </c>
      <c r="BW26" s="1002" t="b">
        <f t="shared" si="48"/>
        <v>0</v>
      </c>
      <c r="BX26" s="1002" t="b">
        <f t="shared" si="48"/>
        <v>0</v>
      </c>
      <c r="BY26" s="1002" t="b">
        <f t="shared" si="48"/>
        <v>0</v>
      </c>
      <c r="BZ26" s="1002" t="b">
        <f t="shared" si="48"/>
        <v>0</v>
      </c>
      <c r="CA26" s="1002" t="b">
        <f t="shared" si="48"/>
        <v>0</v>
      </c>
      <c r="CB26" s="1002" t="b">
        <f t="shared" si="48"/>
        <v>0</v>
      </c>
      <c r="CC26" s="1002" t="b">
        <f t="shared" si="48"/>
        <v>0</v>
      </c>
      <c r="CD26" s="1002" t="b">
        <f t="shared" si="48"/>
        <v>0</v>
      </c>
      <c r="CE26" s="1002" t="b">
        <f t="shared" si="48"/>
        <v>0</v>
      </c>
      <c r="CF26" s="1002" t="b">
        <f t="shared" si="48"/>
        <v>0</v>
      </c>
      <c r="CG26" s="1002" t="b">
        <f t="shared" si="48"/>
        <v>0</v>
      </c>
      <c r="CH26" s="1002" t="b">
        <f t="shared" si="48"/>
        <v>0</v>
      </c>
      <c r="CI26" s="1002" t="b">
        <f t="shared" si="48"/>
        <v>0</v>
      </c>
      <c r="CJ26" s="1002" t="b">
        <f t="shared" si="48"/>
        <v>0</v>
      </c>
      <c r="CK26" s="1002" t="b">
        <f t="shared" si="48"/>
        <v>0</v>
      </c>
      <c r="CL26" s="1002" t="b">
        <f t="shared" si="48"/>
        <v>0</v>
      </c>
      <c r="CM26" s="1002" t="b">
        <f t="shared" si="48"/>
        <v>0</v>
      </c>
      <c r="CN26" s="1002" t="b">
        <f t="shared" si="48"/>
        <v>0</v>
      </c>
      <c r="CO26" s="1002" t="b">
        <f t="shared" si="48"/>
        <v>0</v>
      </c>
      <c r="CP26" s="1002" t="b">
        <f t="shared" si="48"/>
        <v>0</v>
      </c>
      <c r="CQ26" s="1002" t="b">
        <f t="shared" si="48"/>
        <v>0</v>
      </c>
      <c r="CR26" s="1002" t="b">
        <f t="shared" si="48"/>
        <v>0</v>
      </c>
      <c r="CS26" s="1002" t="b">
        <f t="shared" si="48"/>
        <v>0</v>
      </c>
      <c r="CT26" s="1002" t="b">
        <f t="shared" si="48"/>
        <v>0</v>
      </c>
      <c r="CU26" s="1002" t="b">
        <f t="shared" si="48"/>
        <v>0</v>
      </c>
      <c r="CV26" s="1002" t="b">
        <f t="shared" si="48"/>
        <v>0</v>
      </c>
      <c r="CW26" s="1002" t="b">
        <f t="shared" si="48"/>
        <v>0</v>
      </c>
      <c r="CX26" s="1002" t="b">
        <f t="shared" si="48"/>
        <v>0</v>
      </c>
      <c r="CY26" s="1002" t="b">
        <f t="shared" ref="CY26:DW26" si="49">IF(AND(CY8&gt;0,CY8&lt;=$B$26*$B$7),TRUE,FALSE)</f>
        <v>0</v>
      </c>
      <c r="CZ26" s="1002" t="b">
        <f t="shared" si="49"/>
        <v>0</v>
      </c>
      <c r="DA26" s="1002" t="b">
        <f t="shared" si="49"/>
        <v>0</v>
      </c>
      <c r="DB26" s="1002" t="b">
        <f t="shared" si="49"/>
        <v>0</v>
      </c>
      <c r="DC26" s="1002" t="b">
        <f t="shared" si="49"/>
        <v>0</v>
      </c>
      <c r="DD26" s="1002" t="b">
        <f t="shared" si="49"/>
        <v>0</v>
      </c>
      <c r="DE26" s="1002" t="b">
        <f t="shared" si="49"/>
        <v>0</v>
      </c>
      <c r="DF26" s="1002" t="b">
        <f t="shared" si="49"/>
        <v>0</v>
      </c>
      <c r="DG26" s="1002" t="b">
        <f t="shared" si="49"/>
        <v>0</v>
      </c>
      <c r="DH26" s="1002" t="b">
        <f t="shared" si="49"/>
        <v>0</v>
      </c>
      <c r="DI26" s="1002" t="b">
        <f t="shared" si="49"/>
        <v>0</v>
      </c>
      <c r="DJ26" s="1002" t="b">
        <f t="shared" si="49"/>
        <v>0</v>
      </c>
      <c r="DK26" s="1002" t="b">
        <f t="shared" si="49"/>
        <v>0</v>
      </c>
      <c r="DL26" s="1002" t="b">
        <f t="shared" si="49"/>
        <v>0</v>
      </c>
      <c r="DM26" s="1002" t="b">
        <f t="shared" si="49"/>
        <v>0</v>
      </c>
      <c r="DN26" s="1002" t="b">
        <f t="shared" si="49"/>
        <v>0</v>
      </c>
      <c r="DO26" s="1002" t="b">
        <f t="shared" si="49"/>
        <v>0</v>
      </c>
      <c r="DP26" s="1002" t="b">
        <f t="shared" si="49"/>
        <v>0</v>
      </c>
      <c r="DQ26" s="1002" t="b">
        <f t="shared" si="49"/>
        <v>0</v>
      </c>
      <c r="DR26" s="1002" t="b">
        <f t="shared" si="49"/>
        <v>0</v>
      </c>
      <c r="DS26" s="1002" t="b">
        <f t="shared" si="49"/>
        <v>0</v>
      </c>
      <c r="DT26" s="1002" t="b">
        <f t="shared" si="49"/>
        <v>0</v>
      </c>
      <c r="DU26" s="1002" t="b">
        <f t="shared" si="49"/>
        <v>0</v>
      </c>
      <c r="DV26" s="1002" t="b">
        <f t="shared" si="49"/>
        <v>0</v>
      </c>
      <c r="DW26" s="1002" t="b">
        <f t="shared" si="49"/>
        <v>0</v>
      </c>
      <c r="DX26" s="919"/>
    </row>
    <row r="27" spans="1:139" s="310" customFormat="1">
      <c r="A27" s="304" t="s">
        <v>1347</v>
      </c>
      <c r="B27" s="983">
        <f>Inputs!$D$260</f>
        <v>50219</v>
      </c>
      <c r="C27" s="983"/>
      <c r="D27" s="581"/>
      <c r="E27" s="581"/>
      <c r="F27" s="583"/>
      <c r="G27" s="1005">
        <f t="shared" ref="G27:AL27" si="50">(G$6-G$5+1)/bank_year</f>
        <v>1.0194444444444444</v>
      </c>
      <c r="H27" s="1005">
        <f t="shared" si="50"/>
        <v>0.51111111111111107</v>
      </c>
      <c r="I27" s="1005">
        <f t="shared" si="50"/>
        <v>0.50277777777777777</v>
      </c>
      <c r="J27" s="1005">
        <f t="shared" si="50"/>
        <v>0.51111111111111107</v>
      </c>
      <c r="K27" s="1005">
        <f t="shared" si="50"/>
        <v>0.50555555555555554</v>
      </c>
      <c r="L27" s="1005">
        <f t="shared" si="50"/>
        <v>0.51111111111111107</v>
      </c>
      <c r="M27" s="1005">
        <f t="shared" si="50"/>
        <v>0.50277777777777777</v>
      </c>
      <c r="N27" s="1005">
        <f t="shared" si="50"/>
        <v>0.51111111111111107</v>
      </c>
      <c r="O27" s="1005">
        <f t="shared" si="50"/>
        <v>0.50277777777777777</v>
      </c>
      <c r="P27" s="1005">
        <f t="shared" si="50"/>
        <v>0.51111111111111107</v>
      </c>
      <c r="Q27" s="1005">
        <f t="shared" si="50"/>
        <v>0.50277777777777777</v>
      </c>
      <c r="R27" s="1005">
        <f t="shared" si="50"/>
        <v>0.51111111111111107</v>
      </c>
      <c r="S27" s="1005">
        <f t="shared" si="50"/>
        <v>0.50555555555555554</v>
      </c>
      <c r="T27" s="1005">
        <f t="shared" si="50"/>
        <v>0.51111111111111107</v>
      </c>
      <c r="U27" s="1005">
        <f t="shared" si="50"/>
        <v>0.50277777777777777</v>
      </c>
      <c r="V27" s="1005">
        <f t="shared" si="50"/>
        <v>0.51111111111111107</v>
      </c>
      <c r="W27" s="1005">
        <f t="shared" si="50"/>
        <v>0.50277777777777777</v>
      </c>
      <c r="X27" s="1005">
        <f t="shared" si="50"/>
        <v>0.51111111111111107</v>
      </c>
      <c r="Y27" s="1005">
        <f t="shared" si="50"/>
        <v>0.50277777777777777</v>
      </c>
      <c r="Z27" s="1005">
        <f t="shared" si="50"/>
        <v>0.51111111111111107</v>
      </c>
      <c r="AA27" s="1005">
        <f t="shared" si="50"/>
        <v>0.50555555555555554</v>
      </c>
      <c r="AB27" s="1005">
        <f t="shared" si="50"/>
        <v>0.51111111111111107</v>
      </c>
      <c r="AC27" s="1005">
        <f t="shared" si="50"/>
        <v>0.50277777777777777</v>
      </c>
      <c r="AD27" s="1005">
        <f t="shared" si="50"/>
        <v>0.51111111111111107</v>
      </c>
      <c r="AE27" s="1005">
        <f t="shared" si="50"/>
        <v>0.50277777777777777</v>
      </c>
      <c r="AF27" s="1005">
        <f t="shared" si="50"/>
        <v>0.51111111111111107</v>
      </c>
      <c r="AG27" s="1005">
        <f t="shared" si="50"/>
        <v>0.50277777777777777</v>
      </c>
      <c r="AH27" s="1005">
        <f t="shared" si="50"/>
        <v>0.51111111111111107</v>
      </c>
      <c r="AI27" s="1005">
        <f t="shared" si="50"/>
        <v>0.50555555555555554</v>
      </c>
      <c r="AJ27" s="1005">
        <f t="shared" si="50"/>
        <v>0.51111111111111107</v>
      </c>
      <c r="AK27" s="1005">
        <f t="shared" si="50"/>
        <v>0.50277777777777777</v>
      </c>
      <c r="AL27" s="1005">
        <f t="shared" si="50"/>
        <v>0.51111111111111107</v>
      </c>
      <c r="AM27" s="1005">
        <f t="shared" ref="AM27:BR27" si="51">(AM$6-AM$5+1)/bank_year</f>
        <v>0.50277777777777777</v>
      </c>
      <c r="AN27" s="1005">
        <f t="shared" si="51"/>
        <v>0.51111111111111107</v>
      </c>
      <c r="AO27" s="1005">
        <f t="shared" si="51"/>
        <v>0.50277777777777777</v>
      </c>
      <c r="AP27" s="1005">
        <f t="shared" si="51"/>
        <v>0.51111111111111107</v>
      </c>
      <c r="AQ27" s="1005">
        <f t="shared" si="51"/>
        <v>0.50555555555555554</v>
      </c>
      <c r="AR27" s="1005">
        <f t="shared" si="51"/>
        <v>0.51111111111111107</v>
      </c>
      <c r="AS27" s="1005">
        <f t="shared" si="51"/>
        <v>0.50277777777777777</v>
      </c>
      <c r="AT27" s="1005">
        <f t="shared" si="51"/>
        <v>0.51111111111111107</v>
      </c>
      <c r="AU27" s="1005">
        <f t="shared" si="51"/>
        <v>0.50277777777777777</v>
      </c>
      <c r="AV27" s="1005">
        <f t="shared" si="51"/>
        <v>0.51111111111111107</v>
      </c>
      <c r="AW27" s="1005">
        <f t="shared" si="51"/>
        <v>0.50277777777777777</v>
      </c>
      <c r="AX27" s="1005">
        <f t="shared" si="51"/>
        <v>0.51111111111111107</v>
      </c>
      <c r="AY27" s="1005">
        <f t="shared" si="51"/>
        <v>0.50555555555555554</v>
      </c>
      <c r="AZ27" s="1005">
        <f t="shared" si="51"/>
        <v>0.51111111111111107</v>
      </c>
      <c r="BA27" s="1005">
        <f t="shared" si="51"/>
        <v>0.50277777777777777</v>
      </c>
      <c r="BB27" s="1005">
        <f t="shared" si="51"/>
        <v>0.51111111111111107</v>
      </c>
      <c r="BC27" s="1005">
        <f t="shared" si="51"/>
        <v>0.50277777777777777</v>
      </c>
      <c r="BD27" s="1005">
        <f t="shared" si="51"/>
        <v>0.51111111111111107</v>
      </c>
      <c r="BE27" s="1005">
        <f t="shared" si="51"/>
        <v>0.50277777777777777</v>
      </c>
      <c r="BF27" s="1005">
        <f t="shared" si="51"/>
        <v>0.51111111111111107</v>
      </c>
      <c r="BG27" s="1005">
        <f t="shared" si="51"/>
        <v>0.50555555555555554</v>
      </c>
      <c r="BH27" s="1005">
        <f t="shared" si="51"/>
        <v>0.51111111111111107</v>
      </c>
      <c r="BI27" s="1005">
        <f t="shared" si="51"/>
        <v>0.50277777777777777</v>
      </c>
      <c r="BJ27" s="1005">
        <f t="shared" si="51"/>
        <v>0.51111111111111107</v>
      </c>
      <c r="BK27" s="1005">
        <f t="shared" si="51"/>
        <v>0.50277777777777777</v>
      </c>
      <c r="BL27" s="1005">
        <f t="shared" si="51"/>
        <v>0.51111111111111107</v>
      </c>
      <c r="BM27" s="1005">
        <f t="shared" si="51"/>
        <v>0.50277777777777777</v>
      </c>
      <c r="BN27" s="1005">
        <f t="shared" si="51"/>
        <v>0.51111111111111107</v>
      </c>
      <c r="BO27" s="1005">
        <f t="shared" si="51"/>
        <v>0.50555555555555554</v>
      </c>
      <c r="BP27" s="1005">
        <f t="shared" si="51"/>
        <v>0.51111111111111107</v>
      </c>
      <c r="BQ27" s="1005">
        <f t="shared" si="51"/>
        <v>0.50277777777777777</v>
      </c>
      <c r="BR27" s="1005">
        <f t="shared" si="51"/>
        <v>0.51111111111111107</v>
      </c>
      <c r="BS27" s="1005">
        <f t="shared" ref="BS27:CX27" si="52">(BS$6-BS$5+1)/bank_year</f>
        <v>0.50277777777777777</v>
      </c>
      <c r="BT27" s="1005">
        <f t="shared" si="52"/>
        <v>0.51111111111111107</v>
      </c>
      <c r="BU27" s="1005">
        <f t="shared" si="52"/>
        <v>0.50277777777777777</v>
      </c>
      <c r="BV27" s="1005">
        <f t="shared" si="52"/>
        <v>0.51111111111111107</v>
      </c>
      <c r="BW27" s="1005">
        <f t="shared" si="52"/>
        <v>0.50555555555555554</v>
      </c>
      <c r="BX27" s="1005">
        <f t="shared" si="52"/>
        <v>0.51111111111111107</v>
      </c>
      <c r="BY27" s="1005">
        <f t="shared" si="52"/>
        <v>0.50277777777777777</v>
      </c>
      <c r="BZ27" s="1005">
        <f t="shared" si="52"/>
        <v>0.51111111111111107</v>
      </c>
      <c r="CA27" s="1005">
        <f t="shared" si="52"/>
        <v>0.50277777777777777</v>
      </c>
      <c r="CB27" s="1005">
        <f t="shared" si="52"/>
        <v>0.51111111111111107</v>
      </c>
      <c r="CC27" s="1005">
        <f t="shared" si="52"/>
        <v>0.50277777777777777</v>
      </c>
      <c r="CD27" s="1005">
        <f t="shared" si="52"/>
        <v>0.51111111111111107</v>
      </c>
      <c r="CE27" s="1005">
        <f t="shared" si="52"/>
        <v>0.50555555555555554</v>
      </c>
      <c r="CF27" s="1005">
        <f t="shared" si="52"/>
        <v>0.51111111111111107</v>
      </c>
      <c r="CG27" s="1005">
        <f t="shared" si="52"/>
        <v>0.50277777777777777</v>
      </c>
      <c r="CH27" s="1005">
        <f t="shared" si="52"/>
        <v>0.51111111111111107</v>
      </c>
      <c r="CI27" s="1005">
        <f t="shared" si="52"/>
        <v>0.50277777777777777</v>
      </c>
      <c r="CJ27" s="1005">
        <f t="shared" si="52"/>
        <v>0.51111111111111107</v>
      </c>
      <c r="CK27" s="1005">
        <f t="shared" si="52"/>
        <v>0.50277777777777777</v>
      </c>
      <c r="CL27" s="1005">
        <f t="shared" si="52"/>
        <v>0.51111111111111107</v>
      </c>
      <c r="CM27" s="1005">
        <f t="shared" si="52"/>
        <v>0.50555555555555554</v>
      </c>
      <c r="CN27" s="1005">
        <f t="shared" si="52"/>
        <v>0.51111111111111107</v>
      </c>
      <c r="CO27" s="1005">
        <f t="shared" si="52"/>
        <v>0.50277777777777777</v>
      </c>
      <c r="CP27" s="1005">
        <f t="shared" si="52"/>
        <v>0.51111111111111107</v>
      </c>
      <c r="CQ27" s="1005">
        <f t="shared" si="52"/>
        <v>0.50277777777777777</v>
      </c>
      <c r="CR27" s="1005">
        <f t="shared" si="52"/>
        <v>0.51111111111111107</v>
      </c>
      <c r="CS27" s="1005">
        <f t="shared" si="52"/>
        <v>0.50277777777777777</v>
      </c>
      <c r="CT27" s="1005">
        <f t="shared" si="52"/>
        <v>0.51111111111111107</v>
      </c>
      <c r="CU27" s="1005">
        <f t="shared" si="52"/>
        <v>0.50555555555555554</v>
      </c>
      <c r="CV27" s="1005">
        <f t="shared" si="52"/>
        <v>0.51111111111111107</v>
      </c>
      <c r="CW27" s="1005">
        <f t="shared" si="52"/>
        <v>0.50277777777777777</v>
      </c>
      <c r="CX27" s="1005">
        <f t="shared" si="52"/>
        <v>0.51111111111111107</v>
      </c>
      <c r="CY27" s="1005">
        <f t="shared" ref="CY27:DW27" si="53">(CY$6-CY$5+1)/bank_year</f>
        <v>0.50277777777777777</v>
      </c>
      <c r="CZ27" s="1005">
        <f t="shared" si="53"/>
        <v>0.51111111111111107</v>
      </c>
      <c r="DA27" s="1005">
        <f t="shared" si="53"/>
        <v>0.50277777777777777</v>
      </c>
      <c r="DB27" s="1005">
        <f t="shared" si="53"/>
        <v>0.51111111111111107</v>
      </c>
      <c r="DC27" s="1005">
        <f t="shared" si="53"/>
        <v>0.50555555555555554</v>
      </c>
      <c r="DD27" s="1005">
        <f t="shared" si="53"/>
        <v>0.51111111111111107</v>
      </c>
      <c r="DE27" s="1005">
        <f t="shared" si="53"/>
        <v>0.50277777777777777</v>
      </c>
      <c r="DF27" s="1005">
        <f t="shared" si="53"/>
        <v>0.51111111111111107</v>
      </c>
      <c r="DG27" s="1005">
        <f t="shared" si="53"/>
        <v>0.50277777777777777</v>
      </c>
      <c r="DH27" s="1005">
        <f t="shared" si="53"/>
        <v>0.51111111111111107</v>
      </c>
      <c r="DI27" s="1005">
        <f t="shared" si="53"/>
        <v>0.50277777777777777</v>
      </c>
      <c r="DJ27" s="1005">
        <f t="shared" si="53"/>
        <v>0.51111111111111107</v>
      </c>
      <c r="DK27" s="1005">
        <f t="shared" si="53"/>
        <v>0.50555555555555554</v>
      </c>
      <c r="DL27" s="1005">
        <f t="shared" si="53"/>
        <v>0.51111111111111107</v>
      </c>
      <c r="DM27" s="1005">
        <f t="shared" si="53"/>
        <v>0.50277777777777777</v>
      </c>
      <c r="DN27" s="1005">
        <f t="shared" si="53"/>
        <v>0.51111111111111107</v>
      </c>
      <c r="DO27" s="1005">
        <f t="shared" si="53"/>
        <v>0.50277777777777777</v>
      </c>
      <c r="DP27" s="1005">
        <f t="shared" si="53"/>
        <v>0.51111111111111107</v>
      </c>
      <c r="DQ27" s="1005">
        <f t="shared" si="53"/>
        <v>0.50277777777777777</v>
      </c>
      <c r="DR27" s="1005">
        <f t="shared" si="53"/>
        <v>0.51111111111111107</v>
      </c>
      <c r="DS27" s="1005">
        <f t="shared" si="53"/>
        <v>0.50555555555555554</v>
      </c>
      <c r="DT27" s="1005">
        <f t="shared" si="53"/>
        <v>0.51111111111111107</v>
      </c>
      <c r="DU27" s="1005">
        <f t="shared" si="53"/>
        <v>0.50277777777777777</v>
      </c>
      <c r="DV27" s="1005">
        <f t="shared" si="53"/>
        <v>0.51111111111111107</v>
      </c>
      <c r="DW27" s="1005">
        <f t="shared" si="53"/>
        <v>0.50277777777777777</v>
      </c>
      <c r="DX27" s="579"/>
    </row>
    <row r="28" spans="1:139" s="310" customFormat="1">
      <c r="A28" s="304" t="s">
        <v>1348</v>
      </c>
      <c r="B28" s="983"/>
      <c r="C28" s="983"/>
      <c r="D28" s="581"/>
      <c r="E28" s="581"/>
      <c r="F28" s="583"/>
      <c r="G28" s="1022">
        <f t="shared" ref="G28:AL28" si="54">IF(AND(G$6&gt;=$B27,G$5&lt;$B27),($B27-G$5)/(G$6-G$5),1)*(G$7&gt;0)*(G$7&lt;$B26+(0.6/$B$7))</f>
        <v>0</v>
      </c>
      <c r="H28" s="1022">
        <f t="shared" si="54"/>
        <v>1</v>
      </c>
      <c r="I28" s="1022">
        <f t="shared" si="54"/>
        <v>1</v>
      </c>
      <c r="J28" s="1022">
        <f t="shared" si="54"/>
        <v>1</v>
      </c>
      <c r="K28" s="1022">
        <f t="shared" si="54"/>
        <v>1</v>
      </c>
      <c r="L28" s="1022">
        <f t="shared" si="54"/>
        <v>1</v>
      </c>
      <c r="M28" s="1022">
        <f t="shared" si="54"/>
        <v>1</v>
      </c>
      <c r="N28" s="1022">
        <f t="shared" si="54"/>
        <v>1</v>
      </c>
      <c r="O28" s="1022">
        <f t="shared" si="54"/>
        <v>1</v>
      </c>
      <c r="P28" s="1022">
        <f t="shared" si="54"/>
        <v>1</v>
      </c>
      <c r="Q28" s="1022">
        <f t="shared" si="54"/>
        <v>1</v>
      </c>
      <c r="R28" s="1022">
        <f t="shared" si="54"/>
        <v>1</v>
      </c>
      <c r="S28" s="1022">
        <f t="shared" si="54"/>
        <v>1</v>
      </c>
      <c r="T28" s="1022">
        <f t="shared" si="54"/>
        <v>1</v>
      </c>
      <c r="U28" s="1022">
        <f t="shared" si="54"/>
        <v>0.98888888888888893</v>
      </c>
      <c r="V28" s="1022">
        <f t="shared" si="54"/>
        <v>0</v>
      </c>
      <c r="W28" s="1022">
        <f t="shared" si="54"/>
        <v>0</v>
      </c>
      <c r="X28" s="1022">
        <f t="shared" si="54"/>
        <v>0</v>
      </c>
      <c r="Y28" s="1022">
        <f t="shared" si="54"/>
        <v>0</v>
      </c>
      <c r="Z28" s="1022">
        <f t="shared" si="54"/>
        <v>0</v>
      </c>
      <c r="AA28" s="1022">
        <f t="shared" si="54"/>
        <v>0</v>
      </c>
      <c r="AB28" s="1022">
        <f t="shared" si="54"/>
        <v>0</v>
      </c>
      <c r="AC28" s="1022">
        <f t="shared" si="54"/>
        <v>0</v>
      </c>
      <c r="AD28" s="1022">
        <f t="shared" si="54"/>
        <v>0</v>
      </c>
      <c r="AE28" s="1022">
        <f t="shared" si="54"/>
        <v>0</v>
      </c>
      <c r="AF28" s="1022">
        <f t="shared" si="54"/>
        <v>0</v>
      </c>
      <c r="AG28" s="1022">
        <f t="shared" si="54"/>
        <v>0</v>
      </c>
      <c r="AH28" s="1022">
        <f t="shared" si="54"/>
        <v>0</v>
      </c>
      <c r="AI28" s="1022">
        <f t="shared" si="54"/>
        <v>0</v>
      </c>
      <c r="AJ28" s="1022">
        <f t="shared" si="54"/>
        <v>0</v>
      </c>
      <c r="AK28" s="1022">
        <f t="shared" si="54"/>
        <v>0</v>
      </c>
      <c r="AL28" s="1022">
        <f t="shared" si="54"/>
        <v>0</v>
      </c>
      <c r="AM28" s="1022">
        <f t="shared" ref="AM28:BR28" si="55">IF(AND(AM$6&gt;=$B27,AM$5&lt;$B27),($B27-AM$5)/(AM$6-AM$5),1)*(AM$7&gt;0)*(AM$7&lt;$B26+(0.6/$B$7))</f>
        <v>0</v>
      </c>
      <c r="AN28" s="1022">
        <f t="shared" si="55"/>
        <v>0</v>
      </c>
      <c r="AO28" s="1022">
        <f t="shared" si="55"/>
        <v>0</v>
      </c>
      <c r="AP28" s="1022">
        <f t="shared" si="55"/>
        <v>0</v>
      </c>
      <c r="AQ28" s="1022">
        <f t="shared" si="55"/>
        <v>0</v>
      </c>
      <c r="AR28" s="1022">
        <f t="shared" si="55"/>
        <v>0</v>
      </c>
      <c r="AS28" s="1022">
        <f t="shared" si="55"/>
        <v>0</v>
      </c>
      <c r="AT28" s="1022">
        <f t="shared" si="55"/>
        <v>0</v>
      </c>
      <c r="AU28" s="1022">
        <f t="shared" si="55"/>
        <v>0</v>
      </c>
      <c r="AV28" s="1022">
        <f t="shared" si="55"/>
        <v>0</v>
      </c>
      <c r="AW28" s="1022">
        <f t="shared" si="55"/>
        <v>0</v>
      </c>
      <c r="AX28" s="1022">
        <f t="shared" si="55"/>
        <v>0</v>
      </c>
      <c r="AY28" s="1022">
        <f t="shared" si="55"/>
        <v>0</v>
      </c>
      <c r="AZ28" s="1022">
        <f t="shared" si="55"/>
        <v>0</v>
      </c>
      <c r="BA28" s="1022">
        <f t="shared" si="55"/>
        <v>0</v>
      </c>
      <c r="BB28" s="1022">
        <f t="shared" si="55"/>
        <v>0</v>
      </c>
      <c r="BC28" s="1022">
        <f t="shared" si="55"/>
        <v>0</v>
      </c>
      <c r="BD28" s="1022">
        <f t="shared" si="55"/>
        <v>0</v>
      </c>
      <c r="BE28" s="1022">
        <f t="shared" si="55"/>
        <v>0</v>
      </c>
      <c r="BF28" s="1022">
        <f t="shared" si="55"/>
        <v>0</v>
      </c>
      <c r="BG28" s="1022">
        <f t="shared" si="55"/>
        <v>0</v>
      </c>
      <c r="BH28" s="1022">
        <f t="shared" si="55"/>
        <v>0</v>
      </c>
      <c r="BI28" s="1022">
        <f t="shared" si="55"/>
        <v>0</v>
      </c>
      <c r="BJ28" s="1022">
        <f t="shared" si="55"/>
        <v>0</v>
      </c>
      <c r="BK28" s="1022">
        <f t="shared" si="55"/>
        <v>0</v>
      </c>
      <c r="BL28" s="1022">
        <f t="shared" si="55"/>
        <v>0</v>
      </c>
      <c r="BM28" s="1022">
        <f t="shared" si="55"/>
        <v>0</v>
      </c>
      <c r="BN28" s="1022">
        <f t="shared" si="55"/>
        <v>0</v>
      </c>
      <c r="BO28" s="1022">
        <f t="shared" si="55"/>
        <v>0</v>
      </c>
      <c r="BP28" s="1022">
        <f t="shared" si="55"/>
        <v>0</v>
      </c>
      <c r="BQ28" s="1022">
        <f t="shared" si="55"/>
        <v>0</v>
      </c>
      <c r="BR28" s="1022">
        <f t="shared" si="55"/>
        <v>0</v>
      </c>
      <c r="BS28" s="1022">
        <f t="shared" ref="BS28:CX28" si="56">IF(AND(BS$6&gt;=$B27,BS$5&lt;$B27),($B27-BS$5)/(BS$6-BS$5),1)*(BS$7&gt;0)*(BS$7&lt;$B26+(0.6/$B$7))</f>
        <v>0</v>
      </c>
      <c r="BT28" s="1022">
        <f t="shared" si="56"/>
        <v>0</v>
      </c>
      <c r="BU28" s="1022">
        <f t="shared" si="56"/>
        <v>0</v>
      </c>
      <c r="BV28" s="1022">
        <f t="shared" si="56"/>
        <v>0</v>
      </c>
      <c r="BW28" s="1022">
        <f t="shared" si="56"/>
        <v>0</v>
      </c>
      <c r="BX28" s="1022">
        <f t="shared" si="56"/>
        <v>0</v>
      </c>
      <c r="BY28" s="1022">
        <f t="shared" si="56"/>
        <v>0</v>
      </c>
      <c r="BZ28" s="1022">
        <f t="shared" si="56"/>
        <v>0</v>
      </c>
      <c r="CA28" s="1022">
        <f t="shared" si="56"/>
        <v>0</v>
      </c>
      <c r="CB28" s="1022">
        <f t="shared" si="56"/>
        <v>0</v>
      </c>
      <c r="CC28" s="1022">
        <f t="shared" si="56"/>
        <v>0</v>
      </c>
      <c r="CD28" s="1022">
        <f t="shared" si="56"/>
        <v>0</v>
      </c>
      <c r="CE28" s="1022">
        <f t="shared" si="56"/>
        <v>0</v>
      </c>
      <c r="CF28" s="1022">
        <f t="shared" si="56"/>
        <v>0</v>
      </c>
      <c r="CG28" s="1022">
        <f t="shared" si="56"/>
        <v>0</v>
      </c>
      <c r="CH28" s="1022">
        <f t="shared" si="56"/>
        <v>0</v>
      </c>
      <c r="CI28" s="1022">
        <f t="shared" si="56"/>
        <v>0</v>
      </c>
      <c r="CJ28" s="1022">
        <f t="shared" si="56"/>
        <v>0</v>
      </c>
      <c r="CK28" s="1022">
        <f t="shared" si="56"/>
        <v>0</v>
      </c>
      <c r="CL28" s="1022">
        <f t="shared" si="56"/>
        <v>0</v>
      </c>
      <c r="CM28" s="1022">
        <f t="shared" si="56"/>
        <v>0</v>
      </c>
      <c r="CN28" s="1022">
        <f t="shared" si="56"/>
        <v>0</v>
      </c>
      <c r="CO28" s="1022">
        <f t="shared" si="56"/>
        <v>0</v>
      </c>
      <c r="CP28" s="1022">
        <f t="shared" si="56"/>
        <v>0</v>
      </c>
      <c r="CQ28" s="1022">
        <f t="shared" si="56"/>
        <v>0</v>
      </c>
      <c r="CR28" s="1022">
        <f t="shared" si="56"/>
        <v>0</v>
      </c>
      <c r="CS28" s="1022">
        <f t="shared" si="56"/>
        <v>0</v>
      </c>
      <c r="CT28" s="1022">
        <f t="shared" si="56"/>
        <v>0</v>
      </c>
      <c r="CU28" s="1022">
        <f t="shared" si="56"/>
        <v>0</v>
      </c>
      <c r="CV28" s="1022">
        <f t="shared" si="56"/>
        <v>0</v>
      </c>
      <c r="CW28" s="1022">
        <f t="shared" si="56"/>
        <v>0</v>
      </c>
      <c r="CX28" s="1022">
        <f t="shared" si="56"/>
        <v>0</v>
      </c>
      <c r="CY28" s="1022">
        <f t="shared" ref="CY28:DW28" si="57">IF(AND(CY$6&gt;=$B27,CY$5&lt;$B27),($B27-CY$5)/(CY$6-CY$5),1)*(CY$7&gt;0)*(CY$7&lt;$B26+(0.6/$B$7))</f>
        <v>0</v>
      </c>
      <c r="CZ28" s="1022">
        <f t="shared" si="57"/>
        <v>0</v>
      </c>
      <c r="DA28" s="1022">
        <f t="shared" si="57"/>
        <v>0</v>
      </c>
      <c r="DB28" s="1022">
        <f t="shared" si="57"/>
        <v>0</v>
      </c>
      <c r="DC28" s="1022">
        <f t="shared" si="57"/>
        <v>0</v>
      </c>
      <c r="DD28" s="1022">
        <f t="shared" si="57"/>
        <v>0</v>
      </c>
      <c r="DE28" s="1022">
        <f t="shared" si="57"/>
        <v>0</v>
      </c>
      <c r="DF28" s="1022">
        <f t="shared" si="57"/>
        <v>0</v>
      </c>
      <c r="DG28" s="1022">
        <f t="shared" si="57"/>
        <v>0</v>
      </c>
      <c r="DH28" s="1022">
        <f t="shared" si="57"/>
        <v>0</v>
      </c>
      <c r="DI28" s="1022">
        <f t="shared" si="57"/>
        <v>0</v>
      </c>
      <c r="DJ28" s="1022">
        <f t="shared" si="57"/>
        <v>0</v>
      </c>
      <c r="DK28" s="1022">
        <f t="shared" si="57"/>
        <v>0</v>
      </c>
      <c r="DL28" s="1022">
        <f t="shared" si="57"/>
        <v>0</v>
      </c>
      <c r="DM28" s="1022">
        <f t="shared" si="57"/>
        <v>0</v>
      </c>
      <c r="DN28" s="1022">
        <f t="shared" si="57"/>
        <v>0</v>
      </c>
      <c r="DO28" s="1022">
        <f t="shared" si="57"/>
        <v>0</v>
      </c>
      <c r="DP28" s="1022">
        <f t="shared" si="57"/>
        <v>0</v>
      </c>
      <c r="DQ28" s="1022">
        <f t="shared" si="57"/>
        <v>0</v>
      </c>
      <c r="DR28" s="1022">
        <f t="shared" si="57"/>
        <v>0</v>
      </c>
      <c r="DS28" s="1022">
        <f t="shared" si="57"/>
        <v>0</v>
      </c>
      <c r="DT28" s="1022">
        <f t="shared" si="57"/>
        <v>0</v>
      </c>
      <c r="DU28" s="1022">
        <f t="shared" si="57"/>
        <v>0</v>
      </c>
      <c r="DV28" s="1022">
        <f t="shared" si="57"/>
        <v>0</v>
      </c>
      <c r="DW28" s="1022">
        <f t="shared" si="57"/>
        <v>0</v>
      </c>
      <c r="DX28" s="579"/>
    </row>
    <row r="29" spans="1:139" s="310" customFormat="1">
      <c r="A29" s="304"/>
      <c r="B29" s="983"/>
      <c r="C29" s="983"/>
      <c r="D29" s="581"/>
      <c r="E29" s="581"/>
      <c r="F29" s="583"/>
      <c r="G29" s="1005"/>
      <c r="H29" s="1005"/>
      <c r="I29" s="1005"/>
      <c r="J29" s="1005"/>
      <c r="K29" s="1005"/>
      <c r="L29" s="1005"/>
      <c r="M29" s="1005"/>
      <c r="N29" s="1005"/>
      <c r="O29" s="1005"/>
      <c r="P29" s="1005"/>
      <c r="Q29" s="1005"/>
      <c r="R29" s="1005"/>
      <c r="S29" s="1005"/>
      <c r="T29" s="1005"/>
      <c r="U29" s="1005"/>
      <c r="V29" s="1005"/>
      <c r="W29" s="1005"/>
      <c r="X29" s="1005"/>
      <c r="Y29" s="1005"/>
      <c r="Z29" s="1005"/>
      <c r="AA29" s="1005"/>
      <c r="AB29" s="1005"/>
      <c r="AC29" s="1005"/>
      <c r="AD29" s="1005"/>
      <c r="AE29" s="1005"/>
      <c r="AF29" s="1005"/>
      <c r="AG29" s="1005"/>
      <c r="AH29" s="1005"/>
      <c r="AI29" s="1005"/>
      <c r="AJ29" s="1005"/>
      <c r="AK29" s="1005"/>
      <c r="AL29" s="1005"/>
      <c r="AM29" s="1005"/>
      <c r="AN29" s="1005"/>
      <c r="AO29" s="1005"/>
      <c r="AP29" s="1005"/>
      <c r="AQ29" s="1005"/>
      <c r="AR29" s="1005"/>
      <c r="AS29" s="1005"/>
      <c r="AT29" s="1005"/>
      <c r="AU29" s="1005"/>
      <c r="AV29" s="1005"/>
      <c r="AW29" s="1005"/>
      <c r="AX29" s="1005"/>
      <c r="AY29" s="1005"/>
      <c r="AZ29" s="1005"/>
      <c r="BA29" s="1005"/>
      <c r="BB29" s="1005"/>
      <c r="BC29" s="1005"/>
      <c r="BD29" s="1005"/>
      <c r="BE29" s="1005"/>
      <c r="BF29" s="1005"/>
      <c r="BG29" s="1005"/>
      <c r="BH29" s="1005"/>
      <c r="BI29" s="1005"/>
      <c r="BJ29" s="1005"/>
      <c r="BK29" s="1005"/>
      <c r="BL29" s="1005"/>
      <c r="BM29" s="1005"/>
      <c r="BN29" s="1005"/>
      <c r="BO29" s="1005"/>
      <c r="BP29" s="1005"/>
      <c r="BQ29" s="1005"/>
      <c r="BR29" s="1005"/>
      <c r="BS29" s="1005"/>
      <c r="BT29" s="1005"/>
      <c r="BU29" s="1005"/>
      <c r="BV29" s="1005"/>
      <c r="BW29" s="1005"/>
      <c r="BX29" s="1005"/>
      <c r="BY29" s="1005"/>
      <c r="BZ29" s="1005"/>
      <c r="CA29" s="1005"/>
      <c r="CB29" s="1005"/>
      <c r="CC29" s="1005"/>
      <c r="CD29" s="1005"/>
      <c r="CE29" s="1005"/>
      <c r="CF29" s="1005"/>
      <c r="CG29" s="1005"/>
      <c r="CH29" s="1005"/>
      <c r="CI29" s="1005"/>
      <c r="CJ29" s="1005"/>
      <c r="CK29" s="1005"/>
      <c r="CL29" s="1005"/>
      <c r="CM29" s="1005"/>
      <c r="CN29" s="1005"/>
      <c r="CO29" s="1005"/>
      <c r="CP29" s="1005"/>
      <c r="CQ29" s="1005"/>
      <c r="CR29" s="1005"/>
      <c r="CS29" s="1005"/>
      <c r="CT29" s="1005"/>
      <c r="CU29" s="1005"/>
      <c r="CV29" s="1005"/>
      <c r="CW29" s="1005"/>
      <c r="CX29" s="1005"/>
      <c r="CY29" s="1005"/>
      <c r="CZ29" s="1005"/>
      <c r="DA29" s="1005"/>
      <c r="DB29" s="1005"/>
      <c r="DC29" s="1005"/>
      <c r="DD29" s="1005"/>
      <c r="DE29" s="1005"/>
      <c r="DF29" s="1005"/>
      <c r="DG29" s="1005"/>
      <c r="DH29" s="1005"/>
      <c r="DI29" s="1005"/>
      <c r="DJ29" s="1005"/>
      <c r="DK29" s="1005"/>
      <c r="DL29" s="1005"/>
      <c r="DM29" s="1005"/>
      <c r="DN29" s="1005"/>
      <c r="DO29" s="1005"/>
      <c r="DP29" s="1005"/>
      <c r="DQ29" s="1005"/>
      <c r="DR29" s="1005"/>
      <c r="DS29" s="1005"/>
      <c r="DT29" s="1005"/>
      <c r="DU29" s="1005"/>
      <c r="DV29" s="1005"/>
      <c r="DW29" s="1005"/>
      <c r="DX29" s="579"/>
    </row>
    <row r="30" spans="1:139" s="310" customFormat="1">
      <c r="A30" s="304" t="s">
        <v>1349</v>
      </c>
      <c r="B30" s="983"/>
      <c r="C30" s="983"/>
      <c r="D30" s="581"/>
      <c r="E30" s="581"/>
      <c r="F30" s="583"/>
      <c r="G30" s="1005">
        <f>(G6-G5+1)/(equity_year)</f>
        <v>1.0054794520547945</v>
      </c>
      <c r="H30" s="1005">
        <f t="shared" ref="H30:AL30" si="58">(H6-H5+1)/(equity_year)</f>
        <v>0.50410958904109593</v>
      </c>
      <c r="I30" s="1005">
        <f t="shared" si="58"/>
        <v>0.49589041095890413</v>
      </c>
      <c r="J30" s="1005">
        <f t="shared" si="58"/>
        <v>0.50410958904109593</v>
      </c>
      <c r="K30" s="1005">
        <f t="shared" si="58"/>
        <v>0.49863013698630138</v>
      </c>
      <c r="L30" s="1005">
        <f t="shared" si="58"/>
        <v>0.50410958904109593</v>
      </c>
      <c r="M30" s="1005">
        <f t="shared" si="58"/>
        <v>0.49589041095890413</v>
      </c>
      <c r="N30" s="1005">
        <f t="shared" si="58"/>
        <v>0.50410958904109593</v>
      </c>
      <c r="O30" s="1005">
        <f t="shared" si="58"/>
        <v>0.49589041095890413</v>
      </c>
      <c r="P30" s="1005">
        <f t="shared" si="58"/>
        <v>0.50410958904109593</v>
      </c>
      <c r="Q30" s="1005">
        <f t="shared" si="58"/>
        <v>0.49589041095890413</v>
      </c>
      <c r="R30" s="1005">
        <f t="shared" si="58"/>
        <v>0.50410958904109593</v>
      </c>
      <c r="S30" s="1005">
        <f t="shared" si="58"/>
        <v>0.49863013698630138</v>
      </c>
      <c r="T30" s="1005">
        <f t="shared" si="58"/>
        <v>0.50410958904109593</v>
      </c>
      <c r="U30" s="1005">
        <f t="shared" si="58"/>
        <v>0.49589041095890413</v>
      </c>
      <c r="V30" s="1005">
        <f t="shared" si="58"/>
        <v>0.50410958904109593</v>
      </c>
      <c r="W30" s="1005">
        <f t="shared" si="58"/>
        <v>0.49589041095890413</v>
      </c>
      <c r="X30" s="1005">
        <f t="shared" si="58"/>
        <v>0.50410958904109593</v>
      </c>
      <c r="Y30" s="1005">
        <f t="shared" si="58"/>
        <v>0.49589041095890413</v>
      </c>
      <c r="Z30" s="1005">
        <f t="shared" si="58"/>
        <v>0.50410958904109593</v>
      </c>
      <c r="AA30" s="1005">
        <f t="shared" si="58"/>
        <v>0.49863013698630138</v>
      </c>
      <c r="AB30" s="1005">
        <f t="shared" si="58"/>
        <v>0.50410958904109593</v>
      </c>
      <c r="AC30" s="1005">
        <f t="shared" si="58"/>
        <v>0.49589041095890413</v>
      </c>
      <c r="AD30" s="1005">
        <f t="shared" si="58"/>
        <v>0.50410958904109593</v>
      </c>
      <c r="AE30" s="1005">
        <f t="shared" si="58"/>
        <v>0.49589041095890413</v>
      </c>
      <c r="AF30" s="1005">
        <f t="shared" si="58"/>
        <v>0.50410958904109593</v>
      </c>
      <c r="AG30" s="1005">
        <f t="shared" si="58"/>
        <v>0.49589041095890413</v>
      </c>
      <c r="AH30" s="1005">
        <f t="shared" si="58"/>
        <v>0.50410958904109593</v>
      </c>
      <c r="AI30" s="1005">
        <f t="shared" si="58"/>
        <v>0.49863013698630138</v>
      </c>
      <c r="AJ30" s="1005">
        <f t="shared" si="58"/>
        <v>0.50410958904109593</v>
      </c>
      <c r="AK30" s="1005">
        <f t="shared" si="58"/>
        <v>0.49589041095890413</v>
      </c>
      <c r="AL30" s="1005">
        <f t="shared" si="58"/>
        <v>0.50410958904109593</v>
      </c>
      <c r="AM30" s="1005">
        <f t="shared" ref="AM30:BR30" si="59">(AM6-AM5+1)/(equity_year)</f>
        <v>0.49589041095890413</v>
      </c>
      <c r="AN30" s="1005">
        <f t="shared" si="59"/>
        <v>0.50410958904109593</v>
      </c>
      <c r="AO30" s="1005">
        <f t="shared" si="59"/>
        <v>0.49589041095890413</v>
      </c>
      <c r="AP30" s="1005">
        <f t="shared" si="59"/>
        <v>0.50410958904109593</v>
      </c>
      <c r="AQ30" s="1005">
        <f t="shared" si="59"/>
        <v>0.49863013698630138</v>
      </c>
      <c r="AR30" s="1005">
        <f t="shared" si="59"/>
        <v>0.50410958904109593</v>
      </c>
      <c r="AS30" s="1005">
        <f t="shared" si="59"/>
        <v>0.49589041095890413</v>
      </c>
      <c r="AT30" s="1005">
        <f t="shared" si="59"/>
        <v>0.50410958904109593</v>
      </c>
      <c r="AU30" s="1005">
        <f t="shared" si="59"/>
        <v>0.49589041095890413</v>
      </c>
      <c r="AV30" s="1005">
        <f t="shared" si="59"/>
        <v>0.50410958904109593</v>
      </c>
      <c r="AW30" s="1005">
        <f t="shared" si="59"/>
        <v>0.49589041095890413</v>
      </c>
      <c r="AX30" s="1005">
        <f t="shared" si="59"/>
        <v>0.50410958904109593</v>
      </c>
      <c r="AY30" s="1005">
        <f t="shared" si="59"/>
        <v>0.49863013698630138</v>
      </c>
      <c r="AZ30" s="1005">
        <f t="shared" si="59"/>
        <v>0.50410958904109593</v>
      </c>
      <c r="BA30" s="1005">
        <f t="shared" si="59"/>
        <v>0.49589041095890413</v>
      </c>
      <c r="BB30" s="1005">
        <f t="shared" si="59"/>
        <v>0.50410958904109593</v>
      </c>
      <c r="BC30" s="1005">
        <f t="shared" si="59"/>
        <v>0.49589041095890413</v>
      </c>
      <c r="BD30" s="1005">
        <f t="shared" si="59"/>
        <v>0.50410958904109593</v>
      </c>
      <c r="BE30" s="1005">
        <f t="shared" si="59"/>
        <v>0.49589041095890413</v>
      </c>
      <c r="BF30" s="1005">
        <f t="shared" si="59"/>
        <v>0.50410958904109593</v>
      </c>
      <c r="BG30" s="1005">
        <f t="shared" si="59"/>
        <v>0.49863013698630138</v>
      </c>
      <c r="BH30" s="1005">
        <f t="shared" si="59"/>
        <v>0.50410958904109593</v>
      </c>
      <c r="BI30" s="1005">
        <f t="shared" si="59"/>
        <v>0.49589041095890413</v>
      </c>
      <c r="BJ30" s="1005">
        <f t="shared" si="59"/>
        <v>0.50410958904109593</v>
      </c>
      <c r="BK30" s="1005">
        <f t="shared" si="59"/>
        <v>0.49589041095890413</v>
      </c>
      <c r="BL30" s="1005">
        <f t="shared" si="59"/>
        <v>0.50410958904109593</v>
      </c>
      <c r="BM30" s="1005">
        <f t="shared" si="59"/>
        <v>0.49589041095890413</v>
      </c>
      <c r="BN30" s="1005">
        <f t="shared" si="59"/>
        <v>0.50410958904109593</v>
      </c>
      <c r="BO30" s="1005">
        <f t="shared" si="59"/>
        <v>0.49863013698630138</v>
      </c>
      <c r="BP30" s="1005">
        <f t="shared" si="59"/>
        <v>0.50410958904109593</v>
      </c>
      <c r="BQ30" s="1005">
        <f t="shared" si="59"/>
        <v>0.49589041095890413</v>
      </c>
      <c r="BR30" s="1005">
        <f t="shared" si="59"/>
        <v>0.50410958904109593</v>
      </c>
      <c r="BS30" s="1005">
        <f t="shared" ref="BS30:CX30" si="60">(BS6-BS5+1)/(equity_year)</f>
        <v>0.49589041095890413</v>
      </c>
      <c r="BT30" s="1005">
        <f t="shared" si="60"/>
        <v>0.50410958904109593</v>
      </c>
      <c r="BU30" s="1005">
        <f t="shared" si="60"/>
        <v>0.49589041095890413</v>
      </c>
      <c r="BV30" s="1005">
        <f t="shared" si="60"/>
        <v>0.50410958904109593</v>
      </c>
      <c r="BW30" s="1005">
        <f t="shared" si="60"/>
        <v>0.49863013698630138</v>
      </c>
      <c r="BX30" s="1005">
        <f t="shared" si="60"/>
        <v>0.50410958904109593</v>
      </c>
      <c r="BY30" s="1005">
        <f t="shared" si="60"/>
        <v>0.49589041095890413</v>
      </c>
      <c r="BZ30" s="1005">
        <f t="shared" si="60"/>
        <v>0.50410958904109593</v>
      </c>
      <c r="CA30" s="1005">
        <f t="shared" si="60"/>
        <v>0.49589041095890413</v>
      </c>
      <c r="CB30" s="1005">
        <f t="shared" si="60"/>
        <v>0.50410958904109593</v>
      </c>
      <c r="CC30" s="1005">
        <f t="shared" si="60"/>
        <v>0.49589041095890413</v>
      </c>
      <c r="CD30" s="1005">
        <f t="shared" si="60"/>
        <v>0.50410958904109593</v>
      </c>
      <c r="CE30" s="1005">
        <f t="shared" si="60"/>
        <v>0.49863013698630138</v>
      </c>
      <c r="CF30" s="1005">
        <f t="shared" si="60"/>
        <v>0.50410958904109593</v>
      </c>
      <c r="CG30" s="1005">
        <f t="shared" si="60"/>
        <v>0.49589041095890413</v>
      </c>
      <c r="CH30" s="1005">
        <f t="shared" si="60"/>
        <v>0.50410958904109593</v>
      </c>
      <c r="CI30" s="1005">
        <f t="shared" si="60"/>
        <v>0.49589041095890413</v>
      </c>
      <c r="CJ30" s="1005">
        <f t="shared" si="60"/>
        <v>0.50410958904109593</v>
      </c>
      <c r="CK30" s="1005">
        <f t="shared" si="60"/>
        <v>0.49589041095890413</v>
      </c>
      <c r="CL30" s="1005">
        <f t="shared" si="60"/>
        <v>0.50410958904109593</v>
      </c>
      <c r="CM30" s="1005">
        <f t="shared" si="60"/>
        <v>0.49863013698630138</v>
      </c>
      <c r="CN30" s="1005">
        <f t="shared" si="60"/>
        <v>0.50410958904109593</v>
      </c>
      <c r="CO30" s="1005">
        <f t="shared" si="60"/>
        <v>0.49589041095890413</v>
      </c>
      <c r="CP30" s="1005">
        <f t="shared" si="60"/>
        <v>0.50410958904109593</v>
      </c>
      <c r="CQ30" s="1005">
        <f t="shared" si="60"/>
        <v>0.49589041095890413</v>
      </c>
      <c r="CR30" s="1005">
        <f t="shared" si="60"/>
        <v>0.50410958904109593</v>
      </c>
      <c r="CS30" s="1005">
        <f t="shared" si="60"/>
        <v>0.49589041095890413</v>
      </c>
      <c r="CT30" s="1005">
        <f t="shared" si="60"/>
        <v>0.50410958904109593</v>
      </c>
      <c r="CU30" s="1005">
        <f t="shared" si="60"/>
        <v>0.49863013698630138</v>
      </c>
      <c r="CV30" s="1005">
        <f t="shared" si="60"/>
        <v>0.50410958904109593</v>
      </c>
      <c r="CW30" s="1005">
        <f t="shared" si="60"/>
        <v>0.49589041095890413</v>
      </c>
      <c r="CX30" s="1005">
        <f t="shared" si="60"/>
        <v>0.50410958904109593</v>
      </c>
      <c r="CY30" s="1005">
        <f t="shared" ref="CY30:DW30" si="61">(CY6-CY5+1)/(equity_year)</f>
        <v>0.49589041095890413</v>
      </c>
      <c r="CZ30" s="1005">
        <f t="shared" si="61"/>
        <v>0.50410958904109593</v>
      </c>
      <c r="DA30" s="1005">
        <f t="shared" si="61"/>
        <v>0.49589041095890413</v>
      </c>
      <c r="DB30" s="1005">
        <f t="shared" si="61"/>
        <v>0.50410958904109593</v>
      </c>
      <c r="DC30" s="1005">
        <f t="shared" si="61"/>
        <v>0.49863013698630138</v>
      </c>
      <c r="DD30" s="1005">
        <f t="shared" si="61"/>
        <v>0.50410958904109593</v>
      </c>
      <c r="DE30" s="1005">
        <f t="shared" si="61"/>
        <v>0.49589041095890413</v>
      </c>
      <c r="DF30" s="1005">
        <f t="shared" si="61"/>
        <v>0.50410958904109593</v>
      </c>
      <c r="DG30" s="1005">
        <f t="shared" si="61"/>
        <v>0.49589041095890413</v>
      </c>
      <c r="DH30" s="1005">
        <f t="shared" si="61"/>
        <v>0.50410958904109593</v>
      </c>
      <c r="DI30" s="1005">
        <f t="shared" si="61"/>
        <v>0.49589041095890413</v>
      </c>
      <c r="DJ30" s="1005">
        <f t="shared" si="61"/>
        <v>0.50410958904109593</v>
      </c>
      <c r="DK30" s="1005">
        <f t="shared" si="61"/>
        <v>0.49863013698630138</v>
      </c>
      <c r="DL30" s="1005">
        <f t="shared" si="61"/>
        <v>0.50410958904109593</v>
      </c>
      <c r="DM30" s="1005">
        <f t="shared" si="61"/>
        <v>0.49589041095890413</v>
      </c>
      <c r="DN30" s="1005">
        <f t="shared" si="61"/>
        <v>0.50410958904109593</v>
      </c>
      <c r="DO30" s="1005">
        <f t="shared" si="61"/>
        <v>0.49589041095890413</v>
      </c>
      <c r="DP30" s="1005">
        <f t="shared" si="61"/>
        <v>0.50410958904109593</v>
      </c>
      <c r="DQ30" s="1005">
        <f t="shared" si="61"/>
        <v>0.49589041095890413</v>
      </c>
      <c r="DR30" s="1005">
        <f t="shared" si="61"/>
        <v>0.50410958904109593</v>
      </c>
      <c r="DS30" s="1005">
        <f t="shared" si="61"/>
        <v>0.49863013698630138</v>
      </c>
      <c r="DT30" s="1005">
        <f t="shared" si="61"/>
        <v>0.50410958904109593</v>
      </c>
      <c r="DU30" s="1005">
        <f t="shared" si="61"/>
        <v>0.49589041095890413</v>
      </c>
      <c r="DV30" s="1005">
        <f t="shared" si="61"/>
        <v>0.50410958904109593</v>
      </c>
      <c r="DW30" s="1005">
        <f t="shared" si="61"/>
        <v>0.49589041095890413</v>
      </c>
      <c r="DX30" s="917"/>
    </row>
    <row r="31" spans="1:139" s="310" customFormat="1">
      <c r="A31" s="304" t="s">
        <v>1350</v>
      </c>
      <c r="B31" s="983"/>
      <c r="C31" s="983"/>
      <c r="D31" s="581"/>
      <c r="E31" s="581"/>
      <c r="F31" s="583"/>
      <c r="G31" s="972">
        <f>IF(G7=0,G5,G6)</f>
        <v>47298</v>
      </c>
      <c r="H31" s="972">
        <f t="shared" ref="H31:BS31" si="62">IF(H7=0,H5,H6)</f>
        <v>47848</v>
      </c>
      <c r="I31" s="972">
        <f t="shared" si="62"/>
        <v>48029</v>
      </c>
      <c r="J31" s="972">
        <f t="shared" si="62"/>
        <v>48213</v>
      </c>
      <c r="K31" s="972">
        <f t="shared" si="62"/>
        <v>48395</v>
      </c>
      <c r="L31" s="972">
        <f t="shared" si="62"/>
        <v>48579</v>
      </c>
      <c r="M31" s="972">
        <f t="shared" si="62"/>
        <v>48760</v>
      </c>
      <c r="N31" s="972">
        <f t="shared" si="62"/>
        <v>48944</v>
      </c>
      <c r="O31" s="972">
        <f t="shared" si="62"/>
        <v>49125</v>
      </c>
      <c r="P31" s="972">
        <f t="shared" si="62"/>
        <v>49309</v>
      </c>
      <c r="Q31" s="972">
        <f t="shared" si="62"/>
        <v>49490</v>
      </c>
      <c r="R31" s="972">
        <f t="shared" si="62"/>
        <v>49674</v>
      </c>
      <c r="S31" s="972">
        <f t="shared" si="62"/>
        <v>49856</v>
      </c>
      <c r="T31" s="972">
        <f t="shared" si="62"/>
        <v>50040</v>
      </c>
      <c r="U31" s="972">
        <f t="shared" si="62"/>
        <v>50221</v>
      </c>
      <c r="V31" s="972">
        <f t="shared" si="62"/>
        <v>50405</v>
      </c>
      <c r="W31" s="972">
        <f t="shared" si="62"/>
        <v>50586</v>
      </c>
      <c r="X31" s="972">
        <f t="shared" si="62"/>
        <v>50770</v>
      </c>
      <c r="Y31" s="972">
        <f t="shared" si="62"/>
        <v>50951</v>
      </c>
      <c r="Z31" s="972">
        <f t="shared" si="62"/>
        <v>51135</v>
      </c>
      <c r="AA31" s="972">
        <f t="shared" si="62"/>
        <v>51317</v>
      </c>
      <c r="AB31" s="972">
        <f t="shared" si="62"/>
        <v>51501</v>
      </c>
      <c r="AC31" s="972">
        <f t="shared" si="62"/>
        <v>51682</v>
      </c>
      <c r="AD31" s="972">
        <f t="shared" si="62"/>
        <v>51866</v>
      </c>
      <c r="AE31" s="972">
        <f t="shared" si="62"/>
        <v>52047</v>
      </c>
      <c r="AF31" s="972">
        <f t="shared" si="62"/>
        <v>52231</v>
      </c>
      <c r="AG31" s="972">
        <f t="shared" si="62"/>
        <v>52412</v>
      </c>
      <c r="AH31" s="972">
        <f t="shared" si="62"/>
        <v>52596</v>
      </c>
      <c r="AI31" s="972">
        <f t="shared" si="62"/>
        <v>52778</v>
      </c>
      <c r="AJ31" s="972">
        <f t="shared" si="62"/>
        <v>52962</v>
      </c>
      <c r="AK31" s="972">
        <f t="shared" si="62"/>
        <v>53143</v>
      </c>
      <c r="AL31" s="972">
        <f t="shared" si="62"/>
        <v>53327</v>
      </c>
      <c r="AM31" s="972">
        <f t="shared" si="62"/>
        <v>53508</v>
      </c>
      <c r="AN31" s="972">
        <f t="shared" si="62"/>
        <v>53692</v>
      </c>
      <c r="AO31" s="972">
        <f t="shared" si="62"/>
        <v>53873</v>
      </c>
      <c r="AP31" s="972">
        <f t="shared" si="62"/>
        <v>54057</v>
      </c>
      <c r="AQ31" s="972">
        <f t="shared" si="62"/>
        <v>54239</v>
      </c>
      <c r="AR31" s="972">
        <f t="shared" si="62"/>
        <v>54423</v>
      </c>
      <c r="AS31" s="972">
        <f t="shared" si="62"/>
        <v>54604</v>
      </c>
      <c r="AT31" s="972">
        <f t="shared" si="62"/>
        <v>54788</v>
      </c>
      <c r="AU31" s="972">
        <f t="shared" si="62"/>
        <v>54969</v>
      </c>
      <c r="AV31" s="972">
        <f t="shared" si="62"/>
        <v>55153</v>
      </c>
      <c r="AW31" s="972">
        <f t="shared" si="62"/>
        <v>55334</v>
      </c>
      <c r="AX31" s="972">
        <f t="shared" si="62"/>
        <v>55518</v>
      </c>
      <c r="AY31" s="972">
        <f t="shared" si="62"/>
        <v>55700</v>
      </c>
      <c r="AZ31" s="972">
        <f t="shared" si="62"/>
        <v>55884</v>
      </c>
      <c r="BA31" s="972">
        <f t="shared" si="62"/>
        <v>56065</v>
      </c>
      <c r="BB31" s="972">
        <f t="shared" si="62"/>
        <v>56249</v>
      </c>
      <c r="BC31" s="972">
        <f t="shared" si="62"/>
        <v>56430</v>
      </c>
      <c r="BD31" s="972">
        <f t="shared" si="62"/>
        <v>56614</v>
      </c>
      <c r="BE31" s="972">
        <f t="shared" si="62"/>
        <v>56795</v>
      </c>
      <c r="BF31" s="972">
        <f t="shared" si="62"/>
        <v>56979</v>
      </c>
      <c r="BG31" s="972">
        <f t="shared" si="62"/>
        <v>57161</v>
      </c>
      <c r="BH31" s="972">
        <f t="shared" si="62"/>
        <v>57345</v>
      </c>
      <c r="BI31" s="972">
        <f t="shared" si="62"/>
        <v>57526</v>
      </c>
      <c r="BJ31" s="972">
        <f t="shared" si="62"/>
        <v>57710</v>
      </c>
      <c r="BK31" s="972">
        <f t="shared" si="62"/>
        <v>57891</v>
      </c>
      <c r="BL31" s="972">
        <f t="shared" si="62"/>
        <v>58075</v>
      </c>
      <c r="BM31" s="972">
        <f t="shared" si="62"/>
        <v>58256</v>
      </c>
      <c r="BN31" s="972">
        <f t="shared" si="62"/>
        <v>58440</v>
      </c>
      <c r="BO31" s="972">
        <f t="shared" si="62"/>
        <v>58622</v>
      </c>
      <c r="BP31" s="972">
        <f t="shared" si="62"/>
        <v>58806</v>
      </c>
      <c r="BQ31" s="972">
        <f t="shared" si="62"/>
        <v>58987</v>
      </c>
      <c r="BR31" s="972">
        <f t="shared" si="62"/>
        <v>59171</v>
      </c>
      <c r="BS31" s="972">
        <f t="shared" si="62"/>
        <v>59352</v>
      </c>
      <c r="BT31" s="972">
        <f t="shared" ref="BT31:DW31" si="63">IF(BT7=0,BT5,BT6)</f>
        <v>59536</v>
      </c>
      <c r="BU31" s="972">
        <f t="shared" si="63"/>
        <v>59717</v>
      </c>
      <c r="BV31" s="972">
        <f t="shared" si="63"/>
        <v>59901</v>
      </c>
      <c r="BW31" s="972">
        <f t="shared" si="63"/>
        <v>60083</v>
      </c>
      <c r="BX31" s="972">
        <f t="shared" si="63"/>
        <v>60267</v>
      </c>
      <c r="BY31" s="972">
        <f t="shared" si="63"/>
        <v>60448</v>
      </c>
      <c r="BZ31" s="972">
        <f t="shared" si="63"/>
        <v>60632</v>
      </c>
      <c r="CA31" s="972">
        <f t="shared" si="63"/>
        <v>60813</v>
      </c>
      <c r="CB31" s="972">
        <f t="shared" si="63"/>
        <v>60997</v>
      </c>
      <c r="CC31" s="972">
        <f t="shared" si="63"/>
        <v>61178</v>
      </c>
      <c r="CD31" s="972">
        <f t="shared" si="63"/>
        <v>61362</v>
      </c>
      <c r="CE31" s="972">
        <f t="shared" si="63"/>
        <v>61544</v>
      </c>
      <c r="CF31" s="972">
        <f t="shared" si="63"/>
        <v>61728</v>
      </c>
      <c r="CG31" s="972">
        <f t="shared" si="63"/>
        <v>61909</v>
      </c>
      <c r="CH31" s="972">
        <f t="shared" si="63"/>
        <v>62093</v>
      </c>
      <c r="CI31" s="972">
        <f t="shared" si="63"/>
        <v>62274</v>
      </c>
      <c r="CJ31" s="972">
        <f t="shared" si="63"/>
        <v>62458</v>
      </c>
      <c r="CK31" s="972">
        <f t="shared" si="63"/>
        <v>62639</v>
      </c>
      <c r="CL31" s="972">
        <f t="shared" si="63"/>
        <v>62823</v>
      </c>
      <c r="CM31" s="972">
        <f t="shared" si="63"/>
        <v>63005</v>
      </c>
      <c r="CN31" s="972">
        <f t="shared" si="63"/>
        <v>63189</v>
      </c>
      <c r="CO31" s="972">
        <f t="shared" si="63"/>
        <v>63370</v>
      </c>
      <c r="CP31" s="972">
        <f t="shared" si="63"/>
        <v>63554</v>
      </c>
      <c r="CQ31" s="972">
        <f t="shared" si="63"/>
        <v>63735</v>
      </c>
      <c r="CR31" s="972">
        <f t="shared" si="63"/>
        <v>63919</v>
      </c>
      <c r="CS31" s="972">
        <f t="shared" si="63"/>
        <v>64100</v>
      </c>
      <c r="CT31" s="972">
        <f t="shared" si="63"/>
        <v>64284</v>
      </c>
      <c r="CU31" s="972">
        <f t="shared" si="63"/>
        <v>64466</v>
      </c>
      <c r="CV31" s="972">
        <f t="shared" si="63"/>
        <v>64650</v>
      </c>
      <c r="CW31" s="972">
        <f t="shared" si="63"/>
        <v>64831</v>
      </c>
      <c r="CX31" s="972">
        <f t="shared" si="63"/>
        <v>65015</v>
      </c>
      <c r="CY31" s="972">
        <f t="shared" si="63"/>
        <v>65196</v>
      </c>
      <c r="CZ31" s="972">
        <f t="shared" si="63"/>
        <v>65380</v>
      </c>
      <c r="DA31" s="972">
        <f t="shared" si="63"/>
        <v>65561</v>
      </c>
      <c r="DB31" s="972">
        <f t="shared" si="63"/>
        <v>65745</v>
      </c>
      <c r="DC31" s="972">
        <f t="shared" si="63"/>
        <v>65927</v>
      </c>
      <c r="DD31" s="972">
        <f t="shared" si="63"/>
        <v>66111</v>
      </c>
      <c r="DE31" s="972">
        <f t="shared" si="63"/>
        <v>66292</v>
      </c>
      <c r="DF31" s="972">
        <f t="shared" si="63"/>
        <v>66476</v>
      </c>
      <c r="DG31" s="972">
        <f t="shared" si="63"/>
        <v>66657</v>
      </c>
      <c r="DH31" s="972">
        <f t="shared" si="63"/>
        <v>66841</v>
      </c>
      <c r="DI31" s="972">
        <f t="shared" si="63"/>
        <v>67022</v>
      </c>
      <c r="DJ31" s="972">
        <f t="shared" si="63"/>
        <v>67206</v>
      </c>
      <c r="DK31" s="972">
        <f t="shared" si="63"/>
        <v>67388</v>
      </c>
      <c r="DL31" s="972">
        <f t="shared" si="63"/>
        <v>67572</v>
      </c>
      <c r="DM31" s="972">
        <f t="shared" si="63"/>
        <v>67753</v>
      </c>
      <c r="DN31" s="972">
        <f t="shared" si="63"/>
        <v>67937</v>
      </c>
      <c r="DO31" s="972">
        <f t="shared" si="63"/>
        <v>68118</v>
      </c>
      <c r="DP31" s="972">
        <f t="shared" si="63"/>
        <v>68302</v>
      </c>
      <c r="DQ31" s="972">
        <f t="shared" si="63"/>
        <v>68483</v>
      </c>
      <c r="DR31" s="972">
        <f t="shared" si="63"/>
        <v>68667</v>
      </c>
      <c r="DS31" s="972">
        <f t="shared" si="63"/>
        <v>68849</v>
      </c>
      <c r="DT31" s="972">
        <f t="shared" si="63"/>
        <v>69033</v>
      </c>
      <c r="DU31" s="972">
        <f t="shared" si="63"/>
        <v>69214</v>
      </c>
      <c r="DV31" s="972">
        <f t="shared" si="63"/>
        <v>69398</v>
      </c>
      <c r="DW31" s="972">
        <f t="shared" si="63"/>
        <v>69579</v>
      </c>
      <c r="DX31" s="917"/>
    </row>
    <row r="32" spans="1:139" s="310" customFormat="1">
      <c r="A32" s="304" t="s">
        <v>1351</v>
      </c>
      <c r="B32" s="927">
        <f>Inputs!$D$336</f>
        <v>1</v>
      </c>
      <c r="C32" s="927"/>
      <c r="D32" s="581"/>
      <c r="E32" s="581"/>
      <c r="F32" s="583"/>
      <c r="G32" s="972">
        <f>IF(G7=0,G5,DATE(YEAR(G31),MONTH(G31),DAY(G31)+$B$32))</f>
        <v>47298</v>
      </c>
      <c r="H32" s="972">
        <f t="shared" ref="H32:BS32" si="64">IF(H7=0,H5,DATE(YEAR(H31),MONTH(H31),DAY(H31)+$B$32))</f>
        <v>47849</v>
      </c>
      <c r="I32" s="972">
        <f t="shared" si="64"/>
        <v>48030</v>
      </c>
      <c r="J32" s="972">
        <f t="shared" si="64"/>
        <v>48214</v>
      </c>
      <c r="K32" s="972">
        <f t="shared" si="64"/>
        <v>48396</v>
      </c>
      <c r="L32" s="972">
        <f t="shared" si="64"/>
        <v>48580</v>
      </c>
      <c r="M32" s="972">
        <f t="shared" si="64"/>
        <v>48761</v>
      </c>
      <c r="N32" s="972">
        <f t="shared" si="64"/>
        <v>48945</v>
      </c>
      <c r="O32" s="972">
        <f t="shared" si="64"/>
        <v>49126</v>
      </c>
      <c r="P32" s="972">
        <f t="shared" si="64"/>
        <v>49310</v>
      </c>
      <c r="Q32" s="972">
        <f t="shared" si="64"/>
        <v>49491</v>
      </c>
      <c r="R32" s="972">
        <f t="shared" si="64"/>
        <v>49675</v>
      </c>
      <c r="S32" s="972">
        <f t="shared" si="64"/>
        <v>49857</v>
      </c>
      <c r="T32" s="972">
        <f t="shared" si="64"/>
        <v>50041</v>
      </c>
      <c r="U32" s="972">
        <f t="shared" si="64"/>
        <v>50222</v>
      </c>
      <c r="V32" s="972">
        <f t="shared" si="64"/>
        <v>50406</v>
      </c>
      <c r="W32" s="972">
        <f t="shared" si="64"/>
        <v>50587</v>
      </c>
      <c r="X32" s="972">
        <f t="shared" si="64"/>
        <v>50771</v>
      </c>
      <c r="Y32" s="972">
        <f t="shared" si="64"/>
        <v>50952</v>
      </c>
      <c r="Z32" s="972">
        <f t="shared" si="64"/>
        <v>51136</v>
      </c>
      <c r="AA32" s="972">
        <f t="shared" si="64"/>
        <v>51318</v>
      </c>
      <c r="AB32" s="972">
        <f t="shared" si="64"/>
        <v>51502</v>
      </c>
      <c r="AC32" s="972">
        <f t="shared" si="64"/>
        <v>51683</v>
      </c>
      <c r="AD32" s="972">
        <f t="shared" si="64"/>
        <v>51867</v>
      </c>
      <c r="AE32" s="972">
        <f t="shared" si="64"/>
        <v>52048</v>
      </c>
      <c r="AF32" s="972">
        <f t="shared" si="64"/>
        <v>52232</v>
      </c>
      <c r="AG32" s="972">
        <f t="shared" si="64"/>
        <v>52413</v>
      </c>
      <c r="AH32" s="972">
        <f t="shared" si="64"/>
        <v>52597</v>
      </c>
      <c r="AI32" s="972">
        <f t="shared" si="64"/>
        <v>52779</v>
      </c>
      <c r="AJ32" s="972">
        <f t="shared" si="64"/>
        <v>52963</v>
      </c>
      <c r="AK32" s="972">
        <f t="shared" si="64"/>
        <v>53144</v>
      </c>
      <c r="AL32" s="972">
        <f t="shared" si="64"/>
        <v>53328</v>
      </c>
      <c r="AM32" s="972">
        <f t="shared" si="64"/>
        <v>53509</v>
      </c>
      <c r="AN32" s="972">
        <f t="shared" si="64"/>
        <v>53693</v>
      </c>
      <c r="AO32" s="972">
        <f t="shared" si="64"/>
        <v>53874</v>
      </c>
      <c r="AP32" s="972">
        <f t="shared" si="64"/>
        <v>54058</v>
      </c>
      <c r="AQ32" s="972">
        <f t="shared" si="64"/>
        <v>54240</v>
      </c>
      <c r="AR32" s="972">
        <f t="shared" si="64"/>
        <v>54424</v>
      </c>
      <c r="AS32" s="972">
        <f t="shared" si="64"/>
        <v>54605</v>
      </c>
      <c r="AT32" s="972">
        <f t="shared" si="64"/>
        <v>54789</v>
      </c>
      <c r="AU32" s="972">
        <f t="shared" si="64"/>
        <v>54970</v>
      </c>
      <c r="AV32" s="972">
        <f t="shared" si="64"/>
        <v>55154</v>
      </c>
      <c r="AW32" s="972">
        <f t="shared" si="64"/>
        <v>55335</v>
      </c>
      <c r="AX32" s="972">
        <f t="shared" si="64"/>
        <v>55519</v>
      </c>
      <c r="AY32" s="972">
        <f t="shared" si="64"/>
        <v>55701</v>
      </c>
      <c r="AZ32" s="972">
        <f t="shared" si="64"/>
        <v>55885</v>
      </c>
      <c r="BA32" s="972">
        <f t="shared" si="64"/>
        <v>56066</v>
      </c>
      <c r="BB32" s="972">
        <f t="shared" si="64"/>
        <v>56250</v>
      </c>
      <c r="BC32" s="972">
        <f t="shared" si="64"/>
        <v>56431</v>
      </c>
      <c r="BD32" s="972">
        <f t="shared" si="64"/>
        <v>56615</v>
      </c>
      <c r="BE32" s="972">
        <f t="shared" si="64"/>
        <v>56796</v>
      </c>
      <c r="BF32" s="972">
        <f t="shared" si="64"/>
        <v>56980</v>
      </c>
      <c r="BG32" s="972">
        <f t="shared" si="64"/>
        <v>57162</v>
      </c>
      <c r="BH32" s="972">
        <f t="shared" si="64"/>
        <v>57346</v>
      </c>
      <c r="BI32" s="972">
        <f t="shared" si="64"/>
        <v>57527</v>
      </c>
      <c r="BJ32" s="972">
        <f t="shared" si="64"/>
        <v>57711</v>
      </c>
      <c r="BK32" s="972">
        <f t="shared" si="64"/>
        <v>57892</v>
      </c>
      <c r="BL32" s="972">
        <f t="shared" si="64"/>
        <v>58076</v>
      </c>
      <c r="BM32" s="972">
        <f t="shared" si="64"/>
        <v>58257</v>
      </c>
      <c r="BN32" s="972">
        <f t="shared" si="64"/>
        <v>58441</v>
      </c>
      <c r="BO32" s="972">
        <f t="shared" si="64"/>
        <v>58623</v>
      </c>
      <c r="BP32" s="972">
        <f t="shared" si="64"/>
        <v>58807</v>
      </c>
      <c r="BQ32" s="972">
        <f t="shared" si="64"/>
        <v>58988</v>
      </c>
      <c r="BR32" s="972">
        <f t="shared" si="64"/>
        <v>59172</v>
      </c>
      <c r="BS32" s="972">
        <f t="shared" si="64"/>
        <v>59353</v>
      </c>
      <c r="BT32" s="972">
        <f t="shared" ref="BT32:DW32" si="65">IF(BT7=0,BT5,DATE(YEAR(BT31),MONTH(BT31),DAY(BT31)+$B$32))</f>
        <v>59537</v>
      </c>
      <c r="BU32" s="972">
        <f t="shared" si="65"/>
        <v>59718</v>
      </c>
      <c r="BV32" s="972">
        <f t="shared" si="65"/>
        <v>59902</v>
      </c>
      <c r="BW32" s="972">
        <f t="shared" si="65"/>
        <v>60084</v>
      </c>
      <c r="BX32" s="972">
        <f t="shared" si="65"/>
        <v>60268</v>
      </c>
      <c r="BY32" s="972">
        <f t="shared" si="65"/>
        <v>60449</v>
      </c>
      <c r="BZ32" s="972">
        <f t="shared" si="65"/>
        <v>60633</v>
      </c>
      <c r="CA32" s="972">
        <f t="shared" si="65"/>
        <v>60814</v>
      </c>
      <c r="CB32" s="972">
        <f t="shared" si="65"/>
        <v>60998</v>
      </c>
      <c r="CC32" s="972">
        <f t="shared" si="65"/>
        <v>61179</v>
      </c>
      <c r="CD32" s="972">
        <f t="shared" si="65"/>
        <v>61363</v>
      </c>
      <c r="CE32" s="972">
        <f t="shared" si="65"/>
        <v>61545</v>
      </c>
      <c r="CF32" s="972">
        <f t="shared" si="65"/>
        <v>61729</v>
      </c>
      <c r="CG32" s="972">
        <f t="shared" si="65"/>
        <v>61910</v>
      </c>
      <c r="CH32" s="972">
        <f t="shared" si="65"/>
        <v>62094</v>
      </c>
      <c r="CI32" s="972">
        <f t="shared" si="65"/>
        <v>62275</v>
      </c>
      <c r="CJ32" s="972">
        <f t="shared" si="65"/>
        <v>62459</v>
      </c>
      <c r="CK32" s="972">
        <f t="shared" si="65"/>
        <v>62640</v>
      </c>
      <c r="CL32" s="972">
        <f t="shared" si="65"/>
        <v>62824</v>
      </c>
      <c r="CM32" s="972">
        <f t="shared" si="65"/>
        <v>63006</v>
      </c>
      <c r="CN32" s="972">
        <f t="shared" si="65"/>
        <v>63190</v>
      </c>
      <c r="CO32" s="972">
        <f t="shared" si="65"/>
        <v>63371</v>
      </c>
      <c r="CP32" s="972">
        <f t="shared" si="65"/>
        <v>63555</v>
      </c>
      <c r="CQ32" s="972">
        <f t="shared" si="65"/>
        <v>63736</v>
      </c>
      <c r="CR32" s="972">
        <f t="shared" si="65"/>
        <v>63920</v>
      </c>
      <c r="CS32" s="972">
        <f t="shared" si="65"/>
        <v>64101</v>
      </c>
      <c r="CT32" s="972">
        <f t="shared" si="65"/>
        <v>64285</v>
      </c>
      <c r="CU32" s="972">
        <f t="shared" si="65"/>
        <v>64467</v>
      </c>
      <c r="CV32" s="972">
        <f t="shared" si="65"/>
        <v>64651</v>
      </c>
      <c r="CW32" s="972">
        <f t="shared" si="65"/>
        <v>64832</v>
      </c>
      <c r="CX32" s="972">
        <f t="shared" si="65"/>
        <v>65016</v>
      </c>
      <c r="CY32" s="972">
        <f t="shared" si="65"/>
        <v>65197</v>
      </c>
      <c r="CZ32" s="972">
        <f t="shared" si="65"/>
        <v>65381</v>
      </c>
      <c r="DA32" s="972">
        <f t="shared" si="65"/>
        <v>65562</v>
      </c>
      <c r="DB32" s="972">
        <f t="shared" si="65"/>
        <v>65746</v>
      </c>
      <c r="DC32" s="972">
        <f t="shared" si="65"/>
        <v>65928</v>
      </c>
      <c r="DD32" s="972">
        <f t="shared" si="65"/>
        <v>66112</v>
      </c>
      <c r="DE32" s="972">
        <f t="shared" si="65"/>
        <v>66293</v>
      </c>
      <c r="DF32" s="972">
        <f t="shared" si="65"/>
        <v>66477</v>
      </c>
      <c r="DG32" s="972">
        <f t="shared" si="65"/>
        <v>66658</v>
      </c>
      <c r="DH32" s="972">
        <f t="shared" si="65"/>
        <v>66842</v>
      </c>
      <c r="DI32" s="972">
        <f t="shared" si="65"/>
        <v>67023</v>
      </c>
      <c r="DJ32" s="972">
        <f t="shared" si="65"/>
        <v>67207</v>
      </c>
      <c r="DK32" s="972">
        <f t="shared" si="65"/>
        <v>67389</v>
      </c>
      <c r="DL32" s="972">
        <f t="shared" si="65"/>
        <v>67573</v>
      </c>
      <c r="DM32" s="972">
        <f t="shared" si="65"/>
        <v>67754</v>
      </c>
      <c r="DN32" s="972">
        <f t="shared" si="65"/>
        <v>67938</v>
      </c>
      <c r="DO32" s="972">
        <f t="shared" si="65"/>
        <v>68119</v>
      </c>
      <c r="DP32" s="972">
        <f t="shared" si="65"/>
        <v>68303</v>
      </c>
      <c r="DQ32" s="972">
        <f t="shared" si="65"/>
        <v>68484</v>
      </c>
      <c r="DR32" s="972">
        <f t="shared" si="65"/>
        <v>68668</v>
      </c>
      <c r="DS32" s="972">
        <f t="shared" si="65"/>
        <v>68850</v>
      </c>
      <c r="DT32" s="972">
        <f t="shared" si="65"/>
        <v>69034</v>
      </c>
      <c r="DU32" s="972">
        <f t="shared" si="65"/>
        <v>69215</v>
      </c>
      <c r="DV32" s="972">
        <f t="shared" si="65"/>
        <v>69399</v>
      </c>
      <c r="DW32" s="972">
        <f t="shared" si="65"/>
        <v>69580</v>
      </c>
      <c r="DX32" s="917"/>
    </row>
    <row r="33" spans="1:128">
      <c r="B33" s="693"/>
      <c r="C33" s="693"/>
      <c r="D33" s="584"/>
      <c r="E33" s="584"/>
      <c r="F33" s="587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  <c r="AF33" s="1023"/>
      <c r="AG33" s="1023"/>
      <c r="AH33" s="1023"/>
      <c r="AI33" s="1023"/>
      <c r="AJ33" s="1023"/>
      <c r="AK33" s="1023"/>
      <c r="AL33" s="1023"/>
      <c r="AM33" s="1023"/>
      <c r="AN33" s="1023"/>
      <c r="AO33" s="1023"/>
      <c r="AP33" s="1023"/>
      <c r="AQ33" s="1023"/>
      <c r="AR33" s="1023"/>
      <c r="AS33" s="1023"/>
      <c r="AT33" s="1023"/>
      <c r="AU33" s="1023"/>
      <c r="AV33" s="1023"/>
      <c r="AW33" s="1023"/>
      <c r="AX33" s="1023"/>
      <c r="AY33" s="1023"/>
      <c r="AZ33" s="1023"/>
      <c r="BA33" s="1023"/>
      <c r="BB33" s="1023"/>
      <c r="BC33" s="1023"/>
      <c r="BD33" s="1023"/>
      <c r="BE33" s="1023"/>
      <c r="BF33" s="1023"/>
      <c r="BG33" s="1023"/>
      <c r="BH33" s="1023"/>
      <c r="BI33" s="1023"/>
      <c r="BJ33" s="1023"/>
      <c r="BK33" s="1023"/>
      <c r="BL33" s="1023"/>
      <c r="BM33" s="1023"/>
      <c r="BN33" s="1023"/>
      <c r="BO33" s="1023"/>
      <c r="BP33" s="1023"/>
      <c r="BQ33" s="1023"/>
      <c r="BR33" s="1023"/>
      <c r="BS33" s="1023"/>
      <c r="BT33" s="1023"/>
      <c r="BU33" s="1023"/>
      <c r="BV33" s="1023"/>
      <c r="BW33" s="1023"/>
      <c r="BX33" s="1023"/>
      <c r="BY33" s="1023"/>
      <c r="BZ33" s="1023"/>
      <c r="CA33" s="1023"/>
      <c r="CB33" s="1023"/>
      <c r="CC33" s="1023"/>
      <c r="CD33" s="1023"/>
      <c r="CE33" s="1023"/>
      <c r="CF33" s="1023"/>
      <c r="CG33" s="1023"/>
      <c r="CH33" s="1023"/>
      <c r="CI33" s="1023"/>
      <c r="CJ33" s="1023"/>
      <c r="CK33" s="1023"/>
      <c r="CL33" s="1023"/>
      <c r="CM33" s="1023"/>
      <c r="CN33" s="1023"/>
      <c r="CO33" s="1023"/>
      <c r="CP33" s="1023"/>
      <c r="CQ33" s="1023"/>
      <c r="CR33" s="1023"/>
      <c r="CS33" s="1023"/>
      <c r="CT33" s="1023"/>
      <c r="CU33" s="1023"/>
      <c r="CV33" s="1023"/>
      <c r="CW33" s="1023"/>
      <c r="CX33" s="1023"/>
      <c r="CY33" s="1023"/>
      <c r="CZ33" s="1023"/>
      <c r="DA33" s="1023"/>
      <c r="DB33" s="1023"/>
      <c r="DC33" s="1023"/>
      <c r="DD33" s="1023"/>
      <c r="DE33" s="1023"/>
      <c r="DF33" s="1023"/>
      <c r="DG33" s="1023"/>
      <c r="DH33" s="1023"/>
      <c r="DI33" s="1023"/>
      <c r="DJ33" s="1023"/>
      <c r="DK33" s="1023"/>
      <c r="DL33" s="1023"/>
      <c r="DM33" s="1023"/>
      <c r="DN33" s="1023"/>
      <c r="DO33" s="1023"/>
      <c r="DP33" s="1023"/>
      <c r="DQ33" s="1023"/>
      <c r="DR33" s="1023"/>
      <c r="DS33" s="1023"/>
      <c r="DT33" s="1023"/>
      <c r="DU33" s="1023"/>
      <c r="DV33" s="1023"/>
      <c r="DW33" s="1023"/>
      <c r="DX33" s="579"/>
    </row>
    <row r="34" spans="1:128">
      <c r="A34" s="304" t="s">
        <v>1352</v>
      </c>
      <c r="B34" s="693"/>
      <c r="C34" s="693"/>
      <c r="D34" s="584"/>
      <c r="E34" s="584"/>
      <c r="F34" s="587"/>
      <c r="G34" s="973" t="b">
        <f t="shared" ref="G34:AL34" si="66">IF(AND(OR(MONTH(G$6)=12,AND(AND(MONTH(G$5)&lt;12,MONTH(G$6)&lt;12),YEAR(G$5)&lt;YEAR(G$6)),MONTH(G$5)=12),G$12),TRUE,FALSE)</f>
        <v>0</v>
      </c>
      <c r="H34" s="973" t="b">
        <f t="shared" si="66"/>
        <v>1</v>
      </c>
      <c r="I34" s="973" t="b">
        <f t="shared" si="66"/>
        <v>0</v>
      </c>
      <c r="J34" s="973" t="b">
        <f t="shared" si="66"/>
        <v>1</v>
      </c>
      <c r="K34" s="973" t="b">
        <f t="shared" si="66"/>
        <v>0</v>
      </c>
      <c r="L34" s="973" t="b">
        <f t="shared" si="66"/>
        <v>1</v>
      </c>
      <c r="M34" s="973" t="b">
        <f t="shared" si="66"/>
        <v>0</v>
      </c>
      <c r="N34" s="973" t="b">
        <f t="shared" si="66"/>
        <v>1</v>
      </c>
      <c r="O34" s="973" t="b">
        <f t="shared" si="66"/>
        <v>0</v>
      </c>
      <c r="P34" s="973" t="b">
        <f t="shared" si="66"/>
        <v>1</v>
      </c>
      <c r="Q34" s="973" t="b">
        <f t="shared" si="66"/>
        <v>0</v>
      </c>
      <c r="R34" s="973" t="b">
        <f t="shared" si="66"/>
        <v>1</v>
      </c>
      <c r="S34" s="973" t="b">
        <f t="shared" si="66"/>
        <v>0</v>
      </c>
      <c r="T34" s="973" t="b">
        <f t="shared" si="66"/>
        <v>1</v>
      </c>
      <c r="U34" s="973" t="b">
        <f t="shared" si="66"/>
        <v>0</v>
      </c>
      <c r="V34" s="973" t="b">
        <f t="shared" si="66"/>
        <v>1</v>
      </c>
      <c r="W34" s="973" t="b">
        <f t="shared" si="66"/>
        <v>0</v>
      </c>
      <c r="X34" s="973" t="b">
        <f t="shared" si="66"/>
        <v>1</v>
      </c>
      <c r="Y34" s="973" t="b">
        <f t="shared" si="66"/>
        <v>0</v>
      </c>
      <c r="Z34" s="973" t="b">
        <f t="shared" si="66"/>
        <v>1</v>
      </c>
      <c r="AA34" s="973" t="b">
        <f t="shared" si="66"/>
        <v>0</v>
      </c>
      <c r="AB34" s="973" t="b">
        <f t="shared" si="66"/>
        <v>1</v>
      </c>
      <c r="AC34" s="973" t="b">
        <f t="shared" si="66"/>
        <v>0</v>
      </c>
      <c r="AD34" s="973" t="b">
        <f t="shared" si="66"/>
        <v>1</v>
      </c>
      <c r="AE34" s="973" t="b">
        <f t="shared" si="66"/>
        <v>0</v>
      </c>
      <c r="AF34" s="973" t="b">
        <f t="shared" si="66"/>
        <v>1</v>
      </c>
      <c r="AG34" s="973" t="b">
        <f t="shared" si="66"/>
        <v>0</v>
      </c>
      <c r="AH34" s="973" t="b">
        <f t="shared" si="66"/>
        <v>1</v>
      </c>
      <c r="AI34" s="973" t="b">
        <f t="shared" si="66"/>
        <v>0</v>
      </c>
      <c r="AJ34" s="973" t="b">
        <f t="shared" si="66"/>
        <v>1</v>
      </c>
      <c r="AK34" s="973" t="b">
        <f t="shared" si="66"/>
        <v>0</v>
      </c>
      <c r="AL34" s="973" t="b">
        <f t="shared" si="66"/>
        <v>1</v>
      </c>
      <c r="AM34" s="973" t="b">
        <f t="shared" ref="AM34:BR34" si="67">IF(AND(OR(MONTH(AM$6)=12,AND(AND(MONTH(AM$5)&lt;12,MONTH(AM$6)&lt;12),YEAR(AM$5)&lt;YEAR(AM$6)),MONTH(AM$5)=12),AM$12),TRUE,FALSE)</f>
        <v>0</v>
      </c>
      <c r="AN34" s="973" t="b">
        <f t="shared" si="67"/>
        <v>1</v>
      </c>
      <c r="AO34" s="973" t="b">
        <f t="shared" si="67"/>
        <v>0</v>
      </c>
      <c r="AP34" s="973" t="b">
        <f t="shared" si="67"/>
        <v>1</v>
      </c>
      <c r="AQ34" s="973" t="b">
        <f t="shared" si="67"/>
        <v>0</v>
      </c>
      <c r="AR34" s="973" t="b">
        <f t="shared" si="67"/>
        <v>1</v>
      </c>
      <c r="AS34" s="973" t="b">
        <f t="shared" si="67"/>
        <v>0</v>
      </c>
      <c r="AT34" s="973" t="b">
        <f t="shared" si="67"/>
        <v>1</v>
      </c>
      <c r="AU34" s="973" t="b">
        <f t="shared" si="67"/>
        <v>0</v>
      </c>
      <c r="AV34" s="973" t="b">
        <f t="shared" si="67"/>
        <v>1</v>
      </c>
      <c r="AW34" s="973" t="b">
        <f t="shared" si="67"/>
        <v>0</v>
      </c>
      <c r="AX34" s="973" t="b">
        <f t="shared" si="67"/>
        <v>1</v>
      </c>
      <c r="AY34" s="973" t="b">
        <f t="shared" si="67"/>
        <v>0</v>
      </c>
      <c r="AZ34" s="973" t="b">
        <f t="shared" si="67"/>
        <v>1</v>
      </c>
      <c r="BA34" s="973" t="b">
        <f t="shared" si="67"/>
        <v>0</v>
      </c>
      <c r="BB34" s="973" t="b">
        <f t="shared" si="67"/>
        <v>1</v>
      </c>
      <c r="BC34" s="973" t="b">
        <f t="shared" si="67"/>
        <v>0</v>
      </c>
      <c r="BD34" s="973" t="b">
        <f t="shared" si="67"/>
        <v>1</v>
      </c>
      <c r="BE34" s="973" t="b">
        <f t="shared" si="67"/>
        <v>0</v>
      </c>
      <c r="BF34" s="973" t="b">
        <f t="shared" si="67"/>
        <v>1</v>
      </c>
      <c r="BG34" s="973" t="b">
        <f t="shared" si="67"/>
        <v>0</v>
      </c>
      <c r="BH34" s="973" t="b">
        <f t="shared" si="67"/>
        <v>1</v>
      </c>
      <c r="BI34" s="973" t="b">
        <f t="shared" si="67"/>
        <v>0</v>
      </c>
      <c r="BJ34" s="973" t="b">
        <f t="shared" si="67"/>
        <v>1</v>
      </c>
      <c r="BK34" s="973" t="b">
        <f t="shared" si="67"/>
        <v>0</v>
      </c>
      <c r="BL34" s="973" t="b">
        <f t="shared" si="67"/>
        <v>1</v>
      </c>
      <c r="BM34" s="973" t="b">
        <f t="shared" si="67"/>
        <v>0</v>
      </c>
      <c r="BN34" s="973" t="b">
        <f t="shared" si="67"/>
        <v>1</v>
      </c>
      <c r="BO34" s="973" t="b">
        <f t="shared" si="67"/>
        <v>0</v>
      </c>
      <c r="BP34" s="973" t="b">
        <f t="shared" si="67"/>
        <v>0</v>
      </c>
      <c r="BQ34" s="973" t="b">
        <f t="shared" si="67"/>
        <v>0</v>
      </c>
      <c r="BR34" s="973" t="b">
        <f t="shared" si="67"/>
        <v>0</v>
      </c>
      <c r="BS34" s="973" t="b">
        <f t="shared" ref="BS34:CX34" si="68">IF(AND(OR(MONTH(BS$6)=12,AND(AND(MONTH(BS$5)&lt;12,MONTH(BS$6)&lt;12),YEAR(BS$5)&lt;YEAR(BS$6)),MONTH(BS$5)=12),BS$12),TRUE,FALSE)</f>
        <v>0</v>
      </c>
      <c r="BT34" s="973" t="b">
        <f t="shared" si="68"/>
        <v>0</v>
      </c>
      <c r="BU34" s="973" t="b">
        <f t="shared" si="68"/>
        <v>0</v>
      </c>
      <c r="BV34" s="973" t="b">
        <f t="shared" si="68"/>
        <v>0</v>
      </c>
      <c r="BW34" s="973" t="b">
        <f t="shared" si="68"/>
        <v>0</v>
      </c>
      <c r="BX34" s="973" t="b">
        <f t="shared" si="68"/>
        <v>0</v>
      </c>
      <c r="BY34" s="973" t="b">
        <f t="shared" si="68"/>
        <v>0</v>
      </c>
      <c r="BZ34" s="973" t="b">
        <f t="shared" si="68"/>
        <v>0</v>
      </c>
      <c r="CA34" s="973" t="b">
        <f t="shared" si="68"/>
        <v>0</v>
      </c>
      <c r="CB34" s="973" t="b">
        <f t="shared" si="68"/>
        <v>0</v>
      </c>
      <c r="CC34" s="973" t="b">
        <f t="shared" si="68"/>
        <v>0</v>
      </c>
      <c r="CD34" s="973" t="b">
        <f t="shared" si="68"/>
        <v>0</v>
      </c>
      <c r="CE34" s="973" t="b">
        <f t="shared" si="68"/>
        <v>0</v>
      </c>
      <c r="CF34" s="973" t="b">
        <f t="shared" si="68"/>
        <v>0</v>
      </c>
      <c r="CG34" s="973" t="b">
        <f t="shared" si="68"/>
        <v>0</v>
      </c>
      <c r="CH34" s="973" t="b">
        <f t="shared" si="68"/>
        <v>0</v>
      </c>
      <c r="CI34" s="973" t="b">
        <f t="shared" si="68"/>
        <v>0</v>
      </c>
      <c r="CJ34" s="973" t="b">
        <f t="shared" si="68"/>
        <v>0</v>
      </c>
      <c r="CK34" s="973" t="b">
        <f t="shared" si="68"/>
        <v>0</v>
      </c>
      <c r="CL34" s="973" t="b">
        <f t="shared" si="68"/>
        <v>0</v>
      </c>
      <c r="CM34" s="973" t="b">
        <f t="shared" si="68"/>
        <v>0</v>
      </c>
      <c r="CN34" s="973" t="b">
        <f t="shared" si="68"/>
        <v>0</v>
      </c>
      <c r="CO34" s="973" t="b">
        <f t="shared" si="68"/>
        <v>0</v>
      </c>
      <c r="CP34" s="973" t="b">
        <f t="shared" si="68"/>
        <v>0</v>
      </c>
      <c r="CQ34" s="973" t="b">
        <f t="shared" si="68"/>
        <v>0</v>
      </c>
      <c r="CR34" s="973" t="b">
        <f t="shared" si="68"/>
        <v>0</v>
      </c>
      <c r="CS34" s="973" t="b">
        <f t="shared" si="68"/>
        <v>0</v>
      </c>
      <c r="CT34" s="973" t="b">
        <f t="shared" si="68"/>
        <v>0</v>
      </c>
      <c r="CU34" s="973" t="b">
        <f t="shared" si="68"/>
        <v>0</v>
      </c>
      <c r="CV34" s="973" t="b">
        <f t="shared" si="68"/>
        <v>0</v>
      </c>
      <c r="CW34" s="973" t="b">
        <f t="shared" si="68"/>
        <v>0</v>
      </c>
      <c r="CX34" s="973" t="b">
        <f t="shared" si="68"/>
        <v>0</v>
      </c>
      <c r="CY34" s="973" t="b">
        <f t="shared" ref="CY34:DW34" si="69">IF(AND(OR(MONTH(CY$6)=12,AND(AND(MONTH(CY$5)&lt;12,MONTH(CY$6)&lt;12),YEAR(CY$5)&lt;YEAR(CY$6)),MONTH(CY$5)=12),CY$12),TRUE,FALSE)</f>
        <v>0</v>
      </c>
      <c r="CZ34" s="973" t="b">
        <f t="shared" si="69"/>
        <v>0</v>
      </c>
      <c r="DA34" s="973" t="b">
        <f t="shared" si="69"/>
        <v>0</v>
      </c>
      <c r="DB34" s="973" t="b">
        <f t="shared" si="69"/>
        <v>0</v>
      </c>
      <c r="DC34" s="973" t="b">
        <f t="shared" si="69"/>
        <v>0</v>
      </c>
      <c r="DD34" s="973" t="b">
        <f t="shared" si="69"/>
        <v>0</v>
      </c>
      <c r="DE34" s="973" t="b">
        <f t="shared" si="69"/>
        <v>0</v>
      </c>
      <c r="DF34" s="973" t="b">
        <f t="shared" si="69"/>
        <v>0</v>
      </c>
      <c r="DG34" s="973" t="b">
        <f t="shared" si="69"/>
        <v>0</v>
      </c>
      <c r="DH34" s="973" t="b">
        <f t="shared" si="69"/>
        <v>0</v>
      </c>
      <c r="DI34" s="973" t="b">
        <f t="shared" si="69"/>
        <v>0</v>
      </c>
      <c r="DJ34" s="973" t="b">
        <f t="shared" si="69"/>
        <v>0</v>
      </c>
      <c r="DK34" s="973" t="b">
        <f t="shared" si="69"/>
        <v>0</v>
      </c>
      <c r="DL34" s="973" t="b">
        <f t="shared" si="69"/>
        <v>0</v>
      </c>
      <c r="DM34" s="973" t="b">
        <f t="shared" si="69"/>
        <v>0</v>
      </c>
      <c r="DN34" s="973" t="b">
        <f t="shared" si="69"/>
        <v>0</v>
      </c>
      <c r="DO34" s="973" t="b">
        <f t="shared" si="69"/>
        <v>0</v>
      </c>
      <c r="DP34" s="973" t="b">
        <f t="shared" si="69"/>
        <v>0</v>
      </c>
      <c r="DQ34" s="973" t="b">
        <f t="shared" si="69"/>
        <v>0</v>
      </c>
      <c r="DR34" s="973" t="b">
        <f t="shared" si="69"/>
        <v>0</v>
      </c>
      <c r="DS34" s="973" t="b">
        <f t="shared" si="69"/>
        <v>0</v>
      </c>
      <c r="DT34" s="973" t="b">
        <f t="shared" si="69"/>
        <v>0</v>
      </c>
      <c r="DU34" s="973" t="b">
        <f t="shared" si="69"/>
        <v>0</v>
      </c>
      <c r="DV34" s="973" t="b">
        <f t="shared" si="69"/>
        <v>0</v>
      </c>
      <c r="DW34" s="973" t="b">
        <f t="shared" si="69"/>
        <v>0</v>
      </c>
      <c r="DX34" s="579"/>
    </row>
    <row r="35" spans="1:128">
      <c r="B35" s="693"/>
      <c r="C35" s="693"/>
      <c r="D35" s="584"/>
      <c r="E35" s="584"/>
      <c r="F35" s="587"/>
      <c r="G35" s="1023"/>
      <c r="H35" s="1023"/>
      <c r="I35" s="1023"/>
      <c r="J35" s="1023"/>
      <c r="K35" s="1023"/>
      <c r="L35" s="1023"/>
      <c r="M35" s="1023"/>
      <c r="N35" s="1023"/>
      <c r="O35" s="1023"/>
      <c r="P35" s="1023"/>
      <c r="Q35" s="1023"/>
      <c r="R35" s="1023"/>
      <c r="S35" s="1023"/>
      <c r="T35" s="1023"/>
      <c r="U35" s="1023"/>
      <c r="V35" s="1023"/>
      <c r="W35" s="1023"/>
      <c r="X35" s="1023"/>
      <c r="Y35" s="1023"/>
      <c r="Z35" s="1023"/>
      <c r="AA35" s="1023"/>
      <c r="AB35" s="1023"/>
      <c r="AC35" s="1023"/>
      <c r="AD35" s="1023"/>
      <c r="AE35" s="1023"/>
      <c r="AF35" s="1023"/>
      <c r="AG35" s="1023"/>
      <c r="AH35" s="1023"/>
      <c r="AI35" s="1023"/>
      <c r="AJ35" s="1023"/>
      <c r="AK35" s="1023"/>
      <c r="AL35" s="1023"/>
      <c r="AM35" s="1023"/>
      <c r="AN35" s="1023"/>
      <c r="AO35" s="1023"/>
      <c r="AP35" s="1023"/>
      <c r="AQ35" s="1023"/>
      <c r="AR35" s="1023"/>
      <c r="AS35" s="1023"/>
      <c r="AT35" s="1023"/>
      <c r="AU35" s="1023"/>
      <c r="AV35" s="1023"/>
      <c r="AW35" s="1023"/>
      <c r="AX35" s="1023"/>
      <c r="AY35" s="1023"/>
      <c r="AZ35" s="1023"/>
      <c r="BA35" s="1023"/>
      <c r="BB35" s="1023"/>
      <c r="BC35" s="1023"/>
      <c r="BD35" s="1023"/>
      <c r="BE35" s="1023"/>
      <c r="BF35" s="1023"/>
      <c r="BG35" s="1023"/>
      <c r="BH35" s="1023"/>
      <c r="BI35" s="1023"/>
      <c r="BJ35" s="1023"/>
      <c r="BK35" s="1023"/>
      <c r="BL35" s="1023"/>
      <c r="BM35" s="1023"/>
      <c r="BN35" s="1023"/>
      <c r="BO35" s="1023"/>
      <c r="BP35" s="1023"/>
      <c r="BQ35" s="1023"/>
      <c r="BR35" s="1023"/>
      <c r="BS35" s="1023"/>
      <c r="BT35" s="1023"/>
      <c r="BU35" s="1023"/>
      <c r="BV35" s="1023"/>
      <c r="BW35" s="1023"/>
      <c r="BX35" s="1023"/>
      <c r="BY35" s="1023"/>
      <c r="BZ35" s="1023"/>
      <c r="CA35" s="1023"/>
      <c r="CB35" s="1023"/>
      <c r="CC35" s="1023"/>
      <c r="CD35" s="1023"/>
      <c r="CE35" s="1023"/>
      <c r="CF35" s="1023"/>
      <c r="CG35" s="1023"/>
      <c r="CH35" s="1023"/>
      <c r="CI35" s="1023"/>
      <c r="CJ35" s="1023"/>
      <c r="CK35" s="1023"/>
      <c r="CL35" s="1023"/>
      <c r="CM35" s="1023"/>
      <c r="CN35" s="1023"/>
      <c r="CO35" s="1023"/>
      <c r="CP35" s="1023"/>
      <c r="CQ35" s="1023"/>
      <c r="CR35" s="1023"/>
      <c r="CS35" s="1023"/>
      <c r="CT35" s="1023"/>
      <c r="CU35" s="1023"/>
      <c r="CV35" s="1023"/>
      <c r="CW35" s="1023"/>
      <c r="CX35" s="1023"/>
      <c r="CY35" s="1023"/>
      <c r="CZ35" s="1023"/>
      <c r="DA35" s="1023"/>
      <c r="DB35" s="1023"/>
      <c r="DC35" s="1023"/>
      <c r="DD35" s="1023"/>
      <c r="DE35" s="1023"/>
      <c r="DF35" s="1023"/>
      <c r="DG35" s="1023"/>
      <c r="DH35" s="1023"/>
      <c r="DI35" s="1023"/>
      <c r="DJ35" s="1023"/>
      <c r="DK35" s="1023"/>
      <c r="DL35" s="1023"/>
      <c r="DM35" s="1023"/>
      <c r="DN35" s="1023"/>
      <c r="DO35" s="1023"/>
      <c r="DP35" s="1023"/>
      <c r="DQ35" s="1023"/>
      <c r="DR35" s="1023"/>
      <c r="DS35" s="1023"/>
      <c r="DT35" s="1023"/>
      <c r="DU35" s="1023"/>
      <c r="DV35" s="1023"/>
      <c r="DW35" s="1023"/>
      <c r="DX35" s="579"/>
    </row>
    <row r="36" spans="1:128">
      <c r="A36" s="915" t="s">
        <v>1353</v>
      </c>
      <c r="B36" s="981"/>
      <c r="C36" s="981"/>
      <c r="D36" s="915"/>
      <c r="E36" s="915"/>
      <c r="F36" s="915"/>
      <c r="G36" s="1024"/>
      <c r="H36" s="1024"/>
      <c r="I36" s="1024"/>
      <c r="J36" s="1024"/>
      <c r="K36" s="1024"/>
      <c r="L36" s="1024"/>
      <c r="M36" s="1024"/>
      <c r="N36" s="1024"/>
      <c r="O36" s="1024"/>
      <c r="P36" s="1024"/>
      <c r="Q36" s="1024"/>
      <c r="R36" s="1024"/>
      <c r="S36" s="1024"/>
      <c r="T36" s="1024"/>
      <c r="U36" s="1024"/>
      <c r="V36" s="1024"/>
      <c r="W36" s="1024"/>
      <c r="X36" s="1024"/>
      <c r="Y36" s="1024"/>
      <c r="Z36" s="1024"/>
      <c r="AA36" s="1024"/>
      <c r="AB36" s="1024"/>
      <c r="AC36" s="1024"/>
      <c r="AD36" s="1024"/>
      <c r="AE36" s="1024"/>
      <c r="AF36" s="1024"/>
      <c r="AG36" s="1024"/>
      <c r="AH36" s="1024"/>
      <c r="AI36" s="1024"/>
      <c r="AJ36" s="1024"/>
      <c r="AK36" s="398"/>
      <c r="AL36" s="398"/>
      <c r="AM36" s="398"/>
      <c r="AN36" s="398"/>
      <c r="AO36" s="398"/>
      <c r="AP36" s="398"/>
      <c r="AQ36" s="398"/>
      <c r="AR36" s="398"/>
      <c r="AS36" s="398"/>
      <c r="AT36" s="398"/>
      <c r="AU36" s="398"/>
      <c r="AV36" s="398"/>
      <c r="AW36" s="398"/>
      <c r="AX36" s="398"/>
      <c r="AY36" s="398"/>
      <c r="AZ36" s="398"/>
      <c r="BA36" s="398"/>
      <c r="BB36" s="398"/>
      <c r="BC36" s="398"/>
      <c r="BD36" s="398"/>
      <c r="BE36" s="398"/>
      <c r="BF36" s="398"/>
      <c r="BG36" s="398"/>
      <c r="BH36" s="398"/>
      <c r="BI36" s="398"/>
      <c r="BJ36" s="398"/>
      <c r="BK36" s="398"/>
      <c r="BL36" s="398"/>
      <c r="BM36" s="398"/>
      <c r="BN36" s="398"/>
      <c r="BO36" s="398"/>
      <c r="BP36" s="398"/>
      <c r="BQ36" s="398"/>
      <c r="BR36" s="398"/>
      <c r="BS36" s="398"/>
      <c r="BT36" s="398"/>
      <c r="BU36" s="398"/>
      <c r="BV36" s="398"/>
      <c r="BW36" s="398"/>
      <c r="BX36" s="398"/>
      <c r="BY36" s="398"/>
      <c r="BZ36" s="398"/>
      <c r="CA36" s="398"/>
      <c r="CB36" s="398"/>
      <c r="CC36" s="398"/>
      <c r="CD36" s="398"/>
      <c r="CE36" s="398"/>
      <c r="CF36" s="398"/>
      <c r="CG36" s="398"/>
      <c r="CH36" s="398"/>
      <c r="CI36" s="398"/>
      <c r="CJ36" s="398"/>
      <c r="CK36" s="398"/>
      <c r="CL36" s="398"/>
      <c r="CM36" s="398"/>
      <c r="CN36" s="398"/>
      <c r="CO36" s="398"/>
      <c r="CP36" s="398"/>
      <c r="CQ36" s="398"/>
      <c r="CR36" s="398"/>
      <c r="CS36" s="398"/>
      <c r="CT36" s="398"/>
      <c r="CU36" s="398"/>
      <c r="CV36" s="398"/>
      <c r="CW36" s="398"/>
      <c r="CX36" s="398"/>
      <c r="CY36" s="398"/>
      <c r="CZ36" s="398"/>
      <c r="DA36" s="398"/>
      <c r="DB36" s="398"/>
      <c r="DC36" s="398"/>
      <c r="DD36" s="398"/>
      <c r="DE36" s="398"/>
      <c r="DF36" s="398"/>
      <c r="DG36" s="398"/>
      <c r="DH36" s="398"/>
      <c r="DI36" s="398"/>
      <c r="DJ36" s="398"/>
      <c r="DK36" s="398"/>
      <c r="DL36" s="398"/>
      <c r="DM36" s="398"/>
      <c r="DN36" s="398"/>
      <c r="DO36" s="398"/>
      <c r="DP36" s="398"/>
      <c r="DQ36" s="398"/>
      <c r="DR36" s="398"/>
      <c r="DS36" s="398"/>
      <c r="DT36" s="398"/>
      <c r="DU36" s="398"/>
      <c r="DV36" s="398"/>
      <c r="DW36" s="398"/>
    </row>
    <row r="37" spans="1:128">
      <c r="A37" s="304" t="s">
        <v>1333</v>
      </c>
      <c r="B37" s="983">
        <f>Inputs!D9</f>
        <v>47298</v>
      </c>
      <c r="C37" s="983"/>
      <c r="D37" s="584"/>
      <c r="E37" s="584"/>
      <c r="F37" s="587"/>
      <c r="G37" s="972">
        <f>IF(G40=1,$B$37,F38+1)</f>
        <v>47298</v>
      </c>
      <c r="H37" s="972">
        <f t="shared" ref="H37:AJ37" si="70">IF(H40=1,$B$37,G38+1)</f>
        <v>47300</v>
      </c>
      <c r="I37" s="972">
        <f t="shared" si="70"/>
        <v>47331</v>
      </c>
      <c r="J37" s="972">
        <f t="shared" si="70"/>
        <v>47362</v>
      </c>
      <c r="K37" s="972">
        <f t="shared" si="70"/>
        <v>47392</v>
      </c>
      <c r="L37" s="972">
        <f t="shared" si="70"/>
        <v>47423</v>
      </c>
      <c r="M37" s="972">
        <f t="shared" si="70"/>
        <v>47453</v>
      </c>
      <c r="N37" s="972">
        <f t="shared" si="70"/>
        <v>47484</v>
      </c>
      <c r="O37" s="972">
        <f t="shared" si="70"/>
        <v>47515</v>
      </c>
      <c r="P37" s="972">
        <f t="shared" si="70"/>
        <v>47543</v>
      </c>
      <c r="Q37" s="972">
        <f t="shared" si="70"/>
        <v>47574</v>
      </c>
      <c r="R37" s="972">
        <f t="shared" si="70"/>
        <v>47604</v>
      </c>
      <c r="S37" s="972">
        <f t="shared" si="70"/>
        <v>47635</v>
      </c>
      <c r="T37" s="972">
        <f t="shared" si="70"/>
        <v>47665</v>
      </c>
      <c r="U37" s="972">
        <f t="shared" si="70"/>
        <v>47696</v>
      </c>
      <c r="V37" s="972">
        <f t="shared" si="70"/>
        <v>47727</v>
      </c>
      <c r="W37" s="972">
        <f t="shared" si="70"/>
        <v>47757</v>
      </c>
      <c r="X37" s="972">
        <f t="shared" si="70"/>
        <v>47788</v>
      </c>
      <c r="Y37" s="972">
        <f t="shared" si="70"/>
        <v>47818</v>
      </c>
      <c r="Z37" s="972">
        <f t="shared" si="70"/>
        <v>47849</v>
      </c>
      <c r="AA37" s="972">
        <f t="shared" si="70"/>
        <v>47880</v>
      </c>
      <c r="AB37" s="972">
        <f t="shared" si="70"/>
        <v>47908</v>
      </c>
      <c r="AC37" s="972">
        <f t="shared" si="70"/>
        <v>47939</v>
      </c>
      <c r="AD37" s="972">
        <f t="shared" si="70"/>
        <v>47969</v>
      </c>
      <c r="AE37" s="972">
        <f t="shared" si="70"/>
        <v>48000</v>
      </c>
      <c r="AF37" s="972">
        <f t="shared" si="70"/>
        <v>48030</v>
      </c>
      <c r="AG37" s="972">
        <f t="shared" si="70"/>
        <v>48061</v>
      </c>
      <c r="AH37" s="972">
        <f t="shared" si="70"/>
        <v>48092</v>
      </c>
      <c r="AI37" s="972">
        <f t="shared" si="70"/>
        <v>48122</v>
      </c>
      <c r="AJ37" s="972">
        <f t="shared" si="70"/>
        <v>48153</v>
      </c>
      <c r="AK37" s="1023"/>
      <c r="AL37" s="1023"/>
      <c r="AM37" s="1023"/>
      <c r="AN37" s="1023"/>
      <c r="AO37" s="1023"/>
      <c r="AP37" s="1023"/>
      <c r="AQ37" s="1023"/>
      <c r="AR37" s="1023"/>
      <c r="AS37" s="1023"/>
      <c r="AT37" s="1023"/>
      <c r="AU37" s="1023"/>
      <c r="AV37" s="1023"/>
      <c r="AW37" s="1023"/>
      <c r="AX37" s="1023"/>
      <c r="AY37" s="1023"/>
      <c r="AZ37" s="1023"/>
      <c r="BA37" s="1023"/>
      <c r="BB37" s="1023"/>
      <c r="BC37" s="1023"/>
      <c r="BD37" s="1023"/>
      <c r="BE37" s="1023"/>
      <c r="BF37" s="1023"/>
      <c r="BG37" s="1023"/>
      <c r="BH37" s="1023"/>
      <c r="BI37" s="1023"/>
      <c r="BJ37" s="1023"/>
      <c r="BK37" s="1023"/>
      <c r="BL37" s="1023"/>
      <c r="BM37" s="1023"/>
      <c r="BN37" s="1023"/>
      <c r="BO37" s="1023"/>
      <c r="BP37" s="1023"/>
      <c r="BQ37" s="1023"/>
      <c r="BR37" s="1023"/>
      <c r="BS37" s="1023"/>
      <c r="BT37" s="1023"/>
      <c r="BU37" s="1023"/>
      <c r="BV37" s="1023"/>
      <c r="BW37" s="1023"/>
      <c r="BX37" s="1023"/>
      <c r="BY37" s="1023"/>
      <c r="BZ37" s="1023"/>
      <c r="CA37" s="1023"/>
      <c r="CB37" s="1023"/>
      <c r="CC37" s="1023"/>
      <c r="CD37" s="1023"/>
      <c r="CE37" s="1023"/>
      <c r="CF37" s="1023"/>
      <c r="CG37" s="1023"/>
      <c r="CH37" s="1023"/>
      <c r="CI37" s="1023"/>
      <c r="CJ37" s="1023"/>
      <c r="CK37" s="1023"/>
      <c r="CL37" s="1023"/>
      <c r="CM37" s="1023"/>
      <c r="CN37" s="1023"/>
      <c r="CO37" s="1023"/>
      <c r="CP37" s="1023"/>
      <c r="CQ37" s="1023"/>
      <c r="CR37" s="1023"/>
      <c r="CS37" s="1023"/>
      <c r="CT37" s="1023"/>
      <c r="CU37" s="1023"/>
      <c r="CV37" s="1023"/>
      <c r="CW37" s="1023"/>
      <c r="CX37" s="1023"/>
      <c r="CY37" s="1023"/>
      <c r="CZ37" s="1023"/>
      <c r="DA37" s="1023"/>
      <c r="DB37" s="1023"/>
      <c r="DC37" s="1023"/>
      <c r="DD37" s="1023"/>
      <c r="DE37" s="1023"/>
      <c r="DF37" s="1023"/>
      <c r="DG37" s="1023"/>
      <c r="DH37" s="1023"/>
      <c r="DI37" s="1023"/>
      <c r="DJ37" s="1023"/>
      <c r="DK37" s="1023"/>
      <c r="DL37" s="1023"/>
      <c r="DM37" s="1023"/>
      <c r="DN37" s="1023"/>
      <c r="DO37" s="1023"/>
      <c r="DP37" s="1023"/>
      <c r="DQ37" s="1023"/>
      <c r="DR37" s="1023"/>
      <c r="DS37" s="1023"/>
      <c r="DT37" s="1023"/>
      <c r="DU37" s="1023"/>
      <c r="DV37" s="1023"/>
      <c r="DW37" s="1023"/>
      <c r="DX37" s="579"/>
    </row>
    <row r="38" spans="1:128">
      <c r="A38" s="304" t="s">
        <v>1334</v>
      </c>
      <c r="B38" s="691"/>
      <c r="C38" s="691"/>
      <c r="D38" s="591"/>
      <c r="E38" s="591"/>
      <c r="F38" s="303"/>
      <c r="G38" s="972">
        <f>DATE(YEAR(G37),MONTH(G37)+1,0)</f>
        <v>47299</v>
      </c>
      <c r="H38" s="972">
        <f t="shared" ref="H38:AJ38" si="71">DATE(YEAR(H37),MONTH(H37)+1,0)</f>
        <v>47330</v>
      </c>
      <c r="I38" s="972">
        <f t="shared" si="71"/>
        <v>47361</v>
      </c>
      <c r="J38" s="972">
        <f t="shared" si="71"/>
        <v>47391</v>
      </c>
      <c r="K38" s="972">
        <f t="shared" si="71"/>
        <v>47422</v>
      </c>
      <c r="L38" s="972">
        <f t="shared" si="71"/>
        <v>47452</v>
      </c>
      <c r="M38" s="972">
        <f t="shared" si="71"/>
        <v>47483</v>
      </c>
      <c r="N38" s="972">
        <f t="shared" si="71"/>
        <v>47514</v>
      </c>
      <c r="O38" s="972">
        <f t="shared" si="71"/>
        <v>47542</v>
      </c>
      <c r="P38" s="972">
        <f t="shared" si="71"/>
        <v>47573</v>
      </c>
      <c r="Q38" s="972">
        <f t="shared" si="71"/>
        <v>47603</v>
      </c>
      <c r="R38" s="972">
        <f t="shared" si="71"/>
        <v>47634</v>
      </c>
      <c r="S38" s="972">
        <f t="shared" si="71"/>
        <v>47664</v>
      </c>
      <c r="T38" s="972">
        <f t="shared" si="71"/>
        <v>47695</v>
      </c>
      <c r="U38" s="972">
        <f t="shared" si="71"/>
        <v>47726</v>
      </c>
      <c r="V38" s="972">
        <f t="shared" si="71"/>
        <v>47756</v>
      </c>
      <c r="W38" s="972">
        <f t="shared" si="71"/>
        <v>47787</v>
      </c>
      <c r="X38" s="972">
        <f t="shared" si="71"/>
        <v>47817</v>
      </c>
      <c r="Y38" s="972">
        <f t="shared" si="71"/>
        <v>47848</v>
      </c>
      <c r="Z38" s="972">
        <f t="shared" si="71"/>
        <v>47879</v>
      </c>
      <c r="AA38" s="972">
        <f t="shared" si="71"/>
        <v>47907</v>
      </c>
      <c r="AB38" s="972">
        <f t="shared" si="71"/>
        <v>47938</v>
      </c>
      <c r="AC38" s="972">
        <f t="shared" si="71"/>
        <v>47968</v>
      </c>
      <c r="AD38" s="972">
        <f t="shared" si="71"/>
        <v>47999</v>
      </c>
      <c r="AE38" s="972">
        <f t="shared" si="71"/>
        <v>48029</v>
      </c>
      <c r="AF38" s="972">
        <f t="shared" si="71"/>
        <v>48060</v>
      </c>
      <c r="AG38" s="972">
        <f t="shared" si="71"/>
        <v>48091</v>
      </c>
      <c r="AH38" s="972">
        <f t="shared" si="71"/>
        <v>48121</v>
      </c>
      <c r="AI38" s="972">
        <f t="shared" si="71"/>
        <v>48152</v>
      </c>
      <c r="AJ38" s="972">
        <f t="shared" si="71"/>
        <v>48182</v>
      </c>
      <c r="AK38" s="973"/>
      <c r="AL38" s="973"/>
      <c r="AM38" s="973"/>
      <c r="AN38" s="973"/>
      <c r="AO38" s="973"/>
      <c r="AP38" s="973"/>
      <c r="AQ38" s="973"/>
      <c r="AR38" s="973"/>
      <c r="AS38" s="973"/>
      <c r="AT38" s="973"/>
      <c r="AU38" s="973"/>
      <c r="AV38" s="973"/>
      <c r="AW38" s="973"/>
      <c r="AX38" s="973"/>
      <c r="AY38" s="973"/>
      <c r="AZ38" s="973"/>
      <c r="BA38" s="973"/>
      <c r="BB38" s="973"/>
      <c r="BC38" s="973"/>
      <c r="BD38" s="973"/>
      <c r="BE38" s="973"/>
      <c r="BF38" s="973"/>
      <c r="BG38" s="973"/>
      <c r="BH38" s="973"/>
      <c r="BI38" s="973"/>
      <c r="BJ38" s="973"/>
      <c r="BK38" s="973"/>
      <c r="BL38" s="973"/>
      <c r="BM38" s="973"/>
      <c r="BN38" s="973"/>
      <c r="BO38" s="973"/>
      <c r="BP38" s="973"/>
      <c r="BQ38" s="973"/>
      <c r="BR38" s="973"/>
      <c r="BS38" s="973"/>
      <c r="BT38" s="973"/>
      <c r="BU38" s="973"/>
      <c r="BV38" s="973"/>
      <c r="BW38" s="973"/>
      <c r="BX38" s="973"/>
      <c r="BY38" s="973"/>
      <c r="BZ38" s="973"/>
      <c r="CA38" s="973"/>
      <c r="CB38" s="973"/>
      <c r="CC38" s="973"/>
      <c r="CD38" s="973"/>
      <c r="CE38" s="973"/>
      <c r="CF38" s="973"/>
      <c r="CG38" s="973"/>
      <c r="CH38" s="973"/>
      <c r="CI38" s="973"/>
      <c r="CJ38" s="973"/>
      <c r="CK38" s="973"/>
      <c r="CL38" s="973"/>
      <c r="CM38" s="973"/>
      <c r="CN38" s="973"/>
      <c r="CO38" s="973"/>
      <c r="CP38" s="973"/>
      <c r="CQ38" s="973"/>
      <c r="CR38" s="973"/>
      <c r="CS38" s="973"/>
      <c r="CT38" s="973"/>
      <c r="CU38" s="973"/>
      <c r="CV38" s="973"/>
      <c r="CW38" s="973"/>
      <c r="CX38" s="973"/>
      <c r="CY38" s="973"/>
      <c r="CZ38" s="973"/>
      <c r="DA38" s="973"/>
      <c r="DB38" s="973"/>
      <c r="DC38" s="973"/>
      <c r="DD38" s="973"/>
      <c r="DE38" s="973"/>
      <c r="DF38" s="973"/>
      <c r="DG38" s="973"/>
      <c r="DH38" s="973"/>
      <c r="DI38" s="973"/>
      <c r="DJ38" s="973"/>
      <c r="DK38" s="973"/>
      <c r="DL38" s="973"/>
      <c r="DM38" s="973"/>
      <c r="DN38" s="973"/>
      <c r="DO38" s="973"/>
      <c r="DP38" s="973"/>
      <c r="DQ38" s="973"/>
      <c r="DR38" s="973"/>
      <c r="DS38" s="973"/>
      <c r="DT38" s="973"/>
      <c r="DU38" s="973"/>
      <c r="DV38" s="973"/>
      <c r="DW38" s="973"/>
      <c r="DX38" s="579"/>
    </row>
    <row r="39" spans="1:128">
      <c r="A39" s="304" t="s">
        <v>1354</v>
      </c>
      <c r="B39" s="691"/>
      <c r="C39" s="691"/>
      <c r="D39" s="591"/>
      <c r="E39" s="591"/>
      <c r="F39" s="585"/>
      <c r="G39" s="973">
        <f>MONTH(G38)*(G38&lt;&gt;0)</f>
        <v>6</v>
      </c>
      <c r="H39" s="973">
        <f t="shared" ref="H39:AJ39" si="72">MONTH(H38)*(H38&lt;&gt;0)</f>
        <v>7</v>
      </c>
      <c r="I39" s="973">
        <f t="shared" si="72"/>
        <v>8</v>
      </c>
      <c r="J39" s="973">
        <f t="shared" si="72"/>
        <v>9</v>
      </c>
      <c r="K39" s="973">
        <f t="shared" si="72"/>
        <v>10</v>
      </c>
      <c r="L39" s="973">
        <f t="shared" si="72"/>
        <v>11</v>
      </c>
      <c r="M39" s="973">
        <f t="shared" si="72"/>
        <v>12</v>
      </c>
      <c r="N39" s="973">
        <f t="shared" si="72"/>
        <v>1</v>
      </c>
      <c r="O39" s="973">
        <f t="shared" si="72"/>
        <v>2</v>
      </c>
      <c r="P39" s="973">
        <f t="shared" si="72"/>
        <v>3</v>
      </c>
      <c r="Q39" s="973">
        <f t="shared" si="72"/>
        <v>4</v>
      </c>
      <c r="R39" s="973">
        <f t="shared" si="72"/>
        <v>5</v>
      </c>
      <c r="S39" s="973">
        <f t="shared" si="72"/>
        <v>6</v>
      </c>
      <c r="T39" s="973">
        <f t="shared" si="72"/>
        <v>7</v>
      </c>
      <c r="U39" s="973">
        <f t="shared" si="72"/>
        <v>8</v>
      </c>
      <c r="V39" s="973">
        <f t="shared" si="72"/>
        <v>9</v>
      </c>
      <c r="W39" s="973">
        <f t="shared" si="72"/>
        <v>10</v>
      </c>
      <c r="X39" s="973">
        <f t="shared" si="72"/>
        <v>11</v>
      </c>
      <c r="Y39" s="973">
        <f t="shared" si="72"/>
        <v>12</v>
      </c>
      <c r="Z39" s="973">
        <f t="shared" si="72"/>
        <v>1</v>
      </c>
      <c r="AA39" s="973">
        <f t="shared" si="72"/>
        <v>2</v>
      </c>
      <c r="AB39" s="973">
        <f t="shared" si="72"/>
        <v>3</v>
      </c>
      <c r="AC39" s="973">
        <f t="shared" si="72"/>
        <v>4</v>
      </c>
      <c r="AD39" s="973">
        <f t="shared" si="72"/>
        <v>5</v>
      </c>
      <c r="AE39" s="973">
        <f t="shared" si="72"/>
        <v>6</v>
      </c>
      <c r="AF39" s="973">
        <f t="shared" si="72"/>
        <v>7</v>
      </c>
      <c r="AG39" s="973">
        <f t="shared" si="72"/>
        <v>8</v>
      </c>
      <c r="AH39" s="973">
        <f t="shared" si="72"/>
        <v>9</v>
      </c>
      <c r="AI39" s="973">
        <f t="shared" si="72"/>
        <v>10</v>
      </c>
      <c r="AJ39" s="973">
        <f t="shared" si="72"/>
        <v>11</v>
      </c>
      <c r="AK39" s="973"/>
      <c r="AL39" s="973"/>
      <c r="AM39" s="973"/>
      <c r="AN39" s="973"/>
      <c r="AO39" s="973"/>
      <c r="AP39" s="973"/>
      <c r="AQ39" s="973"/>
      <c r="AR39" s="973"/>
      <c r="AS39" s="973"/>
      <c r="AT39" s="973"/>
      <c r="AU39" s="973"/>
      <c r="AV39" s="973"/>
      <c r="AW39" s="973"/>
      <c r="AX39" s="973"/>
      <c r="AY39" s="973"/>
      <c r="AZ39" s="973"/>
      <c r="BA39" s="973"/>
      <c r="BB39" s="973"/>
      <c r="BC39" s="973"/>
      <c r="BD39" s="973"/>
      <c r="BE39" s="973"/>
      <c r="BF39" s="973"/>
      <c r="BG39" s="973"/>
      <c r="BH39" s="973"/>
      <c r="BI39" s="973"/>
      <c r="BJ39" s="973"/>
      <c r="BK39" s="973"/>
      <c r="BL39" s="973"/>
      <c r="BM39" s="973"/>
      <c r="BN39" s="973"/>
      <c r="BO39" s="973"/>
      <c r="BP39" s="973"/>
      <c r="BQ39" s="973"/>
      <c r="BR39" s="973"/>
      <c r="BS39" s="973"/>
      <c r="BT39" s="973"/>
      <c r="BU39" s="973"/>
      <c r="BV39" s="973"/>
      <c r="BW39" s="973"/>
      <c r="BX39" s="973"/>
      <c r="BY39" s="973"/>
      <c r="BZ39" s="973"/>
      <c r="CA39" s="973"/>
      <c r="CB39" s="973"/>
      <c r="CC39" s="973"/>
      <c r="CD39" s="973"/>
      <c r="CE39" s="973"/>
      <c r="CF39" s="973"/>
      <c r="CG39" s="973"/>
      <c r="CH39" s="973"/>
      <c r="CI39" s="973"/>
      <c r="CJ39" s="973"/>
      <c r="CK39" s="973"/>
      <c r="CL39" s="973"/>
      <c r="CM39" s="973"/>
      <c r="CN39" s="973"/>
      <c r="CO39" s="973"/>
      <c r="CP39" s="973"/>
      <c r="CQ39" s="973"/>
      <c r="CR39" s="973"/>
      <c r="CS39" s="973"/>
      <c r="CT39" s="973"/>
      <c r="CU39" s="973"/>
      <c r="CV39" s="973"/>
      <c r="CW39" s="973"/>
      <c r="CX39" s="973"/>
      <c r="CY39" s="973"/>
      <c r="CZ39" s="973"/>
      <c r="DA39" s="973"/>
      <c r="DB39" s="973"/>
      <c r="DC39" s="973"/>
      <c r="DD39" s="973"/>
      <c r="DE39" s="973"/>
      <c r="DF39" s="973"/>
      <c r="DG39" s="973"/>
      <c r="DH39" s="973"/>
      <c r="DI39" s="973"/>
      <c r="DJ39" s="973"/>
      <c r="DK39" s="973"/>
      <c r="DL39" s="973"/>
      <c r="DM39" s="973"/>
      <c r="DN39" s="973"/>
      <c r="DO39" s="973"/>
      <c r="DP39" s="973"/>
      <c r="DQ39" s="973"/>
      <c r="DR39" s="973"/>
      <c r="DS39" s="973"/>
      <c r="DT39" s="973"/>
      <c r="DU39" s="973"/>
      <c r="DV39" s="973"/>
      <c r="DW39" s="973"/>
      <c r="DX39" s="579"/>
    </row>
    <row r="40" spans="1:128">
      <c r="A40" s="304" t="s">
        <v>1355</v>
      </c>
      <c r="B40" s="982"/>
      <c r="C40" s="982"/>
      <c r="D40" s="592"/>
      <c r="E40" s="592"/>
      <c r="F40" s="593"/>
      <c r="G40" s="1078">
        <f>F40+1</f>
        <v>1</v>
      </c>
      <c r="H40" s="1078">
        <f t="shared" ref="H40:AJ40" si="73">G40+1</f>
        <v>2</v>
      </c>
      <c r="I40" s="1078">
        <f t="shared" si="73"/>
        <v>3</v>
      </c>
      <c r="J40" s="1078">
        <f t="shared" si="73"/>
        <v>4</v>
      </c>
      <c r="K40" s="1078">
        <f t="shared" si="73"/>
        <v>5</v>
      </c>
      <c r="L40" s="1078">
        <f t="shared" si="73"/>
        <v>6</v>
      </c>
      <c r="M40" s="1078">
        <f t="shared" si="73"/>
        <v>7</v>
      </c>
      <c r="N40" s="1078">
        <f t="shared" si="73"/>
        <v>8</v>
      </c>
      <c r="O40" s="1078">
        <f t="shared" si="73"/>
        <v>9</v>
      </c>
      <c r="P40" s="1078">
        <f t="shared" si="73"/>
        <v>10</v>
      </c>
      <c r="Q40" s="1078">
        <f t="shared" si="73"/>
        <v>11</v>
      </c>
      <c r="R40" s="1078">
        <f t="shared" si="73"/>
        <v>12</v>
      </c>
      <c r="S40" s="1078">
        <f t="shared" si="73"/>
        <v>13</v>
      </c>
      <c r="T40" s="1078">
        <f t="shared" si="73"/>
        <v>14</v>
      </c>
      <c r="U40" s="1078">
        <f t="shared" si="73"/>
        <v>15</v>
      </c>
      <c r="V40" s="1078">
        <f t="shared" si="73"/>
        <v>16</v>
      </c>
      <c r="W40" s="1078">
        <f t="shared" si="73"/>
        <v>17</v>
      </c>
      <c r="X40" s="1078">
        <f t="shared" si="73"/>
        <v>18</v>
      </c>
      <c r="Y40" s="1078">
        <f t="shared" si="73"/>
        <v>19</v>
      </c>
      <c r="Z40" s="1078">
        <f t="shared" si="73"/>
        <v>20</v>
      </c>
      <c r="AA40" s="1078">
        <f t="shared" si="73"/>
        <v>21</v>
      </c>
      <c r="AB40" s="1078">
        <f t="shared" si="73"/>
        <v>22</v>
      </c>
      <c r="AC40" s="1078">
        <f t="shared" si="73"/>
        <v>23</v>
      </c>
      <c r="AD40" s="1078">
        <f t="shared" si="73"/>
        <v>24</v>
      </c>
      <c r="AE40" s="1078">
        <f t="shared" si="73"/>
        <v>25</v>
      </c>
      <c r="AF40" s="1078">
        <f t="shared" si="73"/>
        <v>26</v>
      </c>
      <c r="AG40" s="1078">
        <f t="shared" si="73"/>
        <v>27</v>
      </c>
      <c r="AH40" s="1078">
        <f t="shared" si="73"/>
        <v>28</v>
      </c>
      <c r="AI40" s="1078">
        <f t="shared" si="73"/>
        <v>29</v>
      </c>
      <c r="AJ40" s="1078">
        <f t="shared" si="73"/>
        <v>30</v>
      </c>
      <c r="AK40" s="1025"/>
      <c r="AL40" s="1025"/>
      <c r="AM40" s="1025"/>
      <c r="AN40" s="1025"/>
      <c r="AO40" s="1025"/>
      <c r="AP40" s="1025"/>
      <c r="AQ40" s="1025"/>
      <c r="AR40" s="1025"/>
      <c r="AS40" s="1025"/>
      <c r="AT40" s="1025"/>
      <c r="AU40" s="1025"/>
      <c r="AV40" s="1025"/>
      <c r="AW40" s="1025"/>
      <c r="AX40" s="1025"/>
      <c r="AY40" s="1025"/>
      <c r="AZ40" s="1025"/>
      <c r="BA40" s="1025"/>
      <c r="BB40" s="1025"/>
      <c r="BC40" s="1025"/>
      <c r="BD40" s="1025"/>
      <c r="BE40" s="1025"/>
      <c r="BF40" s="1025"/>
      <c r="BG40" s="1025"/>
      <c r="BH40" s="1025"/>
      <c r="BI40" s="1025"/>
      <c r="BJ40" s="1025"/>
      <c r="BK40" s="1025"/>
      <c r="BL40" s="1025"/>
      <c r="BM40" s="1025"/>
      <c r="BN40" s="1025"/>
      <c r="BO40" s="1025"/>
      <c r="BP40" s="1025"/>
      <c r="BQ40" s="1025"/>
      <c r="BR40" s="1025"/>
      <c r="BS40" s="1025"/>
      <c r="BT40" s="1025"/>
      <c r="BU40" s="1025"/>
      <c r="BV40" s="1025"/>
      <c r="BW40" s="1025"/>
      <c r="BX40" s="1025"/>
      <c r="BY40" s="1025"/>
      <c r="BZ40" s="1025"/>
      <c r="CA40" s="1025"/>
      <c r="CB40" s="1025"/>
      <c r="CC40" s="1025"/>
      <c r="CD40" s="1025"/>
      <c r="CE40" s="1025"/>
      <c r="CF40" s="1025"/>
      <c r="CG40" s="1025"/>
      <c r="CH40" s="1025"/>
      <c r="CI40" s="1025"/>
      <c r="CJ40" s="1025"/>
      <c r="CK40" s="1025"/>
      <c r="CL40" s="1025"/>
      <c r="CM40" s="1025"/>
      <c r="CN40" s="1025"/>
      <c r="CO40" s="1025"/>
      <c r="CP40" s="1025"/>
      <c r="CQ40" s="1025"/>
      <c r="CR40" s="1025"/>
      <c r="CS40" s="1025"/>
      <c r="CT40" s="1025"/>
      <c r="CU40" s="1025"/>
      <c r="CV40" s="1025"/>
      <c r="CW40" s="1025"/>
      <c r="CX40" s="1025"/>
      <c r="CY40" s="1025"/>
      <c r="CZ40" s="1025"/>
      <c r="DA40" s="1025"/>
      <c r="DB40" s="1025"/>
      <c r="DC40" s="1025"/>
      <c r="DD40" s="1025"/>
      <c r="DE40" s="1025"/>
      <c r="DF40" s="1025"/>
      <c r="DG40" s="1025"/>
      <c r="DH40" s="1025"/>
      <c r="DI40" s="1025"/>
      <c r="DJ40" s="1025"/>
      <c r="DK40" s="1025"/>
      <c r="DL40" s="1025"/>
      <c r="DM40" s="1025"/>
      <c r="DN40" s="1025"/>
      <c r="DO40" s="1025"/>
      <c r="DP40" s="1025"/>
      <c r="DQ40" s="1025"/>
      <c r="DR40" s="1025"/>
      <c r="DS40" s="1025"/>
      <c r="DT40" s="1025"/>
      <c r="DU40" s="1025"/>
      <c r="DV40" s="1025"/>
      <c r="DW40" s="1025"/>
      <c r="DX40" s="579"/>
    </row>
    <row r="41" spans="1:128">
      <c r="B41" s="982"/>
      <c r="C41" s="982"/>
      <c r="D41" s="592"/>
      <c r="E41" s="592"/>
      <c r="F41" s="593"/>
      <c r="G41" s="1025"/>
      <c r="H41" s="1025"/>
      <c r="I41" s="1025"/>
      <c r="J41" s="1025"/>
      <c r="K41" s="1025"/>
      <c r="L41" s="1025"/>
      <c r="M41" s="1025"/>
      <c r="N41" s="1025"/>
      <c r="O41" s="1025"/>
      <c r="P41" s="1025"/>
      <c r="Q41" s="1025"/>
      <c r="R41" s="1025"/>
      <c r="S41" s="1025"/>
      <c r="T41" s="1025"/>
      <c r="U41" s="1025"/>
      <c r="V41" s="1025"/>
      <c r="W41" s="1025"/>
      <c r="X41" s="1025"/>
      <c r="Y41" s="1025"/>
      <c r="Z41" s="1025"/>
      <c r="AA41" s="1025"/>
      <c r="AB41" s="1025"/>
      <c r="AC41" s="1025"/>
      <c r="AD41" s="1025"/>
      <c r="AE41" s="1025"/>
      <c r="AF41" s="1025"/>
      <c r="AG41" s="1025"/>
      <c r="AH41" s="1025"/>
      <c r="AI41" s="1025"/>
      <c r="AJ41" s="1025"/>
      <c r="AK41" s="1025"/>
      <c r="AL41" s="1025"/>
      <c r="AM41" s="1025"/>
      <c r="AN41" s="1025"/>
      <c r="AO41" s="1025"/>
      <c r="AP41" s="1025"/>
      <c r="AQ41" s="1025"/>
      <c r="AR41" s="1025"/>
      <c r="AS41" s="1025"/>
      <c r="AT41" s="1025"/>
      <c r="AU41" s="1025"/>
      <c r="AV41" s="1025"/>
      <c r="AW41" s="1025"/>
      <c r="AX41" s="1025"/>
      <c r="AY41" s="1025"/>
      <c r="AZ41" s="1025"/>
      <c r="BA41" s="1025"/>
      <c r="BB41" s="1025"/>
      <c r="BC41" s="1025"/>
      <c r="BD41" s="1025"/>
      <c r="BE41" s="1025"/>
      <c r="BF41" s="1025"/>
      <c r="BG41" s="1025"/>
      <c r="BH41" s="1025"/>
      <c r="BI41" s="1025"/>
      <c r="BJ41" s="1025"/>
      <c r="BK41" s="1025"/>
      <c r="BL41" s="1025"/>
      <c r="BM41" s="1025"/>
      <c r="BN41" s="1025"/>
      <c r="BO41" s="1025"/>
      <c r="BP41" s="1025"/>
      <c r="BQ41" s="1025"/>
      <c r="BR41" s="1025"/>
      <c r="BS41" s="1025"/>
      <c r="BT41" s="1025"/>
      <c r="BU41" s="1025"/>
      <c r="BV41" s="1025"/>
      <c r="BW41" s="1025"/>
      <c r="BX41" s="1025"/>
      <c r="BY41" s="1025"/>
      <c r="BZ41" s="1025"/>
      <c r="CA41" s="1025"/>
      <c r="CB41" s="1025"/>
      <c r="CC41" s="1025"/>
      <c r="CD41" s="1025"/>
      <c r="CE41" s="1025"/>
      <c r="CF41" s="1025"/>
      <c r="CG41" s="1025"/>
      <c r="CH41" s="1025"/>
      <c r="CI41" s="1025"/>
      <c r="CJ41" s="1025"/>
      <c r="CK41" s="1025"/>
      <c r="CL41" s="1025"/>
      <c r="CM41" s="1025"/>
      <c r="CN41" s="1025"/>
      <c r="CO41" s="1025"/>
      <c r="CP41" s="1025"/>
      <c r="CQ41" s="1025"/>
      <c r="CR41" s="1025"/>
      <c r="CS41" s="1025"/>
      <c r="CT41" s="1025"/>
      <c r="CU41" s="1025"/>
      <c r="CV41" s="1025"/>
      <c r="CW41" s="1025"/>
      <c r="CX41" s="1025"/>
      <c r="CY41" s="1025"/>
      <c r="CZ41" s="1025"/>
      <c r="DA41" s="1025"/>
      <c r="DB41" s="1025"/>
      <c r="DC41" s="1025"/>
      <c r="DD41" s="1025"/>
      <c r="DE41" s="1025"/>
      <c r="DF41" s="1025"/>
      <c r="DG41" s="1025"/>
      <c r="DH41" s="1025"/>
      <c r="DI41" s="1025"/>
      <c r="DJ41" s="1025"/>
      <c r="DK41" s="1025"/>
      <c r="DL41" s="1025"/>
      <c r="DM41" s="1025"/>
      <c r="DN41" s="1025"/>
      <c r="DO41" s="1025"/>
      <c r="DP41" s="1025"/>
      <c r="DQ41" s="1025"/>
      <c r="DR41" s="1025"/>
      <c r="DS41" s="1025"/>
      <c r="DT41" s="1025"/>
      <c r="DU41" s="1025"/>
      <c r="DV41" s="1025"/>
      <c r="DW41" s="1025"/>
      <c r="DX41" s="579"/>
    </row>
    <row r="42" spans="1:128">
      <c r="A42" s="304" t="s">
        <v>1356</v>
      </c>
      <c r="B42" s="927">
        <f>Inputs!D10</f>
        <v>12</v>
      </c>
      <c r="C42" s="927"/>
      <c r="D42" s="592"/>
      <c r="E42" s="592"/>
      <c r="F42" s="593"/>
      <c r="G42" s="973" t="b">
        <f>AND(G40&gt;=0,G40&lt;=$B$42)</f>
        <v>1</v>
      </c>
      <c r="H42" s="973" t="b">
        <f t="shared" ref="H42:AJ42" si="74">AND(H40&gt;=0,H40&lt;=$B$42)</f>
        <v>1</v>
      </c>
      <c r="I42" s="973" t="b">
        <f t="shared" si="74"/>
        <v>1</v>
      </c>
      <c r="J42" s="973" t="b">
        <f t="shared" si="74"/>
        <v>1</v>
      </c>
      <c r="K42" s="973" t="b">
        <f t="shared" si="74"/>
        <v>1</v>
      </c>
      <c r="L42" s="973" t="b">
        <f t="shared" si="74"/>
        <v>1</v>
      </c>
      <c r="M42" s="973" t="b">
        <f t="shared" si="74"/>
        <v>1</v>
      </c>
      <c r="N42" s="973" t="b">
        <f t="shared" si="74"/>
        <v>1</v>
      </c>
      <c r="O42" s="973" t="b">
        <f t="shared" si="74"/>
        <v>1</v>
      </c>
      <c r="P42" s="973" t="b">
        <f t="shared" si="74"/>
        <v>1</v>
      </c>
      <c r="Q42" s="973" t="b">
        <f t="shared" si="74"/>
        <v>1</v>
      </c>
      <c r="R42" s="973" t="b">
        <f t="shared" si="74"/>
        <v>1</v>
      </c>
      <c r="S42" s="973" t="b">
        <f t="shared" si="74"/>
        <v>0</v>
      </c>
      <c r="T42" s="973" t="b">
        <f t="shared" si="74"/>
        <v>0</v>
      </c>
      <c r="U42" s="973" t="b">
        <f t="shared" si="74"/>
        <v>0</v>
      </c>
      <c r="V42" s="973" t="b">
        <f t="shared" si="74"/>
        <v>0</v>
      </c>
      <c r="W42" s="973" t="b">
        <f t="shared" si="74"/>
        <v>0</v>
      </c>
      <c r="X42" s="973" t="b">
        <f t="shared" si="74"/>
        <v>0</v>
      </c>
      <c r="Y42" s="973" t="b">
        <f t="shared" si="74"/>
        <v>0</v>
      </c>
      <c r="Z42" s="973" t="b">
        <f t="shared" si="74"/>
        <v>0</v>
      </c>
      <c r="AA42" s="973" t="b">
        <f t="shared" si="74"/>
        <v>0</v>
      </c>
      <c r="AB42" s="973" t="b">
        <f t="shared" si="74"/>
        <v>0</v>
      </c>
      <c r="AC42" s="973" t="b">
        <f t="shared" si="74"/>
        <v>0</v>
      </c>
      <c r="AD42" s="973" t="b">
        <f t="shared" si="74"/>
        <v>0</v>
      </c>
      <c r="AE42" s="973" t="b">
        <f t="shared" si="74"/>
        <v>0</v>
      </c>
      <c r="AF42" s="973" t="b">
        <f t="shared" si="74"/>
        <v>0</v>
      </c>
      <c r="AG42" s="973" t="b">
        <f t="shared" si="74"/>
        <v>0</v>
      </c>
      <c r="AH42" s="973" t="b">
        <f t="shared" si="74"/>
        <v>0</v>
      </c>
      <c r="AI42" s="973" t="b">
        <f t="shared" si="74"/>
        <v>0</v>
      </c>
      <c r="AJ42" s="973" t="b">
        <f t="shared" si="74"/>
        <v>0</v>
      </c>
      <c r="AK42" s="1025"/>
      <c r="AL42" s="1025"/>
      <c r="AM42" s="1025"/>
      <c r="AN42" s="1025"/>
      <c r="AO42" s="1025"/>
      <c r="AP42" s="1025"/>
      <c r="AQ42" s="1025"/>
      <c r="AR42" s="1025"/>
      <c r="AS42" s="1025"/>
      <c r="AT42" s="1025"/>
      <c r="AU42" s="1025"/>
      <c r="AV42" s="1025"/>
      <c r="AW42" s="1025"/>
      <c r="AX42" s="1025"/>
      <c r="AY42" s="1025"/>
      <c r="AZ42" s="1025"/>
      <c r="BA42" s="1025"/>
      <c r="BB42" s="1025"/>
      <c r="BC42" s="1025"/>
      <c r="BD42" s="1025"/>
      <c r="BE42" s="1025"/>
      <c r="BF42" s="1025"/>
      <c r="BG42" s="1025"/>
      <c r="BH42" s="1025"/>
      <c r="BI42" s="1025"/>
      <c r="BJ42" s="1025"/>
      <c r="BK42" s="1025"/>
      <c r="BL42" s="1025"/>
      <c r="BM42" s="1025"/>
      <c r="BN42" s="1025"/>
      <c r="BO42" s="1025"/>
      <c r="BP42" s="1025"/>
      <c r="BQ42" s="1025"/>
      <c r="BR42" s="1025"/>
      <c r="BS42" s="1025"/>
      <c r="BT42" s="1025"/>
      <c r="BU42" s="1025"/>
      <c r="BV42" s="1025"/>
      <c r="BW42" s="1025"/>
      <c r="BX42" s="1025"/>
      <c r="BY42" s="1025"/>
      <c r="BZ42" s="1025"/>
      <c r="CA42" s="1025"/>
      <c r="CB42" s="1025"/>
      <c r="CC42" s="1025"/>
      <c r="CD42" s="1025"/>
      <c r="CE42" s="1025"/>
      <c r="CF42" s="1025"/>
      <c r="CG42" s="1025"/>
      <c r="CH42" s="1025"/>
      <c r="CI42" s="1025"/>
      <c r="CJ42" s="1025"/>
      <c r="CK42" s="1025"/>
      <c r="CL42" s="1025"/>
      <c r="CM42" s="1025"/>
      <c r="CN42" s="1025"/>
      <c r="CO42" s="1025"/>
      <c r="CP42" s="1025"/>
      <c r="CQ42" s="1025"/>
      <c r="CR42" s="1025"/>
      <c r="CS42" s="1025"/>
      <c r="CT42" s="1025"/>
      <c r="CU42" s="1025"/>
      <c r="CV42" s="1025"/>
      <c r="CW42" s="1025"/>
      <c r="CX42" s="1025"/>
      <c r="CY42" s="1025"/>
      <c r="CZ42" s="1025"/>
      <c r="DA42" s="1025"/>
      <c r="DB42" s="1025"/>
      <c r="DC42" s="1025"/>
      <c r="DD42" s="1025"/>
      <c r="DE42" s="1025"/>
      <c r="DF42" s="1025"/>
      <c r="DG42" s="1025"/>
      <c r="DH42" s="1025"/>
      <c r="DI42" s="1025"/>
      <c r="DJ42" s="1025"/>
      <c r="DK42" s="1025"/>
      <c r="DL42" s="1025"/>
      <c r="DM42" s="1025"/>
      <c r="DN42" s="1025"/>
      <c r="DO42" s="1025"/>
      <c r="DP42" s="1025"/>
      <c r="DQ42" s="1025"/>
      <c r="DR42" s="1025"/>
      <c r="DS42" s="1025"/>
      <c r="DT42" s="1025"/>
      <c r="DU42" s="1025"/>
      <c r="DV42" s="1025"/>
      <c r="DW42" s="1025"/>
      <c r="DX42" s="579"/>
    </row>
    <row r="43" spans="1:128" s="310" customFormat="1">
      <c r="A43" s="304"/>
      <c r="B43" s="691"/>
      <c r="C43" s="691"/>
      <c r="D43" s="581"/>
      <c r="E43" s="581"/>
      <c r="F43" s="583"/>
      <c r="G43" s="1026"/>
      <c r="H43" s="1026"/>
      <c r="I43" s="1026"/>
      <c r="J43" s="1026"/>
      <c r="K43" s="1026"/>
      <c r="L43" s="1026"/>
      <c r="M43" s="1026"/>
      <c r="N43" s="1026"/>
      <c r="O43" s="1026"/>
      <c r="P43" s="1026"/>
      <c r="Q43" s="1026"/>
      <c r="R43" s="1026"/>
      <c r="S43" s="1026"/>
      <c r="T43" s="1026"/>
      <c r="U43" s="1026"/>
      <c r="V43" s="1026"/>
      <c r="W43" s="1026"/>
      <c r="X43" s="1026"/>
      <c r="Y43" s="1026"/>
      <c r="Z43" s="1026"/>
      <c r="AA43" s="1026"/>
      <c r="AB43" s="1026"/>
      <c r="AC43" s="1026"/>
      <c r="AD43" s="1026"/>
      <c r="AE43" s="1026"/>
      <c r="AF43" s="1026"/>
      <c r="AG43" s="1026"/>
      <c r="AH43" s="1026"/>
      <c r="AI43" s="1026"/>
      <c r="AJ43" s="1026"/>
      <c r="AK43" s="1026"/>
      <c r="AL43" s="1026"/>
      <c r="AM43" s="1026"/>
      <c r="AN43" s="1026"/>
      <c r="AO43" s="1026"/>
      <c r="AP43" s="1026"/>
      <c r="AQ43" s="1026"/>
      <c r="AR43" s="1026"/>
      <c r="AS43" s="1026"/>
      <c r="AT43" s="1026"/>
      <c r="AU43" s="1026"/>
      <c r="AV43" s="1026"/>
      <c r="AW43" s="1026"/>
      <c r="AX43" s="1026"/>
      <c r="AY43" s="1026"/>
      <c r="AZ43" s="1026"/>
      <c r="BA43" s="1026"/>
      <c r="BB43" s="1026"/>
      <c r="BC43" s="1026"/>
      <c r="BD43" s="1026"/>
      <c r="BE43" s="1026"/>
      <c r="BF43" s="1026"/>
      <c r="BG43" s="1026"/>
      <c r="BH43" s="1026"/>
      <c r="BI43" s="1026"/>
      <c r="BJ43" s="1026"/>
      <c r="BK43" s="1026"/>
      <c r="BL43" s="1026"/>
      <c r="BM43" s="1026"/>
      <c r="BN43" s="1026"/>
      <c r="BO43" s="1026"/>
      <c r="BP43" s="1026"/>
      <c r="BQ43" s="1026"/>
      <c r="BR43" s="1026"/>
      <c r="BS43" s="1026"/>
      <c r="BT43" s="1026"/>
      <c r="BU43" s="1026"/>
      <c r="BV43" s="1026"/>
      <c r="BW43" s="1026"/>
      <c r="BX43" s="1026"/>
      <c r="BY43" s="1026"/>
      <c r="BZ43" s="1026"/>
      <c r="CA43" s="1026"/>
      <c r="CB43" s="1026"/>
      <c r="CC43" s="1026"/>
      <c r="CD43" s="1026"/>
      <c r="CE43" s="1026"/>
      <c r="CF43" s="1026"/>
      <c r="CG43" s="1026"/>
      <c r="CH43" s="1026"/>
      <c r="CI43" s="1026"/>
      <c r="CJ43" s="1026"/>
      <c r="CK43" s="1026"/>
      <c r="CL43" s="1026"/>
      <c r="CM43" s="1026"/>
      <c r="CN43" s="1026"/>
      <c r="CO43" s="1026"/>
      <c r="CP43" s="1026"/>
      <c r="CQ43" s="1026"/>
      <c r="CR43" s="1026"/>
      <c r="CS43" s="1026"/>
      <c r="CT43" s="1026"/>
      <c r="CU43" s="1026"/>
      <c r="CV43" s="1026"/>
      <c r="CW43" s="1026"/>
      <c r="CX43" s="1026"/>
      <c r="CY43" s="1026"/>
      <c r="CZ43" s="1026"/>
      <c r="DA43" s="1026"/>
      <c r="DB43" s="1026"/>
      <c r="DC43" s="1026"/>
      <c r="DD43" s="1026"/>
      <c r="DE43" s="1026"/>
      <c r="DF43" s="1026"/>
      <c r="DG43" s="1026"/>
      <c r="DH43" s="1026"/>
      <c r="DI43" s="1026"/>
      <c r="DJ43" s="1026"/>
      <c r="DK43" s="1026"/>
      <c r="DL43" s="1026"/>
      <c r="DM43" s="1026"/>
      <c r="DN43" s="1026"/>
      <c r="DO43" s="1026"/>
      <c r="DP43" s="1026"/>
      <c r="DQ43" s="1026"/>
      <c r="DR43" s="1026"/>
      <c r="DS43" s="1026"/>
      <c r="DT43" s="1026"/>
      <c r="DU43" s="1026"/>
      <c r="DV43" s="1026"/>
      <c r="DW43" s="1026"/>
      <c r="DX43" s="579"/>
    </row>
    <row r="44" spans="1:128">
      <c r="A44" s="304" t="s">
        <v>1357</v>
      </c>
      <c r="B44" s="708"/>
      <c r="C44" s="708"/>
      <c r="D44" s="637"/>
      <c r="E44" s="637"/>
      <c r="F44" s="637"/>
      <c r="G44" s="1027">
        <f t="shared" ref="G44:AJ44" si="75">(G38-G37+1)/bank_year</f>
        <v>5.5555555555555558E-3</v>
      </c>
      <c r="H44" s="1027">
        <f t="shared" si="75"/>
        <v>8.611111111111111E-2</v>
      </c>
      <c r="I44" s="1027">
        <f t="shared" si="75"/>
        <v>8.611111111111111E-2</v>
      </c>
      <c r="J44" s="1027">
        <f t="shared" si="75"/>
        <v>8.3333333333333329E-2</v>
      </c>
      <c r="K44" s="1027">
        <f t="shared" si="75"/>
        <v>8.611111111111111E-2</v>
      </c>
      <c r="L44" s="1027">
        <f t="shared" si="75"/>
        <v>8.3333333333333329E-2</v>
      </c>
      <c r="M44" s="1027">
        <f t="shared" si="75"/>
        <v>8.611111111111111E-2</v>
      </c>
      <c r="N44" s="1027">
        <f t="shared" si="75"/>
        <v>8.611111111111111E-2</v>
      </c>
      <c r="O44" s="1027">
        <f t="shared" si="75"/>
        <v>7.7777777777777779E-2</v>
      </c>
      <c r="P44" s="1027">
        <f t="shared" si="75"/>
        <v>8.611111111111111E-2</v>
      </c>
      <c r="Q44" s="1027">
        <f t="shared" si="75"/>
        <v>8.3333333333333329E-2</v>
      </c>
      <c r="R44" s="1027">
        <f t="shared" si="75"/>
        <v>8.611111111111111E-2</v>
      </c>
      <c r="S44" s="1027">
        <f t="shared" si="75"/>
        <v>8.3333333333333329E-2</v>
      </c>
      <c r="T44" s="1027">
        <f t="shared" si="75"/>
        <v>8.611111111111111E-2</v>
      </c>
      <c r="U44" s="1027">
        <f t="shared" si="75"/>
        <v>8.611111111111111E-2</v>
      </c>
      <c r="V44" s="1027">
        <f t="shared" si="75"/>
        <v>8.3333333333333329E-2</v>
      </c>
      <c r="W44" s="1027">
        <f t="shared" si="75"/>
        <v>8.611111111111111E-2</v>
      </c>
      <c r="X44" s="1027">
        <f t="shared" si="75"/>
        <v>8.3333333333333329E-2</v>
      </c>
      <c r="Y44" s="1027">
        <f t="shared" si="75"/>
        <v>8.611111111111111E-2</v>
      </c>
      <c r="Z44" s="1027">
        <f t="shared" si="75"/>
        <v>8.611111111111111E-2</v>
      </c>
      <c r="AA44" s="1027">
        <f t="shared" si="75"/>
        <v>7.7777777777777779E-2</v>
      </c>
      <c r="AB44" s="1027">
        <f t="shared" si="75"/>
        <v>8.611111111111111E-2</v>
      </c>
      <c r="AC44" s="1027">
        <f t="shared" si="75"/>
        <v>8.3333333333333329E-2</v>
      </c>
      <c r="AD44" s="1027">
        <f t="shared" si="75"/>
        <v>8.611111111111111E-2</v>
      </c>
      <c r="AE44" s="1027">
        <f t="shared" si="75"/>
        <v>8.3333333333333329E-2</v>
      </c>
      <c r="AF44" s="1027">
        <f t="shared" si="75"/>
        <v>8.611111111111111E-2</v>
      </c>
      <c r="AG44" s="1027">
        <f t="shared" si="75"/>
        <v>8.611111111111111E-2</v>
      </c>
      <c r="AH44" s="1027">
        <f t="shared" si="75"/>
        <v>8.3333333333333329E-2</v>
      </c>
      <c r="AI44" s="1027">
        <f t="shared" si="75"/>
        <v>8.611111111111111E-2</v>
      </c>
      <c r="AJ44" s="1027">
        <f t="shared" si="75"/>
        <v>8.3333333333333329E-2</v>
      </c>
      <c r="AK44" s="1028"/>
      <c r="AL44" s="1028"/>
      <c r="AM44" s="1028"/>
      <c r="AN44" s="1028"/>
      <c r="AO44" s="1028"/>
      <c r="AP44" s="1028"/>
      <c r="AQ44" s="1028"/>
      <c r="AR44" s="1028"/>
      <c r="AS44" s="1028"/>
      <c r="AT44" s="1028"/>
      <c r="AU44" s="1028"/>
      <c r="AV44" s="1028"/>
      <c r="AW44" s="1028"/>
      <c r="AX44" s="1028"/>
      <c r="AY44" s="1028"/>
      <c r="AZ44" s="1028"/>
      <c r="BA44" s="1028"/>
      <c r="BB44" s="1028"/>
      <c r="BC44" s="1028"/>
      <c r="BD44" s="1028"/>
      <c r="BE44" s="1028"/>
      <c r="BF44" s="1028"/>
      <c r="BG44" s="1028"/>
      <c r="BH44" s="1028"/>
      <c r="BI44" s="1028"/>
      <c r="BJ44" s="1028"/>
      <c r="BK44" s="1028"/>
      <c r="BL44" s="1028"/>
      <c r="BM44" s="1028"/>
      <c r="BN44" s="1028"/>
      <c r="BO44" s="1028"/>
      <c r="BP44" s="1028"/>
      <c r="BQ44" s="1028"/>
      <c r="BR44" s="1028"/>
      <c r="BS44" s="1028"/>
      <c r="BT44" s="1028"/>
      <c r="BU44" s="1028"/>
      <c r="BV44" s="1028"/>
      <c r="BW44" s="1028"/>
      <c r="BX44" s="1028"/>
      <c r="BY44" s="1028"/>
      <c r="BZ44" s="1028"/>
      <c r="CA44" s="1028"/>
      <c r="CB44" s="1028"/>
      <c r="CC44" s="1028"/>
      <c r="CD44" s="1028"/>
      <c r="CE44" s="1028"/>
      <c r="CF44" s="1028"/>
      <c r="CG44" s="1028"/>
      <c r="CH44" s="1028"/>
      <c r="CI44" s="1028"/>
      <c r="CJ44" s="1028"/>
      <c r="CK44" s="1028"/>
      <c r="CL44" s="1028"/>
      <c r="CM44" s="1028"/>
      <c r="CN44" s="1028"/>
      <c r="CO44" s="1028"/>
      <c r="CP44" s="1028"/>
      <c r="CQ44" s="1028"/>
      <c r="CR44" s="1028"/>
      <c r="CS44" s="1028"/>
      <c r="CT44" s="1028"/>
      <c r="CU44" s="1028"/>
      <c r="CV44" s="1028"/>
      <c r="CW44" s="1028"/>
      <c r="CX44" s="1028"/>
      <c r="CY44" s="1028"/>
      <c r="CZ44" s="1028"/>
      <c r="DA44" s="1028"/>
      <c r="DB44" s="1028"/>
      <c r="DC44" s="1028"/>
      <c r="DD44" s="1028"/>
      <c r="DE44" s="1028"/>
      <c r="DF44" s="1028"/>
      <c r="DG44" s="1028"/>
      <c r="DH44" s="1028"/>
      <c r="DI44" s="1028"/>
      <c r="DJ44" s="1028"/>
      <c r="DK44" s="1028"/>
      <c r="DL44" s="1028"/>
      <c r="DM44" s="1028"/>
      <c r="DN44" s="1028"/>
      <c r="DO44" s="1028"/>
      <c r="DP44" s="1028"/>
      <c r="DQ44" s="1028"/>
      <c r="DR44" s="1028"/>
      <c r="DS44" s="1028"/>
      <c r="DT44" s="1028"/>
      <c r="DU44" s="1028"/>
      <c r="DV44" s="1028"/>
      <c r="DW44" s="1028"/>
      <c r="DX44" s="579"/>
    </row>
    <row r="45" spans="1:128" s="310" customFormat="1">
      <c r="A45" s="304"/>
      <c r="B45" s="916"/>
      <c r="C45" s="916"/>
      <c r="D45" s="590"/>
      <c r="E45" s="581"/>
      <c r="G45" s="590"/>
      <c r="L45" s="586"/>
      <c r="M45" s="590"/>
      <c r="N45" s="590"/>
      <c r="O45" s="590"/>
      <c r="P45" s="590"/>
      <c r="Q45" s="590"/>
      <c r="R45" s="590"/>
      <c r="S45" s="590"/>
      <c r="T45" s="590"/>
      <c r="U45" s="590"/>
      <c r="V45" s="590"/>
      <c r="W45" s="590"/>
      <c r="X45" s="590"/>
      <c r="Y45" s="590"/>
      <c r="Z45" s="590"/>
      <c r="AA45" s="590"/>
      <c r="AB45" s="590"/>
      <c r="AC45" s="590"/>
      <c r="AD45" s="590"/>
      <c r="AE45" s="590"/>
      <c r="AF45" s="590"/>
      <c r="AG45" s="590"/>
      <c r="AH45" s="590"/>
      <c r="AI45" s="590"/>
      <c r="AJ45" s="590"/>
      <c r="AK45" s="590"/>
      <c r="AL45" s="590"/>
      <c r="AM45" s="590"/>
      <c r="AN45" s="590"/>
      <c r="AO45" s="590"/>
      <c r="AP45" s="590"/>
      <c r="AQ45" s="590"/>
      <c r="AR45" s="590"/>
      <c r="AS45" s="590"/>
      <c r="AT45" s="590"/>
      <c r="AU45" s="590"/>
      <c r="AV45" s="590"/>
      <c r="AW45" s="590"/>
      <c r="AX45" s="590"/>
      <c r="AY45" s="590"/>
      <c r="AZ45" s="590"/>
      <c r="BA45" s="590"/>
      <c r="BB45" s="590"/>
      <c r="BC45" s="590"/>
      <c r="BD45" s="590"/>
      <c r="BE45" s="590"/>
      <c r="BF45" s="590"/>
      <c r="BG45" s="590"/>
      <c r="BH45" s="590"/>
      <c r="BI45" s="590"/>
      <c r="BJ45" s="590"/>
      <c r="BK45" s="590"/>
      <c r="BL45" s="590"/>
      <c r="BM45" s="590"/>
      <c r="BN45" s="590"/>
      <c r="BO45" s="590"/>
      <c r="BP45" s="590"/>
      <c r="BQ45" s="590"/>
      <c r="BR45" s="590"/>
      <c r="BS45" s="590"/>
      <c r="BT45" s="590"/>
      <c r="BU45" s="590"/>
      <c r="BV45" s="590"/>
      <c r="BW45" s="590"/>
      <c r="BX45" s="590"/>
      <c r="BY45" s="590"/>
      <c r="BZ45" s="590"/>
      <c r="CA45" s="590"/>
      <c r="CB45" s="590"/>
      <c r="CC45" s="590"/>
      <c r="CD45" s="590"/>
      <c r="CE45" s="590"/>
      <c r="CF45" s="590"/>
      <c r="CG45" s="590"/>
      <c r="CH45" s="590"/>
      <c r="CI45" s="590"/>
      <c r="CJ45" s="590"/>
      <c r="CK45" s="590"/>
      <c r="CL45" s="590"/>
      <c r="CM45" s="590"/>
      <c r="CN45" s="590"/>
      <c r="CO45" s="590"/>
      <c r="CP45" s="590"/>
      <c r="CQ45" s="590"/>
      <c r="CR45" s="590"/>
      <c r="CS45" s="590"/>
      <c r="CT45" s="590"/>
      <c r="CU45" s="590"/>
      <c r="CV45" s="590"/>
      <c r="CW45" s="590"/>
      <c r="CX45" s="590"/>
      <c r="CY45" s="590"/>
      <c r="CZ45" s="590"/>
      <c r="DA45" s="590"/>
      <c r="DB45" s="590"/>
      <c r="DC45" s="590"/>
      <c r="DD45" s="590"/>
      <c r="DE45" s="590"/>
      <c r="DF45" s="590"/>
      <c r="DG45" s="590"/>
      <c r="DH45" s="590"/>
      <c r="DI45" s="590"/>
      <c r="DJ45" s="590"/>
      <c r="DK45" s="590"/>
      <c r="DL45" s="590"/>
      <c r="DM45" s="590"/>
      <c r="DN45" s="590"/>
      <c r="DO45" s="590"/>
      <c r="DP45" s="590"/>
      <c r="DQ45" s="590"/>
      <c r="DR45" s="590"/>
      <c r="DS45" s="590"/>
      <c r="DT45" s="590"/>
      <c r="DU45" s="590"/>
      <c r="DV45" s="590"/>
      <c r="DW45" s="590"/>
      <c r="DX45" s="579"/>
    </row>
    <row r="46" spans="1:128">
      <c r="B46" s="841"/>
      <c r="C46" s="841"/>
      <c r="D46" s="588"/>
      <c r="E46" s="588"/>
      <c r="F46" s="593"/>
      <c r="G46" s="586"/>
      <c r="H46" s="586"/>
      <c r="I46" s="586"/>
      <c r="J46" s="586"/>
      <c r="K46" s="586"/>
      <c r="L46" s="586"/>
      <c r="M46" s="586"/>
      <c r="N46" s="586"/>
      <c r="O46" s="586"/>
      <c r="P46" s="586"/>
      <c r="Q46" s="586"/>
      <c r="R46" s="586"/>
      <c r="S46" s="586"/>
      <c r="T46" s="586"/>
      <c r="U46" s="586"/>
      <c r="V46" s="586"/>
      <c r="W46" s="586"/>
      <c r="X46" s="586"/>
      <c r="Y46" s="586"/>
      <c r="Z46" s="586"/>
      <c r="AA46" s="586"/>
      <c r="AB46" s="586"/>
      <c r="AC46" s="586"/>
      <c r="AD46" s="586"/>
      <c r="AE46" s="586"/>
      <c r="AF46" s="586"/>
      <c r="AG46" s="586"/>
      <c r="AH46" s="586"/>
      <c r="AI46" s="586"/>
      <c r="AJ46" s="586"/>
      <c r="AK46" s="586"/>
      <c r="AL46" s="586"/>
      <c r="AM46" s="586"/>
      <c r="AN46" s="586"/>
      <c r="AO46" s="586"/>
      <c r="AP46" s="586"/>
      <c r="AQ46" s="586"/>
      <c r="AR46" s="586"/>
      <c r="AS46" s="586"/>
      <c r="AT46" s="586"/>
      <c r="AU46" s="586"/>
      <c r="AV46" s="586"/>
      <c r="AW46" s="586"/>
      <c r="AX46" s="586"/>
      <c r="AY46" s="586"/>
      <c r="AZ46" s="586"/>
      <c r="BA46" s="586"/>
      <c r="BB46" s="586"/>
      <c r="BC46" s="586"/>
      <c r="BD46" s="586"/>
      <c r="BE46" s="586"/>
      <c r="BF46" s="586"/>
      <c r="BG46" s="586"/>
      <c r="BH46" s="586"/>
      <c r="BI46" s="586"/>
      <c r="BJ46" s="586"/>
      <c r="BK46" s="586"/>
      <c r="BL46" s="586"/>
      <c r="BM46" s="586"/>
      <c r="BN46" s="586"/>
      <c r="BO46" s="586"/>
      <c r="BP46" s="586"/>
      <c r="BQ46" s="586"/>
      <c r="BR46" s="586"/>
      <c r="BS46" s="586"/>
      <c r="BT46" s="586"/>
      <c r="BU46" s="586"/>
      <c r="BV46" s="586"/>
      <c r="BW46" s="586"/>
      <c r="BX46" s="586"/>
      <c r="BY46" s="586"/>
      <c r="BZ46" s="586"/>
      <c r="CA46" s="586"/>
      <c r="CB46" s="586"/>
      <c r="CC46" s="586"/>
      <c r="CD46" s="586"/>
      <c r="CE46" s="586"/>
      <c r="CF46" s="586"/>
      <c r="CG46" s="586"/>
      <c r="CH46" s="586"/>
      <c r="CI46" s="586"/>
      <c r="CJ46" s="586"/>
      <c r="CK46" s="586"/>
      <c r="CL46" s="586"/>
      <c r="CM46" s="586"/>
      <c r="CN46" s="586"/>
      <c r="CO46" s="586"/>
      <c r="CP46" s="586"/>
      <c r="CQ46" s="586"/>
      <c r="CR46" s="586"/>
      <c r="CS46" s="586"/>
      <c r="CT46" s="586"/>
      <c r="CU46" s="586"/>
      <c r="CV46" s="586"/>
      <c r="CW46" s="586"/>
      <c r="CX46" s="586"/>
      <c r="CY46" s="586"/>
      <c r="CZ46" s="586"/>
      <c r="DA46" s="586"/>
      <c r="DB46" s="586"/>
      <c r="DC46" s="586"/>
      <c r="DD46" s="586"/>
      <c r="DE46" s="586"/>
      <c r="DF46" s="586"/>
      <c r="DG46" s="586"/>
      <c r="DH46" s="586"/>
      <c r="DI46" s="586"/>
      <c r="DJ46" s="586"/>
      <c r="DK46" s="586"/>
      <c r="DL46" s="586"/>
      <c r="DM46" s="586"/>
      <c r="DN46" s="586"/>
      <c r="DO46" s="586"/>
      <c r="DP46" s="586"/>
      <c r="DQ46" s="586"/>
      <c r="DR46" s="586"/>
      <c r="DS46" s="586"/>
      <c r="DT46" s="586"/>
      <c r="DU46" s="586"/>
      <c r="DV46" s="586"/>
      <c r="DW46" s="586"/>
      <c r="DX46" s="579"/>
    </row>
    <row r="47" spans="1:128">
      <c r="B47" s="584"/>
      <c r="C47" s="584"/>
      <c r="D47" s="584"/>
      <c r="E47" s="584"/>
      <c r="F47" s="587"/>
      <c r="G47" s="586"/>
      <c r="H47" s="586"/>
      <c r="I47" s="586"/>
      <c r="J47" s="586"/>
      <c r="K47" s="586"/>
      <c r="L47" s="955"/>
      <c r="M47" s="586"/>
      <c r="N47" s="586"/>
      <c r="O47" s="586"/>
      <c r="P47" s="586"/>
      <c r="Q47" s="586"/>
      <c r="R47" s="586"/>
      <c r="S47" s="586"/>
      <c r="T47" s="954"/>
      <c r="U47" s="586"/>
      <c r="V47" s="586"/>
      <c r="W47" s="586"/>
      <c r="X47" s="586"/>
      <c r="Y47" s="586"/>
      <c r="Z47" s="586"/>
      <c r="AA47" s="586"/>
      <c r="AB47" s="586"/>
      <c r="AC47" s="586"/>
      <c r="AD47" s="586"/>
      <c r="AE47" s="586"/>
      <c r="AF47" s="586"/>
      <c r="AG47" s="586"/>
      <c r="AH47" s="586"/>
      <c r="AI47" s="586"/>
      <c r="AJ47" s="586"/>
      <c r="AK47" s="586"/>
      <c r="AL47" s="586"/>
      <c r="AM47" s="586"/>
      <c r="AN47" s="586"/>
      <c r="AO47" s="586"/>
      <c r="AP47" s="586"/>
      <c r="AQ47" s="586"/>
      <c r="AR47" s="586"/>
      <c r="AS47" s="586"/>
      <c r="AT47" s="586"/>
      <c r="AU47" s="586"/>
      <c r="AV47" s="586"/>
      <c r="AW47" s="586"/>
      <c r="AX47" s="586"/>
      <c r="AY47" s="586"/>
      <c r="AZ47" s="586"/>
      <c r="BA47" s="586"/>
      <c r="BB47" s="586"/>
      <c r="BC47" s="586"/>
      <c r="BD47" s="586"/>
      <c r="BE47" s="586"/>
      <c r="BF47" s="586"/>
      <c r="BG47" s="586"/>
      <c r="BH47" s="586"/>
      <c r="BI47" s="586"/>
      <c r="BJ47" s="586"/>
      <c r="BK47" s="586"/>
      <c r="BL47" s="586"/>
      <c r="BM47" s="586"/>
      <c r="BN47" s="586"/>
      <c r="BO47" s="586"/>
      <c r="BP47" s="586"/>
      <c r="BQ47" s="586"/>
      <c r="BR47" s="586"/>
      <c r="BS47" s="586"/>
      <c r="BT47" s="586"/>
      <c r="BU47" s="586"/>
      <c r="BV47" s="586"/>
      <c r="BW47" s="586"/>
      <c r="BX47" s="586"/>
      <c r="BY47" s="586"/>
      <c r="BZ47" s="586"/>
      <c r="CA47" s="586"/>
      <c r="CB47" s="586"/>
      <c r="CC47" s="586"/>
      <c r="CD47" s="586"/>
      <c r="CE47" s="586"/>
      <c r="CF47" s="586"/>
      <c r="CG47" s="586"/>
      <c r="CH47" s="586"/>
      <c r="CI47" s="586"/>
      <c r="CJ47" s="586"/>
      <c r="CK47" s="586"/>
      <c r="CL47" s="586"/>
      <c r="CM47" s="586"/>
      <c r="CN47" s="586"/>
      <c r="CO47" s="586"/>
      <c r="CP47" s="586"/>
      <c r="CQ47" s="586"/>
      <c r="CR47" s="586"/>
      <c r="CS47" s="586"/>
      <c r="CT47" s="586"/>
      <c r="CU47" s="586"/>
      <c r="CV47" s="586"/>
      <c r="CW47" s="586"/>
      <c r="CX47" s="586"/>
      <c r="CY47" s="586"/>
      <c r="CZ47" s="586"/>
      <c r="DA47" s="586"/>
      <c r="DB47" s="586"/>
      <c r="DC47" s="586"/>
      <c r="DD47" s="586"/>
      <c r="DE47" s="586"/>
      <c r="DF47" s="586"/>
      <c r="DG47" s="586"/>
      <c r="DH47" s="586"/>
      <c r="DI47" s="586"/>
      <c r="DJ47" s="586"/>
      <c r="DK47" s="586"/>
      <c r="DL47" s="586"/>
      <c r="DM47" s="586"/>
      <c r="DN47" s="586"/>
      <c r="DO47" s="586"/>
      <c r="DP47" s="586"/>
      <c r="DQ47" s="586"/>
      <c r="DR47" s="586"/>
      <c r="DS47" s="586"/>
      <c r="DT47" s="586"/>
      <c r="DU47" s="586"/>
      <c r="DV47" s="586"/>
      <c r="DW47" s="586"/>
      <c r="DX47" s="579"/>
    </row>
    <row r="48" spans="1:128">
      <c r="B48" s="695"/>
      <c r="C48" s="695"/>
      <c r="D48" s="595"/>
      <c r="E48" s="595"/>
      <c r="F48" s="587"/>
      <c r="G48" s="724"/>
      <c r="H48" s="724"/>
      <c r="I48" s="724"/>
      <c r="J48" s="724"/>
      <c r="K48" s="724"/>
      <c r="L48" s="586"/>
      <c r="M48" s="724"/>
      <c r="N48" s="724"/>
      <c r="O48" s="724"/>
      <c r="P48" s="724"/>
      <c r="Q48" s="724"/>
      <c r="R48" s="724"/>
      <c r="S48" s="724"/>
      <c r="T48" s="724"/>
      <c r="U48" s="724"/>
      <c r="V48" s="724"/>
      <c r="W48" s="724"/>
      <c r="X48" s="724"/>
      <c r="Y48" s="724"/>
      <c r="Z48" s="724"/>
      <c r="AA48" s="724"/>
      <c r="AB48" s="724"/>
      <c r="AC48" s="724"/>
      <c r="AD48" s="724"/>
      <c r="AE48" s="724"/>
      <c r="AF48" s="724"/>
      <c r="AG48" s="724"/>
      <c r="AH48" s="724"/>
      <c r="AI48" s="724"/>
      <c r="AJ48" s="724"/>
      <c r="AK48" s="724"/>
      <c r="AL48" s="724"/>
      <c r="AM48" s="724"/>
      <c r="AN48" s="724"/>
      <c r="AO48" s="724"/>
      <c r="AP48" s="724"/>
      <c r="AQ48" s="724"/>
      <c r="AR48" s="724"/>
      <c r="AS48" s="724"/>
      <c r="AT48" s="724"/>
      <c r="AU48" s="724"/>
      <c r="AV48" s="724"/>
      <c r="AW48" s="724"/>
      <c r="AX48" s="724"/>
      <c r="AY48" s="724"/>
      <c r="AZ48" s="724"/>
      <c r="BA48" s="724"/>
      <c r="BB48" s="724"/>
      <c r="BC48" s="724"/>
      <c r="BD48" s="724"/>
      <c r="BE48" s="724"/>
      <c r="BF48" s="724"/>
      <c r="BG48" s="724"/>
      <c r="BH48" s="724"/>
      <c r="BI48" s="724"/>
      <c r="BJ48" s="724"/>
      <c r="BK48" s="724"/>
      <c r="BL48" s="724"/>
      <c r="BM48" s="724"/>
      <c r="BN48" s="724"/>
      <c r="BO48" s="724"/>
      <c r="BP48" s="724"/>
      <c r="BQ48" s="724"/>
      <c r="BR48" s="724"/>
      <c r="BS48" s="724"/>
      <c r="BT48" s="724"/>
      <c r="BU48" s="724"/>
      <c r="BV48" s="724"/>
      <c r="BW48" s="724"/>
      <c r="BX48" s="724"/>
      <c r="BY48" s="724"/>
      <c r="BZ48" s="724"/>
      <c r="CA48" s="724"/>
      <c r="CB48" s="724"/>
      <c r="CC48" s="724"/>
      <c r="CD48" s="724"/>
      <c r="CE48" s="724"/>
      <c r="CF48" s="724"/>
      <c r="CG48" s="724"/>
      <c r="CH48" s="724"/>
      <c r="CI48" s="724"/>
      <c r="CJ48" s="724"/>
      <c r="CK48" s="724"/>
      <c r="CL48" s="724"/>
      <c r="CM48" s="724"/>
      <c r="CN48" s="724"/>
      <c r="CO48" s="724"/>
      <c r="CP48" s="724"/>
      <c r="CQ48" s="724"/>
      <c r="CR48" s="724"/>
      <c r="CS48" s="724"/>
      <c r="CT48" s="724"/>
      <c r="CU48" s="724"/>
      <c r="CV48" s="724"/>
      <c r="CW48" s="724"/>
      <c r="CX48" s="724"/>
      <c r="CY48" s="724"/>
      <c r="CZ48" s="724"/>
      <c r="DA48" s="724"/>
      <c r="DB48" s="724"/>
      <c r="DC48" s="724"/>
      <c r="DD48" s="724"/>
      <c r="DE48" s="724"/>
      <c r="DF48" s="724"/>
      <c r="DG48" s="724"/>
      <c r="DH48" s="724"/>
      <c r="DI48" s="724"/>
      <c r="DJ48" s="724"/>
      <c r="DK48" s="724"/>
      <c r="DL48" s="724"/>
      <c r="DM48" s="724"/>
      <c r="DN48" s="724"/>
      <c r="DO48" s="724"/>
      <c r="DP48" s="724"/>
      <c r="DQ48" s="724"/>
      <c r="DR48" s="724"/>
      <c r="DS48" s="724"/>
      <c r="DT48" s="724"/>
      <c r="DU48" s="724"/>
      <c r="DV48" s="724"/>
      <c r="DW48" s="724"/>
      <c r="DX48" s="579"/>
    </row>
    <row r="49" spans="1:128" s="481" customFormat="1">
      <c r="A49" s="304"/>
      <c r="B49" s="696"/>
      <c r="C49" s="696"/>
      <c r="D49" s="596"/>
      <c r="E49" s="596"/>
      <c r="F49" s="597"/>
      <c r="G49" s="908"/>
      <c r="H49" s="908"/>
      <c r="I49" s="908"/>
      <c r="J49" s="908"/>
      <c r="K49" s="908"/>
      <c r="L49" s="547"/>
      <c r="M49" s="908"/>
      <c r="N49" s="908"/>
      <c r="O49" s="908"/>
      <c r="P49" s="908"/>
      <c r="Q49" s="908"/>
      <c r="R49" s="908"/>
      <c r="S49" s="908"/>
      <c r="T49" s="908"/>
      <c r="U49" s="908"/>
      <c r="V49" s="908"/>
      <c r="W49" s="908"/>
      <c r="X49" s="908"/>
      <c r="Y49" s="908"/>
      <c r="Z49" s="908"/>
      <c r="AA49" s="908"/>
      <c r="AB49" s="908"/>
      <c r="AC49" s="908"/>
      <c r="AD49" s="908"/>
      <c r="AE49" s="908"/>
      <c r="AF49" s="908"/>
      <c r="AG49" s="908"/>
      <c r="AH49" s="908"/>
      <c r="AI49" s="908"/>
      <c r="AJ49" s="908"/>
      <c r="AK49" s="908"/>
      <c r="AL49" s="908"/>
      <c r="AM49" s="908"/>
      <c r="AN49" s="908"/>
      <c r="AO49" s="908"/>
      <c r="AP49" s="908"/>
      <c r="AQ49" s="908"/>
      <c r="AR49" s="908"/>
      <c r="AS49" s="908"/>
      <c r="AT49" s="908"/>
      <c r="AU49" s="908"/>
      <c r="AV49" s="908"/>
      <c r="AW49" s="908"/>
      <c r="AX49" s="908"/>
      <c r="AY49" s="908"/>
      <c r="AZ49" s="908"/>
      <c r="BA49" s="908"/>
      <c r="BB49" s="908"/>
      <c r="BC49" s="908"/>
      <c r="BD49" s="908"/>
      <c r="BE49" s="908"/>
      <c r="BF49" s="908"/>
      <c r="BG49" s="908"/>
      <c r="BH49" s="908"/>
      <c r="BI49" s="908"/>
      <c r="BJ49" s="908"/>
      <c r="BK49" s="908"/>
      <c r="BL49" s="908"/>
      <c r="BM49" s="908"/>
      <c r="BN49" s="908"/>
      <c r="BO49" s="908"/>
      <c r="BP49" s="908"/>
      <c r="BQ49" s="908"/>
      <c r="BR49" s="908"/>
      <c r="BS49" s="908"/>
      <c r="BT49" s="908"/>
      <c r="BU49" s="908"/>
      <c r="BV49" s="908"/>
      <c r="BW49" s="908"/>
      <c r="BX49" s="908"/>
      <c r="BY49" s="908"/>
      <c r="BZ49" s="908"/>
      <c r="CA49" s="908"/>
      <c r="CB49" s="908"/>
      <c r="CC49" s="908"/>
      <c r="CD49" s="908"/>
      <c r="CE49" s="908"/>
      <c r="CF49" s="908"/>
      <c r="CG49" s="908"/>
      <c r="CH49" s="908"/>
      <c r="CI49" s="908"/>
      <c r="CJ49" s="908"/>
      <c r="CK49" s="908"/>
      <c r="CL49" s="908"/>
      <c r="CM49" s="908"/>
      <c r="CN49" s="908"/>
      <c r="CO49" s="908"/>
      <c r="CP49" s="908"/>
      <c r="CQ49" s="908"/>
      <c r="CR49" s="908"/>
      <c r="CS49" s="908"/>
      <c r="CT49" s="908"/>
      <c r="CU49" s="908"/>
      <c r="CV49" s="908"/>
      <c r="CW49" s="908"/>
      <c r="CX49" s="908"/>
      <c r="CY49" s="908"/>
      <c r="CZ49" s="908"/>
      <c r="DA49" s="908"/>
      <c r="DB49" s="908"/>
      <c r="DC49" s="908"/>
      <c r="DD49" s="908"/>
      <c r="DE49" s="908"/>
      <c r="DF49" s="908"/>
      <c r="DG49" s="908"/>
      <c r="DH49" s="908"/>
      <c r="DI49" s="908"/>
      <c r="DJ49" s="908"/>
      <c r="DK49" s="908"/>
      <c r="DL49" s="908"/>
      <c r="DM49" s="908"/>
      <c r="DN49" s="908"/>
      <c r="DO49" s="908"/>
      <c r="DP49" s="908"/>
      <c r="DQ49" s="908"/>
      <c r="DR49" s="908"/>
      <c r="DS49" s="908"/>
      <c r="DT49" s="908"/>
      <c r="DU49" s="908"/>
      <c r="DV49" s="908"/>
      <c r="DW49" s="908"/>
      <c r="DX49" s="579"/>
    </row>
    <row r="50" spans="1:128">
      <c r="B50" s="693"/>
      <c r="C50" s="693"/>
      <c r="D50" s="584"/>
      <c r="E50" s="584"/>
      <c r="F50" s="585"/>
      <c r="G50" s="909"/>
      <c r="H50" s="909"/>
      <c r="I50" s="909"/>
      <c r="J50" s="909"/>
      <c r="K50" s="909"/>
      <c r="L50" s="459"/>
      <c r="M50" s="909"/>
      <c r="N50" s="909"/>
      <c r="O50" s="909"/>
      <c r="P50" s="909"/>
      <c r="Q50" s="909"/>
      <c r="R50" s="909"/>
      <c r="S50" s="909"/>
      <c r="T50" s="909"/>
      <c r="U50" s="909"/>
      <c r="V50" s="909"/>
      <c r="W50" s="909"/>
      <c r="X50" s="909"/>
      <c r="Y50" s="909"/>
      <c r="Z50" s="909"/>
      <c r="AA50" s="909"/>
      <c r="AB50" s="909"/>
      <c r="AC50" s="909"/>
      <c r="AD50" s="909"/>
      <c r="AE50" s="909"/>
      <c r="AF50" s="909"/>
      <c r="AG50" s="909"/>
      <c r="AH50" s="909"/>
      <c r="AI50" s="909"/>
      <c r="AJ50" s="909"/>
      <c r="AK50" s="909"/>
      <c r="AL50" s="909"/>
      <c r="AM50" s="909"/>
      <c r="AN50" s="909"/>
      <c r="AO50" s="909"/>
      <c r="AP50" s="909"/>
      <c r="AQ50" s="909"/>
      <c r="AR50" s="909"/>
      <c r="AS50" s="909"/>
      <c r="AT50" s="909"/>
      <c r="AU50" s="909"/>
      <c r="AV50" s="909"/>
      <c r="AW50" s="909"/>
      <c r="AX50" s="909"/>
      <c r="AY50" s="909"/>
      <c r="AZ50" s="909"/>
      <c r="BA50" s="909"/>
      <c r="BB50" s="909"/>
      <c r="BC50" s="909"/>
      <c r="BD50" s="909"/>
      <c r="BE50" s="909"/>
      <c r="BF50" s="909"/>
      <c r="BG50" s="909"/>
      <c r="BH50" s="909"/>
      <c r="BI50" s="909"/>
      <c r="BJ50" s="909"/>
      <c r="BK50" s="909"/>
      <c r="BL50" s="909"/>
      <c r="BM50" s="909"/>
      <c r="BN50" s="909"/>
      <c r="BO50" s="909"/>
      <c r="BP50" s="909"/>
      <c r="BQ50" s="909"/>
      <c r="BR50" s="909"/>
      <c r="BS50" s="909"/>
      <c r="BT50" s="909"/>
      <c r="BU50" s="909"/>
      <c r="BV50" s="909"/>
      <c r="BW50" s="909"/>
      <c r="BX50" s="909"/>
      <c r="BY50" s="909"/>
      <c r="BZ50" s="909"/>
      <c r="CA50" s="909"/>
      <c r="CB50" s="909"/>
      <c r="CC50" s="909"/>
      <c r="CD50" s="909"/>
      <c r="CE50" s="909"/>
      <c r="CF50" s="909"/>
      <c r="CG50" s="909"/>
      <c r="CH50" s="909"/>
      <c r="CI50" s="909"/>
      <c r="CJ50" s="909"/>
      <c r="CK50" s="909"/>
      <c r="CL50" s="909"/>
      <c r="CM50" s="909"/>
      <c r="CN50" s="909"/>
      <c r="CO50" s="909"/>
      <c r="CP50" s="909"/>
      <c r="CQ50" s="909"/>
      <c r="CR50" s="909"/>
      <c r="CS50" s="909"/>
      <c r="CT50" s="909"/>
      <c r="CU50" s="909"/>
      <c r="CV50" s="909"/>
      <c r="CW50" s="909"/>
      <c r="CX50" s="909"/>
      <c r="CY50" s="909"/>
      <c r="CZ50" s="909"/>
      <c r="DA50" s="909"/>
      <c r="DB50" s="909"/>
      <c r="DC50" s="909"/>
      <c r="DD50" s="909"/>
      <c r="DE50" s="909"/>
      <c r="DF50" s="909"/>
      <c r="DG50" s="909"/>
      <c r="DH50" s="909"/>
      <c r="DI50" s="909"/>
      <c r="DJ50" s="909"/>
      <c r="DK50" s="909"/>
      <c r="DL50" s="909"/>
      <c r="DM50" s="909"/>
      <c r="DN50" s="909"/>
      <c r="DO50" s="909"/>
      <c r="DP50" s="909"/>
      <c r="DQ50" s="909"/>
      <c r="DR50" s="909"/>
      <c r="DS50" s="909"/>
      <c r="DT50" s="909"/>
      <c r="DU50" s="909"/>
      <c r="DV50" s="909"/>
      <c r="DW50" s="909"/>
      <c r="DX50" s="579"/>
    </row>
    <row r="51" spans="1:128">
      <c r="B51" s="692"/>
      <c r="C51" s="692"/>
      <c r="D51" s="588"/>
      <c r="E51" s="588"/>
      <c r="F51" s="593"/>
      <c r="G51" s="909"/>
      <c r="H51" s="909"/>
      <c r="I51" s="909"/>
      <c r="J51" s="909"/>
      <c r="K51" s="909"/>
      <c r="L51" s="909"/>
      <c r="M51" s="909"/>
      <c r="N51" s="909"/>
      <c r="O51" s="909"/>
      <c r="P51" s="909"/>
      <c r="Q51" s="909"/>
      <c r="R51" s="909"/>
      <c r="S51" s="909"/>
      <c r="T51" s="909"/>
      <c r="U51" s="909"/>
      <c r="V51" s="909"/>
      <c r="W51" s="909"/>
      <c r="X51" s="909"/>
      <c r="Y51" s="909"/>
      <c r="Z51" s="909"/>
      <c r="AA51" s="909"/>
      <c r="AB51" s="909"/>
      <c r="AC51" s="909"/>
      <c r="AD51" s="909"/>
      <c r="AE51" s="909"/>
      <c r="AF51" s="909"/>
      <c r="AG51" s="909"/>
      <c r="AH51" s="909"/>
      <c r="AI51" s="909"/>
      <c r="AJ51" s="909"/>
      <c r="AK51" s="909"/>
      <c r="AL51" s="909"/>
      <c r="AM51" s="909"/>
      <c r="AN51" s="909"/>
      <c r="AO51" s="909"/>
      <c r="AP51" s="909"/>
      <c r="AQ51" s="909"/>
      <c r="AR51" s="909"/>
      <c r="AS51" s="909"/>
      <c r="AT51" s="909"/>
      <c r="AU51" s="909"/>
      <c r="AV51" s="909"/>
      <c r="AW51" s="909"/>
      <c r="AX51" s="909"/>
      <c r="AY51" s="909"/>
      <c r="AZ51" s="909"/>
      <c r="BA51" s="909"/>
      <c r="BB51" s="909"/>
      <c r="BC51" s="909"/>
      <c r="BD51" s="909"/>
      <c r="BE51" s="909"/>
      <c r="BF51" s="909"/>
      <c r="BG51" s="909"/>
      <c r="BH51" s="909"/>
      <c r="BI51" s="909"/>
      <c r="BJ51" s="909"/>
      <c r="BK51" s="909"/>
      <c r="BL51" s="909"/>
      <c r="BM51" s="909"/>
      <c r="BN51" s="909"/>
      <c r="BO51" s="909"/>
      <c r="BP51" s="909"/>
      <c r="BQ51" s="909"/>
      <c r="BR51" s="909"/>
      <c r="BS51" s="909"/>
      <c r="BT51" s="909"/>
      <c r="BU51" s="909"/>
      <c r="BV51" s="909"/>
      <c r="BW51" s="909"/>
      <c r="BX51" s="909"/>
      <c r="BY51" s="909"/>
      <c r="BZ51" s="909"/>
      <c r="CA51" s="909"/>
      <c r="CB51" s="909"/>
      <c r="CC51" s="909"/>
      <c r="CD51" s="909"/>
      <c r="CE51" s="909"/>
      <c r="CF51" s="909"/>
      <c r="CG51" s="909"/>
      <c r="CH51" s="909"/>
      <c r="CI51" s="909"/>
      <c r="CJ51" s="909"/>
      <c r="CK51" s="909"/>
      <c r="CL51" s="909"/>
      <c r="CM51" s="909"/>
      <c r="CN51" s="909"/>
      <c r="CO51" s="909"/>
      <c r="CP51" s="909"/>
      <c r="CQ51" s="909"/>
      <c r="CR51" s="909"/>
      <c r="CS51" s="909"/>
      <c r="CT51" s="909"/>
      <c r="CU51" s="909"/>
      <c r="CV51" s="909"/>
      <c r="CW51" s="909"/>
      <c r="CX51" s="909"/>
      <c r="CY51" s="909"/>
      <c r="CZ51" s="909"/>
      <c r="DA51" s="909"/>
      <c r="DB51" s="909"/>
      <c r="DC51" s="909"/>
      <c r="DD51" s="909"/>
      <c r="DE51" s="909"/>
      <c r="DF51" s="909"/>
      <c r="DG51" s="909"/>
      <c r="DH51" s="909"/>
      <c r="DI51" s="909"/>
      <c r="DJ51" s="909"/>
      <c r="DK51" s="909"/>
      <c r="DL51" s="909"/>
      <c r="DM51" s="909"/>
      <c r="DN51" s="909"/>
      <c r="DO51" s="909"/>
      <c r="DP51" s="909"/>
      <c r="DQ51" s="909"/>
      <c r="DR51" s="909"/>
      <c r="DS51" s="909"/>
      <c r="DT51" s="909"/>
      <c r="DU51" s="909"/>
      <c r="DV51" s="909"/>
      <c r="DW51" s="909"/>
      <c r="DX51" s="579"/>
    </row>
    <row r="52" spans="1:128">
      <c r="B52" s="692"/>
      <c r="C52" s="692"/>
      <c r="D52" s="588"/>
      <c r="E52" s="588"/>
      <c r="F52" s="593"/>
      <c r="G52" s="909"/>
      <c r="H52" s="909"/>
      <c r="I52" s="909"/>
      <c r="J52" s="909"/>
      <c r="K52" s="909"/>
      <c r="L52" s="909"/>
      <c r="M52" s="909"/>
      <c r="N52" s="909"/>
      <c r="O52" s="909"/>
      <c r="P52" s="909"/>
      <c r="Q52" s="909"/>
      <c r="R52" s="909"/>
      <c r="S52" s="909"/>
      <c r="T52" s="909"/>
      <c r="U52" s="909"/>
      <c r="V52" s="909"/>
      <c r="W52" s="909"/>
      <c r="X52" s="909"/>
      <c r="Y52" s="909"/>
      <c r="Z52" s="909"/>
      <c r="AA52" s="909"/>
      <c r="AB52" s="909"/>
      <c r="AC52" s="909"/>
      <c r="AD52" s="909"/>
      <c r="AE52" s="909"/>
      <c r="AF52" s="909"/>
      <c r="AG52" s="909"/>
      <c r="AH52" s="909"/>
      <c r="AI52" s="909"/>
      <c r="AJ52" s="909"/>
      <c r="AK52" s="909"/>
      <c r="AL52" s="909"/>
      <c r="AM52" s="909"/>
      <c r="AN52" s="909"/>
      <c r="AO52" s="909"/>
      <c r="AP52" s="909"/>
      <c r="AQ52" s="909"/>
      <c r="AR52" s="909"/>
      <c r="AS52" s="909"/>
      <c r="AT52" s="909"/>
      <c r="AU52" s="909"/>
      <c r="AV52" s="909"/>
      <c r="AW52" s="909"/>
      <c r="AX52" s="909"/>
      <c r="AY52" s="909"/>
      <c r="AZ52" s="909"/>
      <c r="BA52" s="909"/>
      <c r="BB52" s="909"/>
      <c r="BC52" s="909"/>
      <c r="BD52" s="909"/>
      <c r="BE52" s="909"/>
      <c r="BF52" s="909"/>
      <c r="BG52" s="909"/>
      <c r="BH52" s="909"/>
      <c r="BI52" s="909"/>
      <c r="BJ52" s="909"/>
      <c r="BK52" s="909"/>
      <c r="BL52" s="909"/>
      <c r="BM52" s="909"/>
      <c r="BN52" s="909"/>
      <c r="BO52" s="909"/>
      <c r="BP52" s="909"/>
      <c r="BQ52" s="909"/>
      <c r="BR52" s="909"/>
      <c r="BS52" s="909"/>
      <c r="BT52" s="909"/>
      <c r="BU52" s="909"/>
      <c r="BV52" s="909"/>
      <c r="BW52" s="909"/>
      <c r="BX52" s="909"/>
      <c r="BY52" s="909"/>
      <c r="BZ52" s="909"/>
      <c r="CA52" s="909"/>
      <c r="CB52" s="909"/>
      <c r="CC52" s="909"/>
      <c r="CD52" s="909"/>
      <c r="CE52" s="909"/>
      <c r="CF52" s="909"/>
      <c r="CG52" s="909"/>
      <c r="CH52" s="909"/>
      <c r="CI52" s="909"/>
      <c r="CJ52" s="909"/>
      <c r="CK52" s="909"/>
      <c r="CL52" s="909"/>
      <c r="CM52" s="909"/>
      <c r="CN52" s="909"/>
      <c r="CO52" s="909"/>
      <c r="CP52" s="909"/>
      <c r="CQ52" s="909"/>
      <c r="CR52" s="909"/>
      <c r="CS52" s="909"/>
      <c r="CT52" s="909"/>
      <c r="CU52" s="909"/>
      <c r="CV52" s="909"/>
      <c r="CW52" s="909"/>
      <c r="CX52" s="909"/>
      <c r="CY52" s="909"/>
      <c r="CZ52" s="909"/>
      <c r="DA52" s="909"/>
      <c r="DB52" s="909"/>
      <c r="DC52" s="909"/>
      <c r="DD52" s="909"/>
      <c r="DE52" s="909"/>
      <c r="DF52" s="909"/>
      <c r="DG52" s="909"/>
      <c r="DH52" s="909"/>
      <c r="DI52" s="909"/>
      <c r="DJ52" s="909"/>
      <c r="DK52" s="909"/>
      <c r="DL52" s="909"/>
      <c r="DM52" s="909"/>
      <c r="DN52" s="909"/>
      <c r="DO52" s="909"/>
      <c r="DP52" s="909"/>
      <c r="DQ52" s="909"/>
      <c r="DR52" s="909"/>
      <c r="DS52" s="909"/>
      <c r="DT52" s="909"/>
      <c r="DU52" s="909"/>
      <c r="DV52" s="909"/>
      <c r="DW52" s="909"/>
      <c r="DX52" s="579"/>
    </row>
    <row r="53" spans="1:128">
      <c r="B53" s="693"/>
      <c r="C53" s="693"/>
      <c r="D53" s="584"/>
      <c r="E53" s="584"/>
      <c r="F53" s="593"/>
      <c r="G53" s="586"/>
      <c r="H53" s="586"/>
      <c r="I53" s="586"/>
      <c r="J53" s="586"/>
      <c r="K53" s="586"/>
      <c r="L53" s="586"/>
      <c r="M53" s="586"/>
      <c r="N53" s="586"/>
      <c r="O53" s="586"/>
      <c r="P53" s="586"/>
      <c r="Q53" s="586"/>
      <c r="R53" s="586"/>
      <c r="S53" s="586"/>
      <c r="T53" s="586"/>
      <c r="U53" s="586"/>
      <c r="V53" s="586"/>
      <c r="W53" s="586"/>
      <c r="X53" s="586"/>
      <c r="Y53" s="586"/>
      <c r="Z53" s="586"/>
      <c r="AA53" s="586"/>
      <c r="AB53" s="586"/>
      <c r="AC53" s="586"/>
      <c r="AD53" s="586"/>
      <c r="AE53" s="586"/>
      <c r="AF53" s="586"/>
      <c r="AG53" s="586"/>
      <c r="AH53" s="586"/>
      <c r="AI53" s="586"/>
      <c r="AJ53" s="586"/>
      <c r="AK53" s="586"/>
      <c r="AL53" s="586"/>
      <c r="AM53" s="586"/>
      <c r="AN53" s="586"/>
      <c r="AO53" s="586"/>
      <c r="AP53" s="586"/>
      <c r="AQ53" s="586"/>
      <c r="AR53" s="586"/>
      <c r="AS53" s="586"/>
      <c r="AT53" s="586"/>
      <c r="AU53" s="586"/>
      <c r="AV53" s="586"/>
      <c r="AW53" s="586"/>
      <c r="AX53" s="586"/>
      <c r="AY53" s="586"/>
      <c r="AZ53" s="586"/>
      <c r="BA53" s="586"/>
      <c r="BB53" s="586"/>
      <c r="BC53" s="586"/>
      <c r="BD53" s="586"/>
      <c r="BE53" s="586"/>
      <c r="BF53" s="586"/>
      <c r="BG53" s="586"/>
      <c r="BH53" s="586"/>
      <c r="BI53" s="586"/>
      <c r="BJ53" s="586"/>
      <c r="BK53" s="586"/>
      <c r="BL53" s="586"/>
      <c r="BM53" s="586"/>
      <c r="BN53" s="586"/>
      <c r="BO53" s="586"/>
      <c r="BP53" s="586"/>
      <c r="BQ53" s="586"/>
      <c r="BR53" s="586"/>
      <c r="BS53" s="586"/>
      <c r="BT53" s="586"/>
      <c r="BU53" s="586"/>
      <c r="BV53" s="586"/>
      <c r="BW53" s="586"/>
      <c r="BX53" s="586"/>
      <c r="BY53" s="586"/>
      <c r="BZ53" s="586"/>
      <c r="CA53" s="586"/>
      <c r="CB53" s="586"/>
      <c r="CC53" s="586"/>
      <c r="CD53" s="586"/>
      <c r="CE53" s="586"/>
      <c r="CF53" s="586"/>
      <c r="CG53" s="586"/>
      <c r="CH53" s="586"/>
      <c r="CI53" s="586"/>
      <c r="CJ53" s="586"/>
      <c r="CK53" s="586"/>
      <c r="CL53" s="586"/>
      <c r="CM53" s="586"/>
      <c r="CN53" s="586"/>
      <c r="CO53" s="586"/>
      <c r="CP53" s="586"/>
      <c r="CQ53" s="586"/>
      <c r="CR53" s="586"/>
      <c r="CS53" s="586"/>
      <c r="CT53" s="586"/>
      <c r="CU53" s="586"/>
      <c r="CV53" s="586"/>
      <c r="CW53" s="586"/>
      <c r="CX53" s="586"/>
      <c r="CY53" s="586"/>
      <c r="CZ53" s="586"/>
      <c r="DA53" s="586"/>
      <c r="DB53" s="586"/>
      <c r="DC53" s="586"/>
      <c r="DD53" s="586"/>
      <c r="DE53" s="586"/>
      <c r="DF53" s="586"/>
      <c r="DG53" s="586"/>
      <c r="DH53" s="586"/>
      <c r="DI53" s="586"/>
      <c r="DJ53" s="586"/>
      <c r="DK53" s="586"/>
      <c r="DL53" s="586"/>
      <c r="DM53" s="586"/>
      <c r="DN53" s="586"/>
      <c r="DO53" s="586"/>
      <c r="DP53" s="586"/>
      <c r="DQ53" s="586"/>
      <c r="DR53" s="586"/>
      <c r="DS53" s="586"/>
      <c r="DT53" s="586"/>
      <c r="DU53" s="586"/>
      <c r="DV53" s="586"/>
      <c r="DW53" s="586"/>
      <c r="DX53" s="579"/>
    </row>
    <row r="54" spans="1:128">
      <c r="B54" s="693"/>
      <c r="C54" s="693"/>
      <c r="D54" s="584"/>
      <c r="E54" s="584"/>
      <c r="F54" s="585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724"/>
      <c r="AB54" s="724"/>
      <c r="AC54" s="724"/>
      <c r="AD54" s="724"/>
      <c r="AE54" s="724"/>
      <c r="AF54" s="724"/>
      <c r="AG54" s="724"/>
      <c r="AH54" s="724"/>
      <c r="AI54" s="724"/>
      <c r="AJ54" s="724"/>
      <c r="AK54" s="724"/>
      <c r="AL54" s="724"/>
      <c r="AM54" s="724"/>
      <c r="AN54" s="724"/>
      <c r="AO54" s="724"/>
      <c r="AP54" s="724"/>
      <c r="AQ54" s="724"/>
      <c r="AR54" s="724"/>
      <c r="AS54" s="724"/>
      <c r="AT54" s="724"/>
      <c r="AU54" s="724"/>
      <c r="AV54" s="724"/>
      <c r="AW54" s="724"/>
      <c r="AX54" s="724"/>
      <c r="AY54" s="724"/>
      <c r="AZ54" s="724"/>
      <c r="BA54" s="724"/>
      <c r="BB54" s="724"/>
      <c r="BC54" s="724"/>
      <c r="BD54" s="724"/>
      <c r="BE54" s="724"/>
      <c r="BF54" s="724"/>
      <c r="BG54" s="724"/>
      <c r="BH54" s="724"/>
      <c r="BI54" s="724"/>
      <c r="BJ54" s="724"/>
      <c r="BK54" s="724"/>
      <c r="BL54" s="724"/>
      <c r="BM54" s="724"/>
      <c r="BN54" s="724"/>
      <c r="BO54" s="724"/>
      <c r="BP54" s="724"/>
      <c r="BQ54" s="724"/>
      <c r="BR54" s="724"/>
      <c r="BS54" s="724"/>
      <c r="BT54" s="724"/>
      <c r="BU54" s="724"/>
      <c r="BV54" s="724"/>
      <c r="BW54" s="724"/>
      <c r="BX54" s="724"/>
      <c r="BY54" s="724"/>
      <c r="BZ54" s="724"/>
      <c r="CA54" s="724"/>
      <c r="CB54" s="724"/>
      <c r="CC54" s="724"/>
      <c r="CD54" s="724"/>
      <c r="CE54" s="724"/>
      <c r="CF54" s="724"/>
      <c r="CG54" s="724"/>
      <c r="CH54" s="724"/>
      <c r="CI54" s="724"/>
      <c r="CJ54" s="724"/>
      <c r="CK54" s="724"/>
      <c r="CL54" s="724"/>
      <c r="CM54" s="724"/>
      <c r="CN54" s="724"/>
      <c r="CO54" s="724"/>
      <c r="CP54" s="724"/>
      <c r="CQ54" s="724"/>
      <c r="CR54" s="724"/>
      <c r="CS54" s="724"/>
      <c r="CT54" s="724"/>
      <c r="CU54" s="724"/>
      <c r="CV54" s="724"/>
      <c r="CW54" s="724"/>
      <c r="CX54" s="724"/>
      <c r="CY54" s="724"/>
      <c r="CZ54" s="724"/>
      <c r="DA54" s="724"/>
      <c r="DB54" s="724"/>
      <c r="DC54" s="724"/>
      <c r="DD54" s="724"/>
      <c r="DE54" s="724"/>
      <c r="DF54" s="724"/>
      <c r="DG54" s="724"/>
      <c r="DH54" s="724"/>
      <c r="DI54" s="724"/>
      <c r="DJ54" s="724"/>
      <c r="DK54" s="724"/>
      <c r="DL54" s="724"/>
      <c r="DM54" s="724"/>
      <c r="DN54" s="724"/>
      <c r="DO54" s="724"/>
      <c r="DP54" s="724"/>
      <c r="DQ54" s="724"/>
      <c r="DR54" s="724"/>
      <c r="DS54" s="724"/>
      <c r="DT54" s="724"/>
      <c r="DU54" s="724"/>
      <c r="DV54" s="724"/>
      <c r="DW54" s="724"/>
      <c r="DX54" s="579"/>
    </row>
    <row r="55" spans="1:128" s="310" customFormat="1">
      <c r="A55" s="304"/>
      <c r="B55" s="691"/>
      <c r="C55" s="691"/>
      <c r="D55" s="581"/>
      <c r="E55" s="581"/>
      <c r="F55" s="583"/>
      <c r="G55" s="590"/>
      <c r="H55" s="590"/>
      <c r="I55" s="590"/>
      <c r="J55" s="590"/>
      <c r="K55" s="590"/>
      <c r="L55" s="590"/>
      <c r="M55" s="590"/>
      <c r="N55" s="590"/>
      <c r="O55" s="590"/>
      <c r="P55" s="590"/>
      <c r="Q55" s="590"/>
      <c r="R55" s="590"/>
      <c r="S55" s="590"/>
      <c r="T55" s="590"/>
      <c r="U55" s="590"/>
      <c r="V55" s="590"/>
      <c r="W55" s="590"/>
      <c r="X55" s="590"/>
      <c r="Y55" s="590"/>
      <c r="Z55" s="590"/>
      <c r="AA55" s="590"/>
      <c r="AB55" s="590"/>
      <c r="AC55" s="590"/>
      <c r="AD55" s="590"/>
      <c r="AE55" s="590"/>
      <c r="AF55" s="590"/>
      <c r="AG55" s="590"/>
      <c r="AH55" s="590"/>
      <c r="AI55" s="590"/>
      <c r="AJ55" s="590"/>
      <c r="AK55" s="590"/>
      <c r="AL55" s="590"/>
      <c r="AM55" s="590"/>
      <c r="AN55" s="590"/>
      <c r="AO55" s="590"/>
      <c r="AP55" s="590"/>
      <c r="AQ55" s="590"/>
      <c r="AR55" s="590"/>
      <c r="AS55" s="590"/>
      <c r="AT55" s="590"/>
      <c r="AU55" s="590"/>
      <c r="AV55" s="590"/>
      <c r="AW55" s="590"/>
      <c r="AX55" s="590"/>
      <c r="AY55" s="590"/>
      <c r="AZ55" s="590"/>
      <c r="BA55" s="590"/>
      <c r="BB55" s="590"/>
      <c r="BC55" s="590"/>
      <c r="BD55" s="590"/>
      <c r="BE55" s="590"/>
      <c r="BF55" s="590"/>
      <c r="BG55" s="590"/>
      <c r="BH55" s="590"/>
      <c r="BI55" s="590"/>
      <c r="BJ55" s="590"/>
      <c r="BK55" s="590"/>
      <c r="BL55" s="590"/>
      <c r="BM55" s="590"/>
      <c r="BN55" s="590"/>
      <c r="BO55" s="590"/>
      <c r="BP55" s="590"/>
      <c r="BQ55" s="590"/>
      <c r="BR55" s="590"/>
      <c r="BS55" s="590"/>
      <c r="BT55" s="590"/>
      <c r="BU55" s="590"/>
      <c r="BV55" s="590"/>
      <c r="BW55" s="590"/>
      <c r="BX55" s="590"/>
      <c r="BY55" s="590"/>
      <c r="BZ55" s="590"/>
      <c r="CA55" s="590"/>
      <c r="CB55" s="590"/>
      <c r="CC55" s="590"/>
      <c r="CD55" s="590"/>
      <c r="CE55" s="590"/>
      <c r="CF55" s="590"/>
      <c r="CG55" s="590"/>
      <c r="CH55" s="590"/>
      <c r="CI55" s="590"/>
      <c r="CJ55" s="590"/>
      <c r="CK55" s="590"/>
      <c r="CL55" s="590"/>
      <c r="CM55" s="590"/>
      <c r="CN55" s="590"/>
      <c r="CO55" s="590"/>
      <c r="CP55" s="590"/>
      <c r="CQ55" s="590"/>
      <c r="CR55" s="590"/>
      <c r="CS55" s="590"/>
      <c r="CT55" s="590"/>
      <c r="CU55" s="590"/>
      <c r="CV55" s="590"/>
      <c r="CW55" s="590"/>
      <c r="CX55" s="590"/>
      <c r="CY55" s="590"/>
      <c r="CZ55" s="590"/>
      <c r="DA55" s="590"/>
      <c r="DB55" s="590"/>
      <c r="DC55" s="590"/>
      <c r="DD55" s="590"/>
      <c r="DE55" s="590"/>
      <c r="DF55" s="590"/>
      <c r="DG55" s="590"/>
      <c r="DH55" s="590"/>
      <c r="DI55" s="590"/>
      <c r="DJ55" s="590"/>
      <c r="DK55" s="590"/>
      <c r="DL55" s="590"/>
      <c r="DM55" s="590"/>
      <c r="DN55" s="590"/>
      <c r="DO55" s="590"/>
      <c r="DP55" s="590"/>
      <c r="DQ55" s="590"/>
      <c r="DR55" s="590"/>
      <c r="DS55" s="590"/>
      <c r="DT55" s="590"/>
      <c r="DU55" s="590"/>
      <c r="DV55" s="590"/>
      <c r="DW55" s="590"/>
      <c r="DX55" s="579"/>
    </row>
    <row r="56" spans="1:128">
      <c r="B56" s="694"/>
      <c r="C56" s="694"/>
      <c r="D56" s="592"/>
      <c r="E56" s="592"/>
      <c r="F56" s="598"/>
      <c r="G56" s="589"/>
      <c r="H56" s="589"/>
      <c r="I56" s="589"/>
      <c r="J56" s="589"/>
      <c r="K56" s="589"/>
      <c r="L56" s="589"/>
      <c r="M56" s="589"/>
      <c r="N56" s="589"/>
      <c r="O56" s="589"/>
      <c r="P56" s="589"/>
      <c r="Q56" s="589"/>
      <c r="R56" s="589"/>
      <c r="S56" s="589"/>
      <c r="T56" s="589"/>
      <c r="U56" s="589"/>
      <c r="V56" s="589"/>
      <c r="W56" s="589"/>
      <c r="X56" s="589"/>
      <c r="Y56" s="589"/>
      <c r="Z56" s="589"/>
      <c r="AA56" s="589"/>
      <c r="AB56" s="589"/>
      <c r="AC56" s="589"/>
      <c r="AD56" s="589"/>
      <c r="AE56" s="589"/>
      <c r="AF56" s="589"/>
      <c r="AG56" s="589"/>
      <c r="AH56" s="589"/>
      <c r="AI56" s="589"/>
      <c r="AJ56" s="589"/>
      <c r="AK56" s="589"/>
      <c r="AL56" s="589"/>
      <c r="AM56" s="589"/>
      <c r="AN56" s="589"/>
      <c r="AO56" s="589"/>
      <c r="AP56" s="589"/>
      <c r="AQ56" s="589"/>
      <c r="AR56" s="589"/>
      <c r="AS56" s="589"/>
      <c r="AT56" s="589"/>
      <c r="AU56" s="589"/>
      <c r="AV56" s="589"/>
      <c r="AW56" s="589"/>
      <c r="AX56" s="589"/>
      <c r="AY56" s="589"/>
      <c r="AZ56" s="589"/>
      <c r="BA56" s="589"/>
      <c r="BB56" s="589"/>
      <c r="BC56" s="589"/>
      <c r="BD56" s="589"/>
      <c r="BE56" s="589"/>
      <c r="BF56" s="589"/>
      <c r="BG56" s="589"/>
      <c r="BH56" s="589"/>
      <c r="BI56" s="589"/>
      <c r="BJ56" s="589"/>
      <c r="BK56" s="589"/>
      <c r="BL56" s="589"/>
      <c r="BM56" s="589"/>
      <c r="BN56" s="589"/>
      <c r="BO56" s="589"/>
      <c r="BP56" s="589"/>
      <c r="BQ56" s="589"/>
      <c r="BR56" s="589"/>
      <c r="BS56" s="589"/>
      <c r="BT56" s="589"/>
      <c r="BU56" s="589"/>
      <c r="BV56" s="589"/>
      <c r="BW56" s="589"/>
      <c r="BX56" s="589"/>
      <c r="BY56" s="589"/>
      <c r="BZ56" s="589"/>
      <c r="CA56" s="589"/>
      <c r="CB56" s="589"/>
      <c r="CC56" s="589"/>
      <c r="CD56" s="589"/>
      <c r="CE56" s="589"/>
      <c r="CF56" s="589"/>
      <c r="CG56" s="589"/>
      <c r="CH56" s="589"/>
      <c r="CI56" s="589"/>
      <c r="CJ56" s="589"/>
      <c r="CK56" s="589"/>
      <c r="CL56" s="589"/>
      <c r="CM56" s="589"/>
      <c r="CN56" s="589"/>
      <c r="CO56" s="589"/>
      <c r="CP56" s="589"/>
      <c r="CQ56" s="589"/>
      <c r="CR56" s="589"/>
      <c r="CS56" s="589"/>
      <c r="CT56" s="589"/>
      <c r="CU56" s="589"/>
      <c r="CV56" s="589"/>
      <c r="CW56" s="589"/>
      <c r="CX56" s="589"/>
      <c r="CY56" s="589"/>
      <c r="CZ56" s="589"/>
      <c r="DA56" s="589"/>
      <c r="DB56" s="589"/>
      <c r="DC56" s="589"/>
      <c r="DD56" s="589"/>
      <c r="DE56" s="589"/>
      <c r="DF56" s="589"/>
      <c r="DG56" s="589"/>
      <c r="DH56" s="589"/>
      <c r="DI56" s="589"/>
      <c r="DJ56" s="589"/>
      <c r="DK56" s="589"/>
      <c r="DL56" s="589"/>
      <c r="DM56" s="589"/>
      <c r="DN56" s="589"/>
      <c r="DO56" s="589"/>
      <c r="DP56" s="589"/>
      <c r="DQ56" s="589"/>
      <c r="DR56" s="589"/>
      <c r="DS56" s="589"/>
      <c r="DT56" s="589"/>
      <c r="DU56" s="589"/>
      <c r="DV56" s="589"/>
      <c r="DW56" s="589"/>
      <c r="DX56" s="579"/>
    </row>
    <row r="57" spans="1:128" s="310" customFormat="1">
      <c r="A57" s="599"/>
      <c r="B57" s="697"/>
      <c r="C57" s="697"/>
      <c r="D57" s="599"/>
      <c r="E57" s="599"/>
      <c r="F57" s="600"/>
      <c r="G57" s="600"/>
      <c r="H57" s="600"/>
      <c r="I57" s="600"/>
      <c r="J57" s="600"/>
      <c r="K57" s="600"/>
      <c r="L57" s="600"/>
      <c r="M57" s="600"/>
      <c r="N57" s="600"/>
      <c r="O57" s="600"/>
      <c r="P57" s="600"/>
      <c r="Q57" s="600"/>
      <c r="R57" s="600"/>
      <c r="S57" s="600"/>
      <c r="T57" s="600"/>
      <c r="U57" s="600"/>
      <c r="V57" s="600"/>
      <c r="W57" s="600"/>
      <c r="X57" s="600"/>
      <c r="Y57" s="600"/>
      <c r="Z57" s="600"/>
      <c r="AA57" s="600"/>
      <c r="AB57" s="600"/>
      <c r="AC57" s="600"/>
      <c r="AD57" s="600"/>
      <c r="AE57" s="600"/>
      <c r="AF57" s="600"/>
      <c r="AG57" s="600"/>
      <c r="AH57" s="600"/>
      <c r="AI57" s="600"/>
      <c r="AJ57" s="600"/>
      <c r="AK57" s="600"/>
      <c r="AL57" s="600"/>
      <c r="AM57" s="600"/>
      <c r="AN57" s="600"/>
      <c r="AO57" s="600"/>
      <c r="AP57" s="600"/>
      <c r="AQ57" s="600"/>
      <c r="AR57" s="600"/>
      <c r="AS57" s="600"/>
      <c r="AT57" s="600"/>
      <c r="AU57" s="600"/>
      <c r="AV57" s="600"/>
      <c r="AW57" s="600"/>
      <c r="AX57" s="600"/>
      <c r="AY57" s="600"/>
      <c r="AZ57" s="600"/>
      <c r="BA57" s="600"/>
      <c r="BB57" s="600"/>
      <c r="BC57" s="600"/>
      <c r="BD57" s="600"/>
      <c r="BE57" s="600"/>
      <c r="BF57" s="600"/>
      <c r="BG57" s="600"/>
      <c r="BH57" s="600"/>
      <c r="BI57" s="600"/>
      <c r="BJ57" s="600"/>
      <c r="BK57" s="600"/>
      <c r="BL57" s="600"/>
      <c r="BM57" s="600"/>
      <c r="BN57" s="600"/>
      <c r="BO57" s="600"/>
      <c r="BP57" s="600"/>
      <c r="BQ57" s="600"/>
      <c r="BR57" s="600"/>
      <c r="BS57" s="600"/>
      <c r="BT57" s="600"/>
      <c r="BU57" s="600"/>
      <c r="BV57" s="600"/>
      <c r="BW57" s="600"/>
      <c r="BX57" s="600"/>
      <c r="BY57" s="600"/>
      <c r="BZ57" s="600"/>
      <c r="CA57" s="600"/>
      <c r="CB57" s="600"/>
      <c r="CC57" s="600"/>
      <c r="CD57" s="600"/>
      <c r="CE57" s="600"/>
      <c r="CF57" s="600"/>
      <c r="CG57" s="600"/>
      <c r="CH57" s="600"/>
      <c r="CI57" s="600"/>
      <c r="CJ57" s="600"/>
      <c r="CK57" s="600"/>
      <c r="CL57" s="600"/>
      <c r="CM57" s="600"/>
      <c r="CN57" s="600"/>
      <c r="CO57" s="600"/>
      <c r="CP57" s="600"/>
      <c r="CQ57" s="600"/>
      <c r="CR57" s="600"/>
      <c r="CS57" s="600"/>
      <c r="CT57" s="600"/>
      <c r="CU57" s="600"/>
      <c r="CV57" s="600"/>
      <c r="CW57" s="600"/>
      <c r="CX57" s="600"/>
      <c r="CY57" s="600"/>
      <c r="CZ57" s="600"/>
      <c r="DA57" s="600"/>
      <c r="DB57" s="600"/>
      <c r="DC57" s="600"/>
      <c r="DD57" s="600"/>
      <c r="DE57" s="600"/>
      <c r="DF57" s="600"/>
      <c r="DG57" s="600"/>
      <c r="DH57" s="600"/>
      <c r="DI57" s="600"/>
      <c r="DJ57" s="600"/>
      <c r="DK57" s="600"/>
      <c r="DL57" s="600"/>
      <c r="DM57" s="600"/>
      <c r="DN57" s="600"/>
      <c r="DO57" s="600"/>
      <c r="DP57" s="600"/>
      <c r="DQ57" s="600"/>
      <c r="DR57" s="600"/>
      <c r="DS57" s="600"/>
      <c r="DT57" s="600"/>
      <c r="DU57" s="600"/>
      <c r="DV57" s="600"/>
      <c r="DW57" s="600"/>
      <c r="DX57" s="579"/>
    </row>
    <row r="58" spans="1:128" s="481" customFormat="1">
      <c r="A58" s="570"/>
      <c r="B58" s="698"/>
      <c r="C58" s="698"/>
      <c r="D58" s="396"/>
      <c r="E58" s="396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01"/>
      <c r="AB58" s="601"/>
      <c r="AC58" s="601"/>
      <c r="AD58" s="601"/>
      <c r="AE58" s="601"/>
      <c r="AF58" s="601"/>
      <c r="AG58" s="601"/>
      <c r="AH58" s="601"/>
      <c r="AI58" s="601"/>
      <c r="AJ58" s="601"/>
      <c r="AK58" s="601"/>
      <c r="AL58" s="601"/>
      <c r="AM58" s="601"/>
      <c r="AN58" s="601"/>
      <c r="AO58" s="601"/>
      <c r="AP58" s="601"/>
      <c r="AQ58" s="601"/>
      <c r="AR58" s="601"/>
      <c r="AS58" s="601"/>
      <c r="AT58" s="601"/>
      <c r="AU58" s="601"/>
      <c r="AV58" s="601"/>
      <c r="AW58" s="601"/>
      <c r="AX58" s="601"/>
      <c r="AY58" s="601"/>
      <c r="AZ58" s="601"/>
      <c r="BA58" s="601"/>
      <c r="BB58" s="601"/>
      <c r="BC58" s="601"/>
      <c r="BD58" s="601"/>
      <c r="BE58" s="601"/>
      <c r="BF58" s="601"/>
      <c r="BG58" s="601"/>
      <c r="BH58" s="601"/>
      <c r="BI58" s="601"/>
      <c r="BJ58" s="601"/>
      <c r="BK58" s="601"/>
      <c r="BL58" s="601"/>
      <c r="BM58" s="601"/>
      <c r="BN58" s="601"/>
      <c r="BO58" s="601"/>
      <c r="BP58" s="601"/>
      <c r="BQ58" s="601"/>
      <c r="BR58" s="601"/>
      <c r="BS58" s="601"/>
      <c r="BT58" s="601"/>
      <c r="BU58" s="601"/>
      <c r="BV58" s="601"/>
      <c r="BW58" s="601"/>
      <c r="BX58" s="601"/>
      <c r="BY58" s="601"/>
      <c r="BZ58" s="601"/>
      <c r="CA58" s="601"/>
      <c r="CB58" s="601"/>
      <c r="CC58" s="601"/>
      <c r="CD58" s="601"/>
      <c r="CE58" s="601"/>
      <c r="CF58" s="601"/>
      <c r="CG58" s="601"/>
      <c r="CH58" s="601"/>
      <c r="CI58" s="601"/>
      <c r="CJ58" s="601"/>
      <c r="CK58" s="601"/>
      <c r="CL58" s="601"/>
      <c r="CM58" s="601"/>
      <c r="CN58" s="601"/>
      <c r="CO58" s="601"/>
      <c r="CP58" s="601"/>
      <c r="CQ58" s="601"/>
      <c r="CR58" s="601"/>
      <c r="CS58" s="601"/>
      <c r="CT58" s="601"/>
      <c r="CU58" s="601"/>
      <c r="CV58" s="601"/>
      <c r="CW58" s="601"/>
      <c r="CX58" s="601"/>
      <c r="CY58" s="601"/>
      <c r="CZ58" s="601"/>
      <c r="DA58" s="601"/>
      <c r="DB58" s="601"/>
      <c r="DC58" s="601"/>
      <c r="DD58" s="601"/>
      <c r="DE58" s="601"/>
      <c r="DF58" s="601"/>
      <c r="DG58" s="601"/>
      <c r="DH58" s="601"/>
      <c r="DI58" s="601"/>
      <c r="DJ58" s="601"/>
      <c r="DK58" s="601"/>
      <c r="DL58" s="601"/>
      <c r="DM58" s="601"/>
      <c r="DN58" s="601"/>
      <c r="DO58" s="601"/>
      <c r="DP58" s="601"/>
      <c r="DQ58" s="601"/>
      <c r="DR58" s="601"/>
      <c r="DS58" s="601"/>
      <c r="DT58" s="601"/>
      <c r="DU58" s="601"/>
      <c r="DV58" s="601"/>
      <c r="DW58" s="601"/>
      <c r="DX58" s="579"/>
    </row>
    <row r="59" spans="1:128" s="310" customFormat="1">
      <c r="A59" s="570"/>
      <c r="B59" s="698"/>
      <c r="C59" s="698"/>
      <c r="D59" s="396"/>
      <c r="E59" s="396"/>
      <c r="G59" s="602"/>
      <c r="H59" s="583"/>
      <c r="I59" s="583"/>
      <c r="J59" s="583"/>
      <c r="K59" s="583"/>
      <c r="L59" s="583"/>
      <c r="M59" s="583"/>
      <c r="N59" s="583"/>
      <c r="O59" s="583"/>
      <c r="P59" s="583"/>
      <c r="Q59" s="583"/>
      <c r="R59" s="583"/>
      <c r="S59" s="583"/>
      <c r="T59" s="583"/>
      <c r="U59" s="583"/>
      <c r="V59" s="583"/>
      <c r="W59" s="583"/>
      <c r="X59" s="583"/>
      <c r="Y59" s="583"/>
      <c r="Z59" s="583"/>
      <c r="AA59" s="583"/>
      <c r="AB59" s="583"/>
      <c r="AC59" s="583"/>
      <c r="AD59" s="583"/>
      <c r="AE59" s="583"/>
      <c r="AF59" s="583"/>
      <c r="AG59" s="583"/>
      <c r="AH59" s="583"/>
      <c r="AI59" s="583"/>
      <c r="AJ59" s="583"/>
      <c r="AK59" s="583"/>
      <c r="AL59" s="583"/>
      <c r="AM59" s="583"/>
      <c r="AN59" s="583"/>
      <c r="AO59" s="583"/>
      <c r="AP59" s="583"/>
      <c r="AQ59" s="583"/>
      <c r="AR59" s="583"/>
      <c r="AS59" s="583"/>
      <c r="AT59" s="583"/>
      <c r="AU59" s="583"/>
      <c r="AV59" s="583"/>
      <c r="AW59" s="583"/>
      <c r="AX59" s="583"/>
      <c r="AY59" s="583"/>
      <c r="AZ59" s="583"/>
      <c r="BA59" s="583"/>
      <c r="BB59" s="583"/>
      <c r="BC59" s="583"/>
      <c r="BD59" s="583"/>
      <c r="BE59" s="583"/>
      <c r="BF59" s="583"/>
      <c r="BG59" s="583"/>
      <c r="BH59" s="583"/>
      <c r="BI59" s="583"/>
      <c r="BJ59" s="583"/>
      <c r="BK59" s="583"/>
      <c r="BL59" s="583"/>
      <c r="BM59" s="583"/>
      <c r="BN59" s="583"/>
      <c r="BO59" s="583"/>
      <c r="BP59" s="583"/>
      <c r="BQ59" s="583"/>
      <c r="BR59" s="583"/>
      <c r="BS59" s="583"/>
      <c r="BT59" s="583"/>
      <c r="BU59" s="583"/>
      <c r="BV59" s="583"/>
      <c r="BW59" s="583"/>
      <c r="BX59" s="583"/>
      <c r="BY59" s="583"/>
      <c r="BZ59" s="583"/>
      <c r="CA59" s="583"/>
      <c r="CB59" s="583"/>
      <c r="CC59" s="583"/>
      <c r="CD59" s="583"/>
      <c r="CE59" s="583"/>
      <c r="CF59" s="583"/>
      <c r="CG59" s="583"/>
      <c r="CH59" s="583"/>
      <c r="CI59" s="583"/>
      <c r="CJ59" s="583"/>
      <c r="CK59" s="583"/>
      <c r="CL59" s="583"/>
      <c r="CM59" s="583"/>
      <c r="CN59" s="583"/>
      <c r="CO59" s="583"/>
      <c r="CP59" s="583"/>
      <c r="CQ59" s="583"/>
      <c r="CR59" s="583"/>
      <c r="CS59" s="583"/>
      <c r="CT59" s="583"/>
      <c r="CU59" s="583"/>
      <c r="CV59" s="583"/>
      <c r="CW59" s="583"/>
      <c r="CX59" s="583"/>
      <c r="CY59" s="583"/>
      <c r="CZ59" s="583"/>
      <c r="DA59" s="583"/>
      <c r="DB59" s="583"/>
      <c r="DC59" s="583"/>
      <c r="DD59" s="583"/>
      <c r="DE59" s="583"/>
      <c r="DF59" s="583"/>
      <c r="DG59" s="583"/>
      <c r="DH59" s="583"/>
      <c r="DI59" s="583"/>
      <c r="DJ59" s="583"/>
      <c r="DK59" s="583"/>
      <c r="DL59" s="583"/>
      <c r="DM59" s="583"/>
      <c r="DN59" s="583"/>
      <c r="DO59" s="583"/>
      <c r="DP59" s="583"/>
      <c r="DQ59" s="583"/>
      <c r="DR59" s="583"/>
      <c r="DS59" s="583"/>
      <c r="DT59" s="583"/>
      <c r="DU59" s="583"/>
      <c r="DV59" s="583"/>
      <c r="DW59" s="583"/>
    </row>
    <row r="60" spans="1:128">
      <c r="A60" s="481"/>
      <c r="B60" s="687"/>
      <c r="C60" s="687"/>
      <c r="D60" s="344"/>
      <c r="E60" s="344"/>
      <c r="G60" s="577"/>
      <c r="H60" s="577"/>
      <c r="I60" s="577"/>
      <c r="J60" s="577"/>
      <c r="K60" s="577"/>
      <c r="L60" s="577"/>
      <c r="M60" s="577"/>
      <c r="N60" s="577"/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7"/>
      <c r="AA60" s="577"/>
      <c r="AB60" s="577"/>
      <c r="AC60" s="577"/>
      <c r="AD60" s="577"/>
      <c r="AE60" s="577"/>
      <c r="AF60" s="577"/>
      <c r="AG60" s="577"/>
      <c r="AH60" s="577"/>
      <c r="AI60" s="577"/>
      <c r="AJ60" s="577"/>
      <c r="AK60" s="577"/>
      <c r="AL60" s="577"/>
      <c r="AM60" s="577"/>
      <c r="AN60" s="577"/>
      <c r="AO60" s="577"/>
      <c r="AP60" s="577"/>
      <c r="AQ60" s="577"/>
      <c r="AR60" s="577"/>
      <c r="AS60" s="577"/>
      <c r="AT60" s="577"/>
      <c r="AU60" s="577"/>
      <c r="AV60" s="577"/>
      <c r="AW60" s="577"/>
      <c r="AX60" s="577"/>
      <c r="AY60" s="577"/>
      <c r="AZ60" s="577"/>
      <c r="BA60" s="577"/>
      <c r="BB60" s="577"/>
      <c r="BC60" s="577"/>
      <c r="BD60" s="577"/>
      <c r="BE60" s="577"/>
      <c r="BF60" s="577"/>
      <c r="BG60" s="577"/>
      <c r="BH60" s="577"/>
      <c r="BI60" s="577"/>
      <c r="BJ60" s="577"/>
      <c r="BK60" s="577"/>
      <c r="BL60" s="577"/>
      <c r="BM60" s="577"/>
      <c r="BN60" s="577"/>
      <c r="BO60" s="577"/>
      <c r="BP60" s="577"/>
      <c r="BQ60" s="577"/>
      <c r="BR60" s="577"/>
      <c r="BS60" s="577"/>
      <c r="BT60" s="577"/>
      <c r="BU60" s="577"/>
      <c r="BV60" s="577"/>
      <c r="BW60" s="577"/>
      <c r="BX60" s="577"/>
      <c r="BY60" s="577"/>
      <c r="BZ60" s="577"/>
      <c r="CA60" s="577"/>
      <c r="CB60" s="577"/>
      <c r="CC60" s="577"/>
      <c r="CD60" s="577"/>
      <c r="CE60" s="577"/>
      <c r="CF60" s="577"/>
      <c r="CG60" s="577"/>
      <c r="CH60" s="577"/>
      <c r="CI60" s="577"/>
      <c r="CJ60" s="577"/>
      <c r="CK60" s="577"/>
      <c r="CL60" s="577"/>
      <c r="CM60" s="577"/>
      <c r="CN60" s="577"/>
      <c r="CO60" s="577"/>
      <c r="CP60" s="577"/>
      <c r="CQ60" s="577"/>
      <c r="CR60" s="577"/>
      <c r="CS60" s="577"/>
      <c r="CT60" s="577"/>
      <c r="CU60" s="577"/>
      <c r="CV60" s="577"/>
      <c r="CW60" s="577"/>
      <c r="CX60" s="577"/>
      <c r="CY60" s="577"/>
      <c r="CZ60" s="577"/>
      <c r="DA60" s="577"/>
      <c r="DB60" s="577"/>
      <c r="DC60" s="577"/>
      <c r="DD60" s="577"/>
      <c r="DE60" s="577"/>
      <c r="DF60" s="577"/>
      <c r="DG60" s="577"/>
      <c r="DH60" s="577"/>
      <c r="DI60" s="577"/>
      <c r="DJ60" s="577"/>
      <c r="DK60" s="577"/>
      <c r="DL60" s="577"/>
      <c r="DM60" s="577"/>
      <c r="DN60" s="577"/>
      <c r="DO60" s="577"/>
      <c r="DP60" s="577"/>
      <c r="DQ60" s="577"/>
      <c r="DR60" s="577"/>
      <c r="DS60" s="577"/>
      <c r="DT60" s="577"/>
      <c r="DU60" s="577"/>
      <c r="DV60" s="577"/>
      <c r="DW60" s="577"/>
    </row>
    <row r="61" spans="1:128">
      <c r="A61" s="481"/>
      <c r="B61" s="907"/>
      <c r="C61" s="907"/>
      <c r="D61" s="344"/>
      <c r="E61" s="344"/>
      <c r="G61" s="725"/>
      <c r="H61" s="725"/>
      <c r="I61" s="725"/>
      <c r="J61" s="725"/>
      <c r="K61" s="725"/>
      <c r="L61" s="725"/>
      <c r="M61" s="725"/>
      <c r="N61" s="725"/>
      <c r="O61" s="725"/>
      <c r="P61" s="725"/>
      <c r="Q61" s="725"/>
      <c r="R61" s="725"/>
      <c r="S61" s="725"/>
      <c r="T61" s="725"/>
      <c r="U61" s="725"/>
      <c r="V61" s="725"/>
      <c r="W61" s="725"/>
      <c r="X61" s="725"/>
      <c r="Y61" s="725"/>
      <c r="Z61" s="725"/>
      <c r="AA61" s="725"/>
      <c r="AB61" s="725"/>
      <c r="AC61" s="725"/>
      <c r="AD61" s="725"/>
      <c r="AE61" s="725"/>
      <c r="AF61" s="725"/>
      <c r="AG61" s="725"/>
      <c r="AH61" s="725"/>
      <c r="AI61" s="725"/>
      <c r="AJ61" s="725"/>
      <c r="AK61" s="725"/>
      <c r="AL61" s="725"/>
      <c r="AM61" s="725"/>
      <c r="AN61" s="725"/>
      <c r="AO61" s="725"/>
      <c r="AP61" s="725"/>
      <c r="AQ61" s="725"/>
      <c r="AR61" s="725"/>
      <c r="AS61" s="725"/>
      <c r="AT61" s="725"/>
      <c r="AU61" s="725"/>
      <c r="AV61" s="725"/>
      <c r="AW61" s="725"/>
      <c r="AX61" s="725"/>
      <c r="AY61" s="725"/>
      <c r="AZ61" s="725"/>
      <c r="BA61" s="725"/>
      <c r="BB61" s="725"/>
      <c r="BC61" s="725"/>
      <c r="BD61" s="725"/>
      <c r="BE61" s="725"/>
      <c r="BF61" s="725"/>
      <c r="BG61" s="725"/>
      <c r="BH61" s="725"/>
      <c r="BI61" s="725"/>
      <c r="BJ61" s="725"/>
      <c r="BK61" s="725"/>
      <c r="BL61" s="725"/>
      <c r="BM61" s="725"/>
      <c r="BN61" s="725"/>
      <c r="BO61" s="725"/>
      <c r="BP61" s="725"/>
      <c r="BQ61" s="725"/>
      <c r="BR61" s="725"/>
      <c r="BS61" s="725"/>
      <c r="BT61" s="725"/>
      <c r="BU61" s="725"/>
      <c r="BV61" s="725"/>
      <c r="BW61" s="725"/>
      <c r="BX61" s="725"/>
      <c r="BY61" s="725"/>
      <c r="BZ61" s="725"/>
      <c r="CA61" s="725"/>
      <c r="CB61" s="725"/>
      <c r="CC61" s="725"/>
      <c r="CD61" s="725"/>
      <c r="CE61" s="725"/>
      <c r="CF61" s="725"/>
      <c r="CG61" s="725"/>
      <c r="CH61" s="725"/>
      <c r="CI61" s="725"/>
      <c r="CJ61" s="725"/>
      <c r="CK61" s="725"/>
      <c r="CL61" s="725"/>
      <c r="CM61" s="725"/>
      <c r="CN61" s="725"/>
      <c r="CO61" s="725"/>
      <c r="CP61" s="725"/>
      <c r="CQ61" s="725"/>
      <c r="CR61" s="725"/>
      <c r="CS61" s="725"/>
      <c r="CT61" s="725"/>
      <c r="CU61" s="725"/>
      <c r="CV61" s="725"/>
      <c r="CW61" s="725"/>
      <c r="CX61" s="725"/>
      <c r="CY61" s="725"/>
      <c r="CZ61" s="725"/>
      <c r="DA61" s="725"/>
      <c r="DB61" s="725"/>
      <c r="DC61" s="725"/>
      <c r="DD61" s="725"/>
      <c r="DE61" s="725"/>
      <c r="DF61" s="725"/>
      <c r="DG61" s="725"/>
      <c r="DH61" s="725"/>
      <c r="DI61" s="725"/>
      <c r="DJ61" s="725"/>
      <c r="DK61" s="725"/>
      <c r="DL61" s="725"/>
      <c r="DM61" s="725"/>
      <c r="DN61" s="725"/>
      <c r="DO61" s="725"/>
      <c r="DP61" s="725"/>
      <c r="DQ61" s="725"/>
      <c r="DR61" s="725"/>
      <c r="DS61" s="725"/>
      <c r="DT61" s="725"/>
      <c r="DU61" s="725"/>
      <c r="DV61" s="725"/>
      <c r="DW61" s="725"/>
    </row>
    <row r="62" spans="1:128">
      <c r="A62" s="570"/>
      <c r="B62" s="698"/>
      <c r="C62" s="698"/>
      <c r="D62" s="396"/>
      <c r="E62" s="396"/>
      <c r="G62" s="601"/>
      <c r="H62" s="601"/>
      <c r="I62" s="601"/>
      <c r="J62" s="601"/>
      <c r="K62" s="601"/>
      <c r="L62" s="601"/>
      <c r="M62" s="601"/>
      <c r="N62" s="601"/>
      <c r="O62" s="601"/>
      <c r="P62" s="601"/>
      <c r="Q62" s="601"/>
      <c r="R62" s="601"/>
      <c r="S62" s="601"/>
      <c r="T62" s="601"/>
      <c r="U62" s="601"/>
      <c r="V62" s="601"/>
      <c r="W62" s="601"/>
      <c r="X62" s="601"/>
      <c r="Y62" s="601"/>
      <c r="Z62" s="601"/>
      <c r="AA62" s="601"/>
      <c r="AB62" s="601"/>
      <c r="AC62" s="601"/>
      <c r="AD62" s="601"/>
      <c r="AE62" s="601"/>
      <c r="AF62" s="601"/>
      <c r="AG62" s="601"/>
      <c r="AH62" s="601"/>
      <c r="AI62" s="601"/>
      <c r="AJ62" s="601"/>
      <c r="AK62" s="601"/>
      <c r="AL62" s="601"/>
      <c r="AM62" s="601"/>
      <c r="AN62" s="601"/>
      <c r="AO62" s="601"/>
      <c r="AP62" s="601"/>
      <c r="AQ62" s="601"/>
      <c r="AR62" s="601"/>
      <c r="AS62" s="601"/>
      <c r="AT62" s="601"/>
      <c r="AU62" s="601"/>
      <c r="AV62" s="601"/>
      <c r="AW62" s="601"/>
      <c r="AX62" s="601"/>
      <c r="AY62" s="601"/>
      <c r="AZ62" s="601"/>
      <c r="BA62" s="601"/>
      <c r="BB62" s="601"/>
      <c r="BC62" s="601"/>
      <c r="BD62" s="601"/>
      <c r="BE62" s="601"/>
      <c r="BF62" s="601"/>
      <c r="BG62" s="601"/>
      <c r="BH62" s="601"/>
      <c r="BI62" s="601"/>
      <c r="BJ62" s="601"/>
      <c r="BK62" s="601"/>
      <c r="BL62" s="601"/>
      <c r="BM62" s="601"/>
      <c r="BN62" s="601"/>
      <c r="BO62" s="601"/>
      <c r="BP62" s="601"/>
      <c r="BQ62" s="601"/>
      <c r="BR62" s="601"/>
      <c r="BS62" s="601"/>
      <c r="BT62" s="601"/>
      <c r="BU62" s="601"/>
      <c r="BV62" s="601"/>
      <c r="BW62" s="601"/>
      <c r="BX62" s="601"/>
      <c r="BY62" s="601"/>
      <c r="BZ62" s="601"/>
      <c r="CA62" s="601"/>
      <c r="CB62" s="601"/>
      <c r="CC62" s="601"/>
      <c r="CD62" s="601"/>
      <c r="CE62" s="601"/>
      <c r="CF62" s="601"/>
      <c r="CG62" s="601"/>
      <c r="CH62" s="601"/>
      <c r="CI62" s="601"/>
      <c r="CJ62" s="601"/>
      <c r="CK62" s="601"/>
      <c r="CL62" s="601"/>
      <c r="CM62" s="601"/>
      <c r="CN62" s="601"/>
      <c r="CO62" s="601"/>
      <c r="CP62" s="601"/>
      <c r="CQ62" s="601"/>
      <c r="CR62" s="601"/>
      <c r="CS62" s="601"/>
      <c r="CT62" s="601"/>
      <c r="CU62" s="601"/>
      <c r="CV62" s="601"/>
      <c r="CW62" s="601"/>
      <c r="CX62" s="601"/>
      <c r="CY62" s="601"/>
      <c r="CZ62" s="601"/>
      <c r="DA62" s="601"/>
      <c r="DB62" s="601"/>
      <c r="DC62" s="601"/>
      <c r="DD62" s="601"/>
      <c r="DE62" s="601"/>
      <c r="DF62" s="601"/>
      <c r="DG62" s="601"/>
      <c r="DH62" s="601"/>
      <c r="DI62" s="601"/>
      <c r="DJ62" s="601"/>
      <c r="DK62" s="601"/>
      <c r="DL62" s="601"/>
      <c r="DM62" s="601"/>
      <c r="DN62" s="601"/>
      <c r="DO62" s="601"/>
      <c r="DP62" s="601"/>
      <c r="DQ62" s="601"/>
      <c r="DR62" s="601"/>
      <c r="DS62" s="601"/>
      <c r="DT62" s="601"/>
      <c r="DU62" s="601"/>
      <c r="DV62" s="601"/>
      <c r="DW62" s="601"/>
    </row>
    <row r="63" spans="1:128" s="310" customFormat="1">
      <c r="B63" s="673"/>
      <c r="C63" s="673"/>
    </row>
    <row r="64" spans="1:128" s="310" customFormat="1">
      <c r="A64" s="481"/>
      <c r="B64" s="673"/>
      <c r="C64" s="673"/>
      <c r="G64" s="577"/>
      <c r="H64" s="577"/>
      <c r="I64" s="577"/>
      <c r="J64" s="577"/>
      <c r="K64" s="577"/>
      <c r="L64" s="577"/>
      <c r="M64" s="577"/>
      <c r="N64" s="577"/>
      <c r="O64" s="577"/>
      <c r="P64" s="577"/>
      <c r="Q64" s="577"/>
      <c r="R64" s="577"/>
      <c r="S64" s="577"/>
      <c r="T64" s="577"/>
      <c r="U64" s="577"/>
      <c r="V64" s="577"/>
      <c r="W64" s="577"/>
      <c r="X64" s="577"/>
      <c r="Y64" s="577"/>
      <c r="Z64" s="577"/>
      <c r="AA64" s="577"/>
      <c r="AB64" s="577"/>
      <c r="AC64" s="577"/>
      <c r="AD64" s="577"/>
      <c r="AE64" s="577"/>
      <c r="AF64" s="577"/>
      <c r="AG64" s="577"/>
      <c r="AH64" s="577"/>
      <c r="AI64" s="577"/>
      <c r="AJ64" s="577"/>
      <c r="AK64" s="577"/>
      <c r="AL64" s="577"/>
      <c r="AM64" s="577"/>
      <c r="AN64" s="577"/>
      <c r="AO64" s="577"/>
      <c r="AP64" s="577"/>
      <c r="AQ64" s="577"/>
      <c r="AR64" s="577"/>
      <c r="AS64" s="577"/>
      <c r="AT64" s="577"/>
      <c r="AU64" s="577"/>
      <c r="AV64" s="577"/>
      <c r="AW64" s="577"/>
      <c r="AX64" s="577"/>
      <c r="AY64" s="577"/>
      <c r="AZ64" s="577"/>
      <c r="BA64" s="577"/>
      <c r="BB64" s="577"/>
      <c r="BC64" s="577"/>
      <c r="BD64" s="577"/>
      <c r="BE64" s="577"/>
      <c r="BF64" s="577"/>
      <c r="BG64" s="577"/>
      <c r="BH64" s="577"/>
      <c r="BI64" s="577"/>
      <c r="BJ64" s="577"/>
      <c r="BK64" s="577"/>
      <c r="BL64" s="577"/>
      <c r="BM64" s="577"/>
      <c r="BN64" s="577"/>
      <c r="BO64" s="577"/>
      <c r="BP64" s="577"/>
      <c r="BQ64" s="577"/>
      <c r="BR64" s="577"/>
      <c r="BS64" s="577"/>
      <c r="BT64" s="577"/>
      <c r="BU64" s="577"/>
      <c r="BV64" s="577"/>
      <c r="BW64" s="577"/>
      <c r="BX64" s="577"/>
      <c r="BY64" s="577"/>
      <c r="BZ64" s="577"/>
      <c r="CA64" s="577"/>
      <c r="CB64" s="577"/>
      <c r="CC64" s="577"/>
      <c r="CD64" s="577"/>
      <c r="CE64" s="577"/>
      <c r="CF64" s="577"/>
      <c r="CG64" s="577"/>
      <c r="CH64" s="577"/>
      <c r="CI64" s="577"/>
      <c r="CJ64" s="577"/>
      <c r="CK64" s="577"/>
      <c r="CL64" s="577"/>
      <c r="CM64" s="577"/>
      <c r="CN64" s="577"/>
      <c r="CO64" s="577"/>
      <c r="CP64" s="577"/>
      <c r="CQ64" s="577"/>
      <c r="CR64" s="577"/>
      <c r="CS64" s="577"/>
      <c r="CT64" s="577"/>
      <c r="CU64" s="577"/>
      <c r="CV64" s="577"/>
      <c r="CW64" s="577"/>
      <c r="CX64" s="577"/>
      <c r="CY64" s="577"/>
      <c r="CZ64" s="577"/>
      <c r="DA64" s="577"/>
      <c r="DB64" s="577"/>
      <c r="DC64" s="577"/>
      <c r="DD64" s="577"/>
      <c r="DE64" s="577"/>
      <c r="DF64" s="577"/>
      <c r="DG64" s="577"/>
      <c r="DH64" s="577"/>
      <c r="DI64" s="577"/>
      <c r="DJ64" s="577"/>
      <c r="DK64" s="577"/>
      <c r="DL64" s="577"/>
      <c r="DM64" s="577"/>
      <c r="DN64" s="577"/>
      <c r="DO64" s="577"/>
      <c r="DP64" s="577"/>
      <c r="DQ64" s="577"/>
      <c r="DR64" s="577"/>
      <c r="DS64" s="577"/>
      <c r="DT64" s="577"/>
      <c r="DU64" s="577"/>
      <c r="DV64" s="577"/>
      <c r="DW64" s="577"/>
    </row>
    <row r="65" spans="2:127">
      <c r="B65" s="910"/>
      <c r="C65" s="910"/>
      <c r="G65" s="577"/>
      <c r="H65" s="577"/>
      <c r="I65" s="577"/>
      <c r="J65" s="577"/>
      <c r="K65" s="577"/>
      <c r="L65" s="577"/>
      <c r="M65" s="577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  <c r="AB65" s="577"/>
      <c r="AC65" s="577"/>
      <c r="AD65" s="577"/>
      <c r="AE65" s="577"/>
      <c r="AF65" s="577"/>
      <c r="AG65" s="577"/>
      <c r="AH65" s="577"/>
      <c r="AI65" s="577"/>
      <c r="AJ65" s="577"/>
      <c r="AK65" s="577"/>
      <c r="AL65" s="577"/>
      <c r="AM65" s="577"/>
      <c r="AN65" s="577"/>
      <c r="AO65" s="577"/>
      <c r="AP65" s="577"/>
      <c r="AQ65" s="577"/>
      <c r="AR65" s="577"/>
      <c r="AS65" s="577"/>
      <c r="AT65" s="577"/>
      <c r="AU65" s="577"/>
      <c r="AV65" s="577"/>
      <c r="AW65" s="577"/>
      <c r="AX65" s="577"/>
      <c r="AY65" s="577"/>
      <c r="AZ65" s="577"/>
      <c r="BA65" s="577"/>
      <c r="BB65" s="577"/>
      <c r="BC65" s="577"/>
      <c r="BD65" s="577"/>
      <c r="BE65" s="577"/>
      <c r="BF65" s="577"/>
      <c r="BG65" s="577"/>
      <c r="BH65" s="577"/>
      <c r="BI65" s="577"/>
      <c r="BJ65" s="577"/>
      <c r="BK65" s="577"/>
      <c r="BL65" s="577"/>
      <c r="BM65" s="577"/>
      <c r="BN65" s="577"/>
      <c r="BO65" s="577"/>
      <c r="BP65" s="577"/>
      <c r="BQ65" s="577"/>
      <c r="BR65" s="577"/>
      <c r="BS65" s="577"/>
      <c r="BT65" s="577"/>
      <c r="BU65" s="577"/>
      <c r="BV65" s="577"/>
      <c r="BW65" s="577"/>
      <c r="BX65" s="577"/>
      <c r="BY65" s="577"/>
      <c r="BZ65" s="577"/>
      <c r="CA65" s="577"/>
      <c r="CB65" s="577"/>
      <c r="CC65" s="577"/>
      <c r="CD65" s="577"/>
      <c r="CE65" s="577"/>
      <c r="CF65" s="577"/>
      <c r="CG65" s="577"/>
      <c r="CH65" s="577"/>
      <c r="CI65" s="577"/>
      <c r="CJ65" s="577"/>
      <c r="CK65" s="577"/>
      <c r="CL65" s="577"/>
      <c r="CM65" s="577"/>
      <c r="CN65" s="577"/>
      <c r="CO65" s="577"/>
      <c r="CP65" s="577"/>
      <c r="CQ65" s="577"/>
      <c r="CR65" s="577"/>
      <c r="CS65" s="577"/>
      <c r="CT65" s="577"/>
      <c r="CU65" s="577"/>
      <c r="CV65" s="577"/>
      <c r="CW65" s="577"/>
      <c r="CX65" s="577"/>
      <c r="CY65" s="577"/>
      <c r="CZ65" s="577"/>
      <c r="DA65" s="577"/>
      <c r="DB65" s="577"/>
      <c r="DC65" s="577"/>
      <c r="DD65" s="577"/>
      <c r="DE65" s="577"/>
      <c r="DF65" s="577"/>
      <c r="DG65" s="577"/>
      <c r="DH65" s="577"/>
      <c r="DI65" s="577"/>
      <c r="DJ65" s="577"/>
      <c r="DK65" s="577"/>
      <c r="DL65" s="577"/>
      <c r="DM65" s="577"/>
      <c r="DN65" s="577"/>
      <c r="DO65" s="577"/>
      <c r="DP65" s="577"/>
      <c r="DQ65" s="577"/>
      <c r="DR65" s="577"/>
      <c r="DS65" s="577"/>
      <c r="DT65" s="577"/>
      <c r="DU65" s="577"/>
      <c r="DV65" s="577"/>
      <c r="DW65" s="577"/>
    </row>
    <row r="67" spans="2:127">
      <c r="S67" s="911"/>
      <c r="T67" s="911"/>
      <c r="U67" s="911"/>
      <c r="V67" s="911"/>
      <c r="W67" s="911"/>
      <c r="X67" s="911"/>
      <c r="Y67" s="911"/>
      <c r="Z67" s="911"/>
      <c r="AA67" s="911"/>
      <c r="AB67" s="911"/>
      <c r="AC67" s="911"/>
      <c r="AD67" s="911"/>
      <c r="AE67" s="911"/>
      <c r="AF67" s="911"/>
      <c r="AG67" s="911"/>
      <c r="AH67" s="911"/>
      <c r="AI67" s="911"/>
      <c r="AJ67" s="911"/>
      <c r="AK67" s="911"/>
      <c r="AL67" s="911"/>
      <c r="AM67" s="911"/>
      <c r="AN67" s="911"/>
      <c r="AO67" s="911"/>
      <c r="AP67" s="911"/>
      <c r="AQ67" s="911"/>
      <c r="AR67" s="911"/>
      <c r="AS67" s="911"/>
      <c r="AT67" s="911"/>
      <c r="AU67" s="911"/>
      <c r="AV67" s="911"/>
      <c r="AW67" s="911"/>
      <c r="AX67" s="911"/>
      <c r="AY67" s="911"/>
      <c r="AZ67" s="911"/>
      <c r="BA67" s="911"/>
      <c r="BB67" s="911"/>
      <c r="BC67" s="911"/>
      <c r="BD67" s="911"/>
      <c r="BE67" s="911"/>
      <c r="BF67" s="911"/>
      <c r="BG67" s="911"/>
      <c r="BH67" s="911"/>
      <c r="BI67" s="911"/>
      <c r="BJ67" s="911"/>
      <c r="BK67" s="911"/>
      <c r="BL67" s="911"/>
      <c r="BM67" s="911"/>
      <c r="BN67" s="911"/>
      <c r="BO67" s="911"/>
      <c r="BP67" s="911"/>
      <c r="BQ67" s="911"/>
      <c r="BR67" s="911"/>
      <c r="BS67" s="911"/>
      <c r="BT67" s="911"/>
      <c r="BU67" s="911"/>
      <c r="BV67" s="911"/>
      <c r="BW67" s="911"/>
      <c r="BX67" s="911"/>
      <c r="BY67" s="911"/>
      <c r="BZ67" s="911"/>
      <c r="CA67" s="911"/>
      <c r="CB67" s="911"/>
      <c r="CC67" s="911"/>
      <c r="CD67" s="911"/>
      <c r="CE67" s="911"/>
      <c r="CF67" s="911"/>
      <c r="CG67" s="911"/>
      <c r="CH67" s="911"/>
      <c r="CI67" s="911"/>
      <c r="CJ67" s="911"/>
      <c r="CK67" s="911"/>
      <c r="CL67" s="911"/>
      <c r="CM67" s="911"/>
      <c r="CN67" s="911"/>
      <c r="CO67" s="911"/>
      <c r="CP67" s="911"/>
      <c r="CQ67" s="911"/>
      <c r="CR67" s="911"/>
      <c r="CS67" s="911"/>
      <c r="CT67" s="911"/>
      <c r="CU67" s="911"/>
      <c r="CV67" s="911"/>
      <c r="CW67" s="911"/>
      <c r="CX67" s="911"/>
      <c r="CY67" s="911"/>
      <c r="CZ67" s="911"/>
      <c r="DA67" s="911"/>
      <c r="DB67" s="911"/>
      <c r="DC67" s="911"/>
      <c r="DD67" s="911"/>
      <c r="DE67" s="911"/>
      <c r="DF67" s="911"/>
      <c r="DG67" s="911"/>
      <c r="DH67" s="911"/>
      <c r="DI67" s="911"/>
      <c r="DJ67" s="911"/>
      <c r="DK67" s="911"/>
      <c r="DL67" s="911"/>
      <c r="DM67" s="911"/>
      <c r="DN67" s="911"/>
      <c r="DO67" s="911"/>
      <c r="DP67" s="911"/>
      <c r="DQ67" s="911"/>
      <c r="DR67" s="911"/>
      <c r="DS67" s="911"/>
      <c r="DT67" s="911"/>
      <c r="DU67" s="911"/>
      <c r="DV67" s="911"/>
      <c r="DW67" s="911"/>
    </row>
    <row r="68" spans="2:127">
      <c r="H68" s="912"/>
      <c r="AC68" s="911"/>
      <c r="AD68" s="911"/>
      <c r="AE68" s="911"/>
      <c r="AF68" s="911"/>
      <c r="AG68" s="911"/>
      <c r="AH68" s="911"/>
      <c r="AI68" s="911"/>
      <c r="AJ68" s="911"/>
      <c r="AK68" s="911"/>
      <c r="AL68" s="911"/>
      <c r="AM68" s="911"/>
      <c r="AN68" s="911"/>
      <c r="AO68" s="911"/>
      <c r="AP68" s="911"/>
      <c r="AQ68" s="911"/>
      <c r="AR68" s="911"/>
      <c r="AS68" s="911"/>
      <c r="AT68" s="911"/>
      <c r="AU68" s="911"/>
      <c r="AV68" s="911"/>
      <c r="AW68" s="911"/>
      <c r="AX68" s="911"/>
      <c r="AY68" s="911"/>
      <c r="AZ68" s="911"/>
      <c r="BA68" s="911"/>
      <c r="BB68" s="911"/>
      <c r="BC68" s="911"/>
      <c r="BD68" s="911"/>
      <c r="BE68" s="911"/>
      <c r="BF68" s="911"/>
      <c r="BG68" s="911"/>
      <c r="BH68" s="911"/>
      <c r="BI68" s="911"/>
      <c r="BJ68" s="911"/>
      <c r="BK68" s="911"/>
      <c r="BL68" s="911"/>
      <c r="BM68" s="911"/>
      <c r="BN68" s="911"/>
      <c r="BO68" s="911"/>
      <c r="BP68" s="911"/>
      <c r="BQ68" s="911"/>
      <c r="BR68" s="911"/>
      <c r="BS68" s="911"/>
      <c r="BT68" s="911"/>
      <c r="BU68" s="911"/>
      <c r="BV68" s="911"/>
      <c r="BW68" s="911"/>
      <c r="BX68" s="911"/>
      <c r="BY68" s="911"/>
      <c r="BZ68" s="911"/>
      <c r="CA68" s="911"/>
      <c r="CB68" s="911"/>
      <c r="CC68" s="911"/>
      <c r="CD68" s="911"/>
      <c r="CE68" s="911"/>
      <c r="CF68" s="911"/>
      <c r="CG68" s="911"/>
      <c r="CH68" s="911"/>
      <c r="CI68" s="911"/>
      <c r="CJ68" s="911"/>
      <c r="CK68" s="911"/>
      <c r="CL68" s="911"/>
      <c r="CM68" s="911"/>
      <c r="CN68" s="911"/>
      <c r="CO68" s="911"/>
      <c r="CP68" s="911"/>
      <c r="CQ68" s="911"/>
      <c r="CR68" s="911"/>
      <c r="CS68" s="911"/>
      <c r="CT68" s="911"/>
      <c r="CU68" s="911"/>
      <c r="CV68" s="911"/>
      <c r="CW68" s="911"/>
      <c r="CX68" s="911"/>
      <c r="CY68" s="911"/>
      <c r="CZ68" s="911"/>
      <c r="DA68" s="911"/>
      <c r="DB68" s="911"/>
      <c r="DC68" s="911"/>
      <c r="DD68" s="911"/>
      <c r="DE68" s="911"/>
      <c r="DF68" s="911"/>
      <c r="DG68" s="911"/>
      <c r="DH68" s="911"/>
      <c r="DI68" s="911"/>
      <c r="DJ68" s="911"/>
      <c r="DK68" s="911"/>
      <c r="DL68" s="911"/>
      <c r="DM68" s="911"/>
      <c r="DN68" s="911"/>
      <c r="DO68" s="911"/>
      <c r="DP68" s="911"/>
      <c r="DQ68" s="911"/>
      <c r="DR68" s="911"/>
      <c r="DS68" s="911"/>
      <c r="DT68" s="911"/>
      <c r="DU68" s="911"/>
      <c r="DV68" s="911"/>
      <c r="DW68" s="911"/>
    </row>
    <row r="69" spans="2:127">
      <c r="H69" s="578"/>
    </row>
    <row r="70" spans="2:127">
      <c r="T70" s="913"/>
    </row>
    <row r="71" spans="2:127">
      <c r="G71" s="603"/>
      <c r="H71" s="603"/>
      <c r="I71" s="603"/>
      <c r="J71" s="603"/>
      <c r="K71" s="603"/>
      <c r="L71" s="603"/>
      <c r="M71" s="603"/>
      <c r="N71" s="603"/>
      <c r="O71" s="603"/>
      <c r="P71" s="603"/>
      <c r="Q71" s="603"/>
      <c r="R71" s="603"/>
      <c r="S71" s="603"/>
      <c r="T71" s="603"/>
      <c r="U71" s="603"/>
      <c r="V71" s="603"/>
      <c r="W71" s="603"/>
      <c r="X71" s="603"/>
      <c r="Y71" s="603"/>
    </row>
    <row r="72" spans="2:127">
      <c r="G72" s="914"/>
      <c r="H72" s="914"/>
      <c r="I72" s="914"/>
      <c r="J72" s="914"/>
      <c r="K72" s="914"/>
      <c r="L72" s="914"/>
      <c r="M72" s="914"/>
      <c r="N72" s="914"/>
      <c r="O72" s="914"/>
      <c r="P72" s="914"/>
      <c r="Q72" s="914"/>
      <c r="R72" s="914"/>
      <c r="S72" s="914"/>
      <c r="T72" s="914"/>
      <c r="U72" s="914"/>
      <c r="V72" s="914"/>
      <c r="W72" s="914"/>
      <c r="X72" s="914"/>
      <c r="Y72" s="914"/>
    </row>
    <row r="89" spans="9:10">
      <c r="I89" s="628">
        <v>44562</v>
      </c>
      <c r="J89" s="628">
        <v>44743</v>
      </c>
    </row>
    <row r="90" spans="9:10">
      <c r="I90" s="628">
        <v>44742</v>
      </c>
      <c r="J90" s="628">
        <v>44926</v>
      </c>
    </row>
    <row r="92" spans="9:10">
      <c r="I92" s="904">
        <f>YEARFRAC(I89,I90+1,1)</f>
        <v>0.49589041095890413</v>
      </c>
      <c r="J92" s="904">
        <f>YEARFRAC(J89,J90+1,1)</f>
        <v>0.50410958904109593</v>
      </c>
    </row>
  </sheetData>
  <conditionalFormatting sqref="H61:DW61">
    <cfRule type="cellIs" dxfId="34" priority="36" stopIfTrue="1" operator="equal">
      <formula>"OK"</formula>
    </cfRule>
    <cfRule type="cellIs" dxfId="33" priority="37" stopIfTrue="1" operator="equal">
      <formula>"WRONG"</formula>
    </cfRule>
  </conditionalFormatting>
  <conditionalFormatting sqref="G61:DW61">
    <cfRule type="cellIs" dxfId="32" priority="38" stopIfTrue="1" operator="equal">
      <formula>"OK"</formula>
    </cfRule>
    <cfRule type="cellIs" dxfId="31" priority="39" stopIfTrue="1" operator="equal">
      <formula>"WRONG"</formula>
    </cfRule>
  </conditionalFormatting>
  <conditionalFormatting sqref="G60:DW60">
    <cfRule type="cellIs" dxfId="30" priority="34" stopIfTrue="1" operator="equal">
      <formula>"OK"</formula>
    </cfRule>
    <cfRule type="cellIs" dxfId="29" priority="35" stopIfTrue="1" operator="equal">
      <formula>"WRONG"</formula>
    </cfRule>
  </conditionalFormatting>
  <conditionalFormatting sqref="H60:V60 AB60:DW60">
    <cfRule type="cellIs" dxfId="28" priority="32" stopIfTrue="1" operator="equal">
      <formula>"OK"</formula>
    </cfRule>
    <cfRule type="cellIs" dxfId="27" priority="33" stopIfTrue="1" operator="equal">
      <formula>"WRONG"</formula>
    </cfRule>
  </conditionalFormatting>
  <conditionalFormatting sqref="W60:AA60">
    <cfRule type="cellIs" dxfId="26" priority="29" stopIfTrue="1" operator="equal">
      <formula>"OK"</formula>
    </cfRule>
    <cfRule type="cellIs" dxfId="25" priority="30" stopIfTrue="1" operator="equal">
      <formula>"WRONG"</formula>
    </cfRule>
  </conditionalFormatting>
  <conditionalFormatting sqref="G64:DW64">
    <cfRule type="cellIs" dxfId="24" priority="27" stopIfTrue="1" operator="equal">
      <formula>"OK"</formula>
    </cfRule>
    <cfRule type="cellIs" dxfId="23" priority="28" stopIfTrue="1" operator="equal">
      <formula>"WRONG"</formula>
    </cfRule>
  </conditionalFormatting>
  <conditionalFormatting sqref="L65:DW65">
    <cfRule type="cellIs" dxfId="22" priority="13" stopIfTrue="1" operator="equal">
      <formula>"OK"</formula>
    </cfRule>
    <cfRule type="cellIs" dxfId="21" priority="14" stopIfTrue="1" operator="equal">
      <formula>"WRONG"</formula>
    </cfRule>
  </conditionalFormatting>
  <conditionalFormatting sqref="L64:DW64">
    <cfRule type="cellIs" dxfId="20" priority="15" stopIfTrue="1" operator="equal">
      <formula>"OK"</formula>
    </cfRule>
    <cfRule type="cellIs" dxfId="19" priority="16" stopIfTrue="1" operator="equal">
      <formula>"WRONG"</formula>
    </cfRule>
  </conditionalFormatting>
  <conditionalFormatting sqref="K64">
    <cfRule type="cellIs" dxfId="18" priority="17" stopIfTrue="1" operator="equal">
      <formula>"OK"</formula>
    </cfRule>
    <cfRule type="cellIs" dxfId="17" priority="18" stopIfTrue="1" operator="equal">
      <formula>"WRONG"</formula>
    </cfRule>
  </conditionalFormatting>
  <conditionalFormatting sqref="G65:DW65">
    <cfRule type="cellIs" dxfId="16" priority="25" stopIfTrue="1" operator="equal">
      <formula>"OK"</formula>
    </cfRule>
    <cfRule type="cellIs" dxfId="15" priority="26" stopIfTrue="1" operator="equal">
      <formula>"WRONG"</formula>
    </cfRule>
  </conditionalFormatting>
  <conditionalFormatting sqref="H65">
    <cfRule type="cellIs" dxfId="14" priority="11" stopIfTrue="1" operator="equal">
      <formula>"OK"</formula>
    </cfRule>
    <cfRule type="cellIs" dxfId="13" priority="12" stopIfTrue="1" operator="equal">
      <formula>"WRONG"</formula>
    </cfRule>
  </conditionalFormatting>
  <conditionalFormatting sqref="I65">
    <cfRule type="cellIs" dxfId="12" priority="9" stopIfTrue="1" operator="equal">
      <formula>"OK"</formula>
    </cfRule>
    <cfRule type="cellIs" dxfId="11" priority="10" stopIfTrue="1" operator="equal">
      <formula>"WRONG"</formula>
    </cfRule>
  </conditionalFormatting>
  <conditionalFormatting sqref="J65">
    <cfRule type="cellIs" dxfId="10" priority="7" stopIfTrue="1" operator="equal">
      <formula>"OK"</formula>
    </cfRule>
    <cfRule type="cellIs" dxfId="9" priority="8" stopIfTrue="1" operator="equal">
      <formula>"WRONG"</formula>
    </cfRule>
  </conditionalFormatting>
  <conditionalFormatting sqref="K65">
    <cfRule type="cellIs" dxfId="8" priority="5" stopIfTrue="1" operator="equal">
      <formula>"OK"</formula>
    </cfRule>
    <cfRule type="cellIs" dxfId="7" priority="6" stopIfTrue="1" operator="equal">
      <formula>"WRONG"</formula>
    </cfRule>
  </conditionalFormatting>
  <conditionalFormatting sqref="H64">
    <cfRule type="cellIs" dxfId="6" priority="23" stopIfTrue="1" operator="equal">
      <formula>"OK"</formula>
    </cfRule>
    <cfRule type="cellIs" dxfId="5" priority="24" stopIfTrue="1" operator="equal">
      <formula>"WRONG"</formula>
    </cfRule>
  </conditionalFormatting>
  <conditionalFormatting sqref="I64">
    <cfRule type="cellIs" dxfId="4" priority="21" stopIfTrue="1" operator="equal">
      <formula>"OK"</formula>
    </cfRule>
    <cfRule type="cellIs" dxfId="3" priority="22" stopIfTrue="1" operator="equal">
      <formula>"WRONG"</formula>
    </cfRule>
  </conditionalFormatting>
  <conditionalFormatting sqref="J64">
    <cfRule type="cellIs" dxfId="2" priority="19" stopIfTrue="1" operator="equal">
      <formula>"OK"</formula>
    </cfRule>
    <cfRule type="cellIs" dxfId="1" priority="20" stopIfTrue="1" operator="equal">
      <formula>"WRONG"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99" id="{00000000-000E-0000-0C00-00006B070000}">
            <xm:f>G$7&gt;Inputs!$D$16</xm:f>
            <x14:dxf>
              <font>
                <color theme="0" tint="-0.14996795556505021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G5:DW44</xm:sqref>
        </x14:conditionalFormatting>
        <x14:conditionalFormatting xmlns:xm="http://schemas.microsoft.com/office/excel/2006/main">
          <x14:cfRule type="iconSet" priority="40" id="{BB88AA28-435E-4F43-85C2-B472CC8292E6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D58:E58</xm:sqref>
        </x14:conditionalFormatting>
        <x14:conditionalFormatting xmlns:xm="http://schemas.microsoft.com/office/excel/2006/main">
          <x14:cfRule type="iconSet" priority="41" id="{D48F4269-F177-408E-A423-EE6035C9A609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D62:E62</xm:sqref>
        </x14:conditionalFormatting>
        <x14:conditionalFormatting xmlns:xm="http://schemas.microsoft.com/office/excel/2006/main">
          <x14:cfRule type="iconSet" priority="42" id="{D3A4A7C3-3AD9-44EF-B1FC-7894AD37501D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D59:E59</xm:sqref>
        </x14:conditionalFormatting>
        <x14:conditionalFormatting xmlns:xm="http://schemas.microsoft.com/office/excel/2006/main">
          <x14:cfRule type="iconSet" priority="4" id="{6B5F56ED-B98C-4BC1-905E-A129410E0B91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A5</xm:sqref>
        </x14:conditionalFormatting>
        <x14:conditionalFormatting xmlns:xm="http://schemas.microsoft.com/office/excel/2006/main">
          <x14:cfRule type="iconSet" priority="3" id="{7992CCD2-3F35-441D-8C68-796A73BB7DA6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 A3</xm:sqref>
        </x14:conditionalFormatting>
        <x14:conditionalFormatting xmlns:xm="http://schemas.microsoft.com/office/excel/2006/main">
          <x14:cfRule type="iconSet" priority="1" id="{016FC0C4-75E5-40CE-B7AD-4B2988320029}">
            <x14:iconSet showValue="0" custom="1">
              <x14:cfvo type="percent">
                <xm:f>0</xm:f>
              </x14:cfvo>
              <x14:cfvo type="num">
                <xm:f>-Inputs!$L$480</xm:f>
              </x14:cfvo>
              <x14:cfvo type="num" gte="0">
                <xm:f>Inputs!$L$480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E13:E15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8D98-3B34-4DD8-B987-2673492BA700}">
  <dimension ref="A1:AH3"/>
  <sheetViews>
    <sheetView workbookViewId="0">
      <selection activeCell="D3" sqref="D3"/>
    </sheetView>
  </sheetViews>
  <sheetFormatPr defaultColWidth="8.7109375" defaultRowHeight="15"/>
  <cols>
    <col min="1" max="1" width="13.85546875" bestFit="1" customWidth="1"/>
  </cols>
  <sheetData>
    <row r="1" spans="1:34">
      <c r="A1" s="1196" t="s">
        <v>1358</v>
      </c>
      <c r="B1" s="1196" t="s">
        <v>289</v>
      </c>
      <c r="D1" s="1916">
        <v>67.069999999999993</v>
      </c>
      <c r="E1" s="1916">
        <v>64.11</v>
      </c>
      <c r="F1" s="1916">
        <v>58.63</v>
      </c>
      <c r="G1" s="1916">
        <v>58.15</v>
      </c>
      <c r="H1" s="1916">
        <v>53.91</v>
      </c>
      <c r="I1" s="1916">
        <v>51.5</v>
      </c>
      <c r="J1" s="1916">
        <v>50.97</v>
      </c>
      <c r="K1" s="1916">
        <v>52.64</v>
      </c>
      <c r="L1" s="1916">
        <v>51.54</v>
      </c>
      <c r="M1" s="1916">
        <v>50.04</v>
      </c>
      <c r="N1" s="1916">
        <v>46.91</v>
      </c>
      <c r="O1" s="1916">
        <v>45.07</v>
      </c>
      <c r="P1" s="1916">
        <v>44.85</v>
      </c>
      <c r="Q1" s="1916">
        <v>43.84</v>
      </c>
      <c r="R1" s="1916">
        <v>42.56</v>
      </c>
      <c r="S1" s="1916">
        <v>43.33</v>
      </c>
      <c r="T1" s="1916">
        <v>42.36</v>
      </c>
      <c r="U1" s="1916">
        <v>42.13</v>
      </c>
      <c r="V1" s="1916">
        <v>40.56</v>
      </c>
      <c r="W1" s="1916">
        <v>40.69</v>
      </c>
      <c r="X1" s="1916">
        <v>39.700000000000003</v>
      </c>
      <c r="Y1" s="1916">
        <v>39.89</v>
      </c>
      <c r="Z1" s="1916">
        <v>38.86</v>
      </c>
      <c r="AA1" s="1916">
        <v>38.93</v>
      </c>
      <c r="AB1" s="1916">
        <v>39.14</v>
      </c>
      <c r="AC1" s="1916">
        <v>38.36</v>
      </c>
      <c r="AD1" s="1916">
        <v>38.479999999999997</v>
      </c>
      <c r="AE1" s="1916">
        <v>39.19</v>
      </c>
      <c r="AF1" s="1916">
        <v>38.93</v>
      </c>
      <c r="AG1" s="1916">
        <v>39.93</v>
      </c>
      <c r="AH1" s="1916">
        <v>39.71</v>
      </c>
    </row>
    <row r="2" spans="1:34">
      <c r="B2" s="1196" t="s">
        <v>1359</v>
      </c>
      <c r="D2" s="1916">
        <v>62.5</v>
      </c>
      <c r="E2" s="1916">
        <v>59.41</v>
      </c>
      <c r="F2" s="1916">
        <v>53.75</v>
      </c>
      <c r="G2" s="1916">
        <v>53.46</v>
      </c>
      <c r="H2" s="1916">
        <v>49.36</v>
      </c>
      <c r="I2" s="1916">
        <v>47.04</v>
      </c>
      <c r="J2" s="1916">
        <v>46.75</v>
      </c>
      <c r="K2" s="1916">
        <v>48.66</v>
      </c>
      <c r="L2" s="1916">
        <v>47.58</v>
      </c>
      <c r="M2" s="1916">
        <v>46.3</v>
      </c>
      <c r="N2" s="1916">
        <v>43.38</v>
      </c>
      <c r="O2" s="1916">
        <v>41.88</v>
      </c>
      <c r="P2" s="1916">
        <v>41.78</v>
      </c>
      <c r="Q2" s="1916">
        <v>40.96</v>
      </c>
      <c r="R2" s="1916">
        <v>39.79</v>
      </c>
      <c r="S2" s="1916">
        <v>40.69</v>
      </c>
      <c r="T2" s="1916">
        <v>39.909999999999997</v>
      </c>
      <c r="U2" s="1916">
        <v>39.840000000000003</v>
      </c>
      <c r="V2" s="1916">
        <v>38.5</v>
      </c>
      <c r="W2" s="1916">
        <v>38.78</v>
      </c>
      <c r="X2" s="1916">
        <v>37.93</v>
      </c>
      <c r="Y2" s="1916">
        <v>38.19</v>
      </c>
      <c r="Z2" s="1916">
        <v>37.229999999999997</v>
      </c>
      <c r="AA2" s="1916">
        <v>37.36</v>
      </c>
      <c r="AB2" s="1916">
        <v>37.6</v>
      </c>
      <c r="AC2" s="1916">
        <v>36.89</v>
      </c>
      <c r="AD2" s="1916">
        <v>37.03</v>
      </c>
      <c r="AE2" s="1916">
        <v>37.76</v>
      </c>
      <c r="AF2" s="1916">
        <v>37.51</v>
      </c>
      <c r="AG2" s="1916">
        <v>38.47</v>
      </c>
      <c r="AH2" s="1916">
        <v>38.21</v>
      </c>
    </row>
    <row r="3" spans="1:34">
      <c r="B3" s="1196" t="s">
        <v>1360</v>
      </c>
      <c r="D3" s="1917">
        <f>1-D2/D1</f>
        <v>6.813776651259873E-2</v>
      </c>
      <c r="E3" s="1917">
        <f t="shared" ref="E3:AH3" si="0">1-E2/E1</f>
        <v>7.3311495866479559E-2</v>
      </c>
      <c r="F3" s="1917">
        <f t="shared" si="0"/>
        <v>8.3233839331400383E-2</v>
      </c>
      <c r="G3" s="1917">
        <f t="shared" si="0"/>
        <v>8.0653482373172825E-2</v>
      </c>
      <c r="H3" s="1917">
        <f t="shared" si="0"/>
        <v>8.4399925802262965E-2</v>
      </c>
      <c r="I3" s="1917">
        <f t="shared" si="0"/>
        <v>8.6601941747572853E-2</v>
      </c>
      <c r="J3" s="1917">
        <f t="shared" si="0"/>
        <v>8.2793800274671314E-2</v>
      </c>
      <c r="K3" s="1917">
        <f t="shared" si="0"/>
        <v>7.5607902735562393E-2</v>
      </c>
      <c r="L3" s="1917">
        <f t="shared" si="0"/>
        <v>7.6833527357392351E-2</v>
      </c>
      <c r="M3" s="1917">
        <f t="shared" si="0"/>
        <v>7.474020783373303E-2</v>
      </c>
      <c r="N3" s="1917">
        <f t="shared" si="0"/>
        <v>7.5250479641867263E-2</v>
      </c>
      <c r="O3" s="1917">
        <f t="shared" si="0"/>
        <v>7.0778788551142613E-2</v>
      </c>
      <c r="P3" s="1917">
        <f t="shared" si="0"/>
        <v>6.8450390189520594E-2</v>
      </c>
      <c r="Q3" s="1917">
        <f t="shared" si="0"/>
        <v>6.5693430656934337E-2</v>
      </c>
      <c r="R3" s="1917">
        <f t="shared" si="0"/>
        <v>6.5084586466165439E-2</v>
      </c>
      <c r="S3" s="1917">
        <f t="shared" si="0"/>
        <v>6.0927763674128776E-2</v>
      </c>
      <c r="T3" s="1917">
        <f t="shared" si="0"/>
        <v>5.7837582625118067E-2</v>
      </c>
      <c r="U3" s="1917">
        <f t="shared" si="0"/>
        <v>5.4355566104913322E-2</v>
      </c>
      <c r="V3" s="1917">
        <f t="shared" si="0"/>
        <v>5.0788954635108574E-2</v>
      </c>
      <c r="W3" s="1917">
        <f t="shared" si="0"/>
        <v>4.6940280167117154E-2</v>
      </c>
      <c r="X3" s="1917">
        <f t="shared" si="0"/>
        <v>4.4584382871536654E-2</v>
      </c>
      <c r="Y3" s="1917">
        <f t="shared" si="0"/>
        <v>4.2617197292554643E-2</v>
      </c>
      <c r="Z3" s="1917">
        <f t="shared" si="0"/>
        <v>4.1945445187853925E-2</v>
      </c>
      <c r="AA3" s="1917">
        <f t="shared" si="0"/>
        <v>4.0328795273567919E-2</v>
      </c>
      <c r="AB3" s="1917">
        <f t="shared" si="0"/>
        <v>3.9345937659683194E-2</v>
      </c>
      <c r="AC3" s="1917">
        <f t="shared" si="0"/>
        <v>3.8321167883211604E-2</v>
      </c>
      <c r="AD3" s="1917">
        <f t="shared" si="0"/>
        <v>3.7681912681912566E-2</v>
      </c>
      <c r="AE3" s="1917">
        <f t="shared" si="0"/>
        <v>3.6488900229650456E-2</v>
      </c>
      <c r="AF3" s="1917">
        <f t="shared" si="0"/>
        <v>3.6475725661443636E-2</v>
      </c>
      <c r="AG3" s="1917">
        <f t="shared" si="0"/>
        <v>3.6563986977210194E-2</v>
      </c>
      <c r="AH3" s="1917">
        <f t="shared" si="0"/>
        <v>3.7773860488541922E-2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2C396CA89E54997FBD68B222DD350" ma:contentTypeVersion="20" ma:contentTypeDescription="Crée un document." ma:contentTypeScope="" ma:versionID="c042ac44220389905c6c74de97fd3fe1">
  <xsd:schema xmlns:xsd="http://www.w3.org/2001/XMLSchema" xmlns:xs="http://www.w3.org/2001/XMLSchema" xmlns:p="http://schemas.microsoft.com/office/2006/metadata/properties" xmlns:ns2="6c7e31c9-514a-4217-958b-6bd9db144f8b" xmlns:ns3="0d77aaab-39cd-459b-a526-78acdcefbe11" targetNamespace="http://schemas.microsoft.com/office/2006/metadata/properties" ma:root="true" ma:fieldsID="8de7429b860af39395e7dff7e78bb9b3" ns2:_="" ns3:_="">
    <xsd:import namespace="6c7e31c9-514a-4217-958b-6bd9db144f8b"/>
    <xsd:import namespace="0d77aaab-39cd-459b-a526-78acdcefbe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e31c9-514a-4217-958b-6bd9db144f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86aeb1e2-788e-43b6-b6f8-a2f385b7c4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7aaab-39cd-459b-a526-78acdcefbe1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d4ce27a-1e91-4b94-815e-b7f00d14ed18}" ma:internalName="TaxCatchAll" ma:showField="CatchAllData" ma:web="0d77aaab-39cd-459b-a526-78acdcefb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7e31c9-514a-4217-958b-6bd9db144f8b">
      <Terms xmlns="http://schemas.microsoft.com/office/infopath/2007/PartnerControls"/>
    </lcf76f155ced4ddcb4097134ff3c332f>
    <TaxCatchAll xmlns="0d77aaab-39cd-459b-a526-78acdcefbe11" xsi:nil="true"/>
  </documentManagement>
</p:properties>
</file>

<file path=customXml/itemProps1.xml><?xml version="1.0" encoding="utf-8"?>
<ds:datastoreItem xmlns:ds="http://schemas.openxmlformats.org/officeDocument/2006/customXml" ds:itemID="{1BEF29CB-0B81-4BF3-BC2B-3C8BE7C21A20}"/>
</file>

<file path=customXml/itemProps2.xml><?xml version="1.0" encoding="utf-8"?>
<ds:datastoreItem xmlns:ds="http://schemas.openxmlformats.org/officeDocument/2006/customXml" ds:itemID="{1D5D6791-F047-4075-9643-BB16AFBA60B1}"/>
</file>

<file path=customXml/itemProps3.xml><?xml version="1.0" encoding="utf-8"?>
<ds:datastoreItem xmlns:ds="http://schemas.openxmlformats.org/officeDocument/2006/customXml" ds:itemID="{546E6562-4DCB-4B97-B723-D84DA71404B4}"/>
</file>

<file path=customXml/itemProps4.xml><?xml version="1.0" encoding="utf-8"?>
<ds:datastoreItem xmlns:ds="http://schemas.openxmlformats.org/officeDocument/2006/customXml" ds:itemID="{0C872B11-18A5-4E54-95FC-FE7566FE0B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Akuo Energy</dc:creator>
  <cp:keywords/>
  <dc:description/>
  <cp:lastModifiedBy/>
  <cp:revision/>
  <dcterms:created xsi:type="dcterms:W3CDTF">2002-10-04T09:15:39Z</dcterms:created>
  <dcterms:modified xsi:type="dcterms:W3CDTF">2026-04-17T08:13:25Z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0x01010038D2C396CA89E54997FBD68B222DD350</vt:lpwstr>
  </property>
  <property fmtid="{D5CDD505-2E9C-101B-9397-08002B2CF9AE}" pid="3" name="MediaServiceImageTags">
    <vt:lpwstr/>
  </property>
</Properties>
</file>